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charlotteward/Documents/Structural_Shifts_Project/"/>
    </mc:Choice>
  </mc:AlternateContent>
  <xr:revisionPtr revIDLastSave="0" documentId="13_ncr:1_{3662651E-AE84-7745-8953-CCC9DB176DDD}" xr6:coauthVersionLast="47" xr6:coauthVersionMax="47" xr10:uidLastSave="{00000000-0000-0000-0000-000000000000}"/>
  <bookViews>
    <workbookView xWindow="-37800" yWindow="500" windowWidth="37320" windowHeight="19380" activeTab="1" xr2:uid="{00000000-000D-0000-FFFF-FFFF00000000}"/>
  </bookViews>
  <sheets>
    <sheet name="savedrecs" sheetId="1" r:id="rId1"/>
    <sheet name="keywords in search and 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70" i="1" l="1"/>
  <c r="AL67" i="1"/>
  <c r="AC64" i="1"/>
  <c r="AL64" i="1"/>
  <c r="AL62" i="1"/>
  <c r="AB60" i="1"/>
  <c r="AC60" i="1" s="1"/>
  <c r="AL58" i="1"/>
  <c r="AB57" i="1"/>
  <c r="AC57" i="1" s="1"/>
  <c r="AL51" i="1"/>
  <c r="AC38" i="1"/>
  <c r="AC46" i="1"/>
  <c r="AB44" i="1"/>
  <c r="AC44" i="1" s="1"/>
  <c r="AC42" i="1"/>
  <c r="AB39" i="1"/>
  <c r="AC39" i="1" s="1"/>
  <c r="AB33" i="1"/>
  <c r="AC33" i="1" s="1"/>
  <c r="AB4" i="1"/>
  <c r="AC4" i="1" s="1"/>
  <c r="AB5" i="1"/>
  <c r="AC5" i="1" s="1"/>
  <c r="AB6" i="1"/>
  <c r="AC6" i="1" s="1"/>
  <c r="AB7" i="1"/>
  <c r="AC7" i="1" s="1"/>
  <c r="AB12" i="1"/>
  <c r="AC12" i="1" s="1"/>
  <c r="AB15" i="1"/>
  <c r="AC15" i="1" s="1"/>
  <c r="AB16" i="1"/>
  <c r="AC16" i="1" s="1"/>
  <c r="AB21" i="1"/>
  <c r="AC21" i="1" s="1"/>
  <c r="AB20" i="1"/>
  <c r="AC20" i="1" s="1"/>
  <c r="AB2" i="1"/>
  <c r="AC2" i="1" s="1"/>
  <c r="AC30" i="1"/>
  <c r="AC13" i="1"/>
  <c r="AC41" i="1"/>
  <c r="AC14" i="1"/>
  <c r="AL41" i="1"/>
  <c r="AL38" i="1"/>
  <c r="AL34" i="1"/>
  <c r="AL32" i="1"/>
  <c r="AL31" i="1"/>
  <c r="AL29" i="1"/>
  <c r="AL28" i="1"/>
  <c r="AL27" i="1"/>
  <c r="AL26" i="1"/>
  <c r="AL25" i="1"/>
  <c r="AL24" i="1"/>
  <c r="AL23" i="1"/>
  <c r="AL22" i="1"/>
  <c r="AL21" i="1"/>
  <c r="AL20" i="1"/>
  <c r="AL19" i="1"/>
  <c r="AL17" i="1"/>
  <c r="AL16" i="1"/>
  <c r="AL15" i="1"/>
  <c r="AL14" i="1"/>
  <c r="AL4" i="1"/>
  <c r="AL5" i="1"/>
  <c r="AL3084" i="1"/>
  <c r="AL3083" i="1"/>
  <c r="AL3082" i="1"/>
  <c r="AL3081" i="1"/>
  <c r="AL3080" i="1"/>
  <c r="AL3079" i="1"/>
  <c r="AL3078" i="1"/>
  <c r="AL3077" i="1"/>
  <c r="AL3076" i="1"/>
  <c r="AL3075" i="1"/>
  <c r="AL3074" i="1"/>
  <c r="AL3073" i="1"/>
  <c r="AL3072" i="1"/>
  <c r="AL3071" i="1"/>
  <c r="AL3070" i="1"/>
  <c r="AL3069" i="1"/>
  <c r="AL3068" i="1"/>
  <c r="AL3067" i="1"/>
  <c r="AL3066" i="1"/>
  <c r="AL3065" i="1"/>
  <c r="AL3064" i="1"/>
  <c r="AL3063" i="1"/>
  <c r="AL3062" i="1"/>
  <c r="AL3061" i="1"/>
  <c r="AL3060" i="1"/>
  <c r="AL3059" i="1"/>
  <c r="AL3058" i="1"/>
  <c r="AL3057" i="1"/>
  <c r="AL3056" i="1"/>
  <c r="AL3055" i="1"/>
  <c r="AL3054" i="1"/>
  <c r="AL3053" i="1"/>
  <c r="AL3052" i="1"/>
  <c r="AL3051" i="1"/>
  <c r="AL3050" i="1"/>
  <c r="AL3049" i="1"/>
  <c r="AL3048" i="1"/>
  <c r="AL3047" i="1"/>
  <c r="AL3046" i="1"/>
  <c r="AL3045" i="1"/>
  <c r="AL3044" i="1"/>
  <c r="AL3043" i="1"/>
  <c r="AL3042" i="1"/>
  <c r="AL3041" i="1"/>
  <c r="AL3040" i="1"/>
  <c r="AL3039" i="1"/>
  <c r="AL3038" i="1"/>
  <c r="AL3037" i="1"/>
  <c r="AL3036" i="1"/>
  <c r="AL3034" i="1"/>
  <c r="AL3033" i="1"/>
  <c r="AL3032" i="1"/>
  <c r="AL3031" i="1"/>
  <c r="AL3030" i="1"/>
  <c r="AL3028" i="1"/>
  <c r="AL3027" i="1"/>
  <c r="AL3026" i="1"/>
  <c r="AL3025" i="1"/>
  <c r="AL3024" i="1"/>
  <c r="AL3023" i="1"/>
  <c r="AL3022" i="1"/>
  <c r="AL3021" i="1"/>
  <c r="AL3020" i="1"/>
  <c r="AL3019" i="1"/>
  <c r="AL3018" i="1"/>
  <c r="AL3017" i="1"/>
  <c r="AL3016" i="1"/>
  <c r="AL3015" i="1"/>
  <c r="AL3014" i="1"/>
  <c r="AL3013" i="1"/>
  <c r="AL3012" i="1"/>
  <c r="AL3011" i="1"/>
  <c r="AL3010" i="1"/>
  <c r="AL3009" i="1"/>
  <c r="AL3008" i="1"/>
  <c r="AL3007" i="1"/>
  <c r="AL3006" i="1"/>
  <c r="AL3005" i="1"/>
  <c r="AL3004" i="1"/>
  <c r="AL3003" i="1"/>
  <c r="AL3002" i="1"/>
  <c r="AL3001" i="1"/>
  <c r="AL3000" i="1"/>
  <c r="AL2999" i="1"/>
  <c r="AL2998" i="1"/>
  <c r="AL2997" i="1"/>
  <c r="AL2996" i="1"/>
  <c r="AL2995" i="1"/>
  <c r="AL2994" i="1"/>
  <c r="AL2993" i="1"/>
  <c r="AL2992" i="1"/>
  <c r="AL2991" i="1"/>
  <c r="AL2990" i="1"/>
  <c r="AL2989" i="1"/>
  <c r="AL2988" i="1"/>
  <c r="AL2987" i="1"/>
  <c r="AL2986" i="1"/>
  <c r="AL2985" i="1"/>
  <c r="AL2984" i="1"/>
  <c r="AL2983" i="1"/>
  <c r="AL2982" i="1"/>
  <c r="AL2981" i="1"/>
  <c r="AL2980" i="1"/>
  <c r="AL2979" i="1"/>
  <c r="AL2978" i="1"/>
  <c r="AL2977" i="1"/>
  <c r="AL2976" i="1"/>
  <c r="AL2975" i="1"/>
  <c r="AL2974" i="1"/>
  <c r="AL2973" i="1"/>
  <c r="AL2972" i="1"/>
  <c r="AL2971" i="1"/>
  <c r="AL2970" i="1"/>
  <c r="AL2969" i="1"/>
  <c r="AL2968" i="1"/>
  <c r="AL2967" i="1"/>
  <c r="AL2966" i="1"/>
  <c r="AL2965" i="1"/>
  <c r="AL2964" i="1"/>
  <c r="AL2963" i="1"/>
  <c r="AL2962" i="1"/>
  <c r="AL2961" i="1"/>
  <c r="AL2960" i="1"/>
  <c r="AL2959" i="1"/>
  <c r="AL2958" i="1"/>
  <c r="AL2957" i="1"/>
  <c r="AL2956" i="1"/>
  <c r="AL2955" i="1"/>
  <c r="AL2954" i="1"/>
  <c r="AL2953" i="1"/>
  <c r="AL2952" i="1"/>
  <c r="AL2951" i="1"/>
  <c r="AL2950" i="1"/>
  <c r="AL2949" i="1"/>
  <c r="AL2948" i="1"/>
  <c r="AL2947" i="1"/>
  <c r="AL2946" i="1"/>
  <c r="AL2945" i="1"/>
  <c r="AL2944" i="1"/>
  <c r="AL2943" i="1"/>
  <c r="AL2942" i="1"/>
  <c r="AL2941" i="1"/>
  <c r="AL2940" i="1"/>
  <c r="AL2939" i="1"/>
  <c r="AL2938" i="1"/>
  <c r="AL2937" i="1"/>
  <c r="AL2936" i="1"/>
  <c r="AL2935" i="1"/>
  <c r="AL2934" i="1"/>
  <c r="AL2933" i="1"/>
  <c r="AL2932" i="1"/>
  <c r="AL2931" i="1"/>
  <c r="AL2930" i="1"/>
  <c r="AL2929" i="1"/>
  <c r="AL2928" i="1"/>
  <c r="AL2927" i="1"/>
  <c r="AL2926" i="1"/>
  <c r="AL2925" i="1"/>
  <c r="AL2924" i="1"/>
  <c r="AL2923" i="1"/>
  <c r="AL2922" i="1"/>
  <c r="AL2921" i="1"/>
  <c r="AL2920" i="1"/>
  <c r="AL2919" i="1"/>
  <c r="AL2918" i="1"/>
  <c r="AL2917" i="1"/>
  <c r="AL2916" i="1"/>
  <c r="AL2915" i="1"/>
  <c r="AL2914" i="1"/>
  <c r="AL2913" i="1"/>
  <c r="AL2912" i="1"/>
  <c r="AL2911" i="1"/>
  <c r="AL2910" i="1"/>
  <c r="AL2909" i="1"/>
  <c r="AL2908" i="1"/>
  <c r="AL2907" i="1"/>
  <c r="AL2906" i="1"/>
  <c r="AL2905" i="1"/>
  <c r="AL2904" i="1"/>
  <c r="AL2903" i="1"/>
  <c r="AL2902" i="1"/>
  <c r="AL2901" i="1"/>
  <c r="AL2900" i="1"/>
  <c r="AL2899" i="1"/>
  <c r="AL2898" i="1"/>
  <c r="AL2897" i="1"/>
  <c r="AL2896" i="1"/>
  <c r="AL2895" i="1"/>
  <c r="AL2894" i="1"/>
  <c r="AL2893" i="1"/>
  <c r="AL2892" i="1"/>
  <c r="AL2891" i="1"/>
  <c r="AL2890" i="1"/>
  <c r="AL2889" i="1"/>
  <c r="AL2888" i="1"/>
  <c r="AL2887" i="1"/>
  <c r="AL2886" i="1"/>
  <c r="AL2885" i="1"/>
  <c r="AL2884" i="1"/>
  <c r="AL2883" i="1"/>
  <c r="AL2882" i="1"/>
  <c r="AL2881" i="1"/>
  <c r="AL2880" i="1"/>
  <c r="AL2879" i="1"/>
  <c r="AL2878" i="1"/>
  <c r="AL2877" i="1"/>
  <c r="AL2876" i="1"/>
  <c r="AL2875" i="1"/>
  <c r="AL2873" i="1"/>
  <c r="AL2872" i="1"/>
  <c r="AL2871" i="1"/>
  <c r="AL2870" i="1"/>
  <c r="AL2869" i="1"/>
  <c r="AL2868" i="1"/>
  <c r="AL2867" i="1"/>
  <c r="AL2866" i="1"/>
  <c r="AL2865" i="1"/>
  <c r="AL2864" i="1"/>
  <c r="AL2863" i="1"/>
  <c r="AL2862" i="1"/>
  <c r="AL2861" i="1"/>
  <c r="AL2860" i="1"/>
  <c r="AL2859" i="1"/>
  <c r="AL2858" i="1"/>
  <c r="AL2857" i="1"/>
  <c r="AL2856" i="1"/>
  <c r="AL2855" i="1"/>
  <c r="AL2854" i="1"/>
  <c r="AL2853" i="1"/>
  <c r="AL2852" i="1"/>
  <c r="AL2851" i="1"/>
  <c r="AL2850" i="1"/>
  <c r="AL2849" i="1"/>
  <c r="AL2848" i="1"/>
  <c r="AL2847" i="1"/>
  <c r="AL2846" i="1"/>
  <c r="AL2845" i="1"/>
  <c r="AL2844" i="1"/>
  <c r="AL2843" i="1"/>
  <c r="AL2842" i="1"/>
  <c r="AL2840" i="1"/>
  <c r="AL2839" i="1"/>
  <c r="AL2838" i="1"/>
  <c r="AL2837" i="1"/>
  <c r="AL2836" i="1"/>
  <c r="AL2835" i="1"/>
  <c r="AL2834" i="1"/>
  <c r="AL2833" i="1"/>
  <c r="AL2832" i="1"/>
  <c r="AL2831" i="1"/>
  <c r="AL2830" i="1"/>
  <c r="AL2829" i="1"/>
  <c r="AL2828" i="1"/>
  <c r="AL2827" i="1"/>
  <c r="AL2826" i="1"/>
  <c r="AL2825" i="1"/>
  <c r="AL2824" i="1"/>
  <c r="AL2823" i="1"/>
  <c r="AL2822" i="1"/>
  <c r="AL2821" i="1"/>
  <c r="AL2820" i="1"/>
  <c r="AL2819" i="1"/>
  <c r="AL2818" i="1"/>
  <c r="AL2817" i="1"/>
  <c r="AL2816" i="1"/>
  <c r="AL2815" i="1"/>
  <c r="AL2814" i="1"/>
  <c r="AL2813" i="1"/>
  <c r="AL2812" i="1"/>
  <c r="AL2811" i="1"/>
  <c r="AL2810" i="1"/>
  <c r="AL2809" i="1"/>
  <c r="AL2808" i="1"/>
  <c r="AL2807" i="1"/>
  <c r="AL2806" i="1"/>
  <c r="AL2805" i="1"/>
  <c r="AL2804" i="1"/>
  <c r="AL2803" i="1"/>
  <c r="AL2802" i="1"/>
  <c r="AL2801" i="1"/>
  <c r="AL2800" i="1"/>
  <c r="AL2799" i="1"/>
  <c r="AL2798" i="1"/>
  <c r="AL2797" i="1"/>
  <c r="AL2796" i="1"/>
  <c r="AL2795" i="1"/>
  <c r="AL2793" i="1"/>
  <c r="AL2792" i="1"/>
  <c r="AL2791" i="1"/>
  <c r="AL2790" i="1"/>
  <c r="AL2789" i="1"/>
  <c r="AL2788" i="1"/>
  <c r="AL2787" i="1"/>
  <c r="AL2786" i="1"/>
  <c r="AL2785" i="1"/>
  <c r="AL2784" i="1"/>
  <c r="AL2783" i="1"/>
  <c r="AL2782" i="1"/>
  <c r="AL2781" i="1"/>
  <c r="AL2780" i="1"/>
  <c r="AL2779" i="1"/>
  <c r="AL2778" i="1"/>
  <c r="AL2777" i="1"/>
  <c r="AL2776" i="1"/>
  <c r="AL2775" i="1"/>
  <c r="AL2774" i="1"/>
  <c r="AL2773" i="1"/>
  <c r="AL2772" i="1"/>
  <c r="AL2771" i="1"/>
  <c r="AL2770" i="1"/>
  <c r="AL2769" i="1"/>
  <c r="AL2768" i="1"/>
  <c r="AL2767" i="1"/>
  <c r="AL2766" i="1"/>
  <c r="AL2765" i="1"/>
  <c r="AL2764" i="1"/>
  <c r="AL2763" i="1"/>
  <c r="AL2762" i="1"/>
  <c r="AL2761" i="1"/>
  <c r="AL2760" i="1"/>
  <c r="AL2759" i="1"/>
  <c r="AL2758" i="1"/>
  <c r="AL2757" i="1"/>
  <c r="AL2756" i="1"/>
  <c r="AL2755" i="1"/>
  <c r="AL2754" i="1"/>
  <c r="AL2753" i="1"/>
  <c r="AL2752" i="1"/>
  <c r="AL2751" i="1"/>
  <c r="AL2750" i="1"/>
  <c r="AL2749" i="1"/>
  <c r="AL2748" i="1"/>
  <c r="AL2747" i="1"/>
  <c r="AL2746" i="1"/>
  <c r="AL2745" i="1"/>
  <c r="AL2744" i="1"/>
  <c r="AL2743" i="1"/>
  <c r="AL2742" i="1"/>
  <c r="AL2741" i="1"/>
  <c r="AL2740" i="1"/>
  <c r="AL2739" i="1"/>
  <c r="AL2738" i="1"/>
  <c r="AL2737" i="1"/>
  <c r="AL2736" i="1"/>
  <c r="AL2735" i="1"/>
  <c r="AL2734" i="1"/>
  <c r="AL2733" i="1"/>
  <c r="AL2732" i="1"/>
  <c r="AL2731" i="1"/>
  <c r="AL2730" i="1"/>
  <c r="AL2729" i="1"/>
  <c r="AL2728" i="1"/>
  <c r="AL2727" i="1"/>
  <c r="AL2726" i="1"/>
  <c r="AL2725" i="1"/>
  <c r="AL2724" i="1"/>
  <c r="AL2723" i="1"/>
  <c r="AL2722" i="1"/>
  <c r="AL2721" i="1"/>
  <c r="AL2720" i="1"/>
  <c r="AL2719" i="1"/>
  <c r="AL2718" i="1"/>
  <c r="AL2717" i="1"/>
  <c r="AL2716" i="1"/>
  <c r="AL2715" i="1"/>
  <c r="AL2714" i="1"/>
  <c r="AL2712" i="1"/>
  <c r="AL2711" i="1"/>
  <c r="AL2710" i="1"/>
  <c r="AL2709" i="1"/>
  <c r="AL2708" i="1"/>
  <c r="AL2707" i="1"/>
  <c r="AL2706" i="1"/>
  <c r="AL2705" i="1"/>
  <c r="AL2704" i="1"/>
  <c r="AL2703" i="1"/>
  <c r="AL2702" i="1"/>
  <c r="AL2701" i="1"/>
  <c r="AL2700" i="1"/>
  <c r="AL2699" i="1"/>
  <c r="AL2698" i="1"/>
  <c r="AL2697" i="1"/>
  <c r="AL2696" i="1"/>
  <c r="AL2695" i="1"/>
  <c r="AL2694" i="1"/>
  <c r="AL2693" i="1"/>
  <c r="AL2692" i="1"/>
  <c r="AL2691" i="1"/>
  <c r="AL2690" i="1"/>
  <c r="AL2689" i="1"/>
  <c r="AL2688" i="1"/>
  <c r="AL2687" i="1"/>
  <c r="AL2686" i="1"/>
  <c r="AL2685" i="1"/>
  <c r="AL2684" i="1"/>
  <c r="AL2682" i="1"/>
  <c r="AL2681" i="1"/>
  <c r="AL2680" i="1"/>
  <c r="AL2679" i="1"/>
  <c r="AL2678" i="1"/>
  <c r="AL2677" i="1"/>
  <c r="AL2676" i="1"/>
  <c r="AL2675" i="1"/>
  <c r="AL2674" i="1"/>
  <c r="AL2673" i="1"/>
  <c r="AL2672" i="1"/>
  <c r="AL2671" i="1"/>
  <c r="AL2669" i="1"/>
  <c r="AL2668" i="1"/>
  <c r="AL2667" i="1"/>
  <c r="AL2666" i="1"/>
  <c r="AL2665" i="1"/>
  <c r="AL2664" i="1"/>
  <c r="AL2663" i="1"/>
  <c r="AL2662" i="1"/>
  <c r="AL2661" i="1"/>
  <c r="AL2660" i="1"/>
  <c r="AL2659" i="1"/>
  <c r="AL2658" i="1"/>
  <c r="AL2657" i="1"/>
  <c r="AL2656" i="1"/>
  <c r="AL2655" i="1"/>
  <c r="AL2654" i="1"/>
  <c r="AL2653" i="1"/>
  <c r="AL2652" i="1"/>
  <c r="AL2651" i="1"/>
  <c r="AL2650" i="1"/>
  <c r="AL2649" i="1"/>
  <c r="AL2648" i="1"/>
  <c r="AL2647" i="1"/>
  <c r="AL2646" i="1"/>
  <c r="AL2645" i="1"/>
  <c r="AL2644" i="1"/>
  <c r="AL2643" i="1"/>
  <c r="AL2642" i="1"/>
  <c r="AL2641" i="1"/>
  <c r="AL2640" i="1"/>
  <c r="AL2639" i="1"/>
  <c r="AL2638" i="1"/>
  <c r="AL2637" i="1"/>
  <c r="AL2636" i="1"/>
  <c r="AL2635" i="1"/>
  <c r="AL2634" i="1"/>
  <c r="AL2632" i="1"/>
  <c r="AL2631" i="1"/>
  <c r="AL2630" i="1"/>
  <c r="AL2629" i="1"/>
  <c r="AL2628" i="1"/>
  <c r="AL2627" i="1"/>
  <c r="AL2626" i="1"/>
  <c r="AL2625" i="1"/>
  <c r="AL2624" i="1"/>
  <c r="AL2623" i="1"/>
  <c r="AL2621" i="1"/>
  <c r="AL2620" i="1"/>
  <c r="AL2619" i="1"/>
  <c r="AL2618" i="1"/>
  <c r="AL2617" i="1"/>
  <c r="AL2616" i="1"/>
  <c r="AL2615" i="1"/>
  <c r="AL2614" i="1"/>
  <c r="AL2613" i="1"/>
  <c r="AL2612" i="1"/>
  <c r="AL2611" i="1"/>
  <c r="AL2610" i="1"/>
  <c r="AL2609" i="1"/>
  <c r="AL2608" i="1"/>
  <c r="AL2607" i="1"/>
  <c r="AL2606" i="1"/>
  <c r="AL2605" i="1"/>
  <c r="AL2604" i="1"/>
  <c r="AL2603" i="1"/>
  <c r="AL2602" i="1"/>
  <c r="AL2601" i="1"/>
  <c r="AL2600" i="1"/>
  <c r="AL2599" i="1"/>
  <c r="AL2598" i="1"/>
  <c r="AL2597" i="1"/>
  <c r="AL2596" i="1"/>
  <c r="AL2595" i="1"/>
  <c r="AL2594" i="1"/>
  <c r="AL2593" i="1"/>
  <c r="AL2592" i="1"/>
  <c r="AL2591" i="1"/>
  <c r="AL2590" i="1"/>
  <c r="AL2589" i="1"/>
  <c r="AL2588" i="1"/>
  <c r="AL2587" i="1"/>
  <c r="AL2586" i="1"/>
  <c r="AL2585" i="1"/>
  <c r="AL2583" i="1"/>
  <c r="AL2582" i="1"/>
  <c r="AL2581" i="1"/>
  <c r="AL2580" i="1"/>
  <c r="AL2579" i="1"/>
  <c r="AL2578" i="1"/>
  <c r="AL2577" i="1"/>
  <c r="AL2576" i="1"/>
  <c r="AL2575" i="1"/>
  <c r="AL2574" i="1"/>
  <c r="AL2573" i="1"/>
  <c r="AL2572" i="1"/>
  <c r="AL2571" i="1"/>
  <c r="AL2570" i="1"/>
  <c r="AL2569" i="1"/>
  <c r="AL2568" i="1"/>
  <c r="AL2567" i="1"/>
  <c r="AL2566" i="1"/>
  <c r="AL2565" i="1"/>
  <c r="AL2564" i="1"/>
  <c r="AL2563" i="1"/>
  <c r="AL2562" i="1"/>
  <c r="AL2561" i="1"/>
  <c r="AL2560" i="1"/>
  <c r="AL2559" i="1"/>
  <c r="AL2558" i="1"/>
  <c r="AL2557" i="1"/>
  <c r="AL2556" i="1"/>
  <c r="AL2555" i="1"/>
  <c r="AL2554" i="1"/>
  <c r="AL2553" i="1"/>
  <c r="AL2552" i="1"/>
  <c r="AL2551" i="1"/>
  <c r="AL2550" i="1"/>
  <c r="AL2549" i="1"/>
  <c r="AL2548" i="1"/>
  <c r="AL2547" i="1"/>
  <c r="AL2546" i="1"/>
  <c r="AL2545" i="1"/>
  <c r="AL2544" i="1"/>
  <c r="AL2543" i="1"/>
  <c r="AL2542" i="1"/>
  <c r="AL2541" i="1"/>
  <c r="AL2540" i="1"/>
  <c r="AL2539" i="1"/>
  <c r="AL2538" i="1"/>
  <c r="AL2537" i="1"/>
  <c r="AL2536" i="1"/>
  <c r="AL2535" i="1"/>
  <c r="AL2534" i="1"/>
  <c r="AL2533" i="1"/>
  <c r="AL2532" i="1"/>
  <c r="AL2530" i="1"/>
  <c r="AL2529" i="1"/>
  <c r="AL2528" i="1"/>
  <c r="AL2527" i="1"/>
  <c r="AL2526" i="1"/>
  <c r="AL2525" i="1"/>
  <c r="AL2524" i="1"/>
  <c r="AL2523" i="1"/>
  <c r="AL2522" i="1"/>
  <c r="AL2521" i="1"/>
  <c r="AL2520" i="1"/>
  <c r="AL2519" i="1"/>
  <c r="AL2518" i="1"/>
  <c r="AL2517" i="1"/>
  <c r="AL2516" i="1"/>
  <c r="AL2515" i="1"/>
  <c r="AL2514" i="1"/>
  <c r="AL2513" i="1"/>
  <c r="AL2512" i="1"/>
  <c r="AL2511" i="1"/>
  <c r="AL2510" i="1"/>
  <c r="AL2509" i="1"/>
  <c r="AL2508" i="1"/>
  <c r="AL2507" i="1"/>
  <c r="AL2506" i="1"/>
  <c r="AL2505" i="1"/>
  <c r="AL2504" i="1"/>
  <c r="AL2503" i="1"/>
  <c r="AL2502" i="1"/>
  <c r="AL2501" i="1"/>
  <c r="AL2500" i="1"/>
  <c r="AL2499" i="1"/>
  <c r="AL2498" i="1"/>
  <c r="AL2497" i="1"/>
  <c r="AL2496" i="1"/>
  <c r="AL2495" i="1"/>
  <c r="AL2494" i="1"/>
  <c r="AL2493" i="1"/>
  <c r="AL2492" i="1"/>
  <c r="AL2491" i="1"/>
  <c r="AL2490" i="1"/>
  <c r="AL2489" i="1"/>
  <c r="AL2488" i="1"/>
  <c r="AL2487" i="1"/>
  <c r="AL2486" i="1"/>
  <c r="AL2485" i="1"/>
  <c r="AL2484" i="1"/>
  <c r="AL2483" i="1"/>
  <c r="AL2482" i="1"/>
  <c r="AL2481" i="1"/>
  <c r="AL2480" i="1"/>
  <c r="AL2479" i="1"/>
  <c r="AL2478" i="1"/>
  <c r="AL2477" i="1"/>
  <c r="AL2476" i="1"/>
  <c r="AL2475" i="1"/>
  <c r="AL2474" i="1"/>
  <c r="AL2473" i="1"/>
  <c r="AL2472" i="1"/>
  <c r="AL2471" i="1"/>
  <c r="AL2470" i="1"/>
  <c r="AL2469" i="1"/>
  <c r="AL2468" i="1"/>
  <c r="AL2467" i="1"/>
  <c r="AL2466" i="1"/>
  <c r="AL2465" i="1"/>
  <c r="AL2464" i="1"/>
  <c r="AL2463" i="1"/>
  <c r="AL2462" i="1"/>
  <c r="AL2461" i="1"/>
  <c r="AL2460" i="1"/>
  <c r="AL2459" i="1"/>
  <c r="AL2458" i="1"/>
  <c r="AL2457" i="1"/>
  <c r="AL2456" i="1"/>
  <c r="AL2454" i="1"/>
  <c r="AL2453" i="1"/>
  <c r="AL2452" i="1"/>
  <c r="AL2451" i="1"/>
  <c r="AL2450" i="1"/>
  <c r="AL2449" i="1"/>
  <c r="AL2448" i="1"/>
  <c r="AL2447" i="1"/>
  <c r="AL2446" i="1"/>
  <c r="AL2445" i="1"/>
  <c r="AL2444" i="1"/>
  <c r="AL2443" i="1"/>
  <c r="AL2442" i="1"/>
  <c r="AL2441" i="1"/>
  <c r="AL2440" i="1"/>
  <c r="AL2439" i="1"/>
  <c r="AL2438" i="1"/>
  <c r="AL2437" i="1"/>
  <c r="AL2436" i="1"/>
  <c r="AL2435" i="1"/>
  <c r="AL2434" i="1"/>
  <c r="AL2433" i="1"/>
  <c r="AL2432" i="1"/>
  <c r="AL2431" i="1"/>
  <c r="AL2430" i="1"/>
  <c r="AL2429" i="1"/>
  <c r="AL2428" i="1"/>
  <c r="AL2427" i="1"/>
  <c r="AL2426" i="1"/>
  <c r="AL2425" i="1"/>
  <c r="AL2424" i="1"/>
  <c r="AL2423" i="1"/>
  <c r="AL2422" i="1"/>
  <c r="AL2421" i="1"/>
  <c r="AL2420" i="1"/>
  <c r="AL2419" i="1"/>
  <c r="AL2418" i="1"/>
  <c r="AL2417" i="1"/>
  <c r="AL2416" i="1"/>
  <c r="AL2415" i="1"/>
  <c r="AL2414" i="1"/>
  <c r="AL2413" i="1"/>
  <c r="AL2412" i="1"/>
  <c r="AL2411" i="1"/>
  <c r="AL2410" i="1"/>
  <c r="AL2409" i="1"/>
  <c r="AL2408" i="1"/>
  <c r="AL2407" i="1"/>
  <c r="AL2406" i="1"/>
  <c r="AL2405" i="1"/>
  <c r="AL2404" i="1"/>
  <c r="AL2403" i="1"/>
  <c r="AL2402" i="1"/>
  <c r="AL2401" i="1"/>
  <c r="AL2400" i="1"/>
  <c r="AL2399" i="1"/>
  <c r="AL2398" i="1"/>
  <c r="AL2397" i="1"/>
  <c r="AL2396" i="1"/>
  <c r="AL2395" i="1"/>
  <c r="AL2393" i="1"/>
  <c r="AL2392" i="1"/>
  <c r="AL2391" i="1"/>
  <c r="AL2390" i="1"/>
  <c r="AL2389" i="1"/>
  <c r="AL2388" i="1"/>
  <c r="AL2387" i="1"/>
  <c r="AL2386" i="1"/>
  <c r="AL2385" i="1"/>
  <c r="AL2384" i="1"/>
  <c r="AL2383" i="1"/>
  <c r="AL2382" i="1"/>
  <c r="AL2381" i="1"/>
  <c r="AL2379" i="1"/>
  <c r="AL2378" i="1"/>
  <c r="AL2377" i="1"/>
  <c r="AL2375" i="1"/>
  <c r="AL2374" i="1"/>
  <c r="AL2373" i="1"/>
  <c r="AL2372" i="1"/>
  <c r="AL2371" i="1"/>
  <c r="AL2370" i="1"/>
  <c r="AL2369" i="1"/>
  <c r="AL2368" i="1"/>
  <c r="AL2367" i="1"/>
  <c r="AL2366" i="1"/>
  <c r="AL2365" i="1"/>
  <c r="AL2364" i="1"/>
  <c r="AL2363" i="1"/>
  <c r="AL2362" i="1"/>
  <c r="AL2361" i="1"/>
  <c r="AL2360" i="1"/>
  <c r="AL2359" i="1"/>
  <c r="AL2358" i="1"/>
  <c r="AL2357" i="1"/>
  <c r="AL2356" i="1"/>
  <c r="AL2355" i="1"/>
  <c r="AL2354" i="1"/>
  <c r="AL2353" i="1"/>
  <c r="AL2352" i="1"/>
  <c r="AL2351" i="1"/>
  <c r="AL2350" i="1"/>
  <c r="AL2349" i="1"/>
  <c r="AL2348" i="1"/>
  <c r="AL2347" i="1"/>
  <c r="AL2346" i="1"/>
  <c r="AL2345" i="1"/>
  <c r="AL2344" i="1"/>
  <c r="AL2343" i="1"/>
  <c r="AL2342" i="1"/>
  <c r="AL2341" i="1"/>
  <c r="AL2340" i="1"/>
  <c r="AL2339" i="1"/>
  <c r="AL2338" i="1"/>
  <c r="AL2337" i="1"/>
  <c r="AL2336" i="1"/>
  <c r="AL2335" i="1"/>
  <c r="AL2334" i="1"/>
  <c r="AL2333" i="1"/>
  <c r="AL2332" i="1"/>
  <c r="AL2331" i="1"/>
  <c r="AL2330" i="1"/>
  <c r="AL2329" i="1"/>
  <c r="AL2328" i="1"/>
  <c r="AL2327" i="1"/>
  <c r="AL2326" i="1"/>
  <c r="AL2325" i="1"/>
  <c r="AL2324" i="1"/>
  <c r="AL2323" i="1"/>
  <c r="AL2322" i="1"/>
  <c r="AL2321" i="1"/>
  <c r="AL2320" i="1"/>
  <c r="AL2319" i="1"/>
  <c r="AL2318" i="1"/>
  <c r="AL2317" i="1"/>
  <c r="AL2316" i="1"/>
  <c r="AL2315" i="1"/>
  <c r="AL2314" i="1"/>
  <c r="AL2313" i="1"/>
  <c r="AL2312" i="1"/>
  <c r="AL2311" i="1"/>
  <c r="AL2310" i="1"/>
  <c r="AL2309" i="1"/>
  <c r="AL2308" i="1"/>
  <c r="AL2307" i="1"/>
  <c r="AL2306" i="1"/>
  <c r="AL2305" i="1"/>
  <c r="AL2304" i="1"/>
  <c r="AL2303" i="1"/>
  <c r="AL2302" i="1"/>
  <c r="AL2301" i="1"/>
  <c r="AL2300" i="1"/>
  <c r="AL2299" i="1"/>
  <c r="AL2298" i="1"/>
  <c r="AL2297" i="1"/>
  <c r="AL2296" i="1"/>
  <c r="AL2295" i="1"/>
  <c r="AL2294" i="1"/>
  <c r="AL2293" i="1"/>
  <c r="AL2292" i="1"/>
  <c r="AL2291" i="1"/>
  <c r="AL2290" i="1"/>
  <c r="AL2289" i="1"/>
  <c r="AL2288" i="1"/>
  <c r="AL2287" i="1"/>
  <c r="AL2286" i="1"/>
  <c r="AL2285" i="1"/>
  <c r="AL2284" i="1"/>
  <c r="AL2283" i="1"/>
  <c r="AL2282" i="1"/>
  <c r="AL2280" i="1"/>
  <c r="AL2279" i="1"/>
  <c r="AL2278" i="1"/>
  <c r="AL2277" i="1"/>
  <c r="AL2276" i="1"/>
  <c r="AL2275" i="1"/>
  <c r="AL2274" i="1"/>
  <c r="AL2273" i="1"/>
  <c r="AL2272" i="1"/>
  <c r="AL2271" i="1"/>
  <c r="AL2270" i="1"/>
  <c r="AL2269" i="1"/>
  <c r="AL2268" i="1"/>
  <c r="AL2267" i="1"/>
  <c r="AL2266" i="1"/>
  <c r="AL2265" i="1"/>
  <c r="AL2264" i="1"/>
  <c r="AL2263" i="1"/>
  <c r="AL2262" i="1"/>
  <c r="AL2261" i="1"/>
  <c r="AL2260" i="1"/>
  <c r="AL2259" i="1"/>
  <c r="AL2258" i="1"/>
  <c r="AL2257" i="1"/>
  <c r="AL2256" i="1"/>
  <c r="AL2255" i="1"/>
  <c r="AL2254" i="1"/>
  <c r="AL2253" i="1"/>
  <c r="AL2252" i="1"/>
  <c r="AL2251" i="1"/>
  <c r="AL2250" i="1"/>
  <c r="AL2249" i="1"/>
  <c r="AL2248" i="1"/>
  <c r="AL2247" i="1"/>
  <c r="AL2246" i="1"/>
  <c r="AL2245" i="1"/>
  <c r="AL2244" i="1"/>
  <c r="AL2243" i="1"/>
  <c r="AL2242" i="1"/>
  <c r="AL2241" i="1"/>
  <c r="AL2240" i="1"/>
  <c r="AL2239" i="1"/>
  <c r="AL2238" i="1"/>
  <c r="AL2237" i="1"/>
  <c r="AL2236" i="1"/>
  <c r="AL2235" i="1"/>
  <c r="AL2234" i="1"/>
  <c r="AL2233" i="1"/>
  <c r="AL2232" i="1"/>
  <c r="AL2231" i="1"/>
  <c r="AL2230" i="1"/>
  <c r="AL2229" i="1"/>
  <c r="AL2228" i="1"/>
  <c r="AL2227" i="1"/>
  <c r="AL2226" i="1"/>
  <c r="AL2225" i="1"/>
  <c r="AL2224" i="1"/>
  <c r="AL2223" i="1"/>
  <c r="AL2222" i="1"/>
  <c r="AL2221" i="1"/>
  <c r="AL2220" i="1"/>
  <c r="AL2219" i="1"/>
  <c r="AL2218" i="1"/>
  <c r="AL2217" i="1"/>
  <c r="AL2216" i="1"/>
  <c r="AL2215" i="1"/>
  <c r="AL2214" i="1"/>
  <c r="AL2213" i="1"/>
  <c r="AL2212" i="1"/>
  <c r="AL2211" i="1"/>
  <c r="AL2210" i="1"/>
  <c r="AL2209" i="1"/>
  <c r="AL2208" i="1"/>
  <c r="AL2207" i="1"/>
  <c r="AL2206" i="1"/>
  <c r="AL2205" i="1"/>
  <c r="AL2204" i="1"/>
  <c r="AL2203" i="1"/>
  <c r="AL2202" i="1"/>
  <c r="AL2201" i="1"/>
  <c r="AL2200" i="1"/>
  <c r="AL2199" i="1"/>
  <c r="AL2198" i="1"/>
  <c r="AL2197" i="1"/>
  <c r="AL2196" i="1"/>
  <c r="AL2195" i="1"/>
  <c r="AL2194" i="1"/>
  <c r="AL2193" i="1"/>
  <c r="AL2192" i="1"/>
  <c r="AL2191" i="1"/>
  <c r="AL2190" i="1"/>
  <c r="AL2189" i="1"/>
  <c r="AL2188" i="1"/>
  <c r="AL2187" i="1"/>
  <c r="AL2186" i="1"/>
  <c r="AL2185" i="1"/>
  <c r="AL2184" i="1"/>
  <c r="AL2183" i="1"/>
  <c r="AL2182" i="1"/>
  <c r="AL2181" i="1"/>
  <c r="AL2180" i="1"/>
  <c r="AL2179" i="1"/>
  <c r="AL2178" i="1"/>
  <c r="AL2177" i="1"/>
  <c r="AL2176" i="1"/>
  <c r="AL2175" i="1"/>
  <c r="AL2174" i="1"/>
  <c r="AL2173" i="1"/>
  <c r="AL2172" i="1"/>
  <c r="AL2171" i="1"/>
  <c r="AL2170" i="1"/>
  <c r="AL2169" i="1"/>
  <c r="AL2168" i="1"/>
  <c r="AL2167" i="1"/>
  <c r="AL2166" i="1"/>
  <c r="AL2165" i="1"/>
  <c r="AL2163" i="1"/>
  <c r="AL2162" i="1"/>
  <c r="AL2161" i="1"/>
  <c r="AL2160" i="1"/>
  <c r="AL2159" i="1"/>
  <c r="AL2158" i="1"/>
  <c r="AL2157" i="1"/>
  <c r="AL2156" i="1"/>
  <c r="AL2155" i="1"/>
  <c r="AL2154" i="1"/>
  <c r="AL2153" i="1"/>
  <c r="AL2152" i="1"/>
  <c r="AL2151" i="1"/>
  <c r="AL2150" i="1"/>
  <c r="AL2149" i="1"/>
  <c r="AL2148" i="1"/>
  <c r="AL2147" i="1"/>
  <c r="AL2146" i="1"/>
  <c r="AL2145" i="1"/>
  <c r="AL2144" i="1"/>
  <c r="AL2143" i="1"/>
  <c r="AL2142" i="1"/>
  <c r="AL2141" i="1"/>
  <c r="AL2140" i="1"/>
  <c r="AL2139" i="1"/>
  <c r="AL2138" i="1"/>
  <c r="AL2137" i="1"/>
  <c r="AL2136" i="1"/>
  <c r="AL2135" i="1"/>
  <c r="AL2134" i="1"/>
  <c r="AL2133" i="1"/>
  <c r="AL2132" i="1"/>
  <c r="AL2131" i="1"/>
  <c r="AL2130" i="1"/>
  <c r="AL2129" i="1"/>
  <c r="AL2128" i="1"/>
  <c r="AL2127" i="1"/>
  <c r="AL2126" i="1"/>
  <c r="AL2125" i="1"/>
  <c r="AL2124" i="1"/>
  <c r="AL2123" i="1"/>
  <c r="AL2122" i="1"/>
  <c r="AL2121" i="1"/>
  <c r="AL2120" i="1"/>
  <c r="AL2119" i="1"/>
  <c r="AL2118" i="1"/>
  <c r="AL2117" i="1"/>
  <c r="AL2116" i="1"/>
  <c r="AL2115" i="1"/>
  <c r="AL2114" i="1"/>
  <c r="AL2113" i="1"/>
  <c r="AL2112" i="1"/>
  <c r="AL2111" i="1"/>
  <c r="AL2110" i="1"/>
  <c r="AL2109" i="1"/>
  <c r="AL2108" i="1"/>
  <c r="AL2107" i="1"/>
  <c r="AL2106" i="1"/>
  <c r="AL2105" i="1"/>
  <c r="AL2104" i="1"/>
  <c r="AL2103" i="1"/>
  <c r="AL2102" i="1"/>
  <c r="AL2101" i="1"/>
  <c r="AL2100" i="1"/>
  <c r="AL2099" i="1"/>
  <c r="AL2098" i="1"/>
  <c r="AL2097" i="1"/>
  <c r="AL2096" i="1"/>
  <c r="AL2095" i="1"/>
  <c r="AL2094" i="1"/>
  <c r="AL2093" i="1"/>
  <c r="AL2092" i="1"/>
  <c r="AL2091" i="1"/>
  <c r="AL2090" i="1"/>
  <c r="AL2089" i="1"/>
  <c r="AL2088" i="1"/>
  <c r="AL2087" i="1"/>
  <c r="AL2086" i="1"/>
  <c r="AL2085" i="1"/>
  <c r="AL2084" i="1"/>
  <c r="AL2083" i="1"/>
  <c r="AL2082" i="1"/>
  <c r="AL2081" i="1"/>
  <c r="AL2080" i="1"/>
  <c r="AL2079" i="1"/>
  <c r="AL2078" i="1"/>
  <c r="AL2077" i="1"/>
  <c r="AL2076" i="1"/>
  <c r="AL2075" i="1"/>
  <c r="AL2074" i="1"/>
  <c r="AL2073" i="1"/>
  <c r="AL2072" i="1"/>
  <c r="AL2071" i="1"/>
  <c r="AL2070" i="1"/>
  <c r="AL2069" i="1"/>
  <c r="AL2068" i="1"/>
  <c r="AL2067" i="1"/>
  <c r="AL2066" i="1"/>
  <c r="AL2065" i="1"/>
  <c r="AL2064" i="1"/>
  <c r="AL2063" i="1"/>
  <c r="AL2062" i="1"/>
  <c r="AL2061" i="1"/>
  <c r="AL2060" i="1"/>
  <c r="AL2059" i="1"/>
  <c r="AL2058" i="1"/>
  <c r="AL2057" i="1"/>
  <c r="AL2056" i="1"/>
  <c r="AL2055" i="1"/>
  <c r="AL2054" i="1"/>
  <c r="AL2053" i="1"/>
  <c r="AL2052" i="1"/>
  <c r="AL2051" i="1"/>
  <c r="AL2050" i="1"/>
  <c r="AL2049" i="1"/>
  <c r="AL2048" i="1"/>
  <c r="AL2047" i="1"/>
  <c r="AL2046" i="1"/>
  <c r="AL2045" i="1"/>
  <c r="AL2044" i="1"/>
  <c r="AL2043" i="1"/>
  <c r="AL2042" i="1"/>
  <c r="AL2041" i="1"/>
  <c r="AL2040" i="1"/>
  <c r="AL2039" i="1"/>
  <c r="AL2038" i="1"/>
  <c r="AL2037" i="1"/>
  <c r="AL2036" i="1"/>
  <c r="AL2035" i="1"/>
  <c r="AL2034" i="1"/>
  <c r="AL2033" i="1"/>
  <c r="AL2032" i="1"/>
  <c r="AL2031" i="1"/>
  <c r="AL2030" i="1"/>
  <c r="AL2029" i="1"/>
  <c r="AL2028" i="1"/>
  <c r="AL2027" i="1"/>
  <c r="AL2026" i="1"/>
  <c r="AL2025" i="1"/>
  <c r="AL2024" i="1"/>
  <c r="AL2023" i="1"/>
  <c r="AL2022" i="1"/>
  <c r="AL2021" i="1"/>
  <c r="AL2020" i="1"/>
  <c r="AL2019" i="1"/>
  <c r="AL2018" i="1"/>
  <c r="AL2017" i="1"/>
  <c r="AL2016" i="1"/>
  <c r="AL2015" i="1"/>
  <c r="AL2014" i="1"/>
  <c r="AL2013" i="1"/>
  <c r="AL2012" i="1"/>
  <c r="AL2011" i="1"/>
  <c r="AL2010" i="1"/>
  <c r="AL2009" i="1"/>
  <c r="AL2008" i="1"/>
  <c r="AL2007" i="1"/>
  <c r="AL2006" i="1"/>
  <c r="AL2005" i="1"/>
  <c r="AL2004" i="1"/>
  <c r="AL2003" i="1"/>
  <c r="AL2002" i="1"/>
  <c r="AL2001" i="1"/>
  <c r="AL2000" i="1"/>
  <c r="AL1999" i="1"/>
  <c r="AL1998" i="1"/>
  <c r="AL1997" i="1"/>
  <c r="AL1996" i="1"/>
  <c r="AL1995" i="1"/>
  <c r="AL1994" i="1"/>
  <c r="AL1993" i="1"/>
  <c r="AL1992" i="1"/>
  <c r="AL1991" i="1"/>
  <c r="AL1990" i="1"/>
  <c r="AL1989" i="1"/>
  <c r="AL1988" i="1"/>
  <c r="AL1987" i="1"/>
  <c r="AL1986" i="1"/>
  <c r="AL1985" i="1"/>
  <c r="AL1984" i="1"/>
  <c r="AL1983" i="1"/>
  <c r="AL1982" i="1"/>
  <c r="AL1981" i="1"/>
  <c r="AL1980" i="1"/>
  <c r="AL1979" i="1"/>
  <c r="AL1978" i="1"/>
  <c r="AL1977" i="1"/>
  <c r="AL1976" i="1"/>
  <c r="AL1975" i="1"/>
  <c r="AL1974" i="1"/>
  <c r="AL1973" i="1"/>
  <c r="AL1972" i="1"/>
  <c r="AL1971" i="1"/>
  <c r="AL1970" i="1"/>
  <c r="AL1969" i="1"/>
  <c r="AL1968" i="1"/>
  <c r="AL1967" i="1"/>
  <c r="AL1966" i="1"/>
  <c r="AL1965" i="1"/>
  <c r="AL1964" i="1"/>
  <c r="AL1963" i="1"/>
  <c r="AL1962" i="1"/>
  <c r="AL1961" i="1"/>
  <c r="AL1960" i="1"/>
  <c r="AL1959" i="1"/>
  <c r="AL1957" i="1"/>
  <c r="AL1956" i="1"/>
  <c r="AL1955" i="1"/>
  <c r="AL1954" i="1"/>
  <c r="AL1953" i="1"/>
  <c r="AL1952" i="1"/>
  <c r="AL1951" i="1"/>
  <c r="AL1950" i="1"/>
  <c r="AL1949" i="1"/>
  <c r="AL1948" i="1"/>
  <c r="AL1947" i="1"/>
  <c r="AL1946" i="1"/>
  <c r="AL1945" i="1"/>
  <c r="AL1944" i="1"/>
  <c r="AL1943" i="1"/>
  <c r="AL1942" i="1"/>
  <c r="AL1941" i="1"/>
  <c r="AL1940" i="1"/>
  <c r="AL1938" i="1"/>
  <c r="AL1937" i="1"/>
  <c r="AL1936" i="1"/>
  <c r="AL1935" i="1"/>
  <c r="AL1934" i="1"/>
  <c r="AL1933" i="1"/>
  <c r="AL1932" i="1"/>
  <c r="AL1931" i="1"/>
  <c r="AL1930" i="1"/>
  <c r="AL1929" i="1"/>
  <c r="AL1928" i="1"/>
  <c r="AL1927" i="1"/>
  <c r="AL1926" i="1"/>
  <c r="AL1925" i="1"/>
  <c r="AL1923" i="1"/>
  <c r="AL1922" i="1"/>
  <c r="AL1921" i="1"/>
  <c r="AL1920" i="1"/>
  <c r="AL1919" i="1"/>
  <c r="AL1918" i="1"/>
  <c r="AL1917" i="1"/>
  <c r="AL1916" i="1"/>
  <c r="AL1915" i="1"/>
  <c r="AL1914" i="1"/>
  <c r="AL1913" i="1"/>
  <c r="AL1912" i="1"/>
  <c r="AL1911" i="1"/>
  <c r="AL1910" i="1"/>
  <c r="AL1909" i="1"/>
  <c r="AL1908" i="1"/>
  <c r="AL1907" i="1"/>
  <c r="AL1906" i="1"/>
  <c r="AL1905" i="1"/>
  <c r="AL1904" i="1"/>
  <c r="AL1903" i="1"/>
  <c r="AL1902" i="1"/>
  <c r="AL1901" i="1"/>
  <c r="AL1900" i="1"/>
  <c r="AL1899" i="1"/>
  <c r="AL1898" i="1"/>
  <c r="AL1897" i="1"/>
  <c r="AL1896" i="1"/>
  <c r="AL1895" i="1"/>
  <c r="AL1894" i="1"/>
  <c r="AL1893" i="1"/>
  <c r="AL1892" i="1"/>
  <c r="AL1891" i="1"/>
  <c r="AL1890" i="1"/>
  <c r="AL1889" i="1"/>
  <c r="AL1888" i="1"/>
  <c r="AL1887" i="1"/>
  <c r="AL1886" i="1"/>
  <c r="AL1885" i="1"/>
  <c r="AL1884" i="1"/>
  <c r="AL1883" i="1"/>
  <c r="AL1882" i="1"/>
  <c r="AL1881" i="1"/>
  <c r="AL1880" i="1"/>
  <c r="AL1879" i="1"/>
  <c r="AL1878" i="1"/>
  <c r="AL1877" i="1"/>
  <c r="AL1876" i="1"/>
  <c r="AL1875" i="1"/>
  <c r="AL1874" i="1"/>
  <c r="AL1873" i="1"/>
  <c r="AL1872" i="1"/>
  <c r="AL1871" i="1"/>
  <c r="AL1870" i="1"/>
  <c r="AL1869" i="1"/>
  <c r="AL1868" i="1"/>
  <c r="AL1867" i="1"/>
  <c r="AL1866" i="1"/>
  <c r="AL1865" i="1"/>
  <c r="AL1864" i="1"/>
  <c r="AL1863" i="1"/>
  <c r="AL1862" i="1"/>
  <c r="AL1861" i="1"/>
  <c r="AL1860" i="1"/>
  <c r="AL1859" i="1"/>
  <c r="AL1858" i="1"/>
  <c r="AL1857" i="1"/>
  <c r="AL1856" i="1"/>
  <c r="AL1855" i="1"/>
  <c r="AL1854" i="1"/>
  <c r="AL1853" i="1"/>
  <c r="AL1852" i="1"/>
  <c r="AL1851" i="1"/>
  <c r="AL1850" i="1"/>
  <c r="AL1849" i="1"/>
  <c r="AL1848" i="1"/>
  <c r="AL1846" i="1"/>
  <c r="AL1845" i="1"/>
  <c r="AL1844" i="1"/>
  <c r="AL1843" i="1"/>
  <c r="AL1842" i="1"/>
  <c r="AL1841" i="1"/>
  <c r="AL1840" i="1"/>
  <c r="AL1839" i="1"/>
  <c r="AL1838" i="1"/>
  <c r="AL1837" i="1"/>
  <c r="AL1836" i="1"/>
  <c r="AL1835" i="1"/>
  <c r="AL1834" i="1"/>
  <c r="AL1833" i="1"/>
  <c r="AL1832" i="1"/>
  <c r="AL1831" i="1"/>
  <c r="AL1830" i="1"/>
  <c r="AL1829" i="1"/>
  <c r="AL1828" i="1"/>
  <c r="AL1827" i="1"/>
  <c r="AL1825" i="1"/>
  <c r="AL1824" i="1"/>
  <c r="AL1823" i="1"/>
  <c r="AL1822" i="1"/>
  <c r="AL1821" i="1"/>
  <c r="AL1820" i="1"/>
  <c r="AL1819" i="1"/>
  <c r="AL1818" i="1"/>
  <c r="AL1817" i="1"/>
  <c r="AL1816" i="1"/>
  <c r="AL1815" i="1"/>
  <c r="AL1814" i="1"/>
  <c r="AL1813" i="1"/>
  <c r="AL1812" i="1"/>
  <c r="AL1811" i="1"/>
  <c r="AL1810" i="1"/>
  <c r="AL1809" i="1"/>
  <c r="AL1808" i="1"/>
  <c r="AL1807" i="1"/>
  <c r="AL1806" i="1"/>
  <c r="AL1805" i="1"/>
  <c r="AL1804" i="1"/>
  <c r="AL1803" i="1"/>
  <c r="AL1802" i="1"/>
  <c r="AL1801" i="1"/>
  <c r="AL1800" i="1"/>
  <c r="AL1799" i="1"/>
  <c r="AL1798" i="1"/>
  <c r="AL1797" i="1"/>
  <c r="AL1796" i="1"/>
  <c r="AL1795" i="1"/>
  <c r="AL1794" i="1"/>
  <c r="AL1793" i="1"/>
  <c r="AL1792" i="1"/>
  <c r="AL1791" i="1"/>
  <c r="AL1790" i="1"/>
  <c r="AL1789" i="1"/>
  <c r="AL1788" i="1"/>
  <c r="AL1787" i="1"/>
  <c r="AL1786" i="1"/>
  <c r="AL1785" i="1"/>
  <c r="AL1784" i="1"/>
  <c r="AL1783" i="1"/>
  <c r="AL1782" i="1"/>
  <c r="AL1781" i="1"/>
  <c r="AL1780" i="1"/>
  <c r="AL1779" i="1"/>
  <c r="AL1778" i="1"/>
  <c r="AL1777" i="1"/>
  <c r="AL1776" i="1"/>
  <c r="AL1775" i="1"/>
  <c r="AL1774" i="1"/>
  <c r="AL1773" i="1"/>
  <c r="AL1772" i="1"/>
  <c r="AL1771" i="1"/>
  <c r="AL1770" i="1"/>
  <c r="AL1769" i="1"/>
  <c r="AL1768" i="1"/>
  <c r="AL1767" i="1"/>
  <c r="AL1766" i="1"/>
  <c r="AL1765" i="1"/>
  <c r="AL1764" i="1"/>
  <c r="AL1763" i="1"/>
  <c r="AL1762" i="1"/>
  <c r="AL1761" i="1"/>
  <c r="AL1760" i="1"/>
  <c r="AL1759" i="1"/>
  <c r="AL1758" i="1"/>
  <c r="AL1757" i="1"/>
  <c r="AL1756" i="1"/>
  <c r="AL1755" i="1"/>
  <c r="AL1754" i="1"/>
  <c r="AL1753" i="1"/>
  <c r="AL1752" i="1"/>
  <c r="AL1751" i="1"/>
  <c r="AL1750" i="1"/>
  <c r="AL1749" i="1"/>
  <c r="AL1748" i="1"/>
  <c r="AL1747" i="1"/>
  <c r="AL1746" i="1"/>
  <c r="AL1745" i="1"/>
  <c r="AL1744" i="1"/>
  <c r="AL1743" i="1"/>
  <c r="AL1742" i="1"/>
  <c r="AL1741" i="1"/>
  <c r="AL1740" i="1"/>
  <c r="AL1739" i="1"/>
  <c r="AL1738" i="1"/>
  <c r="AL1737" i="1"/>
  <c r="AL1736" i="1"/>
  <c r="AL1735" i="1"/>
  <c r="AL1734" i="1"/>
  <c r="AL1733" i="1"/>
  <c r="AL1732" i="1"/>
  <c r="AL1731" i="1"/>
  <c r="AL1730" i="1"/>
  <c r="AL1729" i="1"/>
  <c r="AL1728" i="1"/>
  <c r="AL1727" i="1"/>
  <c r="AL1726" i="1"/>
  <c r="AL1725" i="1"/>
  <c r="AL1724" i="1"/>
  <c r="AL1723" i="1"/>
  <c r="AL1722" i="1"/>
  <c r="AL1721" i="1"/>
  <c r="AL1720" i="1"/>
  <c r="AL1719" i="1"/>
  <c r="AL1718"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88" i="1"/>
  <c r="AL1687" i="1"/>
  <c r="AL1686" i="1"/>
  <c r="AL1685" i="1"/>
  <c r="AL1684" i="1"/>
  <c r="AL1683" i="1"/>
  <c r="AL1682" i="1"/>
  <c r="AL1681" i="1"/>
  <c r="AL1680" i="1"/>
  <c r="AL1679" i="1"/>
  <c r="AL1678" i="1"/>
  <c r="AL1677" i="1"/>
  <c r="AL1676" i="1"/>
  <c r="AL1675" i="1"/>
  <c r="AL1674" i="1"/>
  <c r="AL1673" i="1"/>
  <c r="AL1672" i="1"/>
  <c r="AL1671" i="1"/>
  <c r="AL1670" i="1"/>
  <c r="AL1669" i="1"/>
  <c r="AL1668" i="1"/>
  <c r="AL1667" i="1"/>
  <c r="AL1666" i="1"/>
  <c r="AL1665" i="1"/>
  <c r="AL1664" i="1"/>
  <c r="AL1663" i="1"/>
  <c r="AL1662" i="1"/>
  <c r="AL1661" i="1"/>
  <c r="AL1660" i="1"/>
  <c r="AL1659" i="1"/>
  <c r="AL1658" i="1"/>
  <c r="AL1656" i="1"/>
  <c r="AL1655" i="1"/>
  <c r="AL1654"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81" i="1"/>
  <c r="AL1580" i="1"/>
  <c r="AL1579" i="1"/>
  <c r="AL1578" i="1"/>
  <c r="AL1577" i="1"/>
  <c r="AL1576" i="1"/>
  <c r="AL1575" i="1"/>
  <c r="AL1574" i="1"/>
  <c r="AL1573" i="1"/>
  <c r="AL1572" i="1"/>
  <c r="AL1571" i="1"/>
  <c r="AL1570" i="1"/>
  <c r="AL1568" i="1"/>
  <c r="AL1567" i="1"/>
  <c r="AL1566" i="1"/>
  <c r="AL1565" i="1"/>
  <c r="AL1564" i="1"/>
  <c r="AL1563" i="1"/>
  <c r="AL1562" i="1"/>
  <c r="AL1561" i="1"/>
  <c r="AL1560" i="1"/>
  <c r="AL1559" i="1"/>
  <c r="AL1558" i="1"/>
  <c r="AL1557" i="1"/>
  <c r="AL1556" i="1"/>
  <c r="AL1555" i="1"/>
  <c r="AL1554" i="1"/>
  <c r="AL1553" i="1"/>
  <c r="AL155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66" i="1"/>
  <c r="AL1465" i="1"/>
  <c r="AL1464" i="1"/>
  <c r="AL1463" i="1"/>
  <c r="AL1462"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09" i="1"/>
  <c r="AL1008" i="1"/>
  <c r="AL1007" i="1"/>
  <c r="AL1006" i="1"/>
  <c r="AL1005" i="1"/>
  <c r="AL1004" i="1"/>
  <c r="AL1003"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0" i="1"/>
  <c r="AL949" i="1"/>
  <c r="AL948" i="1"/>
  <c r="AL946" i="1"/>
  <c r="AL945" i="1"/>
  <c r="AL944" i="1"/>
  <c r="AL943" i="1"/>
  <c r="AL942" i="1"/>
  <c r="AL941" i="1"/>
  <c r="AL940" i="1"/>
  <c r="AL939" i="1"/>
  <c r="AL938" i="1"/>
  <c r="AL937" i="1"/>
  <c r="AL936" i="1"/>
  <c r="AL935" i="1"/>
  <c r="AL934"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7" i="1"/>
  <c r="AL856" i="1"/>
  <c r="AL855" i="1"/>
  <c r="AL854" i="1"/>
  <c r="AL852" i="1"/>
  <c r="AL851"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4" i="1"/>
  <c r="AL703" i="1"/>
  <c r="AL702" i="1"/>
  <c r="AL701" i="1"/>
  <c r="AL700"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0" i="1"/>
  <c r="AL359" i="1"/>
  <c r="AL358" i="1"/>
  <c r="AL357" i="1"/>
  <c r="AL356" i="1"/>
  <c r="AL355" i="1"/>
  <c r="AL353" i="1"/>
  <c r="AL352" i="1"/>
  <c r="AL351" i="1"/>
  <c r="AL350" i="1"/>
  <c r="AL349" i="1"/>
  <c r="AL348" i="1"/>
  <c r="AL347" i="1"/>
  <c r="AL346"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69" i="1"/>
  <c r="AL68" i="1"/>
  <c r="AL66" i="1"/>
  <c r="AL65" i="1"/>
  <c r="AL63" i="1"/>
  <c r="AL61" i="1"/>
  <c r="AL60" i="1"/>
  <c r="AL59" i="1"/>
  <c r="AL57" i="1"/>
  <c r="AL56" i="1"/>
  <c r="AL55" i="1"/>
  <c r="AL54" i="1"/>
  <c r="AL53" i="1"/>
  <c r="AL52" i="1"/>
  <c r="AL50" i="1"/>
  <c r="AL49" i="1"/>
  <c r="AL48" i="1"/>
  <c r="AL47" i="1"/>
  <c r="AL46" i="1"/>
  <c r="AL45" i="1"/>
  <c r="AL44" i="1"/>
  <c r="AL43" i="1"/>
  <c r="AL42" i="1"/>
  <c r="AL40" i="1"/>
  <c r="AL39" i="1"/>
  <c r="AL37" i="1"/>
  <c r="AL36" i="1"/>
  <c r="AL35" i="1"/>
  <c r="AL33" i="1"/>
</calcChain>
</file>

<file path=xl/sharedStrings.xml><?xml version="1.0" encoding="utf-8"?>
<sst xmlns="http://schemas.openxmlformats.org/spreadsheetml/2006/main" count="30843" uniqueCount="19032">
  <si>
    <t>Authors</t>
  </si>
  <si>
    <t>Article Title</t>
  </si>
  <si>
    <t>Journal</t>
  </si>
  <si>
    <t>Author Keywords</t>
  </si>
  <si>
    <t>Keywords Plus</t>
  </si>
  <si>
    <t>Abstract</t>
  </si>
  <si>
    <t>Times Cited, WoS Core</t>
  </si>
  <si>
    <t>Times Cited, All Databases</t>
  </si>
  <si>
    <t>Volume</t>
  </si>
  <si>
    <t>Issue</t>
  </si>
  <si>
    <t>Start Page</t>
  </si>
  <si>
    <t>End Page</t>
  </si>
  <si>
    <t>Article Number</t>
  </si>
  <si>
    <t>DOI</t>
  </si>
  <si>
    <t>DOI Link</t>
  </si>
  <si>
    <t>ECOLOGY AND EVOLUTION</t>
  </si>
  <si>
    <t/>
  </si>
  <si>
    <t>FRESHWATER BIOLOGY</t>
  </si>
  <si>
    <t>ECOSPHERE</t>
  </si>
  <si>
    <t>Mazumder, D; Saintilan, N; Wen, L; Kobayashi, T; Rogers, K</t>
  </si>
  <si>
    <t>Productivity influences trophic structure in a temporally forced aquatic ecosystem</t>
  </si>
  <si>
    <t>aquatic; food-chain length; productivity; stable isotope; wetland</t>
  </si>
  <si>
    <t>FOOD-CHAIN LENGTH; STABLE-ISOTOPE ANALYSES; ZONE FLOODPLAIN RIVER; MURRAY-DARLING BASIN; DRYLAND RIVER; AUSTRALIA; FISH; CARBON; SIZE; WEB</t>
  </si>
  <si>
    <t>1. Previous studies on the relationship between ecosystem productivity, size and food-chain length have been restricted to comparisons between locations. 2. We examined the effect of temporal variability in productivity on trophic structure of a floodplain ecosystem, hypothesising that during the wet-flood pulses, the increased resource availability might lead to higher food-chain lengths. 3. We examined multiple common sampling locations and species during a severe El Nino drought which followed a consecutive series of historically wet La Nina years, comparing trophic position and dietary sources. 4. While carbon stable isotopes showed no significant difference between the two phases, nitrogen stable isotopes indicated that most species were feeding higher in the food chain in the wet phase. 5. The results suggest that oscillations in climate phase-driven changes have effects on food-chain lengths through changes in productivity, without the introduction of new sources of carbon or changes to the composition of higher-order predators.</t>
  </si>
  <si>
    <t>10.1111/fwb.12963</t>
  </si>
  <si>
    <t>van der Lee, GH; Vonk, JA; Verdonschot, RCM; Kraak, MHS; Verdonschot, PFM; Huisman, J</t>
  </si>
  <si>
    <t>Eutrophication induces shifts in the trophic position of invertebrates in aquatic food webs</t>
  </si>
  <si>
    <t>ECOLOGY</t>
  </si>
  <si>
    <t>aquatic consumers; ecological stoichiometry; food web structure; nutrients; omnivores; primary producers; stable isotopes; trophic position</t>
  </si>
  <si>
    <t>ECOLOGICAL STOICHIOMETRY; FRESH-WATER; STABLE-ISOTOPES; ELEMENTAL COMPOSITION; NUTRIENT LIMITATION; NITROGEN; ECOSYSTEMS; OMNIVORY; QUALITY; PLANT</t>
  </si>
  <si>
    <t>Changes in the ecological stoichiometry of primary producers may have considerable implications for energy and matter transfer in food webs. We hypothesized that nutrient enrichment shifts the trophic position of omnivores towards herbivory, as the nutritional quality of primary producers increases. This hypothesis was tested by analyzing the ecological stoichiometry and stable isotope signature of primary producers and a wide range of aquatic macroinvertebrates, including primary consumers (herbivores) and secondary consumers (both potential omnivores and strict carnivores), along a eutrophication gradient in an agricultural landscape. Our results showed (1) that carbon : nutrient ratios of primary producers decreased along the eutrophication gradient, while the elemental composition of consumers remained homeostatic, and (2) that the trophic position of several omnivores and the generalist predator Notonecta decreased, while the trophic position of most other consumers remained constant. These findings suggest that shifts in the diets of aquatic invertebrates induced by increasing eutrophication may affect species interactions and food web structure in aquatic ecosystems.</t>
  </si>
  <si>
    <t>e03275</t>
  </si>
  <si>
    <t>10.1002/ecy.3275</t>
  </si>
  <si>
    <t>GLOBAL CHANGE BIOLOGY</t>
  </si>
  <si>
    <t>Lindo, Z; Whiteley, J; Gonzalez, A</t>
  </si>
  <si>
    <t>Traits explain community disassembly and trophic contraction following experimental environmental change</t>
  </si>
  <si>
    <t>biodiversity loss; body size spectra; climate change; community disassembly; habitat fragmentation; natural abundance stable isotopes; traits; trophic space</t>
  </si>
  <si>
    <t>SOIL BIODIVERSITY; CLIMATE-CHANGE; TERRESTRIAL ECOSYSTEMS; ECOLOGICAL NETWORKS; 4TH-CORNER PROBLEM; ORIBATID MITES; SPECIES TRAITS; GLOBAL CHANGE; BODY-SIZE; EXTINCTION</t>
  </si>
  <si>
    <t>Many ecosystems are currently undergoing dramatic changes in biodiversity due to habitat loss and climate change. Responses to global change at the community level are poorly understood, as are the impacts of community disassembly on ecosystem-level processes. Uncertainties remain regarding the patterns of extirpation and persistence under single vs. multiple forms of environmental change. Here, we use a trait-based and food web approach to examine the effects of experimentally changing moisture, temperature and habitat openness on a functionally important group of microarthropods associated with a boreal forest floor bryosphere (detrital moss) system. Overall, the outcome of community disassembly was mediated by the correlation between our environmental factors and species traits, particularly body size. Minor increases in summer temperatures maintained greater species richness, whereas drought stress had a significant negative effect on community-level abundance and richness. These effects were reflected in modifications to the community-wide body-size spectra. Habitat openness alleviated biodiversity loss in the larger-bodied species of the most abundant taxonomic group, but did not fully mitigate the effects of drought. The most striking result of this experiment was an overall contraction of the food web among persistent species under drought stress (i.e. those not extirpated by environmental change). These results suggest that major changes in boreal microarthropod community structure are likely to occur in response to common forms of global change. Moreover, the contraction in trophic structure even amongst tolerant species suggests that ecosystem function within the bryosphere can be altered by environmental change.</t>
  </si>
  <si>
    <t>10.1111/j.1365-2486.2012.02725.x</t>
  </si>
  <si>
    <t>Akin, S; Winemiller, KO</t>
  </si>
  <si>
    <t>ACTA OECOLOGICA-INTERNATIONAL JOURNAL OF ECOLOGY</t>
  </si>
  <si>
    <t>Horka, P; Musilova, Z; Holubova, K; Jandova, K; Kukla, J; Rutkayova, J; Jones, JI</t>
  </si>
  <si>
    <t>Anthropogenic nutrient loading affects both individual species and the trophic structure of river fish communities</t>
  </si>
  <si>
    <t>FRONTIERS IN ECOLOGY AND EVOLUTION</t>
  </si>
  <si>
    <t>food webs; freshwater fish; nutrient loading; rivers; stable isotope analysis; trophic niches</t>
  </si>
  <si>
    <t>STABLE-ISOTOPE RATIOS; NITROGEN POLLUTION; FOOD-CHAINS; LAND-USE; DELTA-N-15; POSITION; MODELS; ZOOPLANKTON; CYPRINIDS; INTEGRITY</t>
  </si>
  <si>
    <t>Although the concept of trophic interactions has been used for a long time, there are still considerable gaps in our understanding of the effect of various environmental factors on trophic interactions within river fish assemblages. Carbon (delta C-13) and nitrogen (delta N-15) stable isotope ratios of 20 species of fish belonging to both eurytopic and rheophilic ecological groups from a large temperate rivers were used to evaluate overall trophic niche use and trophic position of species, and to find out how environmental variability associated with nutrient loading affects individual and community-wide aspects of trophic structure. The study was carried out at 11 sites along the European rivers Vltava and Elbe, representing a continuous gradient of pollution and habitat degradation. Corrected Standard Ellipse Area (SEAc) was significantly larger for the group of eurytopic ecological species than for rheophilic species. Despite narrower isotopic niche space, rheophilic fish species occupied a higher trophic position, suggesting that these species use resources more enriched in N-15. Of the 11 environmental variables tested, nutrients had a significant effect on trophic niche area of species (SEAc), indicating that eutrophication is of critical importance for fish assemblages. Isotopic niche area of species was found to be positively influenced by total phosphorus, and negatively affected by concentrations of nitrate (N-NO3-) and ammonia (N-NH4+). A negative association between oxygen demand and a measure of trophic diversity - mean distance to centroid (CD)- and a measure of density and clustering of species - mean nearest neighbor distance (MNND)- were found, indicating that the oxygen demand is a key factor influencing community trophic structure. An observed pattern where nutrient loading influenced both individual species and trophic structure of the fish assemblage provides strong support for an anthropogenic influence on riverine food webs.</t>
  </si>
  <si>
    <t>10.3389/fevo.2022.1076451</t>
  </si>
  <si>
    <t>MARINE ECOLOGY PROGRESS SERIES</t>
  </si>
  <si>
    <t>Cui, LJ; Jiang, ZJ; Huang, XP; Chen, QM; Wu, YC; Liu, SL; Li, JL; Macreadie, PI</t>
  </si>
  <si>
    <t>Eutrophication reduces seagrass contribution to coastal food webs</t>
  </si>
  <si>
    <t>carbon flow; consumers; eutrophication; food source; food web; nutrient inputs; seagrass meadow</t>
  </si>
  <si>
    <t>STABLE-ISOTOPE; ORGANIC-MATTER; TROPHIC STRUCTURE; HAINAN ISLAND; CARBON; DELTA-N-15; ENRICHMENT; DELTA-C-13; LAGOONS; ECOSYSTEMS</t>
  </si>
  <si>
    <t>Food sources and food web structure in seagrass meadows are important determinants of ecosystem functions and services. However, there is little information on the effect of eutrophication on food source contributions and food web structure in seagrass meadows. Here we used stable isotopes of carbon and nitrogen (delta C-13 and delta N-15) to investigate how do different levels of nutrient enrichment affect the diets of consumers and food web structure within tropical seagrass meadows. We found that the diet contributions of macroalgae (mean 24% +/- 12% for fish, 21% +/- 5% for invertebrates), particulate organic matter (mean 19% +/- 12% for fish, 18% +/- 8% for invertebrates), and sediment organic matter (mean 24% +/- 13% for fish, 21% +/- 8% for invertebrates) to fish and invertebrates were all higher in seagrass meadows with higher nutrient concentrations, while seagrass and epiphytes contributed more to consumers in seagrass meadows with lower nutrient concentrations. Meanwhile, higher nutrient concentrations decreased the trophic position (mean 2.6 +/- 0.5 in high-nutrient level, 3.4 +/- 0.6 in low-nutrients level) of consumers and food chain length (2.5 in high-nutrient level, 2.9 in low-nutrients level). Higher nutrient concentrations reduced the contribution of seagrass carbon to consumers through the grazing food chain, but enhanced the flow of macroalgal carbon to consumers through the grazing food chain. Overall, eutrophication modified the food web structure of seagrass meadows. We recommend that measures be taken to decrease nutrient input into seagrass ecosystems to maintain its important functions and services.</t>
  </si>
  <si>
    <t>e03626</t>
  </si>
  <si>
    <t>10.1002/ecs2.3626</t>
  </si>
  <si>
    <t>BIOLOGY LETTERS</t>
  </si>
  <si>
    <t>RANGELAND ECOLOGY &amp; MANAGEMENT</t>
  </si>
  <si>
    <t>ECOLOGY LETTERS</t>
  </si>
  <si>
    <t>Bartels, P; Hirsch, PE; Svanback, R; Eklov, P</t>
  </si>
  <si>
    <t>Dissolved Organic Carbon Reduces Habitat Coupling by Top Predators in Lake Ecosystems</t>
  </si>
  <si>
    <t>ECOSYSTEMS</t>
  </si>
  <si>
    <t>allochthony; brownification; food web coupling; visibility; foraging; climate change</t>
  </si>
  <si>
    <t>FOOD-WEB; STABLE-ISOTOPES; MORPHOLOGY; PERCH; RESOURCE; PREY; POLYMORPHISM; MORPHOMETRY; COMPETITION; LANDSCAPE</t>
  </si>
  <si>
    <t>Increasing input of terrestrial dissolved organic carbon (DOC) has been identified as a widespread environmental phenomenon in many aquatic ecosystems. Terrestrial DOC influences basal trophic levels: it can subsidize pelagic bacterial production and impede benthic primary production via light attenuation. However, little is known about the impacts of elevated DOC concentrations on higher trophic levels, especially on top consumers. Here, we used Eurasian perch (Perca fluviatilis) to investigate the effects of increasing DOC concentrations on top predator populations. We applied stable isotope analysis and geometric morphometrics to estimate long-term resource and habitat utilization of perch. Habitat coupling, the ability to exploit littoral and pelagic resources, strongly decreased with increasing DOC concentrations due to a shift toward feeding predominantly on pelagic resources. Simultaneously, resource use and body morphology became increasingly alike for littoral and pelagic perch populations with increasing DOC, suggesting more intense competition in lakes with high DOC. Eye size of perch increased with increasing DOC concentrations, likely as a result of deteriorating visual conditions, suggesting a sensory response to environmental change. Increasing input of DOC to aquatic ecosystems is a common result of environmental change and might affect top predator populations in multiple and complex ways.</t>
  </si>
  <si>
    <t>10.1007/s10021-016-9978-x</t>
  </si>
  <si>
    <t>JOURNAL OF BIOGEOGRAPHY</t>
  </si>
  <si>
    <t>2-3</t>
  </si>
  <si>
    <t>Ruiz-Cooley, RI; Gendron, D; Aguiniga, S; Mesnick, S; Carriquiry, JD</t>
  </si>
  <si>
    <t>Trophic relationships between sperm whales and jumbo squid using stable isotopes of C and N</t>
  </si>
  <si>
    <t>trophic relationships; trophic position; stable isotopes; sperm whales; jumbo squid; cetaceans</t>
  </si>
  <si>
    <t>GULF-OF-CALIFORNIA; PHYSETER-MACROCEPHALUS; DOSIDICUS-GIGAS; NITROGEN ISOTOPES; FEEDING SUCCESS; CARBON ISOTOPES; MARINE MAMMALS; FOOD; DIET; DELTA-C-13</t>
  </si>
  <si>
    <t>The trophic position and the predator-prey relationship between the sperm whale Physeter macrocephalus and the jumbo squid Dosidicus gigas were examined by measuring stable isotope ratios of carbon and nitrogen. Skin samples of sperm whales and muscle samples of small and large jumbo squid were collected between 1996 and 1999 in the Gulf of California. Gender determination through molecular analysis and field identification of size were used to identify adult male, female and immature male sperm whales. The stable isotope ratios of C and N of females and immature males were significantly different from those of adult male sperm whales; however, between females and immature males they did not differ significantly. The delta(13)C and delta(15)N values of females and immature males were higher than large jumbo squid by 1.1parts per thousand. and 2.7parts per thousand, respectively, suggesting a predator-prey relationship between them. A low isotopic interannual variation among the years 1997 to 1999 was observed in the isotopic signature of females and males. Adult males exhibited a lower isotopic signature than females and immature males, and did not show a trophic relationship with D. gigas. We hypothesized that the stable isotopic signature of mature males reflected their diet from an earlier high-latitude feeding ground. This study shows that stable isotope analysis of sloughed skin samples from free-ranging sperm whales can be an alternative method to stomach content and fecal analyses for evaluating trophic relationships.</t>
  </si>
  <si>
    <t>10.3354/meps277275</t>
  </si>
  <si>
    <t>Burdon, FJ; McIntosh, AR; Harding, J</t>
  </si>
  <si>
    <t>Mechanisms of trophic niche compression: Evidence from landscape disturbance</t>
  </si>
  <si>
    <t>JOURNAL OF ANIMAL ECOLOGY</t>
  </si>
  <si>
    <t>agriculture; fine sediment; food webs; isotopic niche; sedimentation; stable isotopes; stream communities; trophic diversity</t>
  </si>
  <si>
    <t>FOOD-CHAIN LENGTH; ECOSYSTEM SIZE; SPATIAL HETEROGENEITY; HABITAT LOSS; COMMUNITY; SEDIMENT; BIODIVERSITY; WEBS; INVERTEBRATES; POLLUTION</t>
  </si>
  <si>
    <t>Natural and anthropogenic disturbances commonly alter patterns of biodiversity and ecosystem functioning. However, how networks of interacting species respond to these changes remains poorly understood. We described aquatic food webs using invertebrate and fish community composition, functional traits and stable isotopes from twelve agricultural streams along a landscape disturbance gradient. We predicted that excessive deposition of fine inorganic sediment (sedimentation) associated with agricultural activities would negatively influence aquatic trophic diversity (e.g. reduced vertical and horizontal trophic niche breadths). We hypothesized that multiple mechanisms might cause trophic niche 'compression', as indicated by changes in realized trophic roles. Food-web properties based on consumer stable isotope data (delta C-13 and delta N-15) showed that increasing sediment disturbance was associated with reduced trophic diversity. In particular, the aquatic invertebrate community occupied a smaller area in isotopic niche space along the sedimentation gradient that was best explained by a narrowing of the invertebrate community delta C-13 range. Decreased niche partitioning, driven by increasing habitat homogeneity, environmental filtering and resource scarcity all seemingly lead to greater trophic equivalency caused by the collapse of the autochthonous food-web channel. Bayesian mixing-model analyses supported this contention with invertebrate consumers increasingly reliant on detritus along the sedimentation gradient, and predatory invertebrates relying more on the prey using these basal resources. The narrowing of the fish community delta C-13 range along the sedimentation gradient contributed to an apparent 'trophic shift' towards terrestrial carbon, further indicating the loss of the autochthonous food-web channel. On the vertical trophic niche axis, fish became increasingly separated from aquatic invertebrates with an increase in their estimated trophic position. In combination, these responses were most likely mediated through reduced fish densities and a diminished reliance on aquatic prey. Although species losses remain a major threat to ecosystem integrity, the functional roles of biota that persist dictate how food webs and ecosystem functioning respond to environmental change. Sedimentation was associated with nonlinear reductions in trophic diversity which could affect the functioning and stability of aquatic ecosystems. Our study helps explain how multiple mechanisms may radically reshape food-web properties in response to this type of disturbance.</t>
  </si>
  <si>
    <t>10.1111/1365-2656.13142</t>
  </si>
  <si>
    <t>ECOLOGICAL APPLICATIONS</t>
  </si>
  <si>
    <t>ECOTOXICOLOGY</t>
  </si>
  <si>
    <t>Boucher, N; Derocher, AE; Richardson, ES</t>
  </si>
  <si>
    <t>Variability in polar bear Ursus maritimus stable isotopes in relation to environmental change in the Canadian Beaufort Sea</t>
  </si>
  <si>
    <t>Ursus maritimus; Polar bear; Beaufort Sea; Sea ice dynamics; Environmental change; Stable isotopes; Diet; Niche width</t>
  </si>
  <si>
    <t>RINGED SEALS; ICE; PREDATION; FOOD; NITROGEN; ALASKAN; ECOLOGY; CARBON; DIET; FRACTIONATION</t>
  </si>
  <si>
    <t>Diets of apex predators can be used to understand the effects of environmental changes within an ecosystem and to monitor shifts in community dynamics. Using stable isotopes of nitrogen and carbon (delta N-15 and delta C-13) in polar bear Ursus maritimus guard hairs, we examined their diet in the Canadian Beaufort Sea from 2003 to 2011. We investigated how delta N-15 and delta C-13 were related to population demographics, sea ice dynamics, climate indices, air temperatures, and ringed seal Pusa hispida ovulation rates. Bayesian stable isotope models were used to determine annual variation in prey contributions and niche widths. Diet contributions from ringed seal, bowhead whale Balaena mysticetus, beluga Delphinapterus leucas, and bearded seal Erignathus barbatus varied by sex, reproductive status, and year. Polar bear ringed seal consumption was lowest and niche widths were highest in 2004 following ringed seal reproductive failure in the early 2000s, and polar bear delta N-15 decreased when ringed seal ovulation rate was high. Polar bear delta N-15 and delta C-13 were linked to capture locations, which may reflect geographic gradients in stable isotopes within the Beaufort Sea. Climate indices were not related to polar bear delta N-15 and delta C-13. Sea ice dynamics were related to polar bear delta C-13, suggesting that the bears' diets shift in response to environmental change. Overall, these results highlight the biological link between polar bears and ringed seals, as well as sea ice dynamics, and the importance of considering geographic location in stable isotope studies.</t>
  </si>
  <si>
    <t>10.3354/meps13136</t>
  </si>
  <si>
    <t>Schriever, TA; Williams, DD</t>
  </si>
  <si>
    <t>Influence of pond hydroperiod, size, and community richness on food-chain length</t>
  </si>
  <si>
    <t>FRESHWATER SCIENCE</t>
  </si>
  <si>
    <t>disturbance; stable isotopes; food web; wetland; amphibians; invertebrates</t>
  </si>
  <si>
    <t>AMPHIBIAN SPECIES RICHNESS; WATER HABITAT GRADIENT; STABLE-ISOTOPE; ECOSYSTEM SIZE; NITROGEN ISOTOPES; ISOLATED WETLANDS; TEMPORARY POOLS; CLIMATE-CHANGE; WEBS; DISTURBANCE</t>
  </si>
  <si>
    <t>Identifying the ecological mechanisms that determine foodweb structure is critical for understanding the causes and consequences of diversity. Food-chain length (FCL) is a product of the biotic interactions within a community and the environment, but how environmental variation affects FCL is not well understood. We examined how gradients of ecosystem size and environmental variation in hydroperiod affected the FCL of ponds. Using C and N stable isotopes, we found that average FCL was 3.3 and varied by 3 trophic levels across ponds and years. We showed that ponds with shorter hydroperiods have shorter food chains, and that FCL is not strongly influenced by ecosystem size. These results demonstrate support for the dynamic constraints hypothesis, which states that less-predictable environments should have shorter food chains. Our data are not consistent with the prediction of the ecosystem size hypothesis that larger ecosystems have longer food chains. Insect and amphibian richness increased with increasing pond size and hydroperiod, results indicating that insertion of new species into the pond communities is a driving mechanism causing variation in FCL. Omnivory could explain variation in FCL, but our results show that the incidence of omnivory was similar across the environmental gradients. Ours is one of the few empirical studies to link structural changes in the food web with variability in FCL. We showed that temporal variation and species composition shape pond communities and influence foodweb structure.</t>
  </si>
  <si>
    <t>10.1899/13-008.1</t>
  </si>
  <si>
    <t>Helms, JA; Roeder, KA; Ijelu, SE; Ratcliff, I; Haddad, NM</t>
  </si>
  <si>
    <t>Bioenergy landscapes drive trophic shifts in generalist ants</t>
  </si>
  <si>
    <t>biofuels; food chains; food webs; Formicidae; niche breadth; stable isotopes; Tetramorium immigrans; trophic position</t>
  </si>
  <si>
    <t>STABLE-ISOTOPES; HYMENOPTERA-FORMICIDAE; NUTRITIONAL ECOLOGY; HABITAT USE; FOOD WEBS; NICHE; REVEAL; COMMUNITY; PREFERENCES; DIVERSITY</t>
  </si>
  <si>
    <t>Changes in trophic niche-the pathways through which an organism obtains energy and nutrients-are a fundamental way in which organisms respond to environmental conditions. But the capacity for species to alter their trophic niches in response to global change, and the ways they do so when able, remain largely unknown. Here we examine food webs in three long-term and large-scale experiments to test how resource availability and nutritional requirements interact to determine an organism's trophic niche in the context of one of the largest global trends in land use-the rise in bioenergy production. We use carbon and nitrogen stable isotope analyses to characterize arthropod food webs across three biofuel crops representing a gradient in plant resource richness (corn monocultures, fields dominated by native switchgrass and restored prairie), and to quantify changes in the trophic niche of a widespread generalist ant species across habitats. In doing so, we measure the effects of basal resource richness on food chain length, niche breadth and trophic position. We frame our results in the context of two hypotheses that explain variation in trophic niche-the niche variation hypothesis which emphasizes the importance of resource diversity and ecological opportunity, and the optimal diet hypothesis which emphasizes dietary constraints and the availability of optimal resources. Increasing plant richness lengthened food chains by 10%-20% compared to monocultures. Niche breadths of generalist ants did not vary with resource richness, suggesting they were limited by optimal diet requirements and constraints rather than by ecological opportunity. The ants instead responded to changes in plant richness by shifting their estimated trophic position. In resource-poor monocultures, the ants were top predators, sharing a trophic position with predatory spiders. In resource-rich environments, in contrast, the ants were omnivores, relying on a mix of animal prey and plant-based resources. In addition to highlighting novel ecosystem impacts of alternate bioenergy landscapes, our results suggest that niche breadth and trophic diversification depend more on the presence of optimal resources than on ecological opportunity alone.</t>
  </si>
  <si>
    <t>10.1111/1365-2656.13407</t>
  </si>
  <si>
    <t>McMullin, RM; Wing, SR; Wing, LC; Shatova, OA</t>
  </si>
  <si>
    <t>Trophic position of Antarctic ice fishes reflects food web structure along a gradient in sea ice persistence</t>
  </si>
  <si>
    <t>Ice fish; Stable isotopes; Trophic position; SIMCO; Sea ice; Antarctica</t>
  </si>
  <si>
    <t>HEMISPHERE CLIMATE-CHANGE; ROSS SEA; STABLE-ISOTOPES; MCMURDO SOUND; BENTHIC COMMUNITIES; TREMATOMUS-BERNACCHII; ECOLOGY; DIET; ENRICHMENT; ABUNDANCE</t>
  </si>
  <si>
    <t>Variation in sea ice conditions is closely linked to primary production in Antarctica, which, in turn, influences food web dynamics. To investigate how sea ice dynamics are reflected in food web structure, we measured the trophic level and composition of basal organic matter supporting the prey base of 2 benthic and 2 pelagic ice fish species collected from sites along a gradient in sea ice persistence in McMurdo Sound, Ross Sea, Antarctica. Stable isotope analysis (delta N-15 and delta C-13) was carried out on samples collected from multiple sites during 2008 and 2012 to 2014. General linear models revealed that 'trophic position' differed among species at a single site, and within benthic species among sites distributed along the gradient in sea ice persistence. Benthic species located at the southernmost sites in McMurdo Sound derived the highest proportion of diet from food webs supported by the sea ice microbial community (SIMCO), an important subsidy of organic matter to the sea-floor environment. Increased thickness and persistence of sea ice in McMurdo Sound due to the presence of icebergs resulted in a higher proportion of diet derived from SIMCO for the ice fish Trematomus bernacchii in 2008 compared to the 2012 to 2014 period. Analyses of dispersion for individual trophic positions revealed that individual level specialisation was lowest at sites with the highest variability in sea ice cover. These results provide evidence for linkages between sea ice dynamics and food web structure, and highlight the role of ice fishes as sentinels for environmental and ecological changes in Antarctica.</t>
  </si>
  <si>
    <t>10.3354/meps12031</t>
  </si>
  <si>
    <t>Pingram, MA; Collier, KJ; Ozkundakci, D; Garrett-Walker, J</t>
  </si>
  <si>
    <t>Food web characteristics of fish communities across degraded lakes provide insights for management in multi-stressor environments</t>
  </si>
  <si>
    <t>AQUATIC ECOLOGY</t>
  </si>
  <si>
    <t>Stable isotope analysis; Eutrophication; Non-native fish; Layman trophic metrics; Shallow lakes</t>
  </si>
  <si>
    <t>FRESH-WATER FISH; LEVEL FLUCTUATIONS; TEMPORAL PATTERNS; TROPHIC POSITION; STABLE-ISOTOPES; CLIMATE-CHANGE; INVASIVE FISH; DELTA-C-13; DELTA-N-15; TEMPERATE</t>
  </si>
  <si>
    <t>Interactions between multiple stressors can result in unexpected ecological outcomes, especially in lowland lakes. Degraded shallow lakes typically occur in populated areas and are therefore subject to the combined effects of increased nutrient and sediment loading, and species invasions. This presents challenges for meeting ecological restoration objectives measured using traditional indicators of lake enrichment. Here we use stable isotope analyses from six shallow lakes in a highly modified agricultural landscape to explore how well fish community-level trophic metrics reflect individual and combined anthropogenic stressors. Community trophic metrics differed within a single basin and in similarly degraded shallow lakes, and appeared to reflect subtly different relative strengths of anthropogenic stressors within particular systems. Even allowing for the comparatively narrow range of lake and catchment conditions investigated here, our results support other studies indicating that food web metrics are sensitive to both the effects of eutrophication and invasive species in shallow lakes. Trophic responses to multiple stressors highlight the complexities of determining cause and effect relationships for prioritising stressor specific management actions, and subsequent measurement of ecosystem response. Notwithstanding these complexities, food web metrics derived from stable isotope analyses hold potential value for detecting complex responses to shallow lake management and restoration efforts.</t>
  </si>
  <si>
    <t>10.1007/s10452-020-09750-4</t>
  </si>
  <si>
    <t>ENVIRONMENTAL BIOLOGY OF FISHES</t>
  </si>
  <si>
    <t>Champagne, EJ; Guzzo, MM; Gutgesell, MK; McCann, KS</t>
  </si>
  <si>
    <t>Riparian buffers maintain aquatic trophic structure in agricultural landscapes</t>
  </si>
  <si>
    <t>habitat coupling; stable isotopes; agricultural development; trophic ecology</t>
  </si>
  <si>
    <t>FOOD WEBS; ENVIRONMENTAL WATER; STABLE-ISOTOPES; TERRESTRIAL; STREAM; EUTROPHICATION; RESPONSES; SUBSIDIES; MODELS; ALTER</t>
  </si>
  <si>
    <t>Local and regional habitat conditions associated with agricultural activity can fundamentally alter aquatic ecosystems. Increased nutrient inputs, channelization and reduced riparian habitat both upstream and locally contribute to the degradation of stream ecosystems and their function. Here, we examine stream food webs in watersheds that feed into Lake Erie to determine the effects of agricultural land cover on major food web energy pathways and trophic structure. Given that higher agricultural intensity can increase nutrient runoff and reduce the riparian zone and litter in-fall into streams, we predicted that generalist fish would derive less energy from the terrestrial pathway and become more omnivorous. Consistent with these predictions, we show that both mean terrestrial energy use and trophic position of the resident top consumer, creek chub (Semotilus atromaculatus), decrease with local agricultural intensity but not with watershed-level agriculture intensity. These findings suggest that local riparian buffers can maintain trophic structure even in the face of high whole-watershed agricultural intensity.</t>
  </si>
  <si>
    <t>10.1098/rsbl.2021.0598</t>
  </si>
  <si>
    <t>DIVERSITY AND DISTRIBUTIONS</t>
  </si>
  <si>
    <t>AMERICAN NATURALIST</t>
  </si>
  <si>
    <t>deHart, PAP; Picco, CM</t>
  </si>
  <si>
    <t>Stable oxygen and hydrogen isotope analyses of bowhead whale baleen as biochemical recorders of migration and arctic environmental change</t>
  </si>
  <si>
    <t>POLAR SCIENCE</t>
  </si>
  <si>
    <t>Arctic Ocean; Sea ice; Bowhead whale; Stable isotopes; Climate change</t>
  </si>
  <si>
    <t>BERING SEA SHELF; BALAENA-MYSTICETUS; CLIMATE-CHANGE; CETACEAN DISTRIBUTION; HABITAT SELECTION; MARINE MAMMALS; BEAUFORT SEA; ICE; WATER; VARIABILITY</t>
  </si>
  <si>
    <t>An analysis of the stable isotopes of oxygen (delta O-18) and hydrogen (delta D) was used to examine the linkage between sea ice concentration and the migration of western arctic bowhead whales (Balaena mysticetus; WABW). We compared delta O-18 and delta D variability along the length of WABW baleen with isotopic values of zooplankton prey from different WABW habitat, with published delta C-13 and delta N-15 data, and with historical sea ice records. Zooplankton signatures varied widely (delta O-18 = -13 parts per thousand-56 parts per thousand; delta D = -220 parts per thousand to -75 parts per thousand), with regional separation between winter (Bering Sea) and summer (eastern Beaufort Sea) habitats of WABWobservable in delta D. The delta O-18 and delta D of WABW varied significantly along the length of baleen (delta O-18 = 8-18 parts per thousand; delta D = -180 to -80 parts per thousand), confirming seasonal migration and reflecting distinct regional dietary variation in isotopes. WABW migration appears to have varied concomitant with temporal sea ice concentration (SIC) changes; in years with high SIC, the difference in delta D of WABW baleen between seasonal habitats was significantly greater than low SIC periods. This work shows that SIC is not only a determinant of habitat accessibility for WABW, but baleen may also be a record of historical SIC and Arctic climate. (C) 2015 Elsevier B.V. and NIPR. All rights reserved.</t>
  </si>
  <si>
    <t>10.1016/j.polar.2015.03.002</t>
  </si>
  <si>
    <t>Kim, T; Bartel, S; Gratton, C</t>
  </si>
  <si>
    <t>Grassland harvesting alters ant community trophic structure: An isotopic study in tallgrass prairies</t>
  </si>
  <si>
    <t>disturbance; niche space; stable isotopes; trophic position; trophic range</t>
  </si>
  <si>
    <t>STABLE-ISOTOPES; FOOD-WEB; SPECIES-DIVERSITY; DISTURBANCE; DELTA-N-15; STABILITY; POSITION; HABITAT; SOIL; HYMENOPTERA</t>
  </si>
  <si>
    <t>Disturbances have long been recognized as important forces for structuring natural communities but their effects on trophic structure are not well understood, particularly in terrestrial systems. This is in part because quantifying trophic linkages is a challenge, especially for small organisms with cryptic feeding behaviors such as insects, and often relies on conducting labor-intensive feeding trials or extensive observations in the field. In this study, we used stable isotopes of carbon and nitrogen to examine how disturbance (annual biomass harvesting) in tallgrass prairies affected the trophic position, trophic range, and niche space of ants, a widespread grassland consumer. We hypothesized that biomass harvest would remove important food and nesting resources of insects thus affecting ant feeding relationships and trophic structure. We found shifts in the feeding relationships inferred by isotopic signatures with harvest. In particular, these shifts suggest that ants within harvest sites utilized resources at lower trophic levels (possibly plant-based resources or herbivores), expanded trophic breadth, and occupied different niche spaces. Shifts in resource use following harvest could be due to harvest-mediated changes in both the plant and arthropod communities that might affect the strength of competition or alter plant nitrogen availability. Because shifts in resource use alter the flow of nutrients across the food web, disturbance effects on ants could have ecosystem-level consequences through nutrient cycling.</t>
  </si>
  <si>
    <t>10.1002/ece3.5523</t>
  </si>
  <si>
    <t>AUSTRAL ECOLOGY</t>
  </si>
  <si>
    <t>Ohba, S; Suzuki, K; Sakai, Y; Shibata, J; Okuda, N</t>
  </si>
  <si>
    <t>Effects of irrigation system alterations on the trophic position of a threatened top predator in rice-field ecosystems</t>
  </si>
  <si>
    <t>dispersal barriers; endangered species; food web; stable isotopes; wetland biodiversity</t>
  </si>
  <si>
    <t>GIANT WATER BUG; FOOD-CHAIN LENGTH; STABLE-ISOTOPES; FEEDING ECOLOGY; BODY-SIZE; GROWTH; DIET; PREY; HETEROPTERA; ENRICHMENT</t>
  </si>
  <si>
    <t>Rice fields serve as alternative habitats for wetland species, and their recent reduction in area due to land conversion is considered one of the main human drivers of wetland biodiversity loss. Even for existing rice fields, physico-chemical disturbances, such as farmland consolidation and agrochemical application, also have negative effects on wetland biodiversity. For fish that inhabit rice fields for at least part of their life history, differences in water level between rice fields and irrigation ditches caused by irrigation system improvements are critical to their abundance by preventing their access. The ecological impact of differences in water level may extend to the foraging habits and trophic positions of the top predators in rice fields, resulting in the alteration of wetland food webs. Here, we investigated how physical disruptions to habitat networks affect food-web properties in rice-field ecosystems. We conducted stable nitrogen and carbon isotope analysis on a threatened giant water bug, Kirkaldyia deyrolli, to estimate its trophic position as an indicator of food-chain length. Based on field observations, we found that fish that were at a high trophic position were only available to K. deyrolli in rice fields where there were no physical barriers blocking access to the network of habitats, and the diets of K. deyrolli included fish prey (18%, based on visual observation). The stable isotope analysis revealed that the trophic position of K. deyrolli was significantly lower in rice fields with physical barriers (no fish/10 dips by a dip net) than in those without physical barriers (5.6 fish) due to the absence of fish in locations with barriers. In conclusion, our study demonstrates that physical alterations are important to community composition and food-web properties in rice-field ecosystems because they can act as barriers to fish.</t>
  </si>
  <si>
    <t>10.1111/fwb.13365</t>
  </si>
  <si>
    <t>THEORETICAL ECOLOGY</t>
  </si>
  <si>
    <t>de Carvalho, DR; Alves, CBM; Pompeu, PS</t>
  </si>
  <si>
    <t>Uncertainty in estimating fish trophic positions and food web structure in highly polluted river basins</t>
  </si>
  <si>
    <t>Stable isotopes; Nitrogen; Food webs; Pollution; Enrichment; Depletion</t>
  </si>
  <si>
    <t>NITROGEN-STABLE-ISOTOPE; CHAIN LENGTH; DELTA-N-15; DIET; TISSUE; DELTA-C-13; STREAMS; RATIOS; CARBON; FRACTIONATION</t>
  </si>
  <si>
    <t>Tributaries greatly influence the supply of organic matter to large rivers. In this study, we used carbon (delta C-13) and nitrogen (delta N-15) stable isotopes to assess if organic matter from tributaries with different N-15 compositions influenced the food webs of downstream fish assemblages. In addition, we aimed to evaluate if estimates of fish trophic position (TP) are influenced by N-15-depleted and N-15-enriched baselines. We compared the food web of a fish assemblage upstream from tributaries (control site), with food webs downstream from N-15-depleted (site 1) and N-15-enriched tributaries (site 2). Fishes and resources collected from sites 1 and 2 had significant differences in N-15 composition ((15) N-depleted and N-15-enriched, respectively) relative to their conspecifics from the control site. At the control site, fish species' TPs were more reliable and realistic based on their known feeding ecology, with TPs ranging between 2 and 3. In contrast, fish TPs at sites 1 and 2 ranged between 2 and 6, and no consistency was observed among trophic guilds. We conclude that tributaries exert a great influence on fish food webs at downstream sites, either by direct assimilation of organic matter by consumers, or by assimilation of the dissolved inorganic nitrogen by primary producers. In addition, fishes under influence of pollution may exhibit an inaccurate representation of their TP, drawing attention to possible source of bias for TP estimates, and consequently, in the food web structure of nitrogen-polluted areas.</t>
  </si>
  <si>
    <t>10.1007/s10641-021-01199-0</t>
  </si>
  <si>
    <t>Shuai, FM; Li, J; Lek, S</t>
  </si>
  <si>
    <t>Nile tilapia (Oreochromisniloticus) invasion impacts trophic position and resource use of commercially harvested piscivorous fishes in a large subtropical river</t>
  </si>
  <si>
    <t>ECOLOGICAL PROCESSES</t>
  </si>
  <si>
    <t>Nile tilapia; Invasion; Stable isotope ratio; Trophic position; Stable isotope mixing model</t>
  </si>
  <si>
    <t>TROPICAL RESERVOIR; NILOTICUS LINNAEUS; FOOD-CHAINS; BIODIVERSITY; DIVERSITY; CONSERVATION; COMMUNITIES; CONSEQUENCES; INVADERS; THREATS</t>
  </si>
  <si>
    <t>BackgroundAlthough freshwater ecosystems cover less than 1% of the earth's surface, they support extremely high levels of biodiversity and provide vital ecosystem services. However, due to the introduction of non-native fishes, aquatic ecosystem functioning has been altered, and in some cases, declined sharply. Quantifying the impacts of invasive species has proven problematic. In this study, we examined the relative trophic position of native piscivorous fishes to estimate the effects of invasive Nile tilapia on food webs in the downstream sections of an invaded large subtropical river, the Pearl River, China. Furthermore, we quantified how native piscivorous fish diets changed as the Nile tilapia invasion progressed.ResultsThe trophic position of the widely distributed and locally important economically harvested piscivorous culter fish (Culterrecurviceps), mandarinfish (Sinipercakneri), and catfish (Pelteobagrusfulvidraco) lowered significantly in the invaded Dongjiang River compared to an uninvaded reference Beijiang River. The lower trophic position of these piscivorous fishes was reflected by a major reduction in the proportion of prey fish biomass in their diets following the Nile tilapia invasion. Small fishes in the diet of culter fish from the reference river (33% small fishes, 17% zooplankton) shifted to lower trophic level zooplankton prey in the invaded river (36% zooplankton, 25% small fish), possibly due to the presence of Nile tilapia. Additionally, small fishes in the diet of mandarinfish in the reference river (46% small fishes, 11% aquatic insects) declined in the invaded river (20% aquatic insects, 30% small fishes). Similarly, the diet of catfish from the reference river shifted from fish eggs (25% fish eggs, 25% aquatic insects) to aquatic insects in the invaded river (44% aquatic insects, 5% fish eggs).ConclusionsThe results of this study contributed to a growing body of evidence, suggesting that Nile tilapia can modify trophic interactions in invaded ecosystems. It is crucial to understand the processes outlined in this study in order to better assess non-native aquatic species, conserve the stability of freshwater ecosystems, and improve current conservation strategies in reaches of the Pearl River and other similar rivers that have experienced invasions of non-native species.</t>
  </si>
  <si>
    <t>10.1186/s13717-023-00430-3</t>
  </si>
  <si>
    <t>DIVERSITY-BASEL</t>
  </si>
  <si>
    <t>JOURNAL OF APPLIED ECOLOGY</t>
  </si>
  <si>
    <t>GLOBAL ECOLOGY AND BIOGEOGRAPHY</t>
  </si>
  <si>
    <t>FUNCTIONAL ECOLOGY</t>
  </si>
  <si>
    <t>CHEMISTRY AND ECOLOGY</t>
  </si>
  <si>
    <t>Boucher, NP; Derocher, AE; Richardson, ES</t>
  </si>
  <si>
    <t>Spatial and temporal variability in ringed seal (Pusa hispida) stable isotopes in the Beaufort Sea</t>
  </si>
  <si>
    <t>Beaufort Sea; climate change; niche width; Pusa hispida; ringed seal; stable isotopes</t>
  </si>
  <si>
    <t>FOOD-WEB STRUCTURE; GROWTH-LAYER GROUPS; PHOCA-HISPIDA; FEEDING ECOLOGY; JUVENILE SOUTHERN; BODY CONDITION; ICE CONDITIONS; CHUKCHI SEAS; CARBON; NITROGEN</t>
  </si>
  <si>
    <t>Arctic ecosystem dynamics are shifting in response to warming temperatures and sea ice loss. Such ecosystems may be monitored by examining the diet of upper trophic level species, which varies with prey availability. To assess interannual variation in the Beaufort Sea ecosystem, we examined spatial and temporal trends in ringed seal (Pusa hispida) delta C-13 and delta N-15 in claw growth layers grown from 1964 to 2011. Stable isotopes were correlated with climate indices, environmental conditions, seal population productivity, and geographic location. Sex and age did not influence stable isotopes. Enriched C-13 was linked to cyclonic circulation regimes, seal productivity, and westward sampling locations. Higher delta N-15 was linked to lower sea surface temperatures, a higher percentage of pups in the subsistence harvest, and sample locations that were eastward and further from shore. From the 1960s to 2000s, ringed seal niche width expanded, suggesting a diversification of diet due to expansion of prey and/or seal space use. Overall, trends in ringed seal stable isotopes indicate changes within the Beaufort Sea ecosystem affected by water temperatures and circulation regimes. We suggest that continued monitoring of upper trophic level species will yield insights into changing ecosystem structure with climate change.</t>
  </si>
  <si>
    <t>10.1002/ece3.6186</t>
  </si>
  <si>
    <t>Yurkowski, DJ; Ferguson, SH; Semeniuk, CAD; Brown, TM; Muir, DCG; Fisk, AT</t>
  </si>
  <si>
    <t>Spatial and temporal variation of an ice-adapted predator's feeding ecology in a changing Arctic marine ecosystem</t>
  </si>
  <si>
    <t>OECOLOGIA</t>
  </si>
  <si>
    <t>Arctic; Ontogenetic niche shift; Ringed seal; Stable isotopes; Trophic position</t>
  </si>
  <si>
    <t>SEALS PHOCA-HISPIDA; STABLE-CARBON ISOTOPES; FOOD-WEB COMPLEXITY; NORTH WATER POLYNYA; RINGED SEALS; TROPHIC POSITION; CHAIN LENGTH; ENERGY-FLOW; HUDSON-BAY; DIET</t>
  </si>
  <si>
    <t>Spatial and temporal variation can confound interpretations of relationships within and between species in terms of diet composition, niche size, and trophic position (TP). The cause of dietary variation within species is commonly an ontogenetic niche shift, which is a key dynamic influencing community structure. We quantified spatial and temporal variations in ringed seal (Pusa hispida) diet, niche size, and TP during ontogeny across the Arctic-a rapidly changing ecosystem. Stable carbon and nitrogen isotope analysis was performed on 558 liver and 630 muscle samples from ringed seals and on likely prey species from five locations ranging from the High to the Low Arctic. A modest ontogenetic diet shift occurred, with adult ringed seals consuming more forage fish (approximately 80 versus 60 %) and having a higher TP than subadults, which generally decreased with latitude. However, the degree of shift varied spatially, with adults in the High Arctic presenting a more restricted niche size and consuming more Arctic cod (Boreogadus saida) than subadults (87 versus 44 %) and adults at the lowest latitude (29 %). The TPs of adult and subadult ringed seals generally decreased with latitude (4.7-3.3), which was mainly driven by greater complexity in trophic structure within the zooplankton communities. Adult isotopic niche size increased over time, likely due to the recent circumpolar increases in subarctic forage fish distribution and abundance. Given the spatial and temporal variability in ringed seal foraging ecology, ringed seals exhibit dietary plasticity as a species, suggesting adaptability in terms of their diet to climate change.</t>
  </si>
  <si>
    <t>10.1007/s00442-015-3384-5</t>
  </si>
  <si>
    <t>Walters, AW; Post, DM</t>
  </si>
  <si>
    <t>AN EXPERIMENTAL DISTURBANCE ALTERS FISH SIZE STRUCTURE BUT NOT FOOD CHAIN LENGTH IN STREAMS</t>
  </si>
  <si>
    <t>disturbance; food chain length; food web; stream community; water diversion</t>
  </si>
  <si>
    <t>WEB STRUCTURE; FLOOD DISTURBANCE; TROPHIC POSITION; STABLE-ISOTOPE; DESERT STREAM; BODY-SIZE; PRODUCTIVITY; MODELS; HETEROGENEITY; ARCHITECTURE</t>
  </si>
  <si>
    <t>Streams experience frequent natural disturbance and are undergoing considerable anthropogenic disturbance due to dam construction and water diversion. Disturbance is known to impact community structure, but its effect on food chain length is still a matter of considerable debate. Theoretical models show that longer food chains are less resilient to disturbance, so food chain length is predicted to be shorter following a disturbance event. Here we experimentally test the effect of disturbance on food chain length in streams by diverting stream flow. We found that our experimental low-flow disturbance did not alter food chain length. We did see an effect on body-size structure in our food webs suggesting that food chain length may be an insensitive indicator of disturbance. We suggest that habitat heterogeneity and food web complexity buffer the effect of disturbance on food chain length. The theoretical predictions of disturbance on food chain length are only likely to be seen in homogeneous systems that closely approximate the linear food chains the models are based upon.</t>
  </si>
  <si>
    <t>10.1890/08-0273.1</t>
  </si>
  <si>
    <t>Guzman, I; Altieri, P; Elosegi, A; Perez-Calpe, AV; von Schiller, D; Gonzalez, JM; Brauns, M; Montoya, JM; Larranaga, A</t>
  </si>
  <si>
    <t>Water diversion and pollution interactively shape freshwater food webs through bottom-up mechanisms</t>
  </si>
  <si>
    <t>bottom-up mechanisms; food web; food web complexity; pollution; stable isotopes; water diversion</t>
  </si>
  <si>
    <t>STABLE-ISOTOPE RATIOS; MULTIPLE STRESSORS; CHAIN LENGTH; ECOLOGICAL STOICHIOMETRY; NUTRIENT LIMITATION; NITROGEN; STREAMS; RIVER; COMMUNITIES; DISTURBANCE</t>
  </si>
  <si>
    <t>Water diversion and pollution are two pervasive stressors in river ecosystems that often co-occur. Individual effects of both stressors on basal resources available to stream communities have been described, with diversion reducing detritus standing stocks and pollution increasing biomass of primary producers. However, interactive effects of both stressors on the structure and trophic basis of food webs remain unknown. We hypothesized that the interaction between both stressors increases the contribution of the green pathway in stream food webs. Given the key role of the high-quality, but less abundant, primary producers, we also hypothesized an increase in food web complexity with larger trophic diversity in the presence of water diversion and pollution. To test these hypotheses, we selected four rivers in a range of pollution subject to similar water diversion schemes, and we compared food webs upstream and downstream of the diversion. We characterized food webs by means of stable isotope analysis. Both stressors directly changed the availability of basal resources, with water diversion affecting the brown food web by decreasing detritus stocks, and pollution enhancing the green food web by promoting biofilm production. The propagation of the effects at the base of the food web to higher trophic levels differed between stressors. Water diversion had little effect on the structure of food webs, but pollution increased food chain length and trophic diversity, and reduced trophic redundancy. The effects at higher trophic levels were exacerbated when combining both stressors, as the relative contribution of biofilm to the stock of basal resources increased even further. Overall, we conclude that moderate pollution increases food web complexity and that the interaction with water abstraction seems to amplify this effect. Our study shows the importance of assessing the interaction between stressors to create predictive tools for a proper management of ecosystems.</t>
  </si>
  <si>
    <t>10.1111/gcb.16026</t>
  </si>
  <si>
    <t>ECOGRAPHY</t>
  </si>
  <si>
    <t>BIOLOGICAL INVASIONS</t>
  </si>
  <si>
    <t>Singer, MC; Parmesan, C</t>
  </si>
  <si>
    <t>Colonizations cause diversification of host preferences: A mechanism explaining increased generalization at range boundaries expanding under climate change</t>
  </si>
  <si>
    <t>climate change; diet breadth; extinction-colonization dynamics; generalization; host shift; oviposition preference; range expansion; specialization</t>
  </si>
  <si>
    <t>ADDITIVE GENETIC VARIANCE; EVOLUTIONARY RESPONSES; SPECIES ASSOCIATION; DIET BREADTH; PLANT; SPECIALIZATION; BUTTERFLIES; SHIFTS; METAPOPULATION; POPULATIONS</t>
  </si>
  <si>
    <t>As species' poleward range limits expand under climate change, generalists are expected to be better colonists than specialists, extending their ranges faster. This effect of specialization on range shifts has been shown, but so has the reverse cause-effect: in a global meta-analysis of butterfly diets, it was range expansions themselves that caused increases in population-level diet breadth. What could drive this unexpected process? We provide a novel behavioral mechanism by showing that, in a butterfly with extensive ecotypic variation, Edith's checkerspot, diet breadths increased after colonization events as diversification of individual host preferences pulled novel hosts into population diets. Subsequently, populations that persisted reverted toward monophagy. We draw together three lines of evidence from long-term studies of 15 independently evolving populations. First, direct observations showed a significant increase in specialization across decades: in recent censuses, eight populations used fewer host genera than in the 1980s while none used more. Second, behavioral preference-testing experiments showed that extinctions and recolonizations at two sites were followed, at first by diversification of heritable preference ranks and increases in diet breadth, and subsequently by homogenization of preferences and contractions of diet breadth. Third, we found a significant negative association in the 1980s between population-level diet breadth and genetic diversity. Populations with fewer mtDNA haplotypes had broader diets, extending to 3-4 host genera, while those with higher haplotype diversity were more specialized. We infer that diet breadth had increased in younger, recently colonized populations. Preference diversification after colonization events, whether caused by (cryptic) host shifts or by release of cryptic genetic variation after population bottlenecks, provides a mechanism for known effects of range shifts on diet specialization. Our results explain how colonizations at expanding range margins have increased population-level diet breadths, and predict that increasing specialization should accompany population persistence as current range edges become range interiors.</t>
  </si>
  <si>
    <t>10.1111/gcb.15656</t>
  </si>
  <si>
    <t>Melguizo-Ruiz, N; Jimenez-Navarro, G; Zieger, SL; Maraun, M; Scheu, S; Moya-Larano, J</t>
  </si>
  <si>
    <t>Complex effects of precipitation and basal resources on the trophic ecology of soil oribatid mites: Implications for stable isotope analysis</t>
  </si>
  <si>
    <t>EUROPEAN JOURNAL OF SOIL BIOLOGY</t>
  </si>
  <si>
    <t>Oribatida; Stable isotopes; Trophic ecology; Rainfall; Basal resources; Calibration</t>
  </si>
  <si>
    <t>N-15 NATURAL-ABUNDANCE; GUT-CONTENT ANALYSIS; FOOD-WEB; COMMUNITY STRUCTURE; CLIMATE-CHANGE; FOREST FLOOR; LITTER; ACARI; PREDATORS; DELTA-N-15</t>
  </si>
  <si>
    <t>Given the relevant role played by soil organisms in fundamental ecosystem processes, current ecological research stresses the importance of understanding the trophic structure of soil communities in order to better predict the effects that global environmental change can have on the soil food web structure and dynamics. Using stable isotope analysis, we examined the trophic ecology of six soil oribatid mite species present in the leaf litter of beech forests which mainly differed in mean annual precipitation. We explored the relationship between animal and leaf litter signatures to determine which of the two approaches, conventional calibration or a novel solution we offer using statistical control (i.e., isotopic signature of the basal resource included as a covariate in the model), is more adequate to evaluate the trophic structure of soil communities across different sites, and investigated if the trophic niches of the species varied under two different precipitation regimes. The trophic position of some species varied with rainfall; the observed enrichment in N-15 in dry forests reflects trophic and spatial shifts probably resulting from changes in microbial activity and community composition. In addition, we find interactive effects between precipitation and the basal resource for some species and a lack of correlation between resource and oribatid mite stable isotope values for others. We discuss the pertinence of using conventional data calibration as it appears to mask relevant trends regarding the trophic ecology of oribatid mite species, and suggest using statistical control (a covariate approach) instead. (C) 2017 Elsevier Masson SAS. All rights reserved.</t>
  </si>
  <si>
    <t>10.1016/j.ejsobi.2017.08.008</t>
  </si>
  <si>
    <t>Votier, SC; Bearhop, S; Witt, MJ; Inger, R; Thompson, D; Newton, J</t>
  </si>
  <si>
    <t>Individual responses of seabirds to commercial fisheries revealed using GPS tracking, stable isotopes and vessel monitoring systems</t>
  </si>
  <si>
    <t>bycatch; fisheries; foraging; GPS tracking; prey choice; scavenging; stable isotopes; VMS</t>
  </si>
  <si>
    <t>NORTHERN GANNETS; GREAT SKUAS; FORAGING BEHAVIOR; AVIAN BLOOD; FOOD; DIET; RATES; SEA; SPECIALIZATION; CONSEQUENCES</t>
  </si>
  <si>
    <t>P&gt;1. The large amount of discards produced by commercial fisheries can have major impacts on marine predator populations: this abundant food may increase populations of some scavengers or decrease others via accidental bycatch. Yet, despite the conservation implications of discard practices, the ecology of individual scavengers is poorly understood. 2. Here, we assess the influence of commercial fisheries' activity on the foraging behaviour of individual breeding northern gannets Morus bassanus. Using recent developments in stable isotope mixing models (Stable Isotope Analysis in R or SIAR) we estimate individual discard consumption. Using GPS tracking and the Vessel Monitoring System (VMS), we investigate behavioural responses to trawlers. 3. Analysis of conventional diet samples, as well as stable isotope ratios of carbon and nitrogen in blood (plasma and cells), highlight marked individual differences in the proportion of fishery discards in the diet. Individual differences in foraging behaviour revealed by stable isotopes show evidence of both short-term consistency and behavioural flexibility. 4. At-sea path tortuosity of 25 gannets (tracked using GPS loggers) revealed scale-dependent adjustments in response to VMS-derived fishing vessel locations, as well as to sea surface temperature, chlorophyll a concentration and copepod abundance. The results also indicate individual variability in behavioural response to trawlers. 5. Individual differences in the amount of discards estimated from SIAR were negatively correlated with differences in foraging trip length and body condition, indicating potential fitness consequences. 6. Synthesis and applications. The management of commercial fisheries and apex predators is a daunting task. Ultimately, reducing bycatch and removing dependency on discards remain key conservation priorities, but managers should also ensure that scavenging species have sufficient alternative food to meet their energetic needs, to ameliorate potential unforeseen knock-on consequences. The results of Stable Isotope Analysis (SIAR) reveal intra-population differences in discard consumption by gannets; differences that have impacts on foraging effort and body condition. The use of GPS tracking and Vessel Monitoring Systems (VMS) reveal that gannet at-sea behaviour is influenced by fishing vessels, although this also varies among individuals. A combination of SIAR, GPS tracking and VMS can be used to study fishery/scavenger interactions in detail at the individual level, to answer fundamental questions about scavenging behaviour.</t>
  </si>
  <si>
    <t>10.1111/j.1365-2664.2010.01790.x</t>
  </si>
  <si>
    <t>Persaud, A; Luek, A; Keller, W; Jones, FC; Dillon, P; Gunn, J; Johnston, T</t>
  </si>
  <si>
    <t>Trophic dynamics of several fish species in lakes of a climatically sensitive region, the Hudson Bay Lowlands</t>
  </si>
  <si>
    <t>POLAR BIOLOGY</t>
  </si>
  <si>
    <t>Subarctic lakes; Hudson Bay Lowlands; Trophic dynamics; Stable isotopes; Climate change</t>
  </si>
  <si>
    <t>PIKE ESOX-LUCIUS; CLIMATE-CHANGE; NORTHERN PIKE; STABLE-ISOTOPES; TEMPERATURE; NICHE; COMMUNITIES; ASSEMBLAGES; COOLWATER; WHITEFISH</t>
  </si>
  <si>
    <t>Freshwater lakes in the Hudson Bay Lowlands (HBL) area of Ontario are expected to undergo considerable physical, chemical and biological changes related to climatic change; however, the nature of those changes is still very uncertain. As a first step to improve our understanding of fish communities within these subarctic lakes, we aimed to: (a) characterize trophic dynamics of several large-bodied species within three HBL lakes and (b) determine whether trophic dynamics of selected species in the HBL lakes differed from the same species in Southern Ontario lakes. We found that species-specific trophic position and littoral resource reliance varied significantly within and among the HBL lakes of differing biological communities, chemistry and morphometry. Although several significant differences were evident among lakes in the northern and southern regions, we did not find striking consistent differences in trophic dynamics. Based on observations of high variation in trophic position and/or littoral reliance, we can hypothesize that changes in food resources resulting from climatic change would have little impact on most of the large-bodied species.</t>
  </si>
  <si>
    <t>10.1007/s00300-014-1628-1</t>
  </si>
  <si>
    <t>METHODS IN ECOLOGY AND EVOLUTION</t>
  </si>
  <si>
    <t>Costantini, ML; Carlino, P; Calizza, E; Careddu, G; Cicala, D; Sporta Caputi, S; Fiorentino, F; Rossi, L</t>
  </si>
  <si>
    <t>The role of alien fish (the centrarchid Micropterus salmoides) in lake food webs highlighted by stable isotope analysis</t>
  </si>
  <si>
    <t>fish; food web; invasive species; predation; stable isotopes</t>
  </si>
  <si>
    <t>FRESH-WATER FISH; TROPHIC POSITION; LARGEMOUTH BASS; LEAF DETRITUS; DELTA-N-15; NITROGEN; RATIOS; DIET; FRACTIONATION; BIODIVERSITY</t>
  </si>
  <si>
    <t>Non-native freshwater fish species can have adverse ecological impacts on native populations. However, the mechanisms determining the success or otherwise of their invasion and their role in invaded communities remain largely unknown. This is particularly true for the Mediterranean region, where endemic species characterised by restricted natural ranges may be at high risk of extinction. The largemouth bass (Micropterus salmoides) is native to North America but is invasive in the Italian Peninsula. The aim of this study was to explore the trophic position of M.salmoides, its diet and niche overlap with native fish species in the littoral areas of a Mediterranean lake. Our study was supported by analysis of stable C and N isotopes in the tissues of fish and their potential food sources, twenty years after the introduction of the largemouth bass to Lake Bracciano (Italy). Samples were collected in locations varying in terms of physical structure and resource availability at lower trophic levels in the food web, which was greater in the southern (hereafter: South) than in the northern (hereafter: North) area of the lake. These differences made it possible to explore the mechanisms linking environmental conditions and the role of alien predators in the invaded food web. The abundance of M.salmoides was higher, and the diversity of native fish species was lower, in North than South. In North, M.salmoides had a piscivorous diet and occupied a higher trophic position in the food web than in South, where invertebrates constituted an important part of its diet. As a consequence, trophic niche interference with other fish species at intermediate trophic levels was higher in South. In contrast, in North, M.salmoides showed stronger trophic interference with the percid Perca fluviatilis, a native top predator in the food web, but weaker interference with remaining fish species. Our results help to understand the role of alien species in the food webs of Lake Bracciano, which primarily depends on the habitat and the availability of prey across trophic levels. Physical and ecological variations in the habitat were associated with differences in predatory interactions among native and alien fish species. This suggests that a reduction in productivity and biodiversity at lower trophic levels in lake food webs may favour the success of opportunistic invasive fish species, given the ability of the invaders to maintain some of their characteristics silent, and to fully express their genotype under favourable environmental conditions.</t>
  </si>
  <si>
    <t>10.1111/fwb.13122</t>
  </si>
  <si>
    <t>Jackson, MC; Fourie, HE; Dalu, T; Woodford, DJ; Wasserman, RJ; Zengeya, TA; Ellender, BR; Kimberg, PK; Jordaan, MS; Chimimba, CT; Wey, OLF</t>
  </si>
  <si>
    <t>Food web properties vary with climate and land use in South African streams</t>
  </si>
  <si>
    <t>agriculture; climate change; macroinvertebrates; multiple stressors; South Africa; stable isotope; urbanization</t>
  </si>
  <si>
    <t>AGRICULTURAL STRESSORS INTERACT; STABLE-ISOTOPE RATIOS; FUNCTIONAL DIVERSITY; MULTIPLE STRESSORS; AIR-TEMPERATURE; WARMING ALTERS; WATER; CONSERVATION; SIZE; MACROINVERTEBRATES</t>
  </si>
  <si>
    <t>Land use intensification and climate change are two prominent drivers of variation in biological communities. However, we know very little about how these two potential environmental stressors interact. Here we use a stable isotope approach to quantify how animal communities respond to urban and agriculture land use, and to latitudinal variation in climate (rainfall and temperature), in 29 streams across South Africa. Community structure was shaped by both land use and climatic factors. The taxonomic diversity of invertebrates was best explained by an independent negative effect of urbanization, while abundance declined in summer. However, we could not use our variables to predict fish diversity (suggesting that other factors may be more important). Both trophic functional diversity (quantifed usingisotopic richness) and food chain length declined with increasing temperature. Functional redundancy (quantifed usingisotopic uniqueness) in the invertebrate community was high in wet areas, and a synergistic interaction with urbanization caused the lowest values in dry urban regions. There was an additive effect of agriculture and rainfall on abundance-weighted vertebrate functional diversity (quantified usingisotopic dispersion), with the former causing a decline in dispersion, with this partially compensated for by high rainfall. In most cases, we found that a single dominant driver (either climate or land use) explained variation between streams. We only found two incidences of combined effects improving the model, one of which was amplified (i.e. the drivers combined to cause an effect larger than the sum of their independent effects), indicating that management should first focus on mitigating the dominant stressor in stream ecosystems for successful restoration efforts. Overall, our study indicates subtle food web responses to multiple drivers of change, only identified by using functional isotope metrics-these are a useful tool for a whole-systems biology understanding of global change. A freePlain Language Summarycan be found within the Supporting Information of this article.</t>
  </si>
  <si>
    <t>10.1111/1365-2435.13601</t>
  </si>
  <si>
    <t>Xu, J; Wen, ZR; Ke, ZX; Zhang, M; Zhang, M; Guo, NC; Hansson, LA; Xie, P</t>
  </si>
  <si>
    <t>Contrasting energy pathways at the community level as a consequence of regime shifts</t>
  </si>
  <si>
    <t>Energy pathways; Food web; Omnivory; Stable isotopes; Niche space</t>
  </si>
  <si>
    <t>FOOD-WEB STRUCTURE; SHALLOW LAKES; TROPHIC POSITION; ISOTOPE ANALYSIS; TEMPERATE LAKES; STABLE-ISOTOPES; RESTORATION; NITROGEN; TAIHU; NUTRIENTS</t>
  </si>
  <si>
    <t>Ecological regime shifts typically result in abrupt changes in ecosystem structure through several trophic levels, which leads to rapid ecosystem reconfiguration between regimes. An interesting aspect of the impact of regime shift is that alternative regimes may induce distinct shifts in energy pathways; these have been less tested than structural changes. This paper addresses this by using stable isotopes to establish the energy pathways in fish communities. We specifically focus on the impact of regime shift on changes of the energy pathways, and how the magnitude and direction of these changes affect the local community. We found that energy pathways significantly varied among the planktivorous, benthivorous, and piscivorous trophic guilds as a result of the alternative regimes. The regime shift from a clear to a turbid state altered the food web towards planktonic energy pathways and truncated food chain length, which is indicative of less ecological efficiency. This was confirmed by the adaptive foraging strategies of prevalent omnivores in the current communities. These structural and functional characteristics of trophic interactions might not facilitate classic trophic cascading effects in such a turbid regime and suppress the system's response to environmental changes, e.g., nutrient loading, and restoration efforts in turbid to clear water regime shifts.</t>
  </si>
  <si>
    <t>10.1007/s00442-013-2878-2</t>
  </si>
  <si>
    <t>Byrnes, JE; Reed, DC; Cardinale, BJ; Cavanaugh, KC; Holbrook, SJ; Schmitt, RJ</t>
  </si>
  <si>
    <t>Climate-driven increases in storm frequency simplify kelp forest food webs</t>
  </si>
  <si>
    <t>climate change; disturbance; food web; kelp forest; network theory; structural equation modeling</t>
  </si>
  <si>
    <t>CHAIN LENGTH; MACROCYSTIS-PYRIFERA; COMMUNITY STRUCTURE; ECOSYSTEM SIZE; DIVERSITY; DISTURBANCE; CALIFORNIA; BIODIVERSITY; ECOLOGY; PROJECTIONS</t>
  </si>
  <si>
    <t>Climate models predict a dramatic increase in the annual frequency and severity of extreme weather events during the next century. Here we show that increases in the annual frequency of severe storms lead to a decrease in the diversity and complexity of food webs of giant kelp forests, one of the most productive habitats on Earth. We demonstrate this by linking natural variation in storms with measured changes in kelp forest food web structure in the Santa Barbara Channel using structural equation modeling (SEM). We then match predictions from statistical models to results from a multiyear kelp removal experiment designed to simulate frequent large storms. Both SEM models and experiments agree: if large storms remain at their current annual frequency (roughly one major kelp-removing storm every 3.5 years), periodic storms help maintain the complexity of kelp forest food webs. However, if large storms increase in annual frequency and begin to occur year after year, kelp forest food webs become less diverse and complex as species go locally extinct. The loss of complexity occurs primarily due to decreases in the diversity and complexity of higher trophic levels. Our findings demonstrate that shifts in climate-driven disturbances that affect foundation species are likely to have impacts that cascade through entire ecosystems.</t>
  </si>
  <si>
    <t>10.1111/j.1365-2486.2011.02409.x</t>
  </si>
  <si>
    <t>LANDSCAPE ECOLOGY</t>
  </si>
  <si>
    <t>Quintana, Y; Keppeler, FW; Winemiller, KO</t>
  </si>
  <si>
    <t>Does invasion by armored catfish shift trophic ecology of native fishes? Evidence from stable isotope analysis</t>
  </si>
  <si>
    <t>benthic ecology; biological invasion; food web; resource competition; river; species displacement; Usumacinta Basin</t>
  </si>
  <si>
    <t>PTERYGOPLICHTHYS-PARDALIS CASTELNAU; LORICARIIDAE PTERYGOPLICHTHYS; GAMBUSIA-SEXRADIATA; DISJUNCTIVUS WEBER; NICHE OVERLAP; POSITION; IMPACT; WATER; GUATEMALA; COMMUNITY</t>
  </si>
  <si>
    <t>Popular as aquarium fish, armored catfishes from South America (Pterygoplichthys spp.) have been introduced and become invasive in tropical and subtropical regions worldwide. These ecosystem engineers can deplete basal resources (e.g., periphyton and detritus), with potential negative effects for native fauna. We studied the trophic ecology of fishes in the Usumacinta River Basin, Guatemala, where Pterygoplichthys is now widespread and locally abundant. We analyzed stable isotopes (d(13)C, d(15)N) in fish tissues and basal resources to assess the potential impact of Pterygoplichthys on the trophic ecology of six co-occurring native fishes that feed at a similar trophic level (Astyanax aeneus, Dorosoma petenense, Thorichthys pasionis, Oscura heterospila, Poecilia mexicana, and Gambusia sexradiata). The study was conducted during the dry season in the La Pasion (LPR; high invasion) and San Pedro (SPR; low invasion) rivers. We compared isotopic spaces occupied by native fish and Pterygoplichthys, estimated isotopic overlap, and evaluated the trophic displacement of native species. We also evaluated the relationships of environmental factors, including the relative biomass of the invasive catfish, with d(13)C and d(15)N signatures. Except for P. mexicana, native species had lower isotopic overlap with the catfish in LPR. Native fish isotopic spaces were compressed and shifted toward higher trophic positions in LPR relative to SPR. Benthic food resources were important for Pterygoplichthys in both rivers, and water-column resources had greater relative importance (RI) for native species in LPR. Native fish d(13)C was significantly associated with Pterygoplichthys biomass, conductivity, and water flow velocity; and water depth and sedimentation had a significant association with native fish d(15)N. Findings provide evidence that invasive Pterygoplichthys, along with environmental factors, impact the trophic ecology of native fish in the Usumacinta Basin. Additional field research conducted over longer time periods and mesocosm experiments that account for fish assemblage and environmental variation could elucidate Pterygoplichthys impacts via food resource depletion or habitat alteration.</t>
  </si>
  <si>
    <t>10.1002/ecy.4024</t>
  </si>
  <si>
    <t>JOURNAL OF ARID ENVIRONMENTS</t>
  </si>
  <si>
    <t>Silva, LCR; Anand, M</t>
  </si>
  <si>
    <t>BIOLOGICAL CONSERVATION</t>
  </si>
  <si>
    <t>CONSERVATION BIOLOGY</t>
  </si>
  <si>
    <t>Pratte, I; Braune, BM; Hobson, KA; Mallory, ML</t>
  </si>
  <si>
    <t>Variable sea-ice conditions influence trophic dynamics in an Arctic community of marine top predators</t>
  </si>
  <si>
    <t>high Arctic; prebreeding; seabirds; stable isotopes</t>
  </si>
  <si>
    <t>THICK-BILLED MURRES; CLIMATE-CHANGE IMPACTS; FOOD-WEB; STABLE-ISOTOPES; FATTY-ACID; SEABIRDS; DIET; REPRODUCTION; DELTA-C-13; INSIGHTS</t>
  </si>
  <si>
    <t>Sea-ice coverage is a key abiotic driver of annual environmental conditions in Arctic marine ecosystems and could be a major factor affecting seabird trophic dynamics. Using stable isotope ratios of carbon (delta C-13) and nitrogen (delta N-15) in eggs of thick-billed murres (Uria lomvia), northern fulmars (Fulmarus glacialis), glaucous gulls (Larus hyperboreus), and black-legged kittiwakes (Rissa tridactyla), we investigated the trophic ecology of prebreeding seabirds nesting at Prince Leopold Island, Nunavut, and its relationship with sea-ice conditions. The seabird community of Prince Leopold Island had a broader isotopic niche during lower sea-ice conditions, thus having a more divergent diet, while the opposite was observed during years with more extensive sea-ice conditions. Species' trophic position was influenced by sea ice; in years of lower sea-ice concentration, gulls and kittiwakes foraged at higher trophic levels while the opposite was observed for murres and fulmars. For murres and fulmars over a longer time series, there was no evidence of the effect of sea-ice concentration on species' isotopic niche. Results suggest a high degree of adaptation in populations of high Arctic species that cope with harsh and unpredictable conditions. Such different responses of the community isotopic niche also show that the effect of variable sea-ice conditions, despite being subtle at the species level, might have larger implications when considering the trophic ecology of the larger seabird community. Species-specific responses in foraging patterns, in particular trophic position in relation to sea ice, are critical to understanding effects of ecosystem change predicted for a changing climate.</t>
  </si>
  <si>
    <t>10.1002/ece3.5313</t>
  </si>
  <si>
    <t>JOURNAL OF WILDLIFE MANAGEMENT</t>
  </si>
  <si>
    <t>+</t>
  </si>
  <si>
    <t>Christenson, LM; Mitchell, MJ; Groffman, PM; Lovett, GM</t>
  </si>
  <si>
    <t>OIKOS</t>
  </si>
  <si>
    <t>Bond, AL; Lavers, JL</t>
  </si>
  <si>
    <t>Climate change alters the trophic niche of a declining apex marine predator</t>
  </si>
  <si>
    <t>El Nino-Southern Oscillation; flesh-footed shearwater; Leeuwin Current; niche width; Puffinus carneipes; stable isotopes</t>
  </si>
  <si>
    <t>SHEARWATERS PUFFINUS-CARNEIPES; NINO SOUTHERN-OSCILLATION; LEEUWIN CURRENT; STABLE-ISOTOPES; BERING-SEA; REPRODUCTIVE-PERFORMANCE; POPULATION-DYNAMICS; ANTHROPOGENIC CO2; WESTERN-AUSTRALIA; ATLANTIC PUFFIN</t>
  </si>
  <si>
    <t>Changes in the world's oceans have altered nutrient flow, and affected the viability of predator populations when prey species become unavailable. These changes are integrated into the tissues of apex predators over space and time and can be quantified using stable isotopes in the inert feathers of historical and contemporary avian specimens. We measured delta C-13 and delta N-15 values in Flesh-footed Shearwaters (Puffinus carneipes) from Western and South Australia from 1936-2011. The Flesh-footed Shearwaters more than doubled their trophic niche (from 3.91 +/- 1.37 parts per thousand(2) to 10.00 +/- 1.79 parts per thousand(2)), and dropped an entire trophic level in 75 years (predicted delta N-15 decreased from +16.9 parts per thousand to + 13.5 parts per thousand, and d 13 C from -16.9 parts per thousand to -17.9 parts per thousand) - the largest change in delta N-15 yet reported in any marine bird, suggesting a relatively rapid shift in the composition of the Indian Ocean food web, or changes in baseline delta C-13 and delta N-15 values. A stronger El Nino-Southern Oscillation results in a weaker Leeuwin Current in Western Australia, and decreased Flesh-footed Shearwater delta C-13 and delta N-15. Current climate forecasts predict this trend to continue, leading to increased oceanic 'tropicalization' and potentially competition between Flesh-footed Shearwaters and more tropical sympatric species with expanding ranges. Flesh-footed Shearwater populations are declining, and current conservation measures aimed primarily at bycatch mitigation are not restoring populations. Widespread shifts in foraging, as shown here, may explain some of the reported decline. An improved understanding and ability to mitigate the impacts of global climactic changes is therefore critical to the long-term sustainability of this declining species.</t>
  </si>
  <si>
    <t>10.1111/gcb.12554</t>
  </si>
  <si>
    <t>AQUATIC ECOSYSTEM HEALTH &amp; MANAGEMENT</t>
  </si>
  <si>
    <t>AQUATIC INVASIONS</t>
  </si>
  <si>
    <t>Kemp, VA; Grey, J; Hemprich-Bennett, D; Rossiter, SJ; Lewis, OT; Wilkinson, CL; Clare, EL; Kratina, P</t>
  </si>
  <si>
    <t>Changes in trophic ecology of mobile predators in response to rainforest degradation</t>
  </si>
  <si>
    <t>bats; diet breath; logging; predator-prey interactions; spatial scale; stable isotopes; trophic; position; tropical rainforest</t>
  </si>
  <si>
    <t>BIODIVERSITY VALUE; ISOTOPE RATIOS; NICHE; MEMBRANES; POSITION; BIRDS</t>
  </si>
  <si>
    <t>Accelerating loss and degradation of tropical forests has led to a pressing need to understand the conservation value of remaining forests. Whereas most studies focus on the responses in community composition and taxonomic richness, more sensitive responses to habitat degradation are likely to be apparent through changes in the trophic complexity of generalist predators. Food web theory predicts that both trophic position and niche breadth of predators decrease with habitat degradation, with consequences for biotic interactions and ecosystem functioning. Using a stable isotope approach, we analysed trophic positions and niche breaths of an important guild of top predators: insectivorous bats, in the tropical forests of Sabah, Borneo. We aimed to determine the responses in their trophic ecology across an experimental gradient of forest degradation at different spatial scales. At the landscape scale, trophic niche breadth contracted substantially (78%) in association with a narrow reduction (26%) in forest cover. However, food chains were longer in ecosystems with lower tree canopies, representative of localised habitat simplification. Marked differences in trophic niche breath of and trophic position between echolocation guilds provided further evidence for inter-guild niche partitioning within bat assemblages. Overall, the functionally important shifts in trophic pathways discriminated among habitats of varying degrees of degradation more reliably than conventional community descriptors, such as diversity metrics. Synthesis and applications. This study reveals that habitat quality thresholds-below which we see substantial changes to trophic complexity-are higher than previously considered. Our analysis suggests that patches of forest with cover above 90% should be prioritised for conservation over more highly degraded ecosystems. As these effects were detected after approximately 30 years post-logging, they likely reflect relatively long--term responses to forest degradation.</t>
  </si>
  <si>
    <t>10.1111/1365-2664.14396</t>
  </si>
  <si>
    <t>Welicky, RL; Feddern, ML; Rolfe, T; Leazer, K; Moosmiller, A; Fiorenza, E; Maslenikov, KP; Tornabene, L; Holtgrieve, GW; Wood, CL</t>
  </si>
  <si>
    <t>Reconstructing trophic position over the past century for five Puget Sound fish species</t>
  </si>
  <si>
    <t>Trophic ecology; Natural history collections; Compound-specific stable isotope analysis; Glutamic acid; Nitrogen; Phenylalanine</t>
  </si>
  <si>
    <t>NITROGEN ISOTOPIC COMPOSITION; JUVENILE PACIFIC SALMON; FOOD-WEB STRUCTURE; AMINO-ACIDS; STABLE-ISOTOPES; COPPER ROCKFISH; FEEDING ECOLOGY; DIET QUALITY; QUILLBACK; NEARSHORE</t>
  </si>
  <si>
    <t>The comparison of historical and modern food web dynamics allows ecologists to test whether the trophic connectivity we observe today is 'normal' in its historical context. Fish densities and abundances have changed across time, making it likely that fish trophic interactions and their trophic positions have also changed. Historical trophic data of marine fishes can now be extracted from the tissues of fluid-preserved specimens held in natural history collections via compound-specific stable isotope analysis of amino acids (CSIA-AA) of nitrogen. We conducted CSIA-AA to quantify trophic position change over the past century in 5 ecologically important fishes of Puget Sound, Washington, USA: Pacific hake Merluccius productus, walleye pollock Gadus chalcogrammus, copper rockfish Sebastes caurinus, English sole Parophrys vetulus, and Pacific herring Clupea pallasii, and examined the canonical trophic (glutamic acid) and source (phenylalanine) amino acids. For all fishes except copper rockfish, trophic position, glutamic acid, and phenylalanine values remained similar across time. For copper rockfish, glutamic acid but not phenylalanine values increased over time, indicating an increase in this species' trophic position. The observed increase in copper rockfish trophic position may be a function of diet switching and declining prey quality rather than a consequence of rockfish consuming higher trophic level prey. This study leverages more than 100 yr of trophic data of fishes representing various feeding guilds and demonstrates that some fish species may be more trophically resilient to major environmental change than expected. Efforts should be made to identify and conserve the trophic interactions of species experiencing change.</t>
  </si>
  <si>
    <t>10.3354/meps14253</t>
  </si>
  <si>
    <t>van den Berg, GL; Vermeulen, E; Valenzuela, LO; Berube, M; Ganswindt, A; Grocke, DR; Hall, G; Hulva, P; Neveceralova, P; Palsboll, PJ; Carroll, EL</t>
  </si>
  <si>
    <t>Decadal shift in foraging strategy of a migratory southern ocean predator</t>
  </si>
  <si>
    <t>Bayesian mixing model; cetacean; climate change; foraging ecology; indicator species; reproductive success; SIBER; Southern Ocean; southern right whale; stable isotopes</t>
  </si>
  <si>
    <t>ATLANTIC FIN WHALES; STABLE-ISOTOPES; EUBALAENA-AUSTRALIS; CLIMATE-CHANGE; TROPHIC-LEVEL; FATTY-ACID; BALAENA-MYSTICETUS; DIET ASSESSMENT; MINKE WHALES; SPERM-WHALES</t>
  </si>
  <si>
    <t>Rapid anthropogenic environmental change is expected to impact a host of ecological parameters in Southern Ocean ecosystems. Of critical concern are the consequences of these changes on the range of species that show fidelity to migratory destinations, as philopatry is hypothesized to help or hinder adaptation to climate change depending on the circumstances. Many baleen whales show philopatry to feeding grounds and are also capital breeders that meet migratory and reproductive costs through seasonal energy intake. Southern right whales (Eubalaena australis, SRWs) are capital breeders that have a strong relationship between reproductive output and foraging success. The population dynamics of South Africa's population of SRWs are characterized by two distinct periods: the 1990s, a period of high calving rates; and the late 2010s, a period associated with lowered calving rates. Here we use analyses of stable carbon (delta C-13) and nitrogen (delta N-15) isotope values from SRW biopsy samples (n = 122) collected during these two distinct periods to investigate foraging ecology of the South African population of SRWs over a time period coincident with the demographic shift. We show that South African SRWs underwent a dramatic northward shift, and diversification, in foraging strategy from 1990s to 2010s. Bayesian mixing model results suggest that during the 1990s, South African SRWs foraged on prey isotopically similar to South Georgia/Islas Georgias del Sur krill. In contrast, in the 2010s, South African SRWs foraged on prey isotopically consistent with the waters of the Subtropical Convergence, Polar Front and Marion Island. We hypothesize that this shift represents a response to changes in preferred habitat or prey, for example, the decrease in abundance and southward range contraction of Antarctic krill. By linking reproductive decline to changing foraging strategies for the first time in SRWs, we show that altering foraging strategies may not be sufficient to adapt to a changing ocean.</t>
  </si>
  <si>
    <t>10.1111/gcb.15465</t>
  </si>
  <si>
    <t>JOURNAL OF ECOLOGY</t>
  </si>
  <si>
    <t>Hoeinghaus, DJ; Winemiller, KO; Agostinho, AA</t>
  </si>
  <si>
    <t>Hydrogeomorphology and river impoundment affect food-chain length of diverse Neotropical food webs</t>
  </si>
  <si>
    <t>UPPER PARANA RIVER; BODY-SIZE; TROPHIC POSITION; STABLE-ISOTOPE; FISH; DISTURBANCE; ECOSYSTEMS; COMMUNITY; LAKES; FLOW</t>
  </si>
  <si>
    <t>Food-chain length is a central characteristic of ecological communities that affects community structure and ecosystem function. What determines the length of food chains is not well resolved for most ecosystems. Herein, we examine environmental correlates of food-chain length based on the productivity hypothesis, compare food-chain lengths among aquatic ecosystem types and identify bi-directional effects of river impoundment on food-chain length in the Parana River Basin of South America. Both temperature regime, a surrogate of productivity, and ecosystem type significantly affected food-chain length in independent analyses. However, when analyzed together, only ecosystem type explained significant variation in food-chain length. Food chains were longest in reservoirs, and shortest in high-gradient rivers. The proximate mechanism driving this pattern appears to be body-size ratios of primary consumers to apex predators, which differ among trophic pathways. Food chains based on phytoplankton production may have an additional size-structured link not present in food chains based on other basal sources such as detritus and algae. Hydrogeomorphology is the ultimate mechanism influencing food-chain length because it affects the relative importance of basal carbon sources supporting higher trophic levels, which through differences in the number of trophic links along the different size-structured pathways, appears to drive the observed patterns in food-chain length. We discuss a hypothesis of food-chain length that integrates energy flow and size-structure, facilitates inclusion of temporal dynamics and which is readily testable in both 'closed' and 'open' ecosystems.</t>
  </si>
  <si>
    <t>10.1111/j.0030-1299.2008.16459.x</t>
  </si>
  <si>
    <t>JOURNAL OF EXPERIMENTAL MARINE BIOLOGY AND ECOLOGY</t>
  </si>
  <si>
    <t>PROCEEDINGS OF THE ROYAL SOCIETY B-BIOLOGICAL SCIENCES</t>
  </si>
  <si>
    <t>McEachran, MC; Trapp, RS; Zimmer, KD; Herwig, BR; Hegedus, CE; Herzog, CE; Staples, DF</t>
  </si>
  <si>
    <t>Stable isotopes indicate that zebra mussels (Dreissena polymorpha) increase dependence of lake food webs on littoral energy sources</t>
  </si>
  <si>
    <t>energy flow; niche space; trophic position; zebra mussel invasion</t>
  </si>
  <si>
    <t>COMMUNITY STRUCTURE; TROPHIC POSITION; BENTHIC ALGAE; RESOURCE USE; ZOOPLANKTON; CARBON; INVASIONS; IMPACTS; MOLLUSK; SUPPORT</t>
  </si>
  <si>
    <t>The influence of zebra mussels (Dreissena polymorpha) on phytoplankton abundance is well known, but their community-level impact on energy flow is less clear. Reduced phytoplankton abundance could increase reliance of fish and aquatic invertebrates on alternative energy sources such as epiphyton and benthic algae. We assessed impacts of zebra mussels on energy flow by comparing food webs in two Minnesota, USA, lakes during summers of 2013 and 2014. Lake Carlos had a dense population of zebra mussels, while upstream Lake Ida was free of zebra mussels until this study began and maintained low densities during our study. We used baseline-corrected (BC) delta C-13 to test whether fish and littoral invertebrate primary and secondary consumers were more reliant on littoral carbon in Carlos compared to Ida. We also used BC delta N-15 to determine if trophic position of fish species differed between lakes. Lastly, we compared isotopic niche space by estimating standard ellipse areas for fish species in Carlos and Ida lakes, and tested whether the community-level range of trophic levels, reliance on littoral carbon and standard ellipse area differed between lakes. Results showed invertebrate secondary consumers had more enriched BC delta C-13 in Carlos than in Ida, indicating greater reliance on littoral energy. Mixing models indicated that 10 of 11 fish species were more reliant on littoral carbon in Carlos, with littoral carbon use in the 10 species 1.5-fold higher in Carlos. Isotopic niche analysis also showed increased littoral reliance in Carlos fish, as the same 10 fish species in Carlos had statistically distinct ellipses that were enriched in delta C-13. Mixing models also indicated that seven of 11 fish species analysed had significantly higher trophic positions in Lake Carlos. In contrast, community-scale metrics for fish showed no difference between lakes in the range of trophic levels, range of reliance on littoral energy, or size of standardised ellipse area of isotopic niche space. This indicates that, despite most individual fish species increasing their reliance on littoral energy and shifting upwards in trophic position, the overall size of the community isotopic niche area remained similar between lakes. Our results indicate that zebra mussels have community-wide impacts on energy flow in lakes, with invertebrate predators and many species of fish increasing their reliance on littoral energy sources, and most species of fish shifting to higher trophic positions. A key question is whether increased water clarity associated with zebra mussels can increase littoral production sufficiently to compensate for higher demand. If not, it is plausible that invertebrate and fish production will decline due to increased intra- and inter-specific competition.</t>
  </si>
  <si>
    <t>10.1111/fwb.13206</t>
  </si>
  <si>
    <t>Kautza, A; Sullivan, SMP</t>
  </si>
  <si>
    <t>Anthropogenic and natural determinants of fish food-chain length in a midsize river system</t>
  </si>
  <si>
    <t>fish; food webs; food-chain length; impoundments; land use and land cover; river</t>
  </si>
  <si>
    <t>ECOSYSTEM SIZE; WEB STRUCTURE; DAM REMOVAL; LAND-COVER; DISTURBANCE; STREAMS; SCALE; PATTERNS; BIOCOMPLEXITY; CONNECTIVITY</t>
  </si>
  <si>
    <t>Food-chain length (FCL) is a key factor underlying patterns of energy flow and trophic structure in food webs. Natural gradients in resource availability, ecosystem size, and disturbance are thought to govern FCL in rivers. However, anthropogenic influences on FCL, including landscape modification (e.g., land-cover change) and river regulation (e.g., dams), remain unresolved. From 2010 to 2013 we characterized fish food webs at 12 river reaches along an 185-km section of the 6th-order Scioto River system (Ohio, USA) to assess the effects of natural and anthropogenic factors and the potential influence of shifts in foodweb structure (e.g., diversity, top predator body size, intermediate predator richness) on fish FCL. Stable isotope-derived estimates of FCL ranged from 3.66 to 4.35, which are comparable to global values of FCL in rivers. A model-selection approach returned a set of linear regression models that explained 38 to 74% of the variation in FCL. Local ecosystem size (i.e., channel width) was positively related to FCL and was the most common predictor in the model set. Total dissolved solids, riparian agricultural land cover, and drainage area were all positively associated with FCL, whereas developed land cover (i.e., urban) was negatively related to FCL. In addition, FCL was significantly lower in impounded vs free-flowing reaches. Impounded reaches had fewer top-predator taxa, reduced fish diversity, and notable shifts in assemblage composition. Overall, we interpret these results to suggest that although natural physical factors have strong influences on FCL in rivers, human alterations can be important determinants of FCL in regulated river systems. In particular, disruption of hydrogeomorphic gradients may integrate changes in energy flow and foodweb architecture, thereby shortening FCL and potentially destabilizing food webs.</t>
  </si>
  <si>
    <t>10.1086/685932</t>
  </si>
  <si>
    <t>Copp, GH; Britton, JR; Guo, ZQ; Edmonds-Brown, VR; Pegg, J; Vilizzi, L; Davison, PI</t>
  </si>
  <si>
    <t>Trophic consequences of non-native pumpkinseed Lepomis gibbosus for native pond fishes</t>
  </si>
  <si>
    <t>Introduced non-native fishes can cause considerable adverse impacts on freshwater ecosystems. The pumpkinseed Lepomis gibbosus, a North American centrarchid, is one of the most widely distributed non-native fishes in Europe, having established self-sustaining populations in at least 28 countries, including the U.K. where it is predicted to become invasive under warmer climate conditions. To predict the consequences of increased invasiveness, a field experiment was completed over a summer period using a Control comprising of an assemblage of native fishes of known starting abundance and a Treatment using the same assemblage but with elevated L. gibbosus densities. The trophic consequences of L. gibbosus invasion were assessed with stable isotope analysis and associated metrics including the isotopic niche, measured as standard ellipse area. The isotopic niches of native gudgeon Gobio gobio and roach Rutilus rutilus overlapped substantially with that of non-native L. gibbosus, and were also substantially reduced in size compared to ponds where L. gibbosus were absent. This suggests these native fishes shifted to a more specialized diet in L. gibbosus presence. Both of these native fishes also demonstrated a concomitant and significant reduction in their trophic position in L. gibbosus presence, with a significant decrease also evident in the somatic growth rate and body condition of G. gobio. Thus, there were marked changes detected in the isotopic ecology and growth rates of the native fish in the presence of non-native L. gibbosus. The implications of these results for present and future invaded pond communities are discussed.</t>
  </si>
  <si>
    <t>ECOLOGICAL MODELLING</t>
  </si>
  <si>
    <t>Lau, DCP; Vrede, T; Goedkoop, W</t>
  </si>
  <si>
    <t>Lake responses to long-term disturbances and management practices</t>
  </si>
  <si>
    <t>acidification; biodieversity; fish; food webs; invasions; liming; stable isotopes</t>
  </si>
  <si>
    <t>FOOD-CHAIN LENGTH; DISSOLVED ORGANIC-CARBON; ECOSYSTEM SIZE; STABLE-ISOTOPES; CONTAMINANT BIOACCUMULATION; AUTOCHTHONOUS RESOURCES; TROPHIC POSITION; BOREAL LAKES; BIODIVERSITY; PREDATOR</t>
  </si>
  <si>
    <t>1. Long-term human-induced disturbances such as acidification and algal invasions, and management practices such as liming, are known to alter community structure and biodiversity of north temperate lakes. We assessed if they impacted on the trophic ecology and production of apex consumers (i.e. fish) and the overall food-chain length (FCL) of boreal lake ecosystems, and if these functional responses were consistent with the biodiversity changes. We hypothesise that fish production and FCL decrease with decreasing species biodiversity of lake communities, and that long-term environmental perturbations will alter the relative reliance of fish on littoral versus pelagic trophic pathways and their ontogenetic changes in trophic position (TP). 2. We analysed long-term data and stable isotopes of multiple organismal groups - phytoplankton, zooplankton, littoral and sub-littoral/profundal macroinvertebrates, and fish - collected from small boreal lakes that have been subjected to acidification, lime application and/or algal invasion by Gonyostomum semen. Species biodiversity, FCL and fish production (i.e. growth and catch-per-uniteffort) were compared among three lake categories, i.e. acidic, limed and circumneutral (reference) lakes, within each three lakes were selected. Fish TP and their relative littoral versus pelagic reliance were estimated based on stable nitrogen and carbon isotopes respectively. 3. Gonyostomum contributed to 77-98% phytoplankton biovolume in acidic lakes, &lt;1-79% in limed lakes and 0-30% in circumneutral lakes. Its prevalence was correlated with total organic carbon concentration but not with lake pH, alkalinity or any other environmental variable. Diversity and evenness of phytoplankton, macroinvertebrates and fish generally decreased with increasing Gonyostomum biovolume, such that biodiversity was higher in circumneutral and limed lakes than in acidic lakes. 4. Isotopic data revealed that FCL was shortest in limed lakes (3.94 +/- 0.08; least- squares mean +/- SE), intermediate in acidic lakes (4.19 +/- 0.07) and longest in circumneutral lakes (4.38 +/- 0.08). Limed lakes also had the lowest fish growth and CPUE. Overall littoral reliance of fish was higher in acidic lakes (0.53 +/- 0.03) than in limed lakes (0.42 +/- 0.02) and circumneutral lakes (0.30 +/- 0.02), suggesting that fish production and FCL there could have been sustained by the increased littoral reliance when pelagic trophic pathways were hindered by Gonyostomum invasion. European perch (Perca fluviatilis), the most common fish in the lakes, showed faster TP increases in acidic and limed lakes, likely due to their earlier ontogenetic shift from zooplanktivory to zoobenthivory and/or piscivory. 5. Overall, our findings indicate that long-term disturbances (i.e. acidification and algal invasions) and management practices (i.e. liming) can (i) induce contrasting responses in biodiversity, FCL and fish production of boreal lakes; (ii) be the primary driver of FCL variation among small and similar-size ecosystems; and (iii) alter the trophic ecology (i.e. TP change during ontogeny and littoral reliance) of key fish species. The trophic ecology and production of apex consumers and FCL together can provide useful integrated proxies for ecosystem functioning, which can supplement traditional biodiversity measurements for more robust environmental assessments.</t>
  </si>
  <si>
    <t>10.1111/fwb.12902</t>
  </si>
  <si>
    <t>English, PA; Green, DJ; Nocera, JJ</t>
  </si>
  <si>
    <t>Stable Isotopes from Museum Specimens May Provide Evidence of Long-Term Change in the Trophic Ecology of a Migratory Aerial Insectivore</t>
  </si>
  <si>
    <t>Antrostomus vociferus; diet change; museum collections; nightjar; nitrogen fertilizer; population declines; trophic-level; Whip-poor-will</t>
  </si>
  <si>
    <t>LAND-USE; MYCORRHIZAL FUNGI; GLOBAL PATTERNS; DRINKING-WATER; PLANT NITROGEN; TREE-RINGS; CARBON; DIET; DELTA-N-15; DELTA-C-13</t>
  </si>
  <si>
    <t>Identifying the mechanisms of ecological change is challenging in the absence of long-term data, but stable isotope ratios of museum specimen tissues may provide a record of diet and habitat change through time. Aerial insectivores are experiencing the steepest population declines of any avian guild in North America and one hypothesis for these population declines is a reduction in the availability of prey. If reduced prey availability is due to an overall reduction in insect abundance, we might also expect populations of higher trophic level insects to have declined most due to their greater sensitivity to a variety of disturbance types. Because nitrogen isotope ratios (delta N-15) tend to increase with trophic-level, while delta C-13 generally increases with agricultural intensification, we used delta N-15 and delta C-13 values of bird tissues grown in winter (claw) and during breeding (feathers) from museum specimens spanning 1880-2005, and contemporary samples from breeding birds (2011-2013) to test for diet change in a migratory nocturnal aerial insectivore, Eastern Whip-poor-will (Antrostomus vociferus) breeding in Ontario, Canada. To test if environmental baselines have changed as a result of synthetic N fertilizer use, habitat conversion or climate, we also sampled delta N-15 values of three potential prey species collected from across the same geographic region and time period. Over the past 100 years, we found a significant decline in delta N-15 in tissues grown on both the breeding and wintering grounds. Prey species did not show a corresponding temporal trend in delta N-15 values, but our power to detect such a trend was limited due to higher sample variance. Amongst contemporary bird samples, delta N-15 values did not vary with sex or breeding site, but nestlings had lower delta N-15 values than adults. These results are consistent with the hypothesis that aerial insectivore populations are declining due to changes in abundance of higher trophic-level prey, but we caution that museum-based stable isotope studies of terrestrial food chains will require new approaches to assessing baseline change. Once addressed, an ability to decode the historical record locked inside museum collections could enhance our understanding of ecological change and inform conservation decisions.</t>
  </si>
  <si>
    <t>10.3389/fevo.2018.00014</t>
  </si>
  <si>
    <t>Busst, GMA; Britton, JR</t>
  </si>
  <si>
    <t>Comparative trophic impacts of two globally invasive cyprinid fishes reveal species-specific invasion consequences for a threatened native fish</t>
  </si>
  <si>
    <t>Cyprinus carpio; invasion; isotopic niche; non-native species; stable isotope analysis</t>
  </si>
  <si>
    <t>CARP CARASSIUS-CARASSIUS; FRESH-WATER FISH; CRUCIAN CARP; COMMON CARP; NICHE; COMPETITION; GROWTH; AURATUS; METAANALYSIS; COMMUNITIES</t>
  </si>
  <si>
    <t>1. Predicting the ecological consequences of invasions by non-native species is a fundamental aspect of their risk-based management. As impacts can include the negative consequences of resource sharing with native species, the application of in situ cohabitation field experiments can test hypotheses relating to invasion ecology via competitive interactions and processes. As fishes are adaptable and tractable experimental organisms, they are strong model species for use in studies on competitive interactions. 2. The trophic consequences of invasion by two globally invasive freshwater fishes, common carp Cyprinus carpio and goldfish Carassius auratus, were tested on the threatened native fish crucian carp Carassius carassius. Cohabitation experiments, completed in pond enclosures, used all species in allopatric and sympatric treatments using a substitutive design where the number of fish per treatment was kept constant. Stable isotope analysis (delta C-13 and delta N-15) assessed alterations in the trophic ecology of each species across treatments, with growth rates used to assess any consequent impacts on the fish. 3. When in sympatry with C. auratus and C. carassius, the Cy. carpio isotopic niche was at a significantly lower trophic position compared to allopatry. This resulted in niche overlap with C. auratus, while for C. carassius, their isotopic niche shifted to a higher trophic position compared with allopatry. The growth rate of Cy. carpio was always significantly higher in sympatry than in allopatry, whereas growth rates for C. carassius and C. auratus were significantly depressed in Cy. carpio presence. In contrast, the isotopic niche sizes and positions and growth rates of the Carassius fishes were not significantly different between allopatry and when they cohabited. 4. Plasticity in the isotopic niche of Cy. carpio resulted in significant alterations in their trophic position between allopatry and sympatry and, when coupled with their depressed growth in allopatry, suggests the competitive processes driving this were intra-specific rather than inter-specific. This then resulted in detrimental impacts on cohabiting Carassius fishes. These results emphasise that ecological consequences of Cy. carpio in invaded freshwaters include impacts on the trophic ecology of native fishes.</t>
  </si>
  <si>
    <t>10.1111/fwb.12970</t>
  </si>
  <si>
    <t>Gibb, H; Cunningham, SA</t>
  </si>
  <si>
    <t>Restoration of trophic structure in an assemblage of omnivores, considering a revegetation chronosequence</t>
  </si>
  <si>
    <t>ant assemblage; diet guild; direct seeding; omnivory; stable isotope; trophic diversity; tube stock</t>
  </si>
  <si>
    <t>RAIN-FOREST; STABLE-ISOTOPES; ANT ASSEMBLAGES; FOOD-WEB; ECOLOGICAL STOICHIOMETRY; FUNCTIONAL DIVERSITY; HABITAT; ECOSYSTEM; SUCCESS; COMMUNITIES</t>
  </si>
  <si>
    <t>Habitat loss is considered the single greatest driver of species extinctions and amelioration of this threat through habitat restoration is increasingly important in maintaining biodiversity and ecosystem functions. Success of restoration depends largely on the ability of species of a diversity of functional types to recolonize a restored site. We used a restoration chronosequence to investigate the success of revegetation efforts (direct-seeding and tube stock methods) in returning species and trophic functions of trophically diverse ant assemblages to land formerly used for livestock grazing in south-eastern Australia. We examined assemblages based on: (i) species composition; (ii) trophic position and diversity, measured using stable isotopes of nitrogen; and (iii) species richness of trophic guilds based on 15N isotopes (15N guilds') and prior knowledge of diet (traditional trophic groups'). Responses for 15N trophic guilds were more distinct than for those based on traditional trophic groups. Assemblage trophic position (mean species 15N enrichment) decreased and trophic diversity (variance among species in 15N enrichment) increased along the chronosequence from pastures to remnants. These patterns resulted from an increase in the richness of species with low 15N enrichment (i.e. more herbivorous' species) along the chronosequence, which was also reflected in increases in the species richness of sugar feeders. Recovery of direct-seeded sites lagged behind tube stock sites of the same age, suggesting a role for habitat structure. Species composition followed a trajectory suggestive of partial recovery, with revegetated sites supporting assemblages intermediate to pastures and remnants, but distinct from both. Synthesis and applications. Tree planting promotes recovery of species composition and trophic function. Planting method affects the speed of functional recovery, although minimally. Species on the herbivorous end of the spectrum of omnivory were slower to recover than more predaceous species and may require deliberate restoration of features associated with mature trees. Trophic guilds based on objective measures of diet respond more clearly to restoration than do those based on subjective observations and offer a more insightful method.</t>
  </si>
  <si>
    <t>10.1111/1365-2664.12054</t>
  </si>
  <si>
    <t>Akresh, ME; King, DI; Marra, PP</t>
  </si>
  <si>
    <t>Komonen, A; Torniainen, J; Kiljunen, M</t>
  </si>
  <si>
    <t>Stable isotopes in monitoring terrestrial arthropods</t>
  </si>
  <si>
    <t>bulk tissue samples; compound-specific stable isotopes; dispersal; insect monitoring; resource use; trophic interactions</t>
  </si>
  <si>
    <t>ORIGINS; HYDROGEN; C-13</t>
  </si>
  <si>
    <t>Monitoring of arthropods focuses typically on changes in population and range size over time. Yet, there are a myriad of other aspects that could and should be monitored under the ongoing global and local environmental change. Stable isotope analysis, widely employed in short-term ecological studies, has potential in long-term monitoring of arthropods. Here we discuss the use of stable isotopes in monitoring terrestrial arthropods, provide some empirical examples of the use of bulk tissue samples in stable isotope analysis, and outline future directions in using compound-specific stable isotope analysis in monitoring. We performed a literature search for 2012-2021 to see if stable isotopes have been specifically used in monitoring of terrestrial arthropods. The literature shows that stable isotopes have been successfully used to reveal ecological phenomena (dispersal, trophic interactions, resource use) that would have been difficult or impossible to detect by other means. Yet, stable isotopes have been underused in arthropod monitoring programs, but the growing number of basic studies on stable isotope ecology and methodology provides crucial basis needed for developing monitoring programs. Stable isotopes provide technically, economically and ecologically feasible addition to the traditional monitoring methods of terrestrial arthropods.</t>
  </si>
  <si>
    <t>10.3389/fevo.2022.969595</t>
  </si>
  <si>
    <t>Hansen, AG; Gardner, JR; Connelly, KA; Polacek, M; Beauchamp, DA</t>
  </si>
  <si>
    <t>Trophic compression of lake food webs under hydrologic disturbance</t>
  </si>
  <si>
    <t>biostructure; disturbance; food web; lake ecosystems; stable isotopes; water use</t>
  </si>
  <si>
    <t>WATER-RESOURCES; CLIMATE-CHANGE; ECOSYSTEM; FISH; DIVERSITY; MODELS; NICHE; VULNERABILITY; BIODIVERSITY; COMMUNITIES</t>
  </si>
  <si>
    <t>The need to protect biostructure is increasingly recognized, yet empirical studies of how human exploits affect ecological networks are rare. Studying the effects of variation in human disturbance intensity from decades past can help us understand and anticipate ecosystem change under alleviated or amplified disturbance over decades to come. Here, we use stable isotopes and an innovative analytical approach to compare the food webs of two akin lake ecosystems subject to disparate water use regimes, a pervasive, yet unappreciated stressor. We show that intensive water use (persistent, early season, rapid lake-level drawdown) can compress trophic diversity by 46%, necessitating reorganization of biostructural elements configuring lake food webs. Compression occurred over the delta C-13 axis indicating erosion of basal trophic diversity, but food chain length remained intact over the period and intensity of disturbance examined. This study demonstrates the potential for water use, like other disturbances (warming, eutrophication, and invasive species), to mute opportunity for benthic-pelagic coupling and benefits to lake food webs and the inherent capacity of lake ecosystems to adapt to stress. Trophically compressed lakes may be less able to adapt to intensified water use.</t>
  </si>
  <si>
    <t>e02304</t>
  </si>
  <si>
    <t>10.1002/ecs2.2304</t>
  </si>
  <si>
    <t>Rennie, MD; Strecker, AL; Palmer, ME</t>
  </si>
  <si>
    <t>Bythotrephes invasion elevates trophic position of zooplankton and fish: implications for contaminant biomagnification</t>
  </si>
  <si>
    <t>Cercopagidae; Mysis; Fish; Food web; Contaminants; Coregonidae</t>
  </si>
  <si>
    <t>FOOD-CHAIN STRUCTURE; SMELT OSMERUS-MORDAX; MYSIS-RELICTA; ONTARIO LAKES; FRESH-WATER; HARP LAKE; MERCURY BIOACCUMULATION; INVERTEBRATE PREDATOR; COMMUNITIES; CEDERSTROEMI</t>
  </si>
  <si>
    <t>We estimated the effects of Bythotrephes longimanus invasion on the trophic position (TP) of zooplankton communities and lake herring, Coregonus artedi. Temporal changes in lacustrine zooplankton communities following Bythotrephes invasion were contrasted with non-invaded reference lakes, and along with published information on zooplankton and herring diets, formed the basis of estimated changes in TP. The TP of zooplankton communities and lake herring increased significantly following the invasion of Bythotrephes, whereas TP in reference lakes decreased (zooplankton) or did not change significantly (lake herring) over a similar time frame. Elevated TP following Bythotrephes invasion was most prominent in lakes that also supported the glacial relict, Mysis diluvania, suggesting a possible synergistic interaction between these two species on zooplankton community composition. Our analysis indicated that elevated TPs of zooplankton communities and lake herring are not simply due to the presence of Bythotrephes, but rather reflect changes in the zooplankton community induced by Bythotrephes; namely, a major reduction in the proportion of herbivorous cladoceran biomass and a concomitant increase in the proportion of omnivorous and/or predatory copepod biomass in invaded lakes. We demonstrated that increases in TP of the magnitude reported here can lead to substantial increases in fish contaminant concentrations. In light of these results, we discuss potential mechanisms that may be responsible for the disconnect between empirical and theoretical evidence that mid-trophic level species invasions (e.g., Bythotrephes) elevate contaminant burdens of consumer species, and provide testable hypotheses to evaluate these mechanisms.</t>
  </si>
  <si>
    <t>10.1007/s10530-011-0081-0</t>
  </si>
  <si>
    <t>Klobucar, SL; Budy, P</t>
  </si>
  <si>
    <t>Trophic structure of apex fish communities in closed versus leaky lakes of arctic Alaska</t>
  </si>
  <si>
    <t>Arctic char; Lake trout; Trophic ecology; Predator diets; Stable isotopes</t>
  </si>
  <si>
    <t>CHARR SALVELINUS-ALPINUS; ECOLOGICAL SEGREGATION; STABLE-ISOTOPES; CLIMATE-CHANGE; TOP PREDATOR; SPECIATION; POPULATIONS; DIET; POLYMORPHISM; TEMPERATURE</t>
  </si>
  <si>
    <t>Despite low species diversity and primary production, trophic structure (e.g., top predator species, predator size) is surprisingly variable among Arctic lakes. We investigated trophic structure in lakes of arctic Alaska containing arctic charSalvelinus alpinususing stomach contents and stable isotope ratios in two geographically-close but hydrologically-distinct lake clusters to investigate how these fish may interact and compete for limited food resources. Aside from different lake connectivity patterns ('leaky' versus 'closed'), differing fish communities (up to five versus only two species) between lake clusters allowed us to test trophic hypotheses including: (1) arctic char are more piscivorous, and thereby grow larger and obtain higher trophic positions, in the presence of other fish species; and, (2) between arctic char size classes, resource polymorphism is more prominent, and thereby trophic niches are narrower and overlap less, in the absence of other predators. Regardless of lake cluster, we observed little direct evidence of arctic char consuming other fishes, but char were larger (mean TL = 468 vs 264 mm) and trophic position was higher (mean TP = 4.0 vs 3.8 for large char) in lakes with other fishes. Further, char demonstrated less intraspecific overlap when other predators were present whereas niche overlap was up to 100% in closed, char only lakes. As hydrologic characteristics (e.g., lake connectivity, water temperatures) will change across the Arctic owing to climate change, our results provide insight regarding potential concomitant changes to fish interactions and increase our understanding of lake trophic structure to guide management and conservation goals.</t>
  </si>
  <si>
    <t>10.1007/s00442-020-04776-9</t>
  </si>
  <si>
    <t>Queiros, JP; Hilario, A; Thompson, DR; Ceia, FR; Elliott, G; Walker, K; Cherel, Y; Xavier, JC</t>
  </si>
  <si>
    <t>From warm to cold waters: new insights into the habitat and trophic ecology of Southern Ocean squids throughout their life cycle</t>
  </si>
  <si>
    <t>Ontogenetic changes; Antarctica; Cephalopods; Stable isotopes; Climate change; South Pacific</t>
  </si>
  <si>
    <t>STABLE-ISOTOPE SIGNATURES; PRIMARY PRODUCTIVITY; ONTOGENIC CHANGES; ANTARCTIC SQUID; FORAGING AREAS; INDIAN-OCEAN; POLAR FRONT; CEPHALOPODS; CARBON; PREDATORS</t>
  </si>
  <si>
    <t>Cephalopods play a major role in marine ecosystems, yet very little is known about the dynamics of their habitat use and trophic, ecology across the stages of their life cycle, particularly in the Southern Ocean. Here, we used stable isotope analyses of delta C-13 (a proxy for foraging habitat) and delta N-15 (a proxy for trophic position) to investigate the habitat use and trophic ecology of 10 squid species, collected from the diet of Antipodean (Diomedea antipodensis antipodensis) and Gibson's (D. a. gibsoni) albatrosses breeding at Antipodes and Adams Island (South Pacific), respectively. We analyzed isotopes in 2 sections of squid lower beaks, representing 2 stages of the life cycle: the tip of the rostrum (juvenile stage) and the wing (adult stage). Higher delta C-13 values in early life stages (-20.8 +/- 1.7 parts per thousand) than in adult life stages (-21.6 +/- 1.9 parts per thousand) suggest that Southern Ocean squids tend to move southwards as they grow, with oceanic fronts being an important habitat for these species. Our results might indicate that adults may move southwards with climate change, possibly impacting top predators living on northern islands. Overall, delta N-15 values revealed an increase in trophic position from early (6.7 +/- 2.7 parts per thousand) to adult life stages (9.0 +/- 2.5 parts per thousand) in all species. Nevertheless, significant differences between delta N-15 values of the 10 species, in both beak sections, suggest different feeding strategies between species and life stages.</t>
  </si>
  <si>
    <t>10.3354/meps13551</t>
  </si>
  <si>
    <t>Wasley, J; Robinson, SA; Lovelock, CE; Popp, M</t>
  </si>
  <si>
    <t>Climate change manipulations show Antarctic flora is more strongly affected by elevated nutrients than water</t>
  </si>
  <si>
    <t>bryophytes; chlorophyll; chlorophyll fluorescence; community ecology; ecophysiology; lichens; nitrogen; phosphorous; stable isotopes; delta C-13</t>
  </si>
  <si>
    <t>DRONNING MAUD LAND; SIMULATED ENVIRONMENTAL-CHANGE; CARBON-ISOTOPE DISCRIMINATION; WINDMILL ISLANDS; ARCTIC TUNDRA; WILKES-LAND; ORNITHOGENIC PRODUCTS; PLANT-COMMUNITIES; PHYSICAL FACTORS; CHLOROPHYLL-A</t>
  </si>
  <si>
    <t>Climate change is expected to affect the high latitudes first and most severely, rendering Antarctica one of the most significant baseline environments for the study of global climate change. The indirect effects of climate warming, including changes to the availability of key environmental resources, such as water and nutrients, are likely to have a greater impact upon continental Antarctic terrestrial ecosystems than the effects of fluctuations in temperature alone. To investigate the likely impacts of a wetter climate on Antarctic terrestrial communities a multiseason, manipulative field experiment was conducted in the floristically important Windmill Islands region of East Antarctica. Four cryptogamic communities (pure bryophyte, moribund bryophyte, crustose and fructicose lichen-dominated) received increased water and/or nutrient additions over two consecutive summer seasons. The increased water approximated an 18% increase in snow melt days (0.2 degrees C increase in temperature), while the nutrient addition of 3.5g Nm(-2) yr(-1) was within the range of soil N in the vicinity. A range of physiological and biochemical measurements were conducted in order to quantify the community response. While an overall increase in productivity in response to water and nutrient additions was observed, productivity appeared to respond more strongly to nutrient additions than to water additions. Pure bryophyte communities, and lichen communities dominated by the genus Usnea, showed stronger positive responses to nutrient additions, identifying some communities that may be better able to adapt and prosper under the ameliorating conditions associated with a warmer, wetter future climate. Under such a climate, productivity is overall likely to increase but some cryptogamic communities are likely to thrive more than others. Regeneration of moribund bryophytes appears likely only if a future moisture regime creates consistently moist conditions.</t>
  </si>
  <si>
    <t>10.1111/j.1365-2486.2006.01209.x</t>
  </si>
  <si>
    <t>de Oliveira, M; Moser, CF; Rebelato, MM; de Camargo, PB; Tozetti, AM</t>
  </si>
  <si>
    <t>Trophic ecology of two amphibian species in patches and core forest of Atlantic Forest: A dietary and isotopic approach</t>
  </si>
  <si>
    <t>anuran; isotopes; nutrient flow; productivity; trophic web</t>
  </si>
  <si>
    <t>BASAL FOOD SOURCES; ECOSYSTEM FRAGMENTATION; SUBTEMPERATE FOREST; AQUATIC CONSUMERS; STABLE ISOTOPES; BREEDING-SEASON; NICHE OVERLAP; HABITAT LOSS; LAND-USE; NITROGEN</t>
  </si>
  <si>
    <t>Species richness and abundance, as well as trophic relationships, are affected by habitat configuration. Smaller habitat patches suffer greater external interference, being more susceptible to diversity loss and could also receive more trophic subsidies from outside or matrix, which can favour the maintenance of populations even in small patches. Natural mosaics of forest patches in a grassland matrix in southern Brazil are good places to analyse such a process. Our objective was to analyse the effect of habitat patching on trophic relationships based on the evaluation of two forest amphibian species (Physalaemus lisei and P. carrizorum) and compare those from habitat patches versus core/contiguous habitat. We compared isotopic carbon (delta C-13) and nitrogen ratios (delta N-15) in two anuran species as well the variation in their diet at different forest patch sizes. We chose carbon isotopes since they act as a proxy for inferences on the original habitat from which the matter flows towards the anurans, while nitrogen reveals their tropic level. Our results revealed that trophic sources for these amphibians derives predominantly from primary forest productivity. However, Physalaemus lisei delta C-13 values indicated that the contribution of grassland trophic sources in the diet was higher in frogs from forests patches (&lt;100 ha) than in those from core forest habitat. In smaller patches, P. lisei consumed predominantly ants, which was the most abundant prey on habitat. On the other hand, in the core forest, where isopods were the most abundant prey, most of its consumption was beetles, spiders and ants. In contrast, P. carrizorum showed no significant changes in isotopic ratios or diet across habitats. Isotopic data suggested that both species occupied lower trophic levels in smaller forests than in core forests. Our data showed a tendency towards the increase of grassland contribution and decrease of amphibian trophic position in patched habitats in comparison to continuous habitat.</t>
  </si>
  <si>
    <t>10.1111/aec.13107</t>
  </si>
  <si>
    <t>Doi, H</t>
  </si>
  <si>
    <t>Resource productivity and availability impacts for food-chain length</t>
  </si>
  <si>
    <t>ECOLOGICAL RESEARCH</t>
  </si>
  <si>
    <t>Food web; Primary production; Ecosystem size; Subsidy; Ecological stoichiometry</t>
  </si>
  <si>
    <t>ECOSYSTEM SIZE; WEB STRUCTURE; CLIMATE-CHANGE; DISTURBANCE; ENERGY; TERRESTRIAL; TEMPERATURE; EFFICIENCY; PATTERNS; NITROGEN</t>
  </si>
  <si>
    <t>Ecologists have focused on food-chain length (FCL) for the past eight decades as an index of food-web structure. Here, I review the hypotheses determining FCL with a focus on resource productivity and availability effects on FCL. First, I introduce the mainstream hypotheses to explain FCL variations: productivity, ecosystem size, and disturbance. For the existing productivity and productive space hypotheses, I stress the importance of using resource availability to estimate the productivity effect on FCL. Using a FCL dataset from 15 ponds, I tested the resource stoichiometry effect on FCL for ponds with between carbon:nitrogen ratio of primary producers and FCL. Moreover, I provide a perspective for studying resource availability and stoichiometry effects on FCL and of the alternative hypotheses of productive-space and ecosystem size. Finally, I suggest the future directions of the FCL study: a resource subsidy and climate change effects on FCL and food-web structure.</t>
  </si>
  <si>
    <t>10.1007/s11284-012-0941-9</t>
  </si>
  <si>
    <t>McAllister, LT; Leeuwen, TEV; Hanlon, JM; Morris, CJ; Potter, J; Wells, J; Abrahams, M</t>
  </si>
  <si>
    <t>Sea cage aquaculture may provide an energetic subsidy to wild juvenile cod in coastal bays of southern Newfoundland, Canada</t>
  </si>
  <si>
    <t>Sea cage aquaculture; Energetic subsidy; Waste feed; Stable isotopes; Trophic discrimination factor; TDF; Fatty acids; Gadus morhua; Sebastes fasciatus</t>
  </si>
  <si>
    <t>FATTY-ACID-COMPOSITION; STABLE-ISOTOPE ANALYSIS; ATLANTIC COD; GADUS-MORHUA; TROPHIC POSITION; FISH COMMUNITIES; ONTOGENIC NICHE; CARBON ISOTOPES; ACADIAN REDFISH; ORGANIC-MATTER</t>
  </si>
  <si>
    <t>Sea cage aquaculture can alter the spatial distribution of wild fish populations; however, little is known about the dietary habits of wild fish frequenting sea cages. We used wild juvenile cod Gadus morhua reared in the laboratory and fed either an aquafeed pellet or marine-based diet to determine trophic discrimination factors (TDFs) of stable carbon (delta C-13) and nitrogen (delta N-15) isotope values in white muscle tissue and baseline liver proportions of vegetable-oil based (VOB) fatty acids. We then used delta C-13 and delta N-15 and proportions of VOB fatty acids to investigate the dietary habits of wild cage-associated juvenile and adult Atlantic cod and adult Atlantic redfish Sebastes fasciatus. Cod and redfish were collected in the immediate area of sea cages and reference areas of no aquaculture production. Juvenile cod captured around sea cages had both elevated delta C-13 and delta N-15 values and proportions of VOB fatty acids, and isotopic fractionation comparable to laboratory cod fed an aquafeed diet. However, differences in delta C-13 and delta N-15 and proportions of VOB fatty acids between cage-associated and reference site adult cod and redfish were predominately absent. Results suggest that sea cages may provide an energetic subsidy to juvenile cod but perhaps not at the level to sustain adult cod or redfish. Therefore, the lack of differences suggests that both adult groups may be using cage sites opportunistically and only for short duration, as isotopic values and fatty acid proportions were not consistent with waste feed consumption despite individuals being collected in close proximity to sea cages.</t>
  </si>
  <si>
    <t>10.3354/meps13832</t>
  </si>
  <si>
    <t>Dijkstra, JA; Harris, LG; Mello, K; Litterer, A; Wells, C; Ware, C</t>
  </si>
  <si>
    <t>Invasive seaweeds transform habitat structure and increase biodiversity of associated species</t>
  </si>
  <si>
    <t>ecosystem change; food webs; habitat complexity; invasive species; kelp loss; temperate reef habitats</t>
  </si>
  <si>
    <t>PHRAGMITES-AUSTRALIS; OCEAN ACIDIFICATION; KELP BEDS; ECOSYSTEM; COMMUNITY; TEMPERATURE; DIVERSITY; DYNAMICS; CONSEQUENCES; FACILITATION</t>
  </si>
  <si>
    <t>1. The visual landscape of marine and terrestrial systems is changing as a result of anthropogenic factors. Often these shifts involve introduced species that are morphologically dissimilar to native species, creating a unique biogenic structure and habitat for associated species within the landscape. While community-level changes as a result of introduced species have been documented in both terrestrial and marine systems, it is still unclear how long-term shifts in species composition will affect habitat complexity or its potential to influence the biodiversity of species that occur at the base of the food web. 2. We analysed quadrat photos collected at several subtidal sites in the Gulf of Maine over a 30+ year period, and collected individual seaweed species to determine their complexity and the biodiversity of meso-invertebrates associated with each species. 3. By coupling the relationship of 30+ years of shifts in seaweed assemblages, morphological structure of the seaweed assemblage, and their meso-invertebrates, we determined introduced seaweeds have increased by up to 90%, corresponding to a rise in two-dimensional (2D) structure, and a decline in canopy height of subtidal rocky habitats. The highly complex two-dimensional habitat provided by introduced filamentous red seaweeds supports two to three times more meso-invertebrate individuals and species that form the base of the food web than simpler forms of morphological habitat. 4. Synthesis. The present study demonstrates a long-term shift in foundation species towards a dominance of invasive seaweeds that directly reduce canopy height and increase the 2D biogenic structure of the habitat. These introduced seaweeds harbour greater biodiversity of species found at the base of the food web than seaweeds with simpler forms such as the native kelp species. Such shifts in habitat structure will propagate to food webs by influencing the structure of lower trophic-level meso-invertebrates and indirectly upper trophic-level species that feed on these invertebrates and use the seaweed structure as refuge.</t>
  </si>
  <si>
    <t>10.1111/1365-2745.12775</t>
  </si>
  <si>
    <t>Takimoto, G; Post, DM; Spiller, DA; Holt, RD</t>
  </si>
  <si>
    <t>Effects of productivity, disturbance, and ecosystem size on food-chain length: insights from a metacommunity model of intraguild predation</t>
  </si>
  <si>
    <t>Disturbance; Ecosystem size; Food-chain length; Intraguild predation; Metacommunity; Productivity</t>
  </si>
  <si>
    <t>EXPLOITATION ECOSYSTEMS; AREA; FRAMEWORK; CONSTRAINTS; ENRICHMENT; DYNAMICS; ECOLOGY; LAKES; WEBS</t>
  </si>
  <si>
    <t>Traditionally, productivity and disturbance have been hypothesized as important determinants of food-chain length. More recently, growing empirical evidence suggests a strong role of ecosystem size. To theoretically explore the effects of basal productivity, disturbance, and ecosystem size on food-chain length, we develop and analyze a metacommunity model of intraguild predation (IGP). The model finds that, when local IGP is weak, increasing basal productivity, weakening disturbance, and increasing ecosystem size will generally increase food-chain length. When local IGP is strong, by contrast, increasing basal productivity or weakening disturbance favors intraguild predators and hinders the coexistence of intraguild predators and intraguild prey, limiting food-chain length. In contrast, increasing ecosystem size can promote coexistence even when local IGP is strong, increasing food-chain length through inserting intraguild prey and changing the degree of omnivory by intraguild predators. Intraguild prey needs to be the superior colonizer to intraguild predators for this to occur. We discuss that these theoretical predictions appear consistent with empirical patterns.</t>
  </si>
  <si>
    <t>10.1007/s11284-012-0929-5</t>
  </si>
  <si>
    <t>Lenihan, HS; Peterson, CH</t>
  </si>
  <si>
    <t>How habitat degradation through fishery disturbance enhances impacts of hypoxia on oyster reefs</t>
  </si>
  <si>
    <t>biogenic reef habitat; Crassostrea virginica, decline of; ecosystem management; estuarine ecosystems; field experiment; habitat degradation through fishery disturbance; habitat structure; hypoxia effects; Neuse River estuary, North Carolina, USA; oyster reefs; reduced reef height of; water depth</t>
  </si>
  <si>
    <t>CHESAPEAKE BAY ANOXIA; PAMLICO RIVER ESTUARY; PREY REFUGES; SEA OTTERS; HISTORY; EUTROPHICATION; STRATIFICATION; COMMUNITIES; SETTLEMENT; PREDATION</t>
  </si>
  <si>
    <t>Oysters are ecosystem engineers that create biogenic reef habitat important to estuarine biodiversity, benthic-pelagic coupling, and fishery production, Prevailing explanations for the dramatic decline of eastern oysters (Crassostrea virginica) during the last century overlook ecosystem complexity by ignoring interactions among multiple environmental disturbances. To explain oyster loss, we tested whether (1) mortality of oysters on natural oyster reefs varies with water depth (3 m vs. 6 m), (2) harvesting by oyster dredges reduces the height of oyster reefs, and (3) bottom-water hypoxia/anoxia and reduction in reef height through fishery disturbance interact to enhance mortality of oysters in the Neuse River estuary, North Carolina, USA. The percentage of oysters found dead (mean +/- 1 SD) during a survey of natural reefs in May 1993 was significantly greater at 6-m (92 +/- 10%) than at 3-m (28 +/- 9%) water depth. Less than one season's worth of oyster dredging reduced the height of restored oyster reefs by similar to 30%. During stratification of the water column in summer, oxygen depletion near the seafloor at 6 m caused mass mortality of oysters, other invertebrates, and fishes on short, deep experimental reefs, while oysters and other reef associates elevated into the surface layer by sufficient reef height or by location in shallow water survived. Highly mobile blue crabs (Callinectes sapidus) abandoned burrows located in hypoxic/anoxic bottom waters but remained alive in shallow water, Our results indicate that interaction of reef habitat degradation (height reduction) through fishery disturbance and extended bottom-water hypoxia/anoxia caused the pattern of oyster mortality observed on natural reefs and influences the abundance and distribution of fish and invertebrate species that utilize this temperate reef habitat. Interactions among environmental disturbances imply a need for the integrative approaches of ecosystem management to restore and sustain estuarine habitat.</t>
  </si>
  <si>
    <t>10.1890/1051-0761(1998)008[0128:HHDTFD]2.0.CO;2</t>
  </si>
  <si>
    <t>Keva, O; Taipale, SJ; Hayden, B; Thomas, SM; Vesterinen, J; Kankaala, P; Kahilainen, KK</t>
  </si>
  <si>
    <t>Increasing temperature and productivity change biomass, trophic pyramids and community-level omega-3 fatty acid content in subarctic lake food webs</t>
  </si>
  <si>
    <t>DOC; food web structure; forestry; land&amp;#8208; use; nutrients; omega&amp;#8208; 3 HUFA; trophic level; trophic pyramid</t>
  </si>
  <si>
    <t>POLYUNSATURATED FATTY-ACIDS; ECOSYSTEM SIZE; CHAIN LENGTH; CLIMATE; FISH; COREGONUS; BIOACCUMULATION; EUTROPHICATION; MORPHOMETRY; POPULATIONS</t>
  </si>
  <si>
    <t>Climate change in the Arctic is outpacing the global average and land-use is intensifying due to exploitation of previously inaccessible or unprofitable natural resources. A comprehensive understanding of how the joint effects of changing climate and productivity modify lake food web structure, biomass, trophic pyramid shape and abundance of physiologically essential biomolecules (omega-3 fatty acids) in the biotic community is lacking. We conducted a space-for-time study in 20 subarctic lakes spanning a climatic (+3.2 degrees C and precipitation: +30%) and chemical (dissolved organic carbon: +10 mg/L, total phosphorus: +45 mu g/L and total nitrogen: +1,000 mu g/L) gradient to test how temperature and productivity jointly affect the structure, biomass and community fatty acid content (eicosapentaenoic acid [EPA] and docosahexaenoic acid [DHA]) of whole food webs. Increasing temperature and productivity shifted lake communities towards dominance of warmer, murky-water-adapted taxa, with a general increase in the biomass of primary producers, and secondary and tertiary consumers, while primary invertebrate consumers did not show equally clear trends. This process altered various trophic pyramid structures towards an hour glass shape in the warmest and most productive lakes. Increasing temperature and productivity had negative fatty acid content trends (mg EPA + DHA/g dry weight) in primary producers and primary consumers, but not in secondary nor tertiary fish consumers. The massive biomass increment of fish led to increasing areal fatty acid content (kg EPA + DHA/ha) towards increasingly warmer, more productive lakes, but there were no significant trends in other trophic levels. Increasing temperature and productivity are shifting subarctic lake communities towards systems characterized by increasing dominance of cyanobacteria and cyprinid fish, although decreasing quality in terms of EPA + DHA content was observed only in phytoplankton, zooplankton and profundal benthos.</t>
  </si>
  <si>
    <t>10.1111/gcb.15387</t>
  </si>
  <si>
    <t>Anderson, ORJ; Phillips, RA; McDonald, RA; Shore, RF; Mcgill, RAR; Bearhop, S</t>
  </si>
  <si>
    <t>Influence of trophic position and foraging range on mercury levels within a seabird community</t>
  </si>
  <si>
    <t>Mercury; Procellariiformes; delta N-15; delta C-13; Trophic position; Diet; Seabird</t>
  </si>
  <si>
    <t>HEAVY-METAL CONCENTRATIONS; STABLE-ISOTOPES INDICATE; FOOD WEB STRUCTURE; SOUTH GEORGIA; INTERANNUAL VARIATION; FEEDING ECOLOGY; CATHARACTA-SKUA; ORGANIC-MATTER; AVIAN BLOOD; GREAT SKUAS</t>
  </si>
  <si>
    <t>Seabirds are often advocated as biomonitors for marine contaminants such as mercury (Hg). However, contaminant levels can vary widely depending on among-individual and among-species variation in foraging preferences and physiology, and on tissue types used for analyses. Using stable isotope analysis (SIA), we investigated the effects of trophic position, season, and tissue type on Hg burdens in a group of 10 closely related seabirds (Procellariiformes) from a single colony in the South Atlantic. Analysis of blood (reflecting breeding season diet) showed that among-species Hg concentrations varied as a function of trophic position (delta N-15) and were also influenced to a lesser degree by foraging range (delta C-13). This pattern did not hold for feathers, which reflect the non-breeding period. Mercury levels in feathers formed during the non-breeding season appear to be more strongly governed by species effects (such as moult schedule), demonstrating the need to carefully consider tissue type when formulating predictions regarding Hg burdens and dynamics. Assessment at a community rather than the species level, and across a number of tissue types, provided a more complete picture of the complex interactions between Hg and foraging ecology in seabirds.</t>
  </si>
  <si>
    <t>10.3354/meps07784</t>
  </si>
  <si>
    <t>Stewart, SD; Hamilton, DP; Baisden, WT; Dedual, M; Verburg, P; Duggan, IC; Hicks, BJ; Graham, BS</t>
  </si>
  <si>
    <t>Variable littoral-pelagic coupling as a food-web response to seasonal changes in pelagic primary production</t>
  </si>
  <si>
    <t>food webs; lakes; pelagic; primary production; secondary production; stable isotopes</t>
  </si>
  <si>
    <t>NEW-ZEALAND LAKES; PHYTOPLANKTON PRODUCTION; BENTHIC PATHWAYS; STABLE-ISOTOPES; ZOOPLANKTON; NITROGEN; CLIMATE; TAUPO; TOP; MORPHOMETRY</t>
  </si>
  <si>
    <t>1. Lakes are among the most seasonally forced ecosystems on Earth. Seasonal variation in temperature and light produce cyclic patterns in water column mixing, nutrient supply and phytoplankton biomass. Diet responses of consumers to these patterns have rarely been quantified. Moreover, pelagic-littoral coupling of dietary resources by mobile consumers is commonly considered to be static over annual cycles. 2. This study quantifies littoral-pelagic diet responses of multiple consumers to a strong shift in pelagic phytoplankton abundance over an annual cycle (September 2014 to August 2015) in a large (area 614 km(2)), oligotrophic, monomictic lake (Lake Taupo, New Zealand). Intra-annual patterns in pelagic phytoplankton (chlorophyll a) and zooplankton were determined over multiple years. Major resource and consumer delta C-13 and delta N-15 were then collected over an annual cycle. Temporal patterns in food-web structure were examined using convex hulls as a proxy of community trophic niche size. Diet was quantified using mixing models for zooplankton, meso-predatory zooplanktivorous common smelt (Retropinna retropinna) and benthivorous common bullies (Gobiomorphus cotidianus), as well as the top-predator rainbow trout (Oncorhynchus mykiss). Trophic structure patterns for smelt, bullies and trout were then independently examined using compound-specific amino acid delta N-15 analyses (CSIA-AA). 3. Lake Taupo demonstrated similar food-web patterns to other lakes globally. Phytoplankton and zooplankton demonstrated strong seasonal oscillations of abundance driven by both bottom-up (nutrient supply) and top-down (stable limit cycle) drivers. The food web demonstrated the typical nested structure. It responded to seasonally low and high pelagic resource availability periods by expansion and contraction, respectively, of trophic niche space. In response to lower pelagic phytoplankton abundance during summer stratification, and phytoplankton accumulation at a deep chlorophyll maximum (DCM), zooplankton abundance reduced and their diet became dominated by phytoplankton from below the thermocline (i.e. the hypolimnion and DCM). This change may have been prompted by the combined drivers of avoidance of predation and depauperate food supply in surface waters. 4. The diet of smelt and bullies switched from predominantly zooplankton to benthic macroinvertebrates, synchronous with the decline in pelagic zooplankton. Trout diet, inferred from comparison of isotopic signatures of tissues with different turnover rates, also increased littoral resource reliance over the stratified period. Smelt, bully and trout CSIA-AA data confirmed estimates of trophic position and indicated a greater degree of trophic complexity in the littoral than the pelagic food chain. 5. Food webs in large, deep lakes such as Taupo are expected to be primarily pelagic. This study demonstrates the need to re-examine this expectation due to seasonal variations in productivity. The relatively small littoral areas in large lakes, combined with meso-predators' highly seasonally variable littoral resource use, may drive strong seasonal top-down effects on littoral macroinvertebrate prey. Our study supports the notion that food-web interactions are highly dynamic and responsive to seasonal forcing. By linking food-web dynamics to dynamic environmental conditions, this study provides a framework for future studies research on understanding lake food-web responses to a range of annual/seasonal and global environmental change drivers.</t>
  </si>
  <si>
    <t>10.1111/fwb.13046</t>
  </si>
  <si>
    <t>Hayden, B; Massa-Gallucci, A; Caffrey, J; Harrod, C; Mariani, S; O'Grady, M; Kelly-Quinn, M</t>
  </si>
  <si>
    <t>Trophic dynamics within a hybrid zone - interactions between an abundant cyprinid hybrid and sympatric parental species</t>
  </si>
  <si>
    <t>cyprinid; ecology; hybridisation; stable isotopes; trophic niche</t>
  </si>
  <si>
    <t>RUTILUS-RUTILUS L; BREAM ABRAMIS-BRAMA; INTERSPECIFIC COMPETITION; PERCA-FLUVIATILIS; BLICCA-BJOERKNA; STABLE-ISOTOPES; FISH COMMUNITY; SIZE STRUCTURE; COMMON BREAM; WHITE BREAM</t>
  </si>
  <si>
    <t>1. Recent proliferation of hybridisation in response to anthropogenic ecosystem change, coupled with increasing evidence of the importance of ancient hybridisation events in the formation of many species, has moved hybridisation to the forefront of evolutionary theory. 2. In spite of this, the mechanisms (e. g. differences in trophic ecology) by which hybrids co-exist with parental taxa are poorly understood. A unique hybrid zone exists in Irish freshwater systems, whereby hybrid offspring off two non-native cyprinid fishes often outnumber both parental species. 3. Using stable isotope and gut content analyses, we determined the trophic interactions between sympatric populations of roach (Rutilus rutilus), bream (Abramis brama) and their hybrid in lacustrine habitats. 4. The diet of all three groups displayed little variation across the study systems, and dietary overlap was observed between both parental species and hybrids. Hybrids displayed diet, niche breadth and trophic position that were intermediate between the two parental species while also exhibiting greater flexibility in diet across systems.</t>
  </si>
  <si>
    <t>10.1111/j.1365-2427.2011.02604.x</t>
  </si>
  <si>
    <t>Wehi, PM; Rogers, KM; Jowett, T; Sabadel, AJM</t>
  </si>
  <si>
    <t>Interpreting past trophic ecology of a threatened alpine parrot, kea Nestor notabilis, from museum specimens</t>
  </si>
  <si>
    <t>amino acids; CSIA-AA; museum collections; niche width; omnivory; parrot; stable isotopes; trophic position</t>
  </si>
  <si>
    <t>NITROGEN ISOTOPE ANALYSIS; STABLE-ISOTOPES; COLLECTIONS; EXTINCTION; MEGAFAUNA</t>
  </si>
  <si>
    <t>When ecosystems are under severe pressure or environments change, trophic position and intraspecific niche width may decrease or narrow, signalling that conservation action is required. In New Zealand, alpine and subalpine ecosystems have been extensively modified through farming since 19th-century European settlement, with consequences for indigenous species such as the kea Nestor notabilis. We investigated feather stable isotope values in the kea and predicted a lower trophic position in modern kea populations, to reflect reduced lowland habitat and a mixed diet with more plant material. We predicted that size and sex would influence trophic values in this sexually dimorphic species, with larger birds more likely to have a high protein diet. We examined potential dietary changes in 68 museum collected kea from 1880s to 2000s, first recording accession details including provenance and sex and measuring culmen length. We used bulk carbon and nitrogen stable isotope analyses (BSIAs) of feathers and a further feather subset using compound-specific stable isotope analyses of amino acids (CSIA-AA) to obtain isotopic values and estimate trophic position. BSIA showed delta N-15 values in kea feathers declined through time and could indicate that early century kea were highly omnivorous, with delta N-15 values on average higher than in modern kea. Variance in delta N-15 values was greater after 1950, driven by a few individuals. Few differences between males and females were evident, although females in the south region had lower delta N-15 values. There was a tendency for large male birds to have higher trophic values, perhaps reflecting dominant male bird behaviour noted in historical records. Nonetheless, CSIA-AA performed on a subset of the data suggested that variation in BSIA is likely due to baseline changes rather than relative trophic position which may be more homogenous than these data indicate. Although there was more variability in modern kea, we suggest caution in interpretation. Stable isotope data, particularly CSIA-AA, from museum specimens can reveal potential change in ecological networks as well as sexually dimorphic feeding patterns within species. The data can reveal temporal and regional variation in species trophic position and changes in ecosystem integrity to inform conservation decision-making.</t>
  </si>
  <si>
    <t>10.1111/1365-2656.13742</t>
  </si>
  <si>
    <t>Hines, J; Eisenhauer, N; Drake, BG</t>
  </si>
  <si>
    <t>Inter-annual changes in detritus-based food chains can enhance plant growth response to elevated atmospheric CO2</t>
  </si>
  <si>
    <t>atmospheric carbon dioxide; decomposition; food chain length; global change; multi-trophic interactions; primary production; soil macrofauna; wetland</t>
  </si>
  <si>
    <t>CHESAPEAKE BAY WETLAND; CARBON-DIOXIDE; CLIMATE-CHANGE; SEA-LEVEL; LITTER; DECOMPOSITION; NITROGEN; PREDATION; IMPACT; WEB</t>
  </si>
  <si>
    <t>Elevated atmospheric CO2 generally enhances plant growth, but the magnitude of the effects depend, in part, on nutrient availability and plant photosynthetic pathway. Due to their pivotal role in nutrient cycling, changes in abundance of detritivores could influence the effects of elevated atmospheric CO2 on essential ecosystem processes, such as decomposition and primary production. We conducted a field survey and a microcosm experiment to test the influence of changes in detritus-based food chains on litter mass loss and plant growth response to elevated atmospheric CO2 using two wetland plants: a C-3 sedge (Scirpus olneyi) and a C-4 grass (Spartina patens). Our field study revealed that organism's sensitivity to climate increased with trophic level resulting in strong inter-annual variation in detritus-based food chain length. Our microcosm experiment demonstrated that increased detritivore abundance could not only enhance decomposition rates, but also enhance plant growth of S.olneyi in elevated atmospheric CO2 conditions. In contrast, we found no evidence that changes in the detritus-based food chains influenced the growth of S.patens. Considered together, these results emphasize the importance of approaches that unite traditionally subdivided food web compartments and plant physiological processes to understand inter-annual variation in plant production response to elevated atmospheric CO2.</t>
  </si>
  <si>
    <t>10.1111/gcb.12965</t>
  </si>
  <si>
    <t>Schmidt, SN; Olden, JD; Solomon, CT; Vander Zanden, MJ</t>
  </si>
  <si>
    <t>Quantitative approaches to the analysis of stable isotope food web data</t>
  </si>
  <si>
    <t>circular statistics; food web change; food webs; stable isotopes; trophic niche</t>
  </si>
  <si>
    <t>CULTURAL EUTROPHICATION; PHRAGMITES-AUSTRALIS; TROPHIC POSITION; RESTORATION; DELTA-N-15; DELTA-C-13; CONSUMERS; REMOVAL; HABITAT; RATIOS</t>
  </si>
  <si>
    <t>Ecologists use stable isotopes (delta C-13,delta N-15) to better understand food webs and explore trophic interactions in ecosystems. Traditionally, delta C-13 vs. delta N-15 bi-plots have been used to describe food web structure for a single time period or ecosystem. Comparisons of food webs across time and space are increasing, but development of statistical approaches for testing hypotheses regarding food web change has lagged behind. Here we present statistical methodologies for quantitatively comparing stable isotope food web data. We demonstrate the utility of circular statistics and hypothesis tests for quantifying directional food web differences using two case studies: an arthropod salt marsh community across a habitat gradient and a freshwater fish community from Lake Tahoe, USA, over a 120-year time period. We calculated magnitude and mean angle of change (h) for each species in food web space using mean delta C-13 and delta N-15 of each species as the x, y coordinates. In the coastal salt marsh, arthropod consumers exhibited a significant shift toward dependence on Spartina, progressing from a habitat invaded by Phragmites to a restored Spartina habitat. In Lake Tahoe, we found that all species from the freshwater fish community shifted in the same direction in food web space toward more pelagic-based production with the introduction of nonnative Mysis relicta and onset of cultural eutrophication. Using circular statistics to quantitatively analyze stable isotope food web data, we were able to gain signifi. cant insight into patterns and changes in food web structure that were not evident from qualitative comparisons. As more ecologists incorporate a food web perspective into ecosystem analysis, these statistical tools can provide a basis for quantifying directional food web differences from standard isotope data.</t>
  </si>
  <si>
    <t>10.1890/07-0121.1</t>
  </si>
  <si>
    <t>Tran, TNQ; Jackson, MC; Sheath, D; Verreycken, H; Britton, JR</t>
  </si>
  <si>
    <t>Patterns of trophic niche divergence between invasive and native fishes in wild communities are predictable from mesocosm studies</t>
  </si>
  <si>
    <t>freshwater ecosystems; invasive species; stable isotope analysis; trophic niche width; trophic relationships</t>
  </si>
  <si>
    <t>PSEUDORASBORA-PARVA; STABLE-ISOTOPES; COMPETITION; DIFFERENTIATION; POPULATION; FRAMEWORK; OVERLAP; ECOLOGY; HABITAT</t>
  </si>
  <si>
    <t>1. Ecological theory attempts to predict how impacts for native species arise from biological invasions. A fundamental question centres on the feeding interactions of invasive and native species: whether invasion will result in increased interspecific competition, which would result in negative consequences for the competing species, or trophic niche divergence, which would facilitate the invader's integration into the community and their coexistence with native species. 2. Here, the feeding interactions of a highly invasive fish, topmouth gudgeon Pseudorasbora parva, with three native and functionally similar fishes were studied to determine whether patterns of either niche overlap or divergence detected in mesocosm experiments were apparent between the species at larger spatial scales. Using stable isotope analysis, their feeding relationships were assessed initially in the mesocosms (1000 L) and then in small ponds (&lt; 400 m(2)) and large ponds (&gt; 600 m(2)). 3. In the mesocosms, a consistent pattern of trophic niche divergence was evident between the sympatric fishes, with niches shifting further apart in isotopic space than suggested in allopatry, revealing that sharing of food resources was limited. Sympatric P. parva also had a smaller niche than their allopatric populations. 4. In eight small ponds where P. parva had coexisted for several years with at least one of the fish species used in the mesocosms, strong patterns of niche differentiation were also apparent, with P. parva always at a lower trophic position than the other fishes, as also occurred in the mesocosms. Where these fishes were sympatric within more complex fish communities in the large ponds, similar patterns were also apparent, with strong evidence of trophic niche differentiation. 5. Aspects of the ecological impacts of P. parva invasion for native communities in larger ponds were consistent with those in the mesocosm experiments. Their invasion resulted in divergence in trophic niches, partly due to their reduced niche widths when in sympatry with other species, facilitating their coexistence in invaded ecosystems. Our study highlights the utility of controlled mesocosm studies for predicting the trophic relationships that can develop from introductions of non-native species into more complex ecosystems and at larger spatial scales.</t>
  </si>
  <si>
    <t>10.1111/1365-2656.12360</t>
  </si>
  <si>
    <t>Feddern, ML; Ward, EJ; Warlick, AJ; Holtgrieve, GW</t>
  </si>
  <si>
    <t>Recent divergent changes in Alaskan pinniped trophic position detected using compound-specific stable isotope analysis</t>
  </si>
  <si>
    <t>Harbor seal; Steller sea lion; Compound-specific stable isotope analysis; Trophic position; Alaska; Phoca vitulina; Eumetopias jubatus</t>
  </si>
  <si>
    <t>STELLER SEA LIONS; PRINCE-WILLIAM-SOUND; FOOD-WEB STRUCTURE; HARBOR SEALS; EUMETOPIAS-JUBATUS; PHOCA-VITULINA; AMINO-ACIDS; NITROGEN; DIET; ABUNDANCE</t>
  </si>
  <si>
    <t>Over the past century, Alaskan pinnipeds have experienced dramatic changes in abundance, but these changes have been highly variable across species and regions. In recent decades, changes in atmospheric forcing and sea surface temperature have been particularly pronounced in the Gulf of Alaska and eastern Bering Sea, impacting the food webs in which Alaskan pinnipeds forage. We used compound-specific stable isotope analysis of nitrogen in amino acids to estimate historic and modern trophic positions of harbor seals Phoca vitulina and Steller sea lions Eumetopias jubatus in the Gulf of Alaska and Bristol Bay. We applied a Bayesian hierarchical framework to determine whether shared trends through time exist across pinnipeds (classified by region and species) on decadal scales. Model results identified both shared trends through time and classification-specific decadal changes in pinniped trophic position. The largest change in trophic position occurred in the 2000s and 2010s and was observed in both Steller sea lions (median: 2.8) and harbor seals (median: 3.1) in the Gulf of Alaska, but not harbor seals in Bristol Bay or Iliamna Lake. Divergent trophic position patterns in the 2000s were identified in the western stock of Steller sea lions, which increased in trophic position, and sympatric harbor seals in the northern Gulf of Alaska, which decreased in trophic position. Our results indicate that these species have been experiencing unique food web conditions in recent decades in the Gulf of Alaska, likely in response to recent climate-induced ecological change in the region.</t>
  </si>
  <si>
    <t>10.3354/meps14014</t>
  </si>
  <si>
    <t>Dutta, R; Mukherjee, T; Sharief, A; Singh, H; Kumar, V; Joshi, BD; Banerjee, D; Thakur, M; Sharma, LK</t>
  </si>
  <si>
    <t>Climate change may plunder the facultative top predator Yellow-throated Martin from the Hindu-Kush Himalayan Region</t>
  </si>
  <si>
    <t>ECOLOGICAL INFORMATICS</t>
  </si>
  <si>
    <t>Ensemble species distribution model; Climate change; Facultative predator; Centroid shift; Terrestrial ecoregions; Protected areas</t>
  </si>
  <si>
    <t>SPECIES DISTRIBUTION MODELS; MAMMALIA CARNIVORA MUSTELIDAE; SEED DISPERSAL; FLAVIGULA; HABITAT; CONSERVATION; RECORDS; IMPACT; DIET; VULNERABILITY</t>
  </si>
  <si>
    <t>The mountain ecosystems are fragile because of topography and extreme climatic conditions. The Hindu-Kush Himalayan (HKH) region is a biodiversity-rich ecosystem and highly vulnerable to climate change and anthropogenic activities among the mountains. In HKH, the climate change impacts on ecologically specialist species are already evident, but generalist species are not much studied. One such generalist species distributed throughout the HKH is Yellow-Throated Marten (YTM) (Martes flavigula Boddaert, 1785), a facultative predator that occupies the Southern flank of the HKH. The YTM is one of the least studied animals distributed up to 4510m elevation. The HKH covers 61 terrestrial ecoregions and 304 Protected Areas (PAs). An ecologically successful facultative predator of the region is seriously threatened because of habitat loss and climate change. Hence, we used an ensemble model to map the distribution of suitable habitats and their representativeness in terms of ecoregions and PA coverage. The results indicated that by 2050, the distribution range might decline to 58.78% and 49.33% with reference to the current scenario under the representative concentration pathway (RCP) 4.5 and 8.5 scenarios, respectively. The species may lose much of its range, mainly in the eastern part of the HKH landscape. Furthermore, the centroid of the distribution may also shift to the northwest, thereby abandoning many areas and occupying new refugia. The Upper Gangetic plains moist deciduous forests ecoregion possess the highest suitable habitats for the YTM, with a mean value of 0.744. At the same time, the existing PA network represents only 12.2% of its suitable habitat in HKH. Hence, for the long-term viability of the species, there is a need to enhance protection and improve habitat quality.</t>
  </si>
  <si>
    <t>10.1016/j.ecoinf.2022.101622</t>
  </si>
  <si>
    <t>Churakova, OV; Fonti, MV; Siegwolf, RTW; Kirdyanov, AV; Knorre, AA; Trushkina, TV; Myglan, VS; Vaganov, EA; Saurer, M</t>
  </si>
  <si>
    <t>Response of Temperature-limited Forests to Recent Moisture Changes Derived from Tree-ring Stable Carbon Isotopes</t>
  </si>
  <si>
    <t>RUSSIAN JOURNAL OF ECOLOGY</t>
  </si>
  <si>
    <t>conifers; stable carbon isotopes; cellulose; climate; permafrost; drought</t>
  </si>
  <si>
    <t>LARIX-GMELINII; ACTIVE LAYER; SUMMER TEMPERATURES; WHITE SPRUCE; SOIL-WATER; PERMAFROST; RECONSTRUCTION; DELTA-O-18; DELTA-C-13; GROWTH</t>
  </si>
  <si>
    <t>Recent climatic changes significantly affected forest ecosystems in northern Eurasia. Trees growing in Siberia are very sensitive to climate change due to strong temperature limitation of their growth. Our study covers high-latitude (northeastern Yakutia, eastern Taimyr, central Evenkia) and high-altitude (Russian Altai) zones in Eurasia, where tree-ring parameters (tree-ring width, cell-wall thickness, and maximum latewood density) mainly record summer air temperature variations. To reveal the impact of moisture changes (e.g., amount of precipitation, vapor pressure deficit, relative humidity and potential evapotranspiration) on tree growth in Siberian forest ecosystems, we evaluated delta C-13 in tree-ring cellulose over the past century. We found that at all the study sites mainly June-July precipitation and June-July evapotranspiration affect larch radial growth, while the strongest influence of vapor pressure deficit on the delta C-13 was observed in northeastern Yakutia. Further increase of vapor pressure deficit and rise of air temperature in the coming decades in Siberian regions will probably lead to drought and related forest mortality even under additional source of water due to permafrost thaw.</t>
  </si>
  <si>
    <t>10.1134/S1067413621050052</t>
  </si>
  <si>
    <t>Bannon, RO; Roman, CT</t>
  </si>
  <si>
    <t>Using stable isotopes to monitor anthropogenic nitrogen inputs to estuaries</t>
  </si>
  <si>
    <t>fundulus heteroclitus; Geukensia demissa; salt marsh monitoring; Spartina alterniflora; stable isotopes; Ulva lactuca</t>
  </si>
  <si>
    <t>FUNDULUS-HETEROCLITUS; COASTAL WATERSHEDS; SALT MARSHES; FOOD-CHAINS; LONG-ISLAND; DELTA-N-15; GROUNDWATER; SIGNATURES; NITRATE; EUTROPHICATION</t>
  </si>
  <si>
    <t>Use of stable nitrogen isotope ratios is one method that has been proposed to indicate anthropogenic nutrient enrichment in estuarine systems. However, the role of stable isotopes as a tool. in long-term ecosystem monitoring has not been fully developed. Resident producer and consumer species were collected from marshes dominated by Spartina alterniflora and subject to a range of anthropogenic impacts in Cape Cod, Massachusetts, and in Great South Bay and Jamaica Bay, New York. Tissue isotope ratios of Spartina alterniflora, Ulva lactuca, Fundulus heteroclitus, and Geukensia demissa were analyzed in order to determine which organisms are the most sensitive indicators of changes in anthropogenic nitrogen source and loading. Power analysis was used to determine the sample sizes necessary to detect change in nutrient source using the species sampled. Relationships between the delta N-15 values of the species sampled and watershed population density and residential development were evaluated. Population density was a better indicator of anthropogenic nitrogen impact than residential development, since most anthropogenic nitrogen in the study marshes was derived from wastewater. Consumer species demonstrated lower within-site variability than producer species and would therefore require smaller sample sizes to detect changes in nitrogen source and loading.</t>
  </si>
  <si>
    <t>10.1890/06-2006.1</t>
  </si>
  <si>
    <t>Pedro, PI; Ramos, JA; Neves, VC; Paiva, VH</t>
  </si>
  <si>
    <t>Past and present trophic position and decadal changes in diet of Yellow-legged Gull in the Azores Archipelago, NE Atlantic</t>
  </si>
  <si>
    <t>EUROPEAN JOURNAL OF WILDLIFE RESEARCH</t>
  </si>
  <si>
    <t>Azores; Trophic position; Diet; Plasticity; Refuse; Yellow-legged Gulls</t>
  </si>
  <si>
    <t>STABLE-ISOTOPE ANALYSIS; FEEDING ECOLOGY; LARUS-AUDOUINII; C-13 ENRICHMENT; MARINE BIRDS; EBRO DELTA; FOOD-WEB; POPULATION; SEABIRDS; CONSERVATION</t>
  </si>
  <si>
    <t>This study evaluates the trophic position of adult Yellow-legged Gulls Larus michahellis atlantis resident in the Azores archipelago in the past (1921-1928) and in the present (2009-2010), and analyses the decadal variation in the diet of breeding birds from the 1990s to the 2000s for three main colonies (Topo Islet, Baixo Islet and Mist,rio da Prainha). Using mixing models, we compared stable isotope signatures of nitrogen and carbon in adult breast feathers between birds from 1921 to 1928 (held in museum collections) and 2009 to 2010, jointly with both isotopic signatures of their main prey groups (fish, goose barnacles (Lepas anatifera), seabirds, mammals and refuse). The diet of breeding birds was analysed using pellets collected in 1989, 1995, 1996, 2004, 2009 and 2010. Stable isotopes analysis (SIA) results were in accordance with the results provided from the analysis of pellets, showing a relatively recent and significant change in the diet of adult gulls. In particular, SIA revealed a significant decrease in the trophic position of Yellow-legged Gulls in the Azores, over the last 89 years in response to the decrease in the consumption of seabirds and fish and, an increase in the consumption of marine invertebrates (goose barnacles) and refuse. The analysis of pellets confirmed the significant decrease in the fish ingested, whereas the ingestion of lower trophic level prey (i.e. goose barnacles, mammals and refuse) increased. Both methods reflect the feeding plasticity and opportunistic foraging behavior of this species, and are in accordance with patterns described for continental Europe.</t>
  </si>
  <si>
    <t>10.1007/s10344-013-0737-4</t>
  </si>
  <si>
    <t>Olson, AM; Frid, A; dos Santos, JBQ; Juanes, F</t>
  </si>
  <si>
    <t>Trophic position scales positively with body size within but not among four species of rocky reef predators</t>
  </si>
  <si>
    <t>Food webs; Stable isotopes; Size-based predator-prey interactions; Diet; Rockfish; Lingcod; Allometric scaling</t>
  </si>
  <si>
    <t>PREY SIZE; STABLE-ISOTOPES; MIXED MODELS; ROCKFISH; FISH; PATTERNS; LEVEL; DIET; AGE; CONSEQUENCES</t>
  </si>
  <si>
    <t>Intra- and interspecifically, larger-bodied predators generally occupy higher trophic positions (TPs). With widespread declines in large predators, there is a need to understand their size-based trophic roles to predict ecosystem-level responses. In British Columbia, Canada, we examined size-based trophic interactions between predatory fishes -3 rockfish species (genus Sebastes) and lingcod Ophiodon elongatus- and their prey, converting predator delta N-15 signatures to TP and analyzing stomach contents. Intraspecifically, TP scaled positively with predator length and gape width, but the rates of change varied by species. Interspecifically, TP did not scale positively with the observed mean sizes or known maximum sizes of species. Lingcod TP was lower than that of yelloweye and quillback rockfishes, which were 51 and 37 %, respectively, smaller than lingcod. Yellowtail rockfish had the smallest average size, yet their mean TP did not differ significantly from that of lingcod. Neither species differences in some morphometric traits known to influence body size-TP relationships nor phylogenetic history explained these results. Most prey consumed were &lt;20% of the predator's size, which might partially explain the lack of a sizebased trophic hierarchy among species. Currently, large size classes of rockfishes are being lost due to fisheries and perhaps climate-driven changes. Our findings on intraspecific size-TP relationships indicate that fishery removals of large individuals may diminish trophic structures. Interspecific comparisons of TP suggest that, along with size, species remain an important factor in understanding trophic dynamics. In addition, smaller-bodied predator species may have significant ecological roles to be considered in ecosystem-based fisheries management.</t>
  </si>
  <si>
    <t>10.3354/meps13275</t>
  </si>
  <si>
    <t>Ogawa, NO; Chikaraishi, Y; Ohkouchi, N</t>
  </si>
  <si>
    <t>Trophic position estimates of formalin-fixed samples with nitrogen isotopic compositions of amino acids: an application to gobiid fish (Isaza) in Lake Biwa, Japan</t>
  </si>
  <si>
    <t>Nitrogen isotope ratio; Amino acid; Formalin fixation; Trophic position</t>
  </si>
  <si>
    <t>ZOOPLANKTON; EUTROPHICATION; COMMUNITY; IMPACT; RATIO; SIZE</t>
  </si>
  <si>
    <t>To evaluate the influence of formalin-fixation on the nitrogen isotopic composition of individual amino acids, we conducted a formalin-fixation experiment over 62 weeks using muscle tissues of largemouth bass (Micropterus salmoides) and freshwater minnow (Zacco platypus) collected in Lake Biwa. The results indicated that the formalin-fixation does not affect the nitrogen isotopic composition of amino acids including glutamic acid and phenylalanine from muscle protein of the fish. We applied this technique to formalin-fixed gobiid fish Isaza (Gymnogobius isaza, Tanaka) specimens that had been collected from Lake Biwa through the twentieth century. The pattern of the delta N-15 values for these amino acids remains relatively constant, even though each amino acid exhibits a gradual increase by similar to 3 aEuro degrees from 1916 to 1992. With a formula proposed by Chikaraishi et al. (Limnol Oceanogr Method 7:740-750, 2009), we estimated the temporal variations in the trophic position of Isaza in Lake Biwa. The trophic position of Isaza remained quite constant (3.2-3.3) across a major eutrophication period in 1960-1980. The estimated trophic position of Isaza fish is consistent with the stomach content analysis in the previous reports. The constant trophic position suggests that the eutrophication did not apparently affect the trophic position of Isaza fish, although Isaza's dietary preference changed from zooplankton to gammarids around 1970.</t>
  </si>
  <si>
    <t>10.1007/s11284-012-0967-z</t>
  </si>
  <si>
    <t>Gomez, C; Hobson, KA; Bayly, NJ; Rosenberg, KV; Morales-Rozo, A; Cardozo, P; Cadena, CD</t>
  </si>
  <si>
    <t>Migratory connectivity then and now: a northward shift in breeding origins of a long-distance migratory bird wintering in the tropics</t>
  </si>
  <si>
    <t>blackpoll warbler; climate warming; migratory connectivity; population dynamics; deuterium; stable isotopes</t>
  </si>
  <si>
    <t>BOREAL FOREST BIRDS; BLACKPOLL WARBLER; CLIMATE-CHANGE; RANGE SHIFTS; POPULATION; DYNAMICS; NORTHERN; HYDROGEN; MIGRATIONS; DECLINES</t>
  </si>
  <si>
    <t>Temporal variation in the connectivity of populations of migratory animals has not been widely documented, despite having important repercussions for population ecology and conservation. Because the long-distance movements of migratory animals link ecologically distinct and geographically distant areas of the world, changes in the abundance and migratory patterns of species may reflect differential drivers of demographic trends acting over various spatial scales. Using stable hydrogen isotope analyses (delta H-2) of feathers from historical museum specimens and contemporary samples obtained in the field, we provide evidence for an approximately 600 km northward shift over 45 years in the breeding origin of a species of songbird of major conservation concern (blackpoll warbler, Setophaga striata) wintering in the foothills of the eastern Andes of Colombia. Our finding mirrors predictions of range shifts for boreal-breeding species under warming climate scenarios and habitat loss in the temperate zone, and underscores likely drivers of widespread declines in populations of migratory birds. Our work also highlights the value of natural history collections to document the effects of global change on biodiversity.</t>
  </si>
  <si>
    <t>10.1098/rspb.2021.0188</t>
  </si>
  <si>
    <t>Wang, JZ; Gu, BH; Ewe, SML; Wang, Y; Li, YC</t>
  </si>
  <si>
    <t>Stable isotope compositions of aquatic flora as indicators of wetland eutrophication</t>
  </si>
  <si>
    <t>ECOLOGICAL ENGINEERING</t>
  </si>
  <si>
    <t>Cattail; Everglades; Nutrient gradient; Phosphorus enrichment; Sawgrass; Stable isotopes</t>
  </si>
  <si>
    <t>PHOSPHORUS ENRICHMENT; EVERGLADES RESTORATION; FERTILIZER NITROGEN; REDOX INTENSITY; WATER-QUALITY; NUTRIENT; RESPONSES; PATTERNS; DISCRIMINATION; DELTA-N-15</t>
  </si>
  <si>
    <t>Carbon and nitrogen stable isotopes (delta C-13 and delta N-15) have been used as indicators for environmental changes in aquatic ecosystems. In this study, delta C-13 and delta N-15 values of select flora taxa were evaluated as indicators of human-induced eutrophication in an Everglades wetland which has been impaired by the source and quality of inflow and the alteration of hydrological pattern. Results showed that delta C-13 of cattail (Typha domingensis Pers.) increased with the decrease in total phosphorus (TP) concentration. Limited data for sawgrass (Cladium jamaicenses Crantz) collected at three study sites along the nutrient gradient also show a similar change in delta C-13. However, delta C-13 of periphyton and bladderwort (Utricularia sp.) decreased with the decrease in TP concentration. The elevated delta C-13 values of emergent vascular plants (cattail and sawgrass) were likely the results of decreases in stomatal conductance, carboxylation and C-13 fractionation under nutrient stress. This is supported by corresponding decreases in photosynthetic rate of cattail along the decreasing nutrient gradient. In contrast, delta N-15 values of all flora taxa increased with the increase in TP concentration. Findings from this study indicate that delta C-13 of emergent plants is a sensitive indicator for nutrient stress while delta N-15 of major flora species may serve as a robust indicator for wetland eutrophication. (C) 2015 Elsevier B.V. All rights reserved.</t>
  </si>
  <si>
    <t>10.1016/j.ecoleng.2015.06.007</t>
  </si>
  <si>
    <t>Hamer, KC; Newton, RJ; Edwards, FA; Benedick, S; Bottrell, SH; Edwards, DP</t>
  </si>
  <si>
    <t>Impacts of selective logging on insectivorous birds in Borneo: The importance of trophic position, body size and foraging height</t>
  </si>
  <si>
    <t>Biodiversity; Extinction; Foraging guild; Food-web; Southeast Asia; Tropical rainforest</t>
  </si>
  <si>
    <t>FOOD-CHAIN LENGTH; LIFE-HISTORY TRAITS; RAIN-FOREST BIRDS; TROPICAL FOREST; EXTINCTION RISK; FUNCTIONAL DIVERSITY; ECOSYSTEM SIZE; SPECIES RESPONSES; NORTHERN BORNEO; LOGGED FORESTS</t>
  </si>
  <si>
    <t>Habitat destruction and degradation are major drivers of biodiversity loss and attention is increasingly focused on how different traits of species affect their vulnerability. Dietary traits are critical in this respect, and are typically examined by assigning species to different feeding and foraging guilds. However, such guilds may mask large variation in species' trophic interactions, limiting our understanding of species' responses. Here we use stable isotopes to quantify trophic positions within a Family of insectivorous understory birds, the Timaliidae (babblers), within Bornean rainforests. We then relate changes in species' abundances following intensive selective logging of forest to their trophic positions, body sizes and foraging heights. We found that trophic positions within this single feeding guild spanned more than an entire trophic level. Moreover, changes in abundance following logging were significantly and independently related to mean trophic position in primary forest, body size and foraging height: large ground-feeding species occupying high trophic positions were more adversely affected than small understory-feeders with lower trophic positions. These three variables together explained 81% of the variance in species' responses to logging. The single most important predictor, however, was a species' mean trophic position. Species recorded in both habitats also had significantly higher trophic positions in logged forest. These data provide critical new understanding of species' responses to disturbance. They also indicate previously unrecognised functional changes to species assemblages following logging, highlighting the importance of numerical assessments of trophic position within individual feeding guilds. (C) 2014 Elsevier Ltd. All rights reserved.</t>
  </si>
  <si>
    <t>10.1016/j.biocon.2014.09.026</t>
  </si>
  <si>
    <t>Pandey, S; Cherubini, P; Saurer, M; Carrer, M; Petit, G</t>
  </si>
  <si>
    <t>Effects of climate change on treeline trees in Sagarmatha (Mt. Everest, Central Himalaya)</t>
  </si>
  <si>
    <t>JOURNAL OF VEGETATION SCIENCE</t>
  </si>
  <si>
    <t>Abies spectabilis; Betula utilis; climate change; stable isotopes; tree growth; treeline</t>
  </si>
  <si>
    <t>CARBON-ISOTOPE DISCRIMINATION; STABLE-ISOTOPES; TIME-SERIES; WATER; FOREST; DELTA-O-18; LIMITATION; CELLULOSE; GROWTH; NEPAL</t>
  </si>
  <si>
    <t>Question Tree growth at high altitude in the Himalayan region is limited by cold temperatures and also strongly influenced by the seasonality of the Asian monsoon. Understanding whether the ongoing increase in temperatures and changes in precipitation regimes in the Himalayan region can stimulate or limit tree growth is of particular importance to predict the local treeline dynamics. Location Altitudinal treeline (similar to 4000 m a.s.l.) in the Sagarmatha (Mt. Everest) National Park (Central Himalaya, Eastern Nepal). Methods We assessed the relationships between ring widths and monthly precipitations and mean temperatures, and analysed cellulose stable isotopes (delta 13C and delta 18O) and their derived C discrimination (Delta 13C), and intrinsic water use efficiency (iWUE) inAbies spectabilisandBetula utilisat the Himalayan treeline. Results Growth ofA. spectabilisstrongly depended on summer temperatures, whereas that ofB. utilison spring precipitation. delta 13C and iWUE increased with time in both species, especially inA. spectabilis. The long-term decrease in Delta 13C was accompanied by an increase in delta 18O in both species, thus suggesting an increase in photosynthetic efficiency rather than a stronger stomatal control of transpiration. Conclusions Climate change is progressively reducing the physiological limitations due to low temperatures and low spring precipitations at the Central Himalayan treeline, thus potentially facilitating a further altitudinal forest advance.</t>
  </si>
  <si>
    <t>10.1111/jvs.12921</t>
  </si>
  <si>
    <t>Kingsbury, KM; Gillanders, BM; Booth, DJ; Nagelkerken, I</t>
  </si>
  <si>
    <t>Trophic niche segregation allows range-extending coral reef fishes to co-exist with temperate species under climate change</t>
  </si>
  <si>
    <t>diet; niche use; ocean warming; range shifts; stable isotopes</t>
  </si>
  <si>
    <t>STABLE-ISOTOPE RATIOS; FRESH-WATER; DIETARY OVERLAP; METABOLIC-RATE; STREAM FISHES; MARINE; SHIFTS; CONSERVATION; COMPETITION; DIVERSITY</t>
  </si>
  <si>
    <t>Changing climate is forcing many terrestrial and marine species to extend their ranges poleward to stay within the bounds of their thermal tolerances. However, when such species enter higher latitude ecosystems, they engage in novel interactions with local species, such as altered predator-prey dynamics and competition for food. Here, we evaluate the trophic overlap between range-extending and local fish species along the east coast of temperate Australia, a hotspot for ocean warming and species range extensions. Stable isotope ratios (delta N-15 and delta C-13) of muscle tissue and stomach content analysis were used to quantify overlap of trophic niche space between vagrant tropical and local temperate fish communities along a 730 km (6 degrees) latitudinal gradient. Our study shows that in recipient temperate ecosystems, sympatric tropical and temperate species do not overlap significantly in their diet-even though they forage on broadly similar prey groups-and are therefore unlikely to compete for trophic niche space. The tropical and temperate species we studied, which are commonly found in shallow-water coastal environments, exhibited moderately broad niche breadths and local-scale dietary plasticity, indicating trophic generalism. We posit that because these species are generalists, they can co-exist under current climate change, facilitating the existence of novel community structures.</t>
  </si>
  <si>
    <t>10.1111/gcb.14898</t>
  </si>
  <si>
    <t>Pound, KL; Nowlin, WH; Huffman, DG; Bonner, TH</t>
  </si>
  <si>
    <t>Trophic ecology of a nonnative population of suckermouth catfish (Hypostomus plecostomus) in a central Texas spring-fed stream</t>
  </si>
  <si>
    <t>Biological invasion; Herbivory; Stable isotopes; Aquarium releases; Endangered species management</t>
  </si>
  <si>
    <t>SAN-MARCOS RIVER; BIOLOGICAL INVASIONS; INTRODUCED FISHES; WATER; STOICHIOMETRY; DETRITUS; DETRITIVORY; POSITION; NITROGEN; ANTONIO</t>
  </si>
  <si>
    <t>Introduced suckermouth catfishes (Family Loricariidae) are now established in a number of spring-influenced streams in North America but their impacts on native biota are not well documented. Purposes of this study were to quantify gut contents of the loricariid Hypostomus plecostomus from the San Marcos River in central Texas and to evaluate the role of H. plecostomus in the San Marcos River food web using stable isotope analysis. Gut content analysis indicated that H. plecostomus (N=36) primarily consumed amorphous detritus (87% in biovolume), filamentous red algae (5.4%), and picoplankton (4.1%). Macrophytes, macroinvertebrates, and fish eggs were not found in gut contents. Stable isotopes demonstrate that H. plecostomus occupies a trophic position indicative of an herbivore and likely utilizes detritus of algal origin. The results from our study suggest that large populations of H. plecostomus in the San Marcos River may directly compete with several native herbivorous fishes and may be disrupting trophic flows and nutrient cycling in spring-influenced streams of central and west Texas.</t>
  </si>
  <si>
    <t>10.1007/s10641-010-9741-7</t>
  </si>
  <si>
    <t>Nilsson, E; Solomon, CT; Wilson, KA; Willis, TV; Larget, B; Vander Zanden, MJ</t>
  </si>
  <si>
    <t>Effects of an invasive crayfish on trophic relationships in north-temperate lake food webs</t>
  </si>
  <si>
    <t>hierarchical Bayesian model; invasive species; lake food web; stable isotopes; trophic niche</t>
  </si>
  <si>
    <t>FRESH-WATER BIODIVERSITY; RUSTY CRAYFISH; ORCONECTES-RUSTICUS; STABLE-ISOTOPES; LONG-TERM; POSITION; STREAM; PRODUCTIVITY; METAANALYSIS; NITROGEN</t>
  </si>
  <si>
    <t>1. The introduction of invasive species is one of the main threats to global biodiversity, ecosystem structure and ecosystem processes. In freshwaters, invasive crayfish alter macroinvertebrate community structure and destroy macrophyte beds. There is limited knowledge on how such invasive species-driven changes affect consumers at higher trophic levels.</t>
  </si>
  <si>
    <t>10.1111/j.1365-2427.2011.02688.x</t>
  </si>
  <si>
    <t>Hayden, B; Harrod, C; Thomas, SM; Eloranta, AP; Myllykangas, JP; Siwertsson, A; Praebel, K; Knudsen, R; Amundsen, PA; Kahilainen, KK</t>
  </si>
  <si>
    <t>From clear lakes to murky waters - tracing the functional response of high-latitude lake communities to concurrent 'greening' and 'browning'</t>
  </si>
  <si>
    <t>cryptic energetic pathways; ecological stable states; habitat coupling; space-for-time; stable isotope analysis; trophic niche</t>
  </si>
  <si>
    <t>FOR-TIME SUBSTITUTION; CLIMATE-CHANGE; FOOD-WEB; TROPHIC POSITION; FISH; HABITAT; SPACE; DYNAMICS; IMPACTS; SHIFTS</t>
  </si>
  <si>
    <t>Climate change and the intensification of land use practices are causing widespread eutrophication of subarctic lakes. The implications of this rapid change for lake ecosystem function remain poorly understood. To assess how freshwater communities respond to such profound changes in their habitat and resource availability, we conducted a space-for-time analysis of food-web structure in 30 lakes situated across a temperature-productivity gradient equivalent to the predicted future climate of subarctic Europe (temperature +3 degrees C, precipitation +30% and nutrient +45 mu g L-1 total phosphorus). Along this gradient, we observed an increase in the assimilation of pelagic-derived carbon from 25 to 75% throughout primary, secondary and tertiary consumers. This shift was overwhelmingly driven by the consumption of pelagic detritus by benthic primary consumers and was not accompanied by increased pelagic foraging by higher trophic level consumers. Our data also revealed a convergence of the carbon isotope ratios of pelagic and benthic food web endmembers in the warmest, most productive lakes indicating that the incorporation of terrestrial derived carbon into aquatic food webs increases as land use intensifies. These results, reflecting changes along a gradient characteristic of the predicted future environment throughout the subarctic, indicate that climate and land use driven eutrophication and browning are radically altering the function and fuelling of aquatic food webs in this biome.</t>
  </si>
  <si>
    <t>10.1111/ele.13238</t>
  </si>
  <si>
    <t>Kristan, AK; Maiti, K; McMahon, KW; Dance, MA; Polito, MJ</t>
  </si>
  <si>
    <t>Biological and geochemical proxies in sediment cores reveal shifts in marine predator population dynamics relative to historic anthropogenic exploitation and recent climate change at South Georgia Island sub-Antarctic</t>
  </si>
  <si>
    <t>Antarctic fur seal; Climate change; Glacial retreat; King penguin; Paleoecology; Stable isotopes</t>
  </si>
  <si>
    <t>ROSS SEA REGION; ARCTOCEPHALUS-GAZELLA; PENGUIN POPULATIONS; FUR SEALS; RECORD; DISTRIBUTIONS; OCEAN; KRILL; VARIABILITY; CARBON</t>
  </si>
  <si>
    <t>Historical climate change and human exploitation are thought to have played important roles in shaping population dynamics of sub-Antarctic marine predators, such as king penguins (Aptenodytes patagonicus) and Antarctic fur seals (Arctocephalus gazelle). For example, Antarctic fur seals on the sub-Antarctic South Georgia Island were nearly hunted to extinction by humans before the early 1900s. However, records of occupation history pre- and post-anthropogenic stress are often sporadic and challenging to interpret. In this study, we investigated paleoecological proxies in sediment cores from South Georgia Island to examine past marine predator population dynamics in the face of climate change and exploitation pressure. Sediment cores representing 1854 CE to present were collected from two sites on South Georgia Island in the South Atlantic and analyzed for geochemical (total carbon, total nitrogen, delta C-13 and delta N-15 values) and biological (e.g., seal hairs, penguin feathers) proxies. Proxies in both cores indicated the onset of the recovery of penguin and fur seal populations in the early to mid-1900s, following the cessation of hunting. Additionally, our results suggest marked increases in both penguin and seal populations beginning around 1950 CE. Between the 1950s and 2019, 97% of South Georgia Island's glaciers retreated associated with recent climatic warming. This warming increased the availability of local breeding areas for king penguins, which likely explains the population rise during that time. This study deepens our understanding of the response of sub-Antarctic marine predator populations to past climate change and human exploitation, which may aid in predicting future ecosystem responses to environmental disturbance.</t>
  </si>
  <si>
    <t>10.1007/s00300-022-03067-8</t>
  </si>
  <si>
    <t>Moran, NP; Wong, BBM; Thompson, RM</t>
  </si>
  <si>
    <t>Communities at the extreme: Aquatic food webs in desert landscapes</t>
  </si>
  <si>
    <t>community; food webs; ground water; stable isotopes; temporary pools</t>
  </si>
  <si>
    <t>GREAT-ARTESIAN BASIN; ARID-ZONE; CHAIN LENGTH; TEMPORAL VARIABILITY; TROPHIC POSITION; SOUTH-AUSTRALIA; ECOSYSTEM SIZE; ORGANIC-CARBON; CLIMATE-CHANGE; NICHE BREADTH</t>
  </si>
  <si>
    <t>Studying food webs across contrasting abiotic conditions is an important tool in understanding how environmental variability impacts community structure and ecosystem dynamics. The study of extreme environments provides insight into community-wide level responses to environmental pressures with relevance to the future management of aquatic ecosystems. In the western Lake Eyre Basin of arid Australia, there are two characteristic and contrasting aquatic habitats: springs and rivers. Permanent isolated Great Artesian Basin springs represent hydrologically persistent environments in an arid desert landscape. In contrast, hydrologically variable river waterholes are ephemeral in space and time. We comprehensively sampled aquatic assemblages in contrasting ecosystem types to assess patterns in community composition and to quantify food web attributes with stable isotopes. Springs and rivers were found to have markedly different invertebrate communities, with rivers dominated by more dispersive species and springs associated with species that show high local endemism. Qualitative assessment of basal resources shows autochthonous carbon appears to be a key basal resource in both types of habitat, although the particular sources differed between habitats. Food-web variables such as trophic length, trophic breadth, and community isotopic niche size were relatively similar in the two habitat types. The basis for the similarity in food-web structure despite differences in community composition appears to be broader isotopic niches for predatory invertebrates and fish in springs as compared with rivers. In contrast to published theory, our findings suggest that the food webs of the hydrologically variable river sites may show less dietary generalization and more compact food-web modules than in springs.</t>
  </si>
  <si>
    <t>10.1002/ece3.5648</t>
  </si>
  <si>
    <t>Szejner, P; Wright, WE; Belmecheri, S; Meko, D; Leavitt, SW; Ehleringer, JR; Monson, RK</t>
  </si>
  <si>
    <t>Disentangling seasonal and interannual legacies from inferred patterns of forest water and carbon cycling using tree-ring stable isotopes</t>
  </si>
  <si>
    <t>cross-correlation; drought; high-resolution; North American Monsoon; paleoclimatology; precipitation; stable isotopes; vapor pressure deficit</t>
  </si>
  <si>
    <t>NORTH-AMERICAN MONSOON; LEAF WATER; UNITED-STATES; C-13/C-12 VARIATIONS; CLIMATE VARIABILITY; SUMMER RAINFALL; OXYGEN ISOTOPES; ATMOSPHERIC CO2; PRECIPITATION; DROUGHT</t>
  </si>
  <si>
    <t>Tree-ring carbon and oxygen isotope ratios have been used to understand past dynamics in forest carbon and water cycling. Recently, this has been possible for different parts of single growing seasons by isolating anatomical sections within individual annual rings. Uncertainties in this approach are associated with correlated climate legacies that can occur at a higher frequency, such as across successive seasons, or a lower frequency, such as across years. The objective of this study was to gain insight into how legacies affect cross-correlation in the C-13 and O-18 isotope ratios in the earlywood (EW) and latewood (LW) fractions of Pinus ponderosa trees at thirteen sites across a latitudinal gradient influenced by the North American Monsoon (NAM) climate system. We observed that C-13 from EW and LW has significant positive cross-correlations at most sites, whereas EW and LW O-18 values were cross-correlated at about half the sites. Using combined statistical and mechanistic models, we show that cross-correlations in both C-13 and O-18 can be largely explained by a low-frequency (multiple-year) mode that may be associated with long-term climate change. We isolated, and statistically removed, the low-frequency correlation, which resulted in greater geographical differentiation of the EW and LW isotope signals. The remaining higher-frequency (seasonal) cross-correlations between EW and LW isotope ratios were explored using a mechanistic isotope fractionation-climate model. This showed that lower atmospheric vapor pressure deficits associated with monsoon rain increase the EW-LW differentiation for both C-13 and O-18 at southern sites, compared to northern sites. Our results support the hypothesis that dominantly unimodal precipitation regimes, such as near the northern boundary of the NAM, are more likely to foster cross-correlations in the isotope signals of EW and LW, potentially due to greater sharing of common carbohydrate and soil water resource pools, compared to southerly sites with bimodal precipitation regimes.</t>
  </si>
  <si>
    <t>10.1111/gcb.14395</t>
  </si>
  <si>
    <t>Rubenstein, MA; Christophersen, R; Ransom, JI</t>
  </si>
  <si>
    <t>Trophic implications of a phenological paradigm shift: Bald eagles and salmon in a changing climate</t>
  </si>
  <si>
    <t>bald eagle; climate change; flood; Haliaeetus leucocephalus; hydroelectric management; phenology; salmon; trophic interactions</t>
  </si>
  <si>
    <t>PACIFIC SALMON; IMPACTS; MARINE</t>
  </si>
  <si>
    <t>Climate change influences apex predators in complex ways, due to their important trophic position, capacity for resource plasticity, and sensitivity to numerous anthropogenic stressors. Bald eagles, an ecologically and culturally significant apex predator, congregate seasonally in high densities on salmon spawning rivers across the Pacific Northwest. One of the largest eagle concentrations is in the Skagit River watershed, which connects the montane wilderness of North Cascades National Park to the Puget Sound. Using multiple long-term datasets, we evaluated local bald eagle abundance in relation to chum and coho salmon availability; salmon phenology; and the number and timing of flood events in the Skagit. We analysed changes over time as a reflection of climate change impacts, as well as differences between managed and unmanaged portions of the river. We found that peaks in chum salmon and bald eagle presence have advanced at remarkably similar rates (c. 0.45 days/year), suggesting synchronous phenological responses within this trophic relationship. Yet the temporal relationship between chum salmon spawning and flood events, which remove salmon carcasses from the system, has not remained constant. This has resulted in a paradigm shift whereby the peak of chum spawning now occurs before the first flood event of the season rather than after. The interval between peak chum and first flood event was a significant predictor of bald eagle presence: as this interval grew over time (by nearly one day per year), bald eagle counts declined, with a steady decrease in bald eagle observations since 2002. River section was also an important factor, with fewer flood events, and more eagle observations occurring in the river section experiencing direct hydroelectric flow management. Synthesis and applications. The effects of climate change and hydroelectric management contribute to a complex human footprint in the North Cascades National Park, an otherwise largely natural ecosystem. By accounting for the differential phenological impacts of climate change on bald eagles, salmon, and flood events, Park managers and the operators of the hydroelectric system can more effectively ensure the resilience of the eagle-salmon relationship along the Skagit River.</t>
  </si>
  <si>
    <t>10.1111/1365-2664.13286</t>
  </si>
  <si>
    <t>Trochine, C; Guerrieri, M; Liboriussen, L; Willems, P; Lauridsen, TL; Sondergaard, M; Jeppesen, E</t>
  </si>
  <si>
    <t>Factors controlling the stable isotope composition and C:N ratio of seston and periphyton in shallow lake mesocosms with contrasting nutrient loadings and temperatures</t>
  </si>
  <si>
    <t>carbon stable isotopes; climate warming; eutrophication; nitrogen stable isotopes; primary producers</t>
  </si>
  <si>
    <t>PARTICULATE ORGANIC-MATTER; FRESH-WATER; CARBON ISOTOPES; NATURAL-ABUNDANCE; CHLOROPHYLL-A; FOOD WEBS; NITROGEN; NITRATE; PHYTOPLANKTON; MARINE</t>
  </si>
  <si>
    <t>1. Carbon (C) and nitrogen (N) stable isotope composition (N-15:N-14, delta N-15 and C-13:C-12, delta C-13) have been widely used to elucidate changes in aquatic ecosystem dynamics created by eutrophication and climate warming, often, however, without accounting for seasonal variation. 2. Here, we aim to determine the factors controlling the stable isotope composition and C:N ratio of seston and periphyton in shallow lakes with contrasting nutrient loadings and climate; for this purpose, we followed the monthly stable isotope composition (c. 1 year) of seston (SES) and periphyton (PER) in 24 mesocosms mimicking shallow lakes with two nutrient treatments (enriched and unenriched) and three temperature scenarios (ambient, +3 and +5 degrees C). 3. Nutrient enrichment and warming had a stronger impact on the delta N-15 and delta C-13 values of seston than on periphyton, and the temporal isotopic variability in both communities was large. 4. delta N-15(PER) did not differ markedly between nutrient treatments, whereas delta N-15(SES) was lower in the enriched mesocosms, possibly reflecting higher N-2-fixation by cyanobacteria. delta N-15(SES) was higher in winter in the heated mesocosms and its dynamics was linked with that of NH4-N, whereas delta N-15(PER) showed a stronger association with NO3-N delta N-15(SES) demonstrated a positive relationship with mean monthly temperature, indicating less isotope fractionation among autotrophs when production increased. 5. delta C-13(SES) was lowest in the enriched mesocosms during winter, whereas delta C-13(PER) did not differ between nutrient treatments. delta C-13(SES) and delta C-13(PER) were positively related to pH, likely reflecting a pH-induced differential access to dissolved carbon species in the primary producers. The positive delta C-13-temperature relationship suggested less fractionation of CO2 and HCO3- and/or larger use of HCO3- at higher temperatures. 6. The C:N ratios varied seasonally and the differences between the enriched and unenriched mesocosms were stronger for seston than for periphyton. Particularly, the C:N-SES ratios did not indicate deficiencies in N as opposed to the C: N-PER ratios, supporting the observed changes in delta N-15 and suggesting that seston and periphyton have access to different sources of nutrients. We did not observe any clear effect of temperature warming on the C:N ratios. 7. Our study provides evidence of strong seasonality in the isotopic composition and C:N ratios of seston and periphyton across nutrient and temperature levels; also, we identified several factors that are likely to modulate the strength and variability in stable isotopes values and stoichiometry of sestonic and periphytic communities under these scenarios.</t>
  </si>
  <si>
    <t>10.1111/fwb.12971</t>
  </si>
  <si>
    <t>Su, HJ; Feng, YH; Chen, JF; Chen, J; Ma, SH; Fang, JY; Xie, P</t>
  </si>
  <si>
    <t>Determinants of trophic cascade strength in freshwater ecosystems: a global analysis</t>
  </si>
  <si>
    <t>eutrophication; global change; meta-analysis; trophic cascade; trophic level; warming</t>
  </si>
  <si>
    <t>TOP-DOWN CONTROL; BODY-SIZE; LATITUDINAL GRADIENT; NUTRIENT ENRICHMENT; PLANT-COMMUNITIES; CLIMATE-CHANGE; METAANALYSIS; TEMPERATURE; FISH; MECHANISMS</t>
  </si>
  <si>
    <t>Top-down cascade effects are among the most important mechanisms underlying community structure and abundance dynamics in aquatic and terrestrial ecosystems worldwide. A current challenge is understanding the factors controlling trophic cascade strength under global environmental changes. Here, we synthesized 161 global sites to analyze how multiple factors influence consumer-resource interactions with fish in freshwater ecosystems. Fish have a profound negative effect on zooplankton and water clarity but positive effects on primary producers and water nutrients. Furthermore, fish trophic levels can modify the strength of trophic cascades, but an even number of food chain length does not have a negative effect on primary producers in real ecosystems. Eutrophication, warming, and predator abundance strengthen the trophic cascade effects on phytoplankton, suggesting that top-down control will be increasingly important under future global environmental changes. We found no influence or even an increasing trophic cascade strength (e.g., phytoplankton) with increasing latitude, which does not support the widespread view that the trophic cascade strength increases closer to the equator. With increasing temporal and spatial scales, the experimental duration has an accumulative effect, whereas the experimental size is not associated with the trophic cascade strength. Taken together, eutrophication, warming, temporal scale, and predator trophic level and abundance are pivotal to understanding the impacts of multiple environmental factors on the trophic cascade strength. Future studies should stress the possible synergistic effect of multiple factors on the food web structure and dynamics.</t>
  </si>
  <si>
    <t>e03370</t>
  </si>
  <si>
    <t>10.1002/ecy.3370</t>
  </si>
  <si>
    <t>Linzmaier, SM; Twardochleb, LA; Olden, JD; Mehner, T; Arlinghaus, R</t>
  </si>
  <si>
    <t>Size-dependent foraging niches of European Perch Perca fluviatilis (Linnaeus, 1758) and North American Yellow Perch Perca flavescens (Mitchill, 1814)</t>
  </si>
  <si>
    <t>Trophic Ecology; Trophic Position; Stable Isotopes; Perch; Body Size</t>
  </si>
  <si>
    <t>STABLE-ISOTOPE SIGNATURES; TROPHIC POSITION; BODY-SIZE; FOOD-WEB; ONTOGENIC NICHE; LARGEMOUTH BASS; STRUCTURED POPULATIONS; INDIVIDUAL VARIATION; DIET SPECIALIZATION; FISH COMMUNITIES</t>
  </si>
  <si>
    <t>Body size of consumer species is a fundamental trait that influences the trophic ecology of individuals and their contribution to the functioning of freshwater ecosystems. However, the relationship between body size and trophic ecology can be highly variable both within and between closely-related and similarly-sized species. In this study we compared the intra- and interspecific relationship between body size and trophic position for North American Yellow Perch Perca flavescens and European Perch Perca fluviatilis, which share similarities in morphology, life history traits and trophic requirements. We used stable isotope ratios (delta N-15 and delta C-13) to characterize differences in size-dependency of trophic position and to trace consumer foraging history of Yellow Perch in lakes in the Northwestern United States and European Perch in lakes in Germany. The trophic position and stable isotope ratios of Yellow Perch and European Perch steadily increased with total body length, but European Perch were consistently feeding at higher trophic positions than Yellow Perch at a given length. European Perch occupied considerably higher trophic positions (mean trophic position = 3.9) than Yellow Perch (mean trophic position = 2.8). Large European Perch were increasingly piscivorous, whereas large Yellow Perch were more opportunistic and omnivorous predators of invertebrate prey. Overall, the trophic position among individual Yellow Perch varied more strongly than in European Perch. We conclude that both species similarly increase in trophic position with size, but the specific size-dependency of both trophic position and resource use varies with taxonomy and local ecological conditions. Thus, body size as a sole measure of trophic position should be considered cautiously when generalizing across populations and species.</t>
  </si>
  <si>
    <t>10.1007/s10641-017-0678-y</t>
  </si>
  <si>
    <t>Kershaw, JL; De la Vega, C; Jeffreys, RM; Frie, AK; Haug, T; Mahaffey, C; Mettam, C; Stenson, G; Smout, S</t>
  </si>
  <si>
    <t>Compound-specific isotope analyses of harp seal teeth: tools for trophic ecology reconstruction</t>
  </si>
  <si>
    <t>Phocid seals; Foraging specialisation; Isotopic niche; Trophic position; Diet; Dentine; Inert tissues</t>
  </si>
  <si>
    <t>FOOD-WEB STRUCTURE; PAGOPHILUS-GROENLANDICUS; NITROGEN-ISOTOPE; PHOCA-GROENLANDICA; STABLE-ISOTOPES; CARBON-ISOTOPE; AGE ESTIMATION; CLIMATE-CHANGE; HARBOR SEALS; AMINO-ACIDS</t>
  </si>
  <si>
    <t>As sentinels of ecosystem health, high trophic level predators integrate information through all levels of the food web. Their tissues can be used to investigate spatiotemporal variability in foraging behaviour, and with the appropriate analytical methods and tools, archived samples can be used to reconstruct past trophic interactions. Harp seal Pagophilus groenlandicus teeth collected in the 1990s from the Northwest Atlantic were analysed for bulk stable carbon and nitrogen isotopes (delta C-13(bulk) and delta N-15(bulk)), and compound-specific stable nitrogen isotopes of amino acids (delta N-15(AA)) for the first time. We developed a fine-scale, annual growth layer group (GLG) dentine sub-sampling method corresponding to the second and third year of life. In accordance with previous diet studies, while there was individual variability in delta N-15(bulk), delta C-13(bulk) and delta N-15(AA) measurements, we did not detect significant differences in isotopic niche widths between males and females, or between GLGs. Relative trophic position was calculated as the baseline-corrected delta N-15(AA) values using trophic (glutamic acid) and source (phenylalanine and glycine) amino acids. Variability was measured between individuals in their relative trophic position, but withinindividual variability was low, suggesting that they fed at the same trophic level over these 2 yr of life. These novel delta N-15(AA) data may therefore suggest individual, specialist harp seal foraging behaviour in sub-adults. Our findings show that compound-specific stable isotope signatures of archived, inert predator tissues can be used as tools for the retrospective reconstruction of trophic interactions on broad spatiotemporal scales.</t>
  </si>
  <si>
    <t>10.3354/meps13867</t>
  </si>
  <si>
    <t>Dobson, A; Lodge, D; Alder, J; Cumming, GS; Keymer, J; McGlade, J; Mooney, H; Rusak, JA; Sala, O; Wolters, V; Wall, D; Winfree, R; Xenopoulos, MA</t>
  </si>
  <si>
    <t>Habitat loss, trophic collapse, and the decline of ecosystem services</t>
  </si>
  <si>
    <t>biodiversity; conservation; ecosystem function; ecosystem services; food web; Little Rock Lake; species-area; species loss; trophic collapse</t>
  </si>
  <si>
    <t>FOOD-CHAIN LENGTH; EXPERIMENTAL ACIDIFICATION; BIODIVERSITY; DIVERSITY; AREA; EXTINCTION; LAKE; PRODUCTIVITY; COMMUNITIES; PERFORMANCE</t>
  </si>
  <si>
    <t>The provisioning of sustaining goods and services that we obtain from natural ecosystems is a strong economic justification for the conservation of biological diversity. Understanding the relationship between these goods and services and changes in the size, arrangement, and quality of natural habitats is a fundamental challenge of natural resource management. In this paper, we describe a new approach to assessing the implications of habitat loss for loss of ecosystem services by examining how the provision of different ecosystem services is dominated by species from different trophic levels. We then develop a mathematical model that illustrates how declines in habitat quality and quantity lead to sequential losses of trophic diversity. The model suggests that declines in the provisioning of services will initially be slow but will then accelerate as species from higher trophic levels are lost at faster rates. Comparison of these patterns with empirical examples of ecosystem collapse (and assembly) suggest similar patterns occur in natural systems impacted by anthropogenic change. In general, ecosystem goods and services provided by species in the upper trophic levels will be lost before those provided by species lower in the food chain. The decrease in terrestrial food chain length predicted by the model parallels that observed in the oceans following overexploitation. The large area requirements of higher trophic levels make them as susceptible to extinction as they are in marine systems where they are systematically exploited. Whereas the traditional species-area curve suggests that 50% of species are driven extinct by an order-of-magnitude decline in habitat abundance, this magnitude of loss may represent the loss of an entire trophic level and all the ecosystem services performed by the species on this trophic level.</t>
  </si>
  <si>
    <t>10.1890/0012-9658(2006)87[1915:HLTCAT]2.0.CO;2</t>
  </si>
  <si>
    <t>Jackson, BK; Sullivan, SMP</t>
  </si>
  <si>
    <t>Responses of riparian tetragnathid spiders to wildfire in forested ecosystems of the California Mediterranean climate region, USA</t>
  </si>
  <si>
    <t>aquatic-terrestrial linkages; Mediterranean; riparian spiders; trophic position; wildfire; precipitation; climate</t>
  </si>
  <si>
    <t>FOOD-CHAIN LENGTH; MACROINVERTEBRATE COMMUNITIES; STABLE-ISOTOPES; AQUATIC INSECTS; SIERRA-NEVADA; STREAM; FIRE; DYNAMICS; LANDSCAPE; FLUX</t>
  </si>
  <si>
    <t>Mediterranean ecosystems of California are characterized by high interannual variability in precipitation and susceptibility to frequent high-severity wildfires. Variability in precipitation and fire severity are likely to become more pronounced because of climate change, but their relative effects on linked aquatic-terrestrial components of Mediterranean ecosystems have received limited attention. We investigated the effects of wildfire on riparian spiders of the family Tetragnathidae, which are common shoreline consumers that can be highly reliant on aquatic food resources in stream ecosystems. From 2011-2012, we assessed stream geomorphology; density and community composition of aquatic benthic macroinvertebrates; and density, Hg body loads, trophic position (TP), and reliance on aquatically derived energy (based on naturally abundant C and N isotopes) of tetragnathid spiders in study sections of 12 paired stream reaches in Yosemite National Park. The riparian zone of one member of each pair had experienced a high-severity wildfire, whereas the riparian zone of its counterpart had experienced a low-severity fire. After the 2013 Rim Fire, we resurveyed a subset of these variables in study sections of 4 reaches by means of a paired before-after-control-impact design. We also explored how reach-and catchment-scale variability might affect spider density and trophic dynamics. Differences in spider responses between paired sections were not statistically significant, but model-selection results suggested that variability in benthic invertebrate density, catchment-scale fire frequency, and precipitation were important drivers of spider density and TP. The consistent signal of precipitation across multiple spider responses suggests that climate variability could have greater effects on aquatic-terrestrial ecological linkages than the influence of fire alone.</t>
  </si>
  <si>
    <t>10.1086/683682</t>
  </si>
  <si>
    <t>Wang, CH; Chen, Z; Unteregelsbacher, S; Lu, HY; Gschwendtner, S; Gasche, R; Kolar, A; Schloter, M; Kiese, R; Butterbach-Bahl, K; Dannenmann, M</t>
  </si>
  <si>
    <t>Climate change amplifies gross nitrogen turnover in montane grasslands of Central Europe in both summer and winter seasons</t>
  </si>
  <si>
    <t>ammonia-oxidizing archaea; ammonia-oxidizing bacteria; freeze-thaw; frozen soil; gross N mineralization; gross nitrification; montane grassland</t>
  </si>
  <si>
    <t>AMMONIA-OXIDIZING ARCHAEA; NITRIFICATION RATES; N MINERALIZATION; GAS FLUXES; TEMPERATURE SENSITIVITY; MICROBIAL COMMUNITIES; SPECIES COMPOSITION; SEMIARID GRASSLAND; SATURATED SPRUCE; OXIDE EMISSIONS</t>
  </si>
  <si>
    <t>The carbon- and nitrogen-rich soils of montane grasslands are exposed to above-average warming and to altered precipitation patterns as a result of global change. To investigate the consequences of climatic change for soil nitrogen turnover, we translocated intact plant-soil mesocosms along an elevational gradient, resulting in an increase of the mean annual temperature by approx. 2 degrees C while decreasing precipitation from approx. 1500 to 1000mm. Following three years of equilibration, we monitored the dynamics of gross nitrogen turnover and ammonia-oxidizing bacteria (AOB) and archaea (AOA) in soils over an entire year. Gross nitrogen turnover and gene levels of AOB and AOA showed pronounced seasonal dynamics. Both summer and winter periods equally contributed to cumulative annual N turnover. However, highest gross N turnover and abundance of ammonia oxidizers were observed in frozen soil of the climate change site, likely due to physical liberation of organic substrates and their rapid turnover in the unfrozen soil water film. This effect was not observed at the control site, where soil freezing did not occur due to a significant insulating snowpack. Climate change conditions accelerated gross nitrogen mineralization by 250% on average. Increased N mineralization significantly stimulated gross nitrification by AOB rather than by AOA. However, climate change impacts were restricted to the 2-6cm topsoil and rarely occurred at 12-16cm depth, where generally much lower N turnover was observed. Our study shows that significant mineralization pulses occur under changing climate, which is likely to result in soil organic matter losses with their associated negative impacts on key soil functions. We also show that N cycling processes in frozen soil can be hot moments for N turnover and thus are of paramount importance for understanding seasonal patterns, annual sum of N turnover and possible climate change feedbacks.</t>
  </si>
  <si>
    <t>10.1111/gcb.13353</t>
  </si>
  <si>
    <t>Whitney, JE; Holloway, JA; Wright, JT; Boroughs, KL; Goodreau, RE; McManis, AL; Pistorius, AP; Puritty, DK; Ramirez, MA; Styers, RA</t>
  </si>
  <si>
    <t>Assessing the invasion history and contemporary diet of nonnative redear sunfish (Lepomis microlophus Gunther, 1859) in an ecotonal riverscape</t>
  </si>
  <si>
    <t>distribution; abundance; ontogenetic niche shift; introduced species; sportfish; diet; stream</t>
  </si>
  <si>
    <t>FISH COMMUNITY; CLIMATE-CHANGE; GREAT-PLAINS; ECOLOGY; SHINER; BASIN</t>
  </si>
  <si>
    <t>The redear sunfish (Lepomis microlophus Gunther, 1859) is widely-introduced as a sportfish in the United States and globally. The redear sunfish can become invasive when introduced to lentic waterbodies, but the outcome of lotic introductions has received less attention. As such, we evaluated trends in the distribution and abundance of introduced redear sunfish throughout the Spring River subbasin (SRS) of southeastern Kansas during 1962-2019 using five separate datasets. We also examined contemporary diet of the redear sunfish in the SRS during 2018 at sites where it was most abundant to determine if its diet differed from the native range. The SRS included low-velocity, turbid streams draining the Cherokee Lowlands and Osage Cuestas physiographic regions and high-velocity, clear streams flowing through the Ozark Plateau. Streams across all physiographic regions in the SRS are ill-suited to the Redear Sunfish, which prefers low water velocity coupled with high water clarity. We found that the redear sunfish exhibited a restricted distribution with low relative abundance in the SRS throughout the entire study period. Furthermore, its contemporary diet was dominated by non-biting midge larvae (Chironomidae), seed shrimp (Ostracoda), fingernail clams (Sphaeriidae), and snails (Gastropoda), similar to its diet in the native range. The inability of redear sunfish to achieve widespread prevalence in the SRS at least 50 years after introduction likely stems from habitat in the SRS being a poor match to its niche requirements. However, future environmental alterations resulting from human activity and climate change (e. g., dewatering and lentification in streams of the Ozark Plateau) could make conditions in the SRS more suitable for redear sunfish. As such, continued monitoring will be necessary to determine if the prevalence of the redear sunfish in the SRS of Kansas changes in the future.</t>
  </si>
  <si>
    <t>10.3391/ai.2021.16.3.09</t>
  </si>
  <si>
    <t>Kakela, A; Furness, RW; Kelly, A; Strandberg, U; Waldron, S; Kakela, R</t>
  </si>
  <si>
    <t>Fatty acid signatures and stable isotopes as dietary indicators in North Sea seabirds</t>
  </si>
  <si>
    <t>fatty acid signatures; stable isotopes; fisheries; foraging ecology; common murre; seabirds; north sea</t>
  </si>
  <si>
    <t>TROPHIC RELATIONSHIPS; GREAT SKUAS; COMMERCIAL FISHERIES; FOOD; FISH; INVERTEBRATES; LIPIDS; BLOOD; GULLS; RATES</t>
  </si>
  <si>
    <t>Fatty acid signatures (FAS) of plasma and stable isotopes of carbon (8 13 C) and nitrogen (delta N-15) of red blood cells were determined in northern gannets Morus bassanus, great skuas Sterco-rarius skua, shags Phalacrocorax aristotelis, and common guillemots Uria aalge from colonies in the North Sea (collected 2002 to 2003) in order to compare foraging ecologies, and especially to assess the extent to which birds feed on demersal or pelagic prey. The biochemical markers in great skua and gannet indicated that these species feed at a relatively high trophic level, and high variance, especially in great skua, demonstrated either a wide range of food types, individual dietary specialisation or both. The biochemical markers suggested that demersal fish are important constituents of great skua and gannet diets, and thus changes in fisheries discard rates probably influence these populations. In contrast, clear pelagic characteristics and low variance in the markers showed that the diet of common guillemots and shags is pelagic and varies little in composition. Comparison with the reference FAS data for North Sea fish confirmed the dependence of common guillemots on few shoaling pelagic species of fish, probably mainly young sandeels Ammodytes marinus.</t>
  </si>
  <si>
    <t>10.3354/meps342291</t>
  </si>
  <si>
    <t>Coen, LD; Luckenbach, MW</t>
  </si>
  <si>
    <t>Developing success criteria and goals for evaluating oyster reef restoration: Ecological function or resource exploitation?</t>
  </si>
  <si>
    <t>oyster; Crassostrea virginica; restoration; biogenic reefs; estuarine; shellfish; South Carolina; Virginia; fisheries management</t>
  </si>
  <si>
    <t>MUSSEL GEUKENSIA-DEMISSA; CRASSOSTREA-VIRGINICA; CHESAPEAKE BAY; SALT-MARSH; ECOSYSTEM MANAGEMENT; SETTLEMENT BEHAVIOR; EASTERN OYSTER; RIBBED MUSSEL; SHORE LEVEL; LARVAE</t>
  </si>
  <si>
    <t>Habitat restoration encompasses a broad range of activities, emphasizing very different issues, goals, and approaches depending on the operational definition of 'restoration'. This is particularly true for many shellfish (molluscan) dominated systems (e.g. oyster reefs, mussel beds, vermetid gastropod reefs). In contrast to other well-studied biogenic habitats, such as seagrasses, mangroves, or salt marshes, bivalves are directly consumed as a resource. Hence resource extraction has direct consequences for habitat health. Restoration objectives have typically included reduction of public health risks through improved water quality to increase harvest. Restoration or enhancement of populations of commercially exploited shellfish depressed by overharvesting and/or reduced environmental quality remains the principal motivation behind most shellfish 'restoration' efforts. Direct and indirect ecosystem services (e.g. filtering capacity, benthic-pelagic coupling, nutrient dynamics, sediment stabilization, provision of habitat, etc.) derived fi om oyster habitat have been largely ignored or underestimated. Only recently, the restoration of lost ecological function associated with shellfish communities has been included in our discussions and related research examining habitat development and function through a scientific approach. The former area has been reviewed extensively and will not be out focus here. In this review, we examine some of the restoration efforts made in the name of fisheries enhancement, address their effectiveness, and discuss some of the issues associated with realizing the broader goal of ecological restoration. We note the importance of linking success criteria to specific goals and make the case for. a gl cater need in clarifying the ecological functions of shellfish and shellfish habitats. We recognize the limitations of existing datasets and summarize ongoing attempts to address oyster habitat restoration throughout the broad geographic distribution of the American oyster, Crassostrea virginica (Gmelin). In many ways this topic parallels the ongoing debate over 'attraction versus production' associated with artificial reef management. We consider how local conditions (e.g. tidal range, bottom topography, turbidity, salinity) and resulting habitat traits affect restoration strategies. We also discuss the underappreciated value of shellfish populations from those areas designated as closed to harvesting due to their intrinsic worth as habitat/larval reserves. The necessity of ecosystem (adaptive) management strategies emerges from this discussion. Finally, this overview supports our contention that shellfish habitat should be included in discussions of 'essential fish habitats' (or EFH). (C) 2000 Elsevier Science B.V. All rights reserved.</t>
  </si>
  <si>
    <t>3-4</t>
  </si>
  <si>
    <t>10.1016/S0925-8574(00)00084-7</t>
  </si>
  <si>
    <t>Lorenzini, S; Baroni, C; Fallick, AE; Baneschi, I; Salvatore, MC; Zanchetta, G; Dallai, L</t>
  </si>
  <si>
    <t>Stable isotopes reveal Holocene changes in the diet of Ad,lie penguins in Northern Victoria Land (Ross Sea, Antarctica)</t>
  </si>
  <si>
    <t>Adelie penguins; Stable isotopes; Paleodiet; Holocene</t>
  </si>
  <si>
    <t>TERRA-NOVA BAY; ADELIE PENGUINS; CLIMATE; CARBON; DELTA-N-15; HISTORY; FRACTIONATION; DELTA-C-13; ROOKERIES; EGGSHELL</t>
  </si>
  <si>
    <t>Ad,lie penguin (Pygoscelis adeliae) modern and fossil eggshells and guano samples collected from ornithogenic soils in Terra Nova Bay (Victoria Land, Ross Sea) were processed for carbon and nitrogen isotopic ratios with the aim of detecting past penguin dietary changes. A detailed and greatly expanded Ad,lie penguin dietary record dated back to 7,200 years BP has been reconstructed for the investigated area. Our data indicate a significant dietary shift between fish and krill, with a gradual decrease from past to present time in the proportion of fish compared to krill in Ad,lie penguin diet. From 7,200 to 2,000 years BP, delta C-13 and delta N-15 values indicate fish as the most eaten prey. The dietary contribution of lower-trophic prey in penguin diet started becoming evident not earlier than 2,000 years BP, when the delta C-13 values reveal a change in the penguin feeding behavior. Modern eggshell and guano samples reveal a major dietary contribution of krill but not a krill-dominated diet, since delta C-13 values remain much too high if krill prevail in the diet. According to the Holocene environmental background attested for Victoria Land, Ad,lie penguin dietary shifts between fish and krill seem to reflect penguin paleoecological responses to different paleoenvironmental settings with different conditions of sea-ice extension and persistence. Furthermore, Ad,lie penguin diet appears to be particularly affected by environmental changes in a very specific period within the breeding season, namely the egg-laying period when penguin dietary and feeding habit shifts are clearly documented by the delta C-13 of eggshell carbonate.</t>
  </si>
  <si>
    <t>10.1007/s00442-010-1790-2</t>
  </si>
  <si>
    <t>Hoen, DK; Kim, SL; Hussey, NE; Wallsgrove, NJ; Drazen, JC; Popp, BN</t>
  </si>
  <si>
    <t>Amino acid N-15 trophic enrichment factors of four large carnivorous fishes</t>
  </si>
  <si>
    <t>Amino acid; Crimson snapper; Elasmobranch; Stable isotope; Trophic enrichment factor; Trophic position</t>
  </si>
  <si>
    <t>NITROGEN ISOTOPIC COMPOSITION; STABLE ISOTOPES; DELTA-N-15; POSITION; ECOLOGY; DIET; OSMOREGULATION; DISCRIMINATION; MODELS; VALUES</t>
  </si>
  <si>
    <t>Ecosystem-based fisheries management strategies require knowledge of trophic relationships. Trophic position (TP) estimates from compound specific nitrogen isotopic analysis of amino acids (AA-CSIA) show promise as the method can disentangle confounding factors associated with changing delta N-15 values at the base of the food web, but it has yet to be tested in many organisms. This novel technique requires two empirically determined biological parameters: 1)13, the difference in delta N-15 values between glutamic acid (glu) and phenylalanine (phe) in primary producers and 2) trophic enrichment factor (TEF), the N-15 enrichment of glu and phe at each trophic step. Values of beta (3.4%circle.) and TEF (7.6%circle.) have been suggested for animals in aquatic environments: however recent observations indicate that TEF values may be variable, particularly among elasmobranchs where urea retention may alter nitrogen isotope fractionation between glu and phe. To test these uncertainties, we determined TEF values for three species of sharks, sand tiger (Carcharias taurus), lemon (Negaprion brevirostris), and leopard sharks (Triakis semifasciata), and one teleost species, opakapaka (Pristipomoides filamentosus) grown on controlled and well characterized diets for durations ranging from three (T. semifasciata) to over five years (P. filamentosus). TEF values for both elasmobranchs and opakapaka were similar to 2%., significantly lower than TEFs previously reported. These results do not support the hypothesis that urea retention lowers N-15 trophic enrichment between glu and phe in elasmobranchs. Rather, isotopic enrichment factors may be primarily driven by differences in dietary protein quality, leading to distinct TEFs for herbivores (similar to 7.6%.) and carnivores (&lt;7.6%circle.). We propose a method to calculate TP which integrates different TEF values for herbivores and carnivores. Published by Elsevier B.V.</t>
  </si>
  <si>
    <t>10.1016/j.jembe.2014.01.006</t>
  </si>
  <si>
    <t>Space use patterns affect stable isotopes of polar bears (Ursus maritimus) in the Beaufort Sea</t>
  </si>
  <si>
    <t>Space use; Stable isotopes; Beaufort sea; Polar bears; Ursus maritimus</t>
  </si>
  <si>
    <t>ICE-FREE PERIOD; RINGED SEALS; ALASKAN BEAUFORT; NITROGEN-ISOTOPE; CARBON-ISOTOPE; CLIMATE-CHANGE; PHOCA-HISPIDA; HABITAT USE; PREDATORY BEHAVIOR; TERRESTRIAL FOODS</t>
  </si>
  <si>
    <t>Space use patterns vary within a population and can influence diet composition of individuals. Within the Beaufort Sea, polar bears (Ursus maritimus) either use offshore areas and follow sea ice retreat (pelagic) or utilize nearshore areas (coastal), exposing individuals to different food sources. We examine the relationship between coastal and pelagic space use patterns and diet quantified by stable isotopes (delta N-15 and delta C-13) of polar bears in the Beaufort Sea between 2007 and 2011. We examined spatial fidelity using home range overlap and assigned bears to one of two space use patterns (coastal or pelagic) based on proximity of home ranges to the coast. We estimated diet composition using inter- and intratissue variability in stable isotopes from hair and claws to examine seasonal shifts in diet. Sectioning of claws provided additional insights on diet, but guard hair sections did not. Polar bears showed spatial fidelity between years. Nitrogen stable isotopes were related to space use patterns. Coastal bears were N-15-depleted compared to pelagic bears due to coastal bears being enriched in N-15 possibly from either scavenging on bowhead whale carcasses (Balaena mysticetus) killed during subsistence hunts or pelagic bears being nutritionally stressed. Although upper trophic level predators can provide insight into trophic dynamics and changes in ecosystem function, knowledge of space use patterns and foraging behavior is an important aspect of diet interpretation.</t>
  </si>
  <si>
    <t>10.1007/s00300-019-02546-9</t>
  </si>
  <si>
    <t>Granda, E; Rossatto, DR; Camarero, JJ; Voltas, J; Valladares, F</t>
  </si>
  <si>
    <t>Growth and carbon isotopes of Mediterranean trees reveal contrasting responses to increased carbon dioxide and drought</t>
  </si>
  <si>
    <t>Climate change; Intrinsic water-use efficiency; Tree rings; Physiological responses; Atmospheric carbon dioxide</t>
  </si>
  <si>
    <t>WATER-USE EFFICIENCY; CLIMATE-CHANGE IMPACTS; ATMOSPHERIC CO2; STABLE-CARBON; RING WIDTH; FOREST; DISCRIMINATION; DELTA-C-13; PRECIPITATION; VULNERABILITY</t>
  </si>
  <si>
    <t>Forest dynamics will depend upon the physiological performance of individual tree species under more stressful conditions caused by climate change. In order to compare the idiosyncratic responses of Mediterranean tree species (Quercus faginea, Pinus nigra, Juniperus thurifera) coexisting in forests of central Spain, we evaluated the temporal changes in secondary growth (basal area increment; BAI) and intrinsic water-use efficiency (iWUE) during the last four decades, determined how coexisting species are responding to increases in atmospheric CO2 concentrations (C (a)) and drought stress, and assessed the relationship among iWUE and growth during climatically contrasting years. All species increased their iWUE (ca. +15 to +21 %) between the 1970s and the 2000s. This increase was positively related to C (a) for J. thurifera and to higher C (a) and drought for Q. faginea and P. nigra. During climatically favourable years the study species either increased or maintained their growth at rising iWUE, suggesting a higher CO2 uptake. However, during unfavourable climatic years Q. faginea and especially P. nigra showed sharp declines in growth at enhanced iWUE, likely caused by a reduced stomatal conductance to save water under stressful dry conditions. In contrast, J. thurifera showed enhanced growth also during unfavourable years at increased iWUE, denoting a beneficial effect of C (a) even under climatically harsh conditions. Our results reveal significant inter-specific differences in growth driven by alternative physiological responses to increasing drought stress. Thus, forest composition in the Mediterranean region might be altered due to contrasting capacities of coexisting tree species to withstand increasingly stressful conditions.</t>
  </si>
  <si>
    <t>10.1007/s00442-013-2742-4</t>
  </si>
  <si>
    <t>Bonan, GB; Levis, S; Sitch, S; Vertenstein, M; Oleson, KW</t>
  </si>
  <si>
    <t>A dynamic global vegetation model for use with climate models: concepts and description of simulated vegetation dynamics</t>
  </si>
  <si>
    <t>biogeography; climate model; dynamic global vegetation model; vegetation dynamics</t>
  </si>
  <si>
    <t>NORTHERN-HEMISPHERE CLIMATE; LAND-SURFACE CLIMATOLOGY; AMERICAN BOREAL FORESTS; HUBBARD BROOK ECOSYSTEM; NET PRIMARY PRODUCTION; CARBON BALANCE; STOMATAL CONDUCTANCE; ARABIAN PENINSULA; AFRICAN MONSOON; TAIGA FORESTS</t>
  </si>
  <si>
    <t>Changes in vegetation structure and biogeography due to climate change feedback to alter climate by changing fluxes of energy, moisture, and momentum between land and atmosphere. While the current class of land process models used with climate models parameterizes these fluxes in detail, these models prescribe surface vegetation and leaf area from data sets. In this paper, we describe an approach in which ecological concepts from a global vegetation dynamics model are added to the land component of a climate model to grow plants interactively. The vegetation dynamics model is the Lund-Potsdam-Jena (LPJ) dynamic global vegetation model. The land model is the National Center for Atmospheric Research (NCAR) Land Surface Model (LSM). Vegetation is defined in terms of plant functional types. Each plant functional type is represented by an individual plant with the average biomass, crown area, height, and stem diameter (trees only) of its population, by the number of individuals in the population, and by the fractional cover in the grid cell. Three time-scales (minutes, days, and years) govern the processes. Energy fluxes, the hydrologic cycle, and carbon assimilation, core processes in LSM, occur at a 20 min time step. Instantaneous net assimilated carbon is accumulated annually to update vegetation once a year. This is carried out with the addition of establishment, resource competition, growth, mortality, and fire parameterizations from LPJ. The leaf area index is updated daily based on prevailing environmental conditions, but the maximum value depends on the annual vegetation dynamics. The coupling approach is successful. The model simulates global biogeography, net primary production, and dynamics of tundra, boreal forest, northern hardwood forest, tropical rainforest, and savanna ecosystems, which are consistent with observations. This suggests that the model can be used with a climate model to study biogeophysical feedbacks in the climate system related to vegetation dynamics.</t>
  </si>
  <si>
    <t>10.1046/j.1365-2486.2003.00681.x</t>
  </si>
  <si>
    <t>Kohler, TJ; Murdock, JN; Gido, KB; Dodds, WK</t>
  </si>
  <si>
    <t>Nutrient loading and grazing by the minnow Phoxinus erythrogaster shift periphyton abundance and stoichiometry in mesocosms</t>
  </si>
  <si>
    <t>algae; ecological stoichiometry; fish; nutrient cycling; prairie streams</t>
  </si>
  <si>
    <t>STREAM ECOSYSTEM STRUCTURE; ECOLOGICAL STOICHIOMETRY; TOP-DOWN; FUNCTIONAL DIFFERENCES; TROPICAL STREAM; WATER VELOCITY; FISH; NITROGEN; PHOSPHORUS; EXCRETION</t>
  </si>
  <si>
    <t>P&gt;1. Anthropogenic activities in prairie streams are increasing nutrient inputs and altering stream communities. Understanding the role of large consumers such as fish in regulating periphyton structure and nutritional content is necessary to predict how changing diversity will interact with nutrient enrichment to regulate stream nutrient processing and retention. 2. We characterised the importance of grazing fish on stream nutrient storage and cycling following a simulated flood under different nutrient regimes by crossing six nutrient concentrations with six densities of a grazing minnow (southern redbelly dace, Phoxinus erythrogaster) in large outdoor mesocosms. We measured the biomass and stoichiometry of overstory and understory periphyton layers, the stoichiometry of fish tissue and excretion, and compared fish diet composition with available algal assemblages in pools and riffles to evaluate whether fish were selectively foraging within or among habitats. 3. Model selection indicated nutrient loading and fish density were important to algal composition and periphyton carbon (C): nitrogen (N). Nutrient loading increased algal biomass, favoured diatom growth over green algae and decreased periphyton C : N. Increasing grazer density did not affect biomass and reduced the C : N of overstory, but not understory periphyton. Algal composition of dace diet was correlated with available algae, but there were proportionately more diatoms present in dace guts. We found no correlation between fish egestion/excretion nutrient ratios and nutrient loading or fish density despite varying N content of periphyton. 4. Large grazers and nutrient availability can have a spatially distinct influence at a microhabitat scale on the nutrient status of primary producers in streams.</t>
  </si>
  <si>
    <t>10.1111/j.1365-2427.2010.02557.x</t>
  </si>
  <si>
    <t>Penick, CA; Savage, AM; Dunn, RR</t>
  </si>
  <si>
    <t>Stable isotopes reveal links between human food inputs and urban ant diets</t>
  </si>
  <si>
    <t>urban ecology; nutrition; stable isotopes; New York; ants; Tetramorium</t>
  </si>
  <si>
    <t>TROPHIC POSITION; ECOLOGY; URBANIZATION; EXPLOITATION; EVOLUTION; DENSITIES; ABUNDANCE; HABITAT; EXAMPLE; MODELS</t>
  </si>
  <si>
    <t>The amount of energy consumed within an average city block is an order of magnitude higher than that consumed in any other ecosystem over a similar area. This is driven by human food inputs, but the consequence of these resources for urban animal populations is poorly understood. We investigated the role of human foods in ant diets across an urbanization gradient in Manhattan using carbon and nitrogen stable isotopes. We found that some-but not all-ant species living in Manhattan's most urbanized habitats had delta C-13 signatures associated with processed human foods. In particular, pavement ants (Tetramorium sp. E) had increased levels of delta C-13 similar to delta C-13 levels in human fast foods. The magnitude of this effect was positively correlated with urbanization. By contrast, we detected no differences in delta N-15, suggesting Tetramorium feeds at the same trophic level despite shifting to human foods. This pattern persisted across the broader ant community; species in traffic islands used human resources more than park species. Our results demonstrate that the degree urban ants exploit human resources changes across the city and among species, and this variation could play a key role in community structure and ecosystem processes where human and animal food webs intersect.</t>
  </si>
  <si>
    <t>10.1098/rspb.2014.2608</t>
  </si>
  <si>
    <t>Logan, J; Haas, H; Deegan, L; Gaines, E</t>
  </si>
  <si>
    <t>Turnover rates of nitrogen stable isotopes in the salt marsh mummichog, Fundulus heteroclitus, following a laboratory diet switch</t>
  </si>
  <si>
    <t>discrimination; liver; metabolism; N-15; trophic level</t>
  </si>
  <si>
    <t>PROTEIN-SYNTHESIS; TROPHIC POSITION; CARBON; DELTA-N-15; DELTA-C-13; TISSUES; RATIOS; MUSCLE; FRACTIONATION; INDICATORS</t>
  </si>
  <si>
    <t>Nitrogen stable isotopes are frequently used in ecological studies to estimate trophic position and determine movement patterns. Knowledge of tissue-specific turnover and nitrogen discrimination for the study organisms is important for accurate interpretation of isotopic data. We measured delta N-15 turnover in liver and muscle tissue in juvenile mummichogs, Fundulus heteroclitus, following a laboratory diet switch. Liver tissue turned over significantly faster than muscle tissue suggesting the potential for a multiple tissue stable isotope approach to study movement and trophic position over different time scales; metabolism contributed significantly to isotopic turnover for both liver and muscle. Nitrogen diet-tissue discrimination was estimated at between 0.0 and 1.2(degrees)/(degrees degrees) for liver and -1.0 and 0.2(degrees)/(degrees degrees) for muscle. This is the first experiment to demonstrate a significant variation in delta N-15 turnover between liver and muscle tissues in a fish species.</t>
  </si>
  <si>
    <t>10.1007/s00442-005-0277-z</t>
  </si>
  <si>
    <t>Stuart, KC; Sherwin, WB; Austin, JJ; Bateson, M; Eens, M; Brandley, MC; Rollins, LA</t>
  </si>
  <si>
    <t>Historical museum samples enable the examination of divergent and parallel evolution during invasion</t>
  </si>
  <si>
    <t>MOLECULAR ECOLOGY</t>
  </si>
  <si>
    <t>adaptation; divergent evolution; invasion; parallel evolution; Sturnus vulgaris</t>
  </si>
  <si>
    <t>STARLING STURNUS-VULGARIS; CELL-CYCLE PROGRESSION; POPULATION DECLINE; BEAK MORPHOLOGY; ADAPTATION; CHROMOSOME; POLLUTION; PATHWAYS; PATTERNS; SUCCESS</t>
  </si>
  <si>
    <t>During the Anthropocene, Earth has experienced unprecedented habitat loss, native species decline and global climate change. Concurrently, greater globalization is facilitating species movement, increasing the likelihood of alien species establishment and propagation. There is a great need to understand what influences a species' ability to persist or perish within a new or changing environment. Examining genes that may be associated with a species' invasion success or persistence informs invasive species management, assists with native species preservation and sheds light on important evolutionary mechanisms that occur in novel environments. This approach can be aided by coupling spatial and temporal investigations of evolutionary processes. Here we use the common starling, Sturnus vulgaris, to identify parallel and divergent evolutionary change between contemporary native and invasive range samples and their common ancestral population. To do this, we use reduced-representation sequencing of native samples collected recently in northwestern Europe and invasive samples from Australia, together with museum specimens sampled in the UK during the mid-19th century. We found evidence of parallel selection on both continents, possibly resulting from common global selective forces such as exposure to pollutants. We also identified divergent selection in these populations, which might be related to adaptive changes in response to the novel environment encountered in the introduced Australian range. Interestingly, signatures of selection are equally as common within both invasive and native range contemporary samples. Our results demonstrate the value of including historical samples in genetic studies of invasion and highlight the ongoing and occasionally parallel role of adaptation in both native and invasive ranges.</t>
  </si>
  <si>
    <t>10.1111/mec.16353</t>
  </si>
  <si>
    <t>Andolina, C; Signa, G; Cilluffo, G; Iannucci, S; Mazzola, A; Vizzini, S</t>
  </si>
  <si>
    <t>Coexisting with the alien: Evidence for environmental control on trophic interactions between a native (Atherina boyeri) and a non-indigenous fish species (Gambusia holbrooki) in a Mediterranean coastal ecosystem</t>
  </si>
  <si>
    <t>biological invasion; alien species; stable isotopes; mosquitofish; sand smelt; coastal ponds</t>
  </si>
  <si>
    <t>INTRODUCED EASTERN MOSQUITOFISH; STABLE CARBON; SAND SMELT; SPATIAL VARIABILITY; FEEDING ECOLOGY; ISOTOPE RATIOS; NICHE WIDTH; FOOD; NITROGEN; CONSEQUENCES</t>
  </si>
  <si>
    <t>Biological invasions are a widespread problem worldwide, as invasive non-indigenous species (NIS) may affect native populations through direct (e. g., predation) or indirect (e.g., competition) trophic interactions, leading to changes in the food web structure. The trophic relationships of the invasive eastern mosquitofish Gambusia holbrooki and the native big-scale sand smelt Atherina boyeri coexisting in three Mediterranean coastal ponds characterized by different trophic statuses (from oligotrophic to hypereutrophic) were assessed in spring through isotopic niche analysis and Bayesian mixing models. The two fish relied on the distinctive trophic pathways in the different ponds, with the evidence of minimal interspecific niche overlap indicating site-specific niche divergence mechanisms. In more detail, under hypereutrophic and mesotrophic conditions, the two species occupied different trophic positions but relying on a single trophic pathway, whereas, under oligotrophic conditions, both occupied a similar trophic position but belonging to distinct trophic pathways. Furthermore, the invaders showed the widest niche breadth while the native species showed a niche compression and displacement in the ponds at a higher trophic status compared to the oligotrophic pond. We argue that this may be the result of an asymmetric competition arising between the two species because of the higher competitive ability of G. holbrooki and may have been further shaped by the trophic status of the ponds, through a conjoint effect of prey availability and habitat complexity. While the high trophic plasticity and adaptability of both species to different environmental features and resource availability may have favored their coexistence through site-specific mechanisms of niche segregation, we provide also empirical evidence of the importance of environmental control in invaded food webs, calling for greater attention to this aspect in future studies.</t>
  </si>
  <si>
    <t>10.3389/fevo.2022.958467</t>
  </si>
  <si>
    <t>Reddin, CJ; Kocsis, AT; Kiessling, W</t>
  </si>
  <si>
    <t>Marine invertebrate migrations trace climate change over 450 million years</t>
  </si>
  <si>
    <t>delta O-18; fossil; latitude; out of the tropics; Paleobiology Database; Phanerozoic; sampling bias; time series</t>
  </si>
  <si>
    <t>RANGE SHIFTS; REEF CORALS; DIVERSITY; EXTINCTION; DYNAMICS; TEMPERATURES; ORIGINATION; SENSITIVITY; COMPONENTS; GRADIENT</t>
  </si>
  <si>
    <t>Aim: Poleward migration is a clear response of marine organisms to current global warming but the generality and geographical uniformity of this response are unclear. Marine fossils are expected to record the range shift responses of taxa and ecosystems to past climate change. However, unequal sampling (natural and human) in time and space biases the fossil record, restricting previous studies of ancient migrations to individual taxa and events. We expect that temporal changes in the latitudinal distribution of surviving taxa will reveal range shifts to trace global climate change. Location: Global. Time period: Post-Cambrian Phanerozoic aeon. Major taxa studied: Well-fossilized marine benthic invertebrates comprising stony corals, bivalves, gastropods, brachiopods, trilobites and calcifying sponges. Methods: We track deviations in the latitudinal distribution of range centres of age boundary crossing taxa from the expected distribution, and compare responses across latitudes. We build deviation time series, spanning hundreds of million years, from fossil occurrences and test correlations with seawater temperature estimates derived from stable oxygen isotopes of fossils. Results: Seawater temperature and latitudinal deviations from sampling are positively correlated over the post-Cambrian Phanerozoic. Simulations suggest that sampling patterns are highly unlikely to drive this putative signal of range shifts. Systematically accounting for known sampling issues strengthens this correlation, so that climate is capable of explaining nearly a third of the variance in ancient latitudinal range shifts. The relationship is stronger in low latitude taxa than higher latitude taxa, and in warm ages than cool ages. Main conclusions: Latitudinal range shifts occurred in concert with climate change throughout the post-Cambrian Phanerozoic. Low latitude taxa show the clearest climate-migration signal through time, corroborating predictions of their shift in a warming future.</t>
  </si>
  <si>
    <t>10.1111/geb.12732</t>
  </si>
  <si>
    <t>Gomez-Guerrero, A; Silva, LCR; Barrera-Reyes, M; Kishchuk, B; Velazquez-Martinez, A; Martinez-Trinidad, T; Plascencia-Escalante, FO; Horwath, WR</t>
  </si>
  <si>
    <t>Growth decline and divergent tree ring isotopic composition (13C and 18O) contradict predictions of CO2 stimulation in high altitudinal forests</t>
  </si>
  <si>
    <t>Abies religiosa; climate change; CO 2; drought stress; high-elevation forests; Mexico; Pinus hartwegii; stable isotopes</t>
  </si>
  <si>
    <t>WATER-USE EFFICIENCY; RADIAL GROWTH; STOMATAL CONDUCTANCE; STABLE-ISOTOPES; CARBON ISOTOPES; LAND-COVER; PINE; ECOSYSTEMS; RANGE; DELTA-C-13</t>
  </si>
  <si>
    <t>Human-induced changes in atmospheric composition are expected to affect primary productivity across terrestrial biomes. Recent changes in productivity have been observed in many forest ecosystems, but low-latitude upper tree line forests remain to be investigated. Here, we use dendrochronological methods and isotopic analysis to examine changes in productivity, and their physiological basis, in Abies religiosa (Ar) and Pinus hartwegii (Ph) trees growing in high-elevation forests of central Mexico. Six sites were selected across a longitudinal transect (Transverse Volcanic Axis), from the Pacific Ocean toward the Gulf of Mexico, where mature dominant trees were sampled at altitudes ranging from 3200 to 4000masl. A total of 60 Ar and 84 Ph trees were analyzed to describe changes in growth (annual-resolution) and isotopic composition (decadal-resolution) since the early 1900s. Our results show an initial widespread increase in basal area increment (BAI) during the first half of the past century. However, BAI has decreased significantly since the 1950s with accentuated decline after the 1980s in both species and across sites. We found a consistent reduction in atmosphere to wood 13C discrimination, resulting from increasing water use efficiency (2060%), coinciding with rising atmospheric CO2. Changes in 13C discrimination were not followed, however, by shifts in tree ring 18O, indicating site- and species-specific differences in water source or uptake strategy. Our results indicate that CO2 stimulation has not been enough to counteract warming-induced drought stress, but other stressors, such as progressive nutrient limitation, could also have contributed to growth decline. Future studies should explore the distinct role of resource limitation (water vs. nutrients) in modulating the response of high-elevation ecosystems to atmospheric change.</t>
  </si>
  <si>
    <t>10.1111/gcb.12170</t>
  </si>
  <si>
    <t>Becklin, KM; Medeiros, JS; Sale, KR; Ward, JK</t>
  </si>
  <si>
    <t>Evolutionary history underlies plant physiological responses to global change since the last glacial maximum</t>
  </si>
  <si>
    <t>stomatal index; packrat middens; stomatal conductance; climate change; last glacial maximum; Atmospheric [CO2]; leaf nitrogen content; maximum photosynthetic capacity</t>
  </si>
  <si>
    <t>WATER-USE EFFICIENCY; CARBON-ISOTOPE DISCRIMINATION; BREA TAR PITS; ATMOSPHERIC CO2; PHOTOSYNTHETIC ACCLIMATION; BRISTLECONE-PINE; ELEVATED CO2; RESOURCE-USE; GREAT-BASIN; TREES</t>
  </si>
  <si>
    <t>Assessing family- and species-level variation in physiological responses to global change across geologic time is critical for understanding factors that underlie changes in species distributions and community composition. Here, we used stable carbon isotopes, leaf nitrogen content and stomatal measurements to assess changes in leaf-level physiology in a mixed conifer community that underwent significant changes in composition since the last glacial maximum (LGM) (21kyr BP). Our results indicate that most plant taxa decreased stomatal conductance and/or maximum photosynthetic capacity in response to changing conditions since the LGM. However, plant families and species differed in the timing and magnitude of these physiological responses, and responses were more similar within families than within co-occurring species assemblages. This suggests that adaptation at the level of leaf physiology may not be the main determinant of shifts in community composition, and that plant evolutionary history may drive physiological adaptation to global change over recent geologic time.</t>
  </si>
  <si>
    <t>10.1111/ele.12271</t>
  </si>
  <si>
    <t>Riccialdelli, L; Newsome, SD; Dellabianca, NA; Bastida, R; Fogel, ML; Goodall, RNP</t>
  </si>
  <si>
    <t>Ontogenetic diet shift in Commerson's dolphin (Cephalorhynchus commersonii commersonii) off Tierra del Fuego</t>
  </si>
  <si>
    <t>Stable isotopes; Diet; Cephalorhynchus commersonii commersonii; Subantarctic waters</t>
  </si>
  <si>
    <t>CARBON-ISOTOPE FRACTIONATION; STABLE-ISOTOPE; OXYGEN STORES; TURSIOPS-TRUNCATUS; NITROGEN; TEETH; AGE; PATAGONIA; SEALS; DELTA-N-15</t>
  </si>
  <si>
    <t>The Commerson's dolphin (Cephalorhynchus c. commersonii, Lac,pSde, 1804) is the most common endemic dolphin of the coastal waters of Tierra del Fuego incidentally caught in artisanal coastal gill nets. A better understanding of its trophic ecology is essential to facilitate the effective management and conservation of its population. The aim of this study was to analyze possible shifts in diet among age and sex classes by analyzing bone collagen delta C-13 and delta N-15 values collected from 220 individuals along the coast of Tierra del Fuego. Additional analysis of potential prey allowed us to use a stable isotope mixing model to quantify resource use. Isotopic comparisons suggest that all age classes share the same foraging areas. We found, however, a significant dietary shift: juveniles consume a higher mean (+/- SD) proportion (60 +/- A 7 %) of pelagic Sprattus fuegensis than adults (36 +/- A 10 %), and the consumption of benthopelagic species such as Illex argentinus and Loligo gahi is higher in adults (33 +/- A 12 %) than juveniles (20 +/- A 7 %). This may result from an improvement in foraging skills and expansion of habitats in adulthood. While males move greater distances in search of mates and resources, a lack of isotopic differences between the sexes suggests little evidence for sex-related resource partitioning. A significant decrease in delta N-15 values between calves and juveniles indicates a weaning period between 0.5 and 1 year as was shown in previous captive studies on this species. Our results also suggest that artisanal fisheries, despite being a major source of mortality, do not affect the long-term food habits of Commerson's dolphin since they showed a weak trophic overlap.</t>
  </si>
  <si>
    <t>10.1007/s00300-013-1289-5</t>
  </si>
  <si>
    <t>Byers, JE</t>
  </si>
  <si>
    <t>Physical habitat attribute mediates biotic resistance to non-indigenous species invasion</t>
  </si>
  <si>
    <t>Cancer productus; introduced species; physical-biological coupling; predator-free space; soft-sediment communities</t>
  </si>
  <si>
    <t>CALLINECTES-SAPIDUS RATHBUN; FORAGING BEHAVIOR; BLUE CRABS; INTERSPECIFIC COMPETITION; PROTOTHACA-STAMINEA; INTERTIDAL ZONATION; MARINE PREDATOR; DUNGENESS CRAB; PREY SIZE; CLAM</t>
  </si>
  <si>
    <t>A soft-shelled non-indigenous clam, Nuttallia obscurata, has invaded coastal soft-sediment habitats of the northeastern Pacific. In a survey of 35 sites within the San Juan Islands, Washington, USA, Nuttallia was found almost exclusively in sandy substrates, higher in the intertidal than most native clams (&gt;1 m above mean lower low water). The distinctive distribution of Nuttallia suggested that tidal height and sediment composition may be important physical factors that control its refuge availability, regulating its exposure to predation and ultimately the success of its invasion. I tethered Nuttallia for 24 h in the high intertidal where it is typically found and in the low intertidal at an elevation where it was never found. Clams restrained to the surface suffered high mortality from crab predation at both tidal heights, whereas control clams with unrestricted burrowing movement exhibited high mortality rates only in the low intertidal. In a second experiment, I transplanted sediment within and between the two intertidal heights to measure effects of tidal height and sediment type on survival and burial depth of Nuttallia. At both tidal heights all clams placed on mud-cobble substrate, naturally common in the low intertidal, suffered high mortality rates (&gt; 60% in 24 h). Nuttallia on loosely packed sand substrate, naturally found in the upper intertidal, survived much better, however, because they buried deeper than in the tightly packed mud. Caged control clams at both tidal heights suffered no mortality. Apparently native predators are mitigating community level impacts of an invader by excluding Nuttallia completely from some beaches with improper sediment characteristics or relegating it in others to a zone not often inhabited by native species, thereby reducing potential competitive interactions. These findings show that a physical habitat characteristic can mediate biotic resistance to an invader and thus control invasion success and community-level impacts. Generally, such physical-biological interactions may explain some of the reported site-to-site variability in invasion Success, as well as the patchy distribution of many soft-sediment infaunal species.</t>
  </si>
  <si>
    <t>10.1007/s004420100777</t>
  </si>
  <si>
    <t>Estrada, JA; Rice, AN; Natanson, LJ; Skomal, GB</t>
  </si>
  <si>
    <t>Use of isotopic analysis of vertebrae in reconstructing ontogenetic feeding ecology in white sharks</t>
  </si>
  <si>
    <t>Carcharodon carcharias; conservation tool; diet history; elasmobranch; feeding ecology; onlogeny; stable isotope analysis; trophic shift; vertebrae; white shark</t>
  </si>
  <si>
    <t>STABLE-ISOTOPES; TROPHIC POSITION; NITROGEN; DIET; DELTA-N-15; CARBON; FISH; TISSUES; RATIOS; DELTA-C-13</t>
  </si>
  <si>
    <t>We conducted stable C-13 and N-15 analysis on white shark vertebrae and demonstrated that incremental analysis of isotopes along the radius of a vertebral centrum produces a chronological record of dietary information, allowing for reconstruction of an individual's trophic history. Isotopic data showed significant enrichments ill N-15 with increasing sampling distance from the centrum center, indicating a correlation between body size and trophic level. Additionally, isotopic values verified two distinct ontogenctic trophic shifts in the white shark: one following parturition, marking a dietary switch from yolk to fish; and one at a total length of &gt; 341 cm, representing a known diet shift from fish to marine mammals. Retrospective trophic-level reconstruction using vertebral tissue will have broad applications in future studies on the ecology of threatened, endangered, or extinct species to determine life-long feeding patterns, which would be impossible through other methods.</t>
  </si>
  <si>
    <t>10.1890/0012-9658(2006)87[829:UOIAOV]2.0.CO;2</t>
  </si>
  <si>
    <t>Chessman, BC</t>
  </si>
  <si>
    <t>Relationships between lotic macroinvertebrate traits and responses to extreme drought</t>
  </si>
  <si>
    <t>climate change; drought; macroinvertebrate; river; trait</t>
  </si>
  <si>
    <t>MURRAY-DARLING BASIN; 2 INTERMITTENT STREAMS; HYPOXIC BLACKWATER EVENT; BIG DRY; COMMUNITY STRUCTURE; BIOLOGICAL TRAITS; PROLONGED DROUGHT; AQUATIC INSECTS; AUSTRALIA; RIVER</t>
  </si>
  <si>
    <t>The prospect of increasing drought intensity in many river basins under climate change threatens the persistence of vulnerable freshwater species. Understanding how the traits of each species affect its resistance and resilience to drought may help to identify those species at most risk and elucidate the mechanisms by which impacts occur. I analysed macroinvertebrate monitoring data collected from rivers across Australia's Murray-Darling Basin (&gt;10(6)km(2)) during the middle and later stages of the recent decade-long Millennium Drought and the initial post-drought period. I tested the ability of eight traits, expressing aspects of life history, diet and environmental tolerance, to explain changes in the broad-scale prevalence (the proportion of sites with observed presence) of macroinvertebrate families during and after the drought. The rate of basin-scale change in the riverine macroinvertebrate assemblage was least in the final stages of the drought. Immediately after the drought, the assemblage did not shift back towards its mid-drought state but instead moved further away. Eleven families that had a statistically significant fall in prevalence during the drought did not increase afterwards. Negative responses to drought were associated with slower maturation, absence of atmospheric respiration, high rheophily and low thermophily. Positive responses to cessation of drought were associated with having a holometabolous life cycle, greater requirements for dissolved oxygen, high rheophily and low thermophily. Because several traits were related to drought vulnerability, management to mitigate the adverse ecological effects of future droughts should consider a number of mechanisms by which drought has an effect. These include a loss of flowing water that supports rheophilous species, inadequate duration of wetting for species with a long aquatic phase, and effects of high temperature and hypoxia on species requiring cool conditions and well-aerated water. A revival of research on the life histories of freshwater invertebrate species and more information on oxygen requirements and temperature and desiccation tolerance are needed to improve our ability to predict the effects of drought.</t>
  </si>
  <si>
    <t>10.1111/fwb.12466</t>
  </si>
  <si>
    <t>Hiltunen, TA; Stien, A; Vaisanen, M; Ropstad, E; Aspi, JO; Welker, JM</t>
  </si>
  <si>
    <t>Svalbard reindeer winter diets: Long-term dietary shifts to graminoids in response to a changing climate</t>
  </si>
  <si>
    <t>Arctic; climate change; diet; graminoids; rain-on-snow; Rangifer tarandus platyrhynchus; stable isotope; Svalbard; Svalbard reindeer; trophic niche</t>
  </si>
  <si>
    <t>SIMULATED ENVIRONMENTAL-CHANGE; RANGIFER-TARANDUS; ISOTOPE FRACTIONATION; STABLE-ISOTOPES; ARCTIC CARIBOU; WILD REINDEER; DYNAMICS; CARBON; HERBIVORES; IMPACTS</t>
  </si>
  <si>
    <t>Arctic ecosystems are changing dramatically with warmer and wetter conditions resulting in complex interactions between herbivores and their forage. We investigated how Svalbard reindeer (Rangifer tarandus platyrhynchus) modify their late winter diets in response to long-term trends and interannual variation in forage availability and accessibility. By reconstructing their diets and foraging niches over a 17-year period (1995-2012) using serum delta C-13 and delta N-15 values, we found strong support for a temporal increase in the proportions of graminoids in the diets with a concurrent decline in the contributions of mosses. This dietary shift corresponds with graminoid abundance increases in the region and was associated with increases in population density, warmer summer temperatures and more frequent rain-on-snow (ROS) in winter. In addition, the variance in isotopic niche positions, breadths, and overlaps also supported a temporal shift in the foraging niche and a dietary response to extreme ROS events. Our long-term study highlights the mechanisms by which winter and summer climate changes cascade through vegetation shifts and herbivore population dynamics to alter the foraging niche of Svalbard reindeer. Although it has been anticipated that climate changes in the Svalbard region of the Arctic would be detrimental to this unique ungulate, our study suggests that environmental change is in a phase where conditions are improving for this subspecies at the northernmost edge of the Rangifer distribution.</t>
  </si>
  <si>
    <t>10.1111/gcb.16420</t>
  </si>
  <si>
    <t>Miller, AK; Sydeman, WJ</t>
  </si>
  <si>
    <t>Rockfish response to low-frequency ocean climate change as revealed by the diet of a marine bird over multiple time scales</t>
  </si>
  <si>
    <t>climate change; regime shift; PDO; juvenile rockfish; Sebastes spp; common murre; Uria aalge; intra-annual variability</t>
  </si>
  <si>
    <t>CALIFORNIA CURRENT SYSTEM; LONG-TERM TRENDS; PACIFIC; SEBASTES; VARIABILITY; SEABIRDS; GROWTH; STATE; POPULATIONS; PERFORMANCE</t>
  </si>
  <si>
    <t>We examined the effects of ocean climate variability on juvenile rockfish Sebastes spp. from 1975-2002 in the central California Current by examining the diet of a local marine bird, the common murre Uria aalge, on multiple temporal scales. Responses to higher-frequency climate change (interannual El Nino and La Nina events) were strong, with declines in rockfish take in warm-water years. Responses to low-frequency climate events (e.g. shifts of the Pacific Decadal Oscillation, PDO) were less obvious. Inter-annual patterns showed no response to the 1976-1977 regime shift to warmer PDO conditions. Instead, rockfish use declined beginning in 1989, corresponding to another suggested regime change, then rebounded shortly after the hypothesized return to a cool phase of the PDO in the late 1990s. Intra-annual diet patterns, however, revealed changes in rockfish use well before 1989. These signals indicate that declines may have corresponded to the 1976-1977 regime shift but were lagged, possibly due to the long lifespan and intermittent recruitment of rockfish. This interpretation is supported by local upwelling patterns that show a lagged correlation between upwelling and juvenile rockfish abundance in the marine bird diet.</t>
  </si>
  <si>
    <t>10.3354/meps281207</t>
  </si>
  <si>
    <t>Brewster, JD; Giraldo, C; Swanson, H; Walkusz, W; Loewen, TN; Reist, JD; Stern, GA; Loseto, LL</t>
  </si>
  <si>
    <t>Ecological niche of coastal Beaufort Sea fishes defined by stable isotopes and fatty acids</t>
  </si>
  <si>
    <t>Niche; Stable isotopes; Fatty acids; Marine protected areas; Fishes</t>
  </si>
  <si>
    <t>FRESH-WATER ECOSYSTEMS; FOOD-WEB; TROPHIC INTERACTIONS; CANADIAN SHELF; BELUGA WHALES; MARINE; CARBON; DELTA-C-13; COMMUNITY; DYNAMICS</t>
  </si>
  <si>
    <t>Little is known about the trophic ecology of freshwater, coastal and marine fish species that utilize coastal environments in the Beaufort Sea. In this study we use stable isotopes (SI) and fatty acid (FA) profiles to (1) characterize habitat and diet components of the ecological niche for 16 co-occurring fish species, (2) quantify niche overlap among these species and groups of species, and (3) identify resource partitioning and niche shift indicators for future monitoring. Ward's cluster analysis of SI (delta C-13, delta N-15) results identified 3 representative isotopic groups that were consistent with known life-history groups: marine, freshwater-rearing and coastal fishes. Correspondence and Ward's clustering analyses on FA profiles resulted in 5 FA groups that indicated feeding preferences and included: pelagic marine-feeding, benthic and pelagic brackish (both fresh water and marine)-feeding, benthic freshwater-feeding, benthic marine-feeding, and benthic brackish-feeding groups. Isotopic niche size and feeding preferences (FA) indicated generalist and specialist strategies that could be used as indicators for resource partitioning and niche shifts. Understanding the habitat use, diet, and trophic interactions among fish species is important in monitoring the Tarium Niryutait Marine Protected Area. Combining SI and FA tracers to quantify probability of niche overlap is a unique aspect of understanding species-specific niche interactions within the Beaufort Sea coastal environment, and our results contribute to understanding how these biotracers can contribute to current and future monitoring and management of this remote MPA.</t>
  </si>
  <si>
    <t>10.3354/meps11887</t>
  </si>
  <si>
    <t>Pisanu, B; Caut, S; Gutjahr, S; Vernon, P; Chapuis, JL</t>
  </si>
  <si>
    <t>Introduced black rats Rattus rattus on Ile de la Possession (Iles Crozet, Subantarctic): diet and trophic position in food webs</t>
  </si>
  <si>
    <t>Introduced rodent; Rattus rattus; Diet; Stable isotopes; Food web; Subantarctic island</t>
  </si>
  <si>
    <t>FERAL HOUSE MICE; STABLE ISOTOPES; MARION ISLAND; INVERTEBRATE COMMUNITIES; ALLOCHTHONOUS INPUT; MACQUARIE ISLAND; CARBON ISOTOPES; CLIMATE-CHANGE; MUS-MUSCULUS; HABITAT USE</t>
  </si>
  <si>
    <t>Rats introduced on islands can affect ecosystem structure and function by feeding on terrestrial plants and both marine and terrestrial animals. The diet and trophic position of Rattus rattus introduced on Ile de la Possession (Iles Crozet) was assessed from two sites, according to the presence or absence of a king penguin colony. We used three complementary assays: macroanalyses of the stomach, faecal microhistology, and stable isotope analyses of delta N-15/delta C-13 in liver. Near the rookery, spermatophytes contributed on average 50% (confidential interval: 23-75) to the diet based on isotopes, mainly consisting in reproductive parts of Poa spp., Agrostis magellanica, and Cerastium fontanum identified in faeces. Terrestrial animal preys were represented by insects that contributed 25% (0-56) in isotopes, dominated in faeces by caterpillars of Pringleophaga spp. and adult weevils. Bird remains were found in faeces, forming 18% (6-30) of isotopes. Terrestrial earthworms contributed to 7% (0-21), with chaetae observed in faeces. On the other site, spermatophytes represented 62% (51-73) of assimilated food in rats' livers, mainly formed by Poaceae and Acaena magellanica, insects by caterpillars [24% (10-39)], and terrestrial earthworms [13% (2-23)]. Our results suggest that rats, which were found at the top of terrestrial food chains, may have a direct role on a such simplified ecosystem, by preying on the most abundant and largest body-sized terrestrial invertebrates,-e.g. the keystone species Pringleophaga spp.-, and by feeding on both reproductive and vegetative parts of autochthonous and introduced plants. The discrepancies and usefulness of employing both isotopes and faecal analyses are discussed.</t>
  </si>
  <si>
    <t>10.1007/s00300-010-0867-z</t>
  </si>
  <si>
    <t>Zahoor, B; Liu, XH; Ahmad, B; Kumar, L; Songer, M</t>
  </si>
  <si>
    <t>Impact of climate change on Asiatic black bear (Ursus thibetanus) and its autumn diet in the northern highlands of Pakistan</t>
  </si>
  <si>
    <t>Asiatic black bear; conflict; hibernation; MaxEnt; Quercus spp</t>
  </si>
  <si>
    <t>FOOD-HABITS; CENTRAL MOUNTAINS; UNCERTAINTY; CONFLICT; ECOLOGY; REGIONS; SUMMER; NICHE; RISK</t>
  </si>
  <si>
    <t>Approximately 20%-30% of plant and animal species are at risk of extinction by the end of the 21st century owing to climate change. Range shifts and range contractions in plant species will dramatically affect the distribution of animals relying on them for food and shelter. The negative impacts of climate change on forested landscapes of the northern highlands of Pakistan (NHP) could change the species composition and distribution. The Asiatic black bear (Ursus thibetanus), a forest-dwelling species, primarily depends on plants for foraging, and is assumed to be affected by climate change in NHP. Scat analyses and indigenous knowledge from Machiara National Park revealed the maximum consumption of Quercus species (natural food) and Zea mays (human grown food) by the Asiatic black bear in autumn season. We collected the occurrence data of the Asiatic black bear and its commonly used food (three Quercus spp.) in the NHP. We used the MaxEnt model to simulate current and future (in 2050 and 2070) distribution of the species under RCP4.5 (medium carbon emission scenario) and RCP8.5 (extreme carbon emission scenario). The results predict range reduction and extreme fragmentation in the habitats of all the Quercus spp. Besides, a dramatic decrease in the suitable (SH) and very highly suitable (HSH) habitats was predicted in the future. Range shift and range reduction of Quercus spp. may interrupt the denning chronology of Asiatic black bears, escalate the human-black bear conflicts and local extirpation of the species. Given the extent and magnitude of climate change, it will likely not be enough to focus solely on the conservation of the Asiatic black bear. We need more dynamic planning aiming at mitigating the effect of climate change in forested landscapes including the Quercus forests.</t>
  </si>
  <si>
    <t>10.1111/gcb.15743</t>
  </si>
  <si>
    <t>Keppeler, FW; Winemiller, KO</t>
  </si>
  <si>
    <t>Incorporating indirect pathways in body size-trophic position relationships</t>
  </si>
  <si>
    <t>Body size; Food web; Path model; Predator-prey interactions; Trophic position</t>
  </si>
  <si>
    <t>DIETARY NICHE BREADTH; FOOD-WEB; PREY SIZE; PREDATOR SIZE; HABITAT USE; TEMPERATURE; HERBIVORY; PATTERNS; FISHES; GAPE</t>
  </si>
  <si>
    <t>Body size, trophic position (TP), and trophic niche width are important elements of food webs; however, there is still debate regarding their interrelationships. Most studies have tested these correlations using datasets restricted to carnivores and bivariate models that disregard potential indirect effects of other factors, their interactions, and phylogeny. We analyzed relationships among TP, consumer size, maximum food item size, food item size variation (a proxy for trophic niche width), and two other traits (gut length and mouth width) using confirmatory path analysis of an extensive dataset for freshwater fishes that encompass both carnivorous and non-carnivorous species. Consumer size was associated with maximum food size, food size variation, mouth width, and gut length, all of which mediated indirect relationships between body size and TP. Mouth gape was associated with maximum food size, and consumers that fed on larger food items had higher TP. Consumers with relatively long guts generally fed on small and homogeneous food items near the base of the food web. Models were consistent whether or not accounting for phylogeny, but varied according to trophic guilds. However, the body size of both carnivorous and non-carnivorous was not directly associated with TP. Therefore, the incorporation of functional traits and their intermediate pathways is critical for understanding size-based trophic relationships of animals that encompass diverse feeding strategies. Our results caution approaches that rely on body size as a surrogate for TP, especially in systems where plants and detritus are consumed directly by a significant number of animals, such as in most freshwater ecosystems.</t>
  </si>
  <si>
    <t>1-2</t>
  </si>
  <si>
    <t>10.1007/s00442-020-04752-3</t>
  </si>
  <si>
    <t>Vogado, NO; Liddell, MJ; Laurance, SGW; Campbell, MJ; Cheesman, AW; Engert, JE; Palma, AC; Ishida, FY; Cernusak, LA</t>
  </si>
  <si>
    <t>The effects of an experimental drought on the ecophysiology and fruiting phenology of a tropical rainforest palm</t>
  </si>
  <si>
    <t>JOURNAL OF PLANT ECOLOGY</t>
  </si>
  <si>
    <t>climate change; water use efficiency; stable isotopes; seasonality; reproductive phenology</t>
  </si>
  <si>
    <t>WATER-USE EFFICIENCY; CLIMATE-CHANGE; COCONUT PALM; ARECACEAE; TREES; AUSTRALIA; PATTERNS; DENSITY; LIGHT</t>
  </si>
  <si>
    <t>Aims Anthropogenic climate change is predicted to increase mean temperatures and rainfall seasonality. How tropical rainforest species will respond to this climate change remains uncertain. Here, we analysed the effects of a 4-year experimental throughfall exclusion (TFE) on an Australian endemic palm (Normambya normanbyi) in the Daintree rainforest of North Queensland, Australia. We aimed to understand the impact of a simulated reduction in rainfall on the species' physiological processes and fruiting phenology. Methods We examined the fruiting phenology and ecophysiology of this locally abundant palm to determine the ecological responses of the species to drought. Soil water availability was reduced overall by similar to 30% under a TFE experiment, established in May 2015. We monitored monthly fruiting activity for 8 years in total (2009-2018), including 4 years prior to the onset of the TFE. In the most recent year of the study, we measured physiological parameters including photosynthetic rate, stomatal conductance and carbon stable isotopes (delta C-13, an integrated measure of water use efficiency) from young and mature leaves in both the dry and wet seasons. Important Findings We determined that the monthly fruiting activity of all palms was primarily driven by photoperiod, mean solar radiation and mean temperature. However, individuals exposed to lower soil moisture in the TFE decreased significantly in fruiting activity, photosynthetic rate and stomatal conductance. We found that these measures of physiological performance were affected by the TFE, season and the interaction of the two. Recovery of fruiting activity in the TFE palms was observed in 2018, when there was an increase in shallow soil moisture compared with previous years in the treatment. Our findings suggest that palms, such as the N. normanbyi, will be sensitive to future climate change with long-term monitoring recommended to determine population-scale impacts.</t>
  </si>
  <si>
    <t>10.1093/jpe/rtaa069</t>
  </si>
  <si>
    <t>Brault, EK; Koch, PL; Costa, DP; McCarthy, MD; Huckstadt, LA; Goetz, KT; McMahon, KW; Goebel, ME; Karlsson, O; Teilmann, J; Harkonen, T; Harding, KC</t>
  </si>
  <si>
    <t>Trophic position and foraging ecology of Ross, Weddell, and crabeater seals revealed by compound-specific isotope analysis</t>
  </si>
  <si>
    <t>Ross seal; Weddell seal; Crabeater seal; Compound-specific isotopes; Amino acids; Antarctica; Foraging ecology; Trophic dynamics</t>
  </si>
  <si>
    <t>AMINO-ACID DELTA-N-15; STABLE-ISOTOPES; OMMATOPHOCA-ROSSII; ANTARCTIC SEALS; FOOD-WEB; PHYTOPLANKTON DYNAMICS; HABITAT SELECTION; EUPHAUSIA-SUPERBA; DIET COMPOSITION; MCMURDO SOUND</t>
  </si>
  <si>
    <t>Ross seals Ommatophoca rossii are one of the least studied marine mammals, with little known about their foraging ecology. Research to date using bulk stable isotope analysis suggests that Ross seals have a trophic position intermediate between that of Weddell Leptonychotes weddellii and crabeater Lobodon carcinophaga seals. However, consumer bulk stable isotope values not only reflect trophic dynamics, but also variations in baseline isotope values, which can be substantial. We used compound-specific isotope analysis of amino acids (CSI-AA) to separate isotopic effects of a shifting baseline versus trophic structure on the foraging ecology of these ecologically important Antarctic pinnipeds. We found that Ross seals forage in an open ocean food web, while crabeater and Weddell seals forage within similar food webs closer to shore. However, isotopic evidence suggests that crabeater seals are likely following sea ice, while Weddell seals target productive areas of the continental shelf of West Antarctica. Our CSI-AA data indicate that Ross seals have a high trophic position equivalent to that of Weddell seals, contrary to prior conclusions from nitrogen isotope results on bulk tissues. CSI-AA indicates that crabeater seals are at a trophic position lower than that of Ross and Weddell seals, consistent with a krill-dominated diet. Our results redefine the view of the trophic dynamics and foraging ecology of the Ross seal, and also highlight the importance of quantifying baseline isotope variations in foraging studies.</t>
  </si>
  <si>
    <t>10.3354/meps12856</t>
  </si>
  <si>
    <t>Jacobs, GR; Bruestle, EL; Hussey, A; Gorsky, D; Fisk, AT</t>
  </si>
  <si>
    <t>Invasive species alter ontogenetic shifts in the trophic ecology of Lake Sturgeon (Acipenser fulvescens) in the Niagara River and Lake Ontario</t>
  </si>
  <si>
    <t>Food web; Round goby; Dreissenid; Great Lakes; Stable isotopes</t>
  </si>
  <si>
    <t>ROUND GOBY; NEW-YORK; SMALLMOUTH BASS; FEEDING ECOLOGY; NICHE SHIFTS; GREAT-LAKES; MICHIGAN; GROWTH; TROUT; ERIE</t>
  </si>
  <si>
    <t>Species invasions can alter food web structure and change ecosystem-level functioning, but it is often unclear how these invasions may affect the life history of native species. The Lake Sturgeon (Acipenser fulvescens), a large long-lived native fish species in the Great Lakes, has increased in abundance in the lower Niagara River and nearby Lake Ontario during a period of invasive species-induced ecosystem change precipitated most recently by Dreissenid mussels (Driessena polymorpha and Driessena bugensis) and Round Goby (Neogobius melanostomus). Material taken from cross-sections of archived pectoral spines from Niagara River Lake Sturgeon captured in 1998-2000 and 2010-2012 were analyzed for stable isotopes across discrete growth zones to provide an ontogenetic assessment of diet, and diet analysis of Lake Sturgeon captured in 2014 was conducted to assess the contribution of invasive prey. Round Goby was the most important Lake Sturgeon prey item (86% by weight) in 2014, which corroborated results of delta N-15 and delta C-13. Lake Sturgeon captured after the invasion of Round Goby exhibited ontogenetic changes in delta N-15 that differed from pre-Round Goby patterns, though this effect was weaker for delta C-13. Values of delta N-15 from spine growth zones indicated non-linear increases in trophic position with age and increased rate of delta N-15 enrichment after the Round Goby invasion. We conclude that Round Goby establishment in western Lake Ontario changed the feeding ecology of Lake Sturgeon, which may have a positive effect on population growth for this native species.</t>
  </si>
  <si>
    <t>10.1007/s10530-017-1376-6</t>
  </si>
  <si>
    <t>Saboret, G; Stalder, D; Matthews, B; Brodersen, J; Schubert, CJ</t>
  </si>
  <si>
    <t>Autochthonous production sustains food webs in large perialpine lakes, independent of trophic status: Evidence from amino acid stable isotopes</t>
  </si>
  <si>
    <t>aquatic-terrestrial linkage; carbon fingerprinting; lake eutrophication; lake food web; primary production</t>
  </si>
  <si>
    <t>TERRESTRIAL ORGANIC-MATTER; NITROGEN-FIXATION; C-13 ADDITION; RESOURCE USE; BROWN TROUT; CARBON; ZOOPLANKTON; POSITION; SUPPORT; SUBSIDIES</t>
  </si>
  <si>
    <t>Lakes are recipients of allochthonous organic matter and nutrients. However, the importance of these subsidies for food webs and how they vary with lake trophic status remains unclear, especially for large lakes. We assessed the source and fate of organic matter and nutrients in seven perialpine lakes across a gradient of trophic status. We measured carbon and nitrogen stable isotopes of amino acids of lake-residing Atlantic trout, Salmo trutta, to determine the source of primary production (i.e., how carbon is fixed in the ecosystem) and how it is transferred through food webs, respectively. Based on essential amino acid carbon fingerprinting, we estimated the probability of organic carbon originating from autochthonous (algal), allochthonous (terrestrial plant), and recycled (bacterial) sources. In addition, we used amino acid delta N-15 to track how this primary production is transferred to consumers in general, and by using different trophic amino acids (glutamic acid and alanine), identify the trophic pathways involving either metazoan or protozoans. We found a high likelihood of autochthonous origin of organic carbon (86 +/- 9%) in trout that contrasted with allochthonous origins of particulate organic matter and some sediments. We showed that those estimates are good proxies of source reliance. Our results also highlighted the importance of bacterial origin of organic carbon in fish (12%). The likely autochthonous origin of this carbon was supported by trophic markers (Ala delta N-15) that suggest the role of protists in transferring recycled organic carbon up the food web. While the sources of nitrogen sustaining food webs varied among lakes, we found a conserved carbon fingerprinting of fish. Overall, this suggests an uncoupling between the source of nutrients and organic carbon in large perialpine lakes. Across a wide range of trophic status (c. 2 orders of magnitude range of phosphorus concentration), several lines of evidence suggested that perialpine lake food webs shared a common reliance on autochthonous and bacterial production. Our study is the first to quantify the dependence on allochthonous organic carbon in lake food webs based on new amino acid stable isotope markers (carbon fingerprinting and Ala delta N-15) and shows promise for estimating the source of carbon fixation in ecosystems. Our results support previous suggestions that terrestrial organic carbon is a relatively minor source for aquatic consumers despite contributing to the pool of organic matter, and more importantly, its contribution does not vary substantially with trophic status in perialpine lakes.</t>
  </si>
  <si>
    <t>10.1111/fwb.14071</t>
  </si>
  <si>
    <t>Jennings, S; Warr, KJ</t>
  </si>
  <si>
    <t>Smaller predator-prey body size ratios in longer food chains</t>
  </si>
  <si>
    <t>food web; predator-prey interactions; food chain length</t>
  </si>
  <si>
    <t>SEA FISH COMMUNITY; TROPHIC LEVEL; STABLE-ISOTOPES; N-15; NITROGEN; SPECTRA; WEBS</t>
  </si>
  <si>
    <t>Maximum food-chain length has been correlated with resource availability, ecosystem size, environmental stability and colonization history. Some of these correlations may result from environmental effects on predator-prey body size ratios. We investigate relationships between maximum food-chain length, predator-prey mass ratios, primary production and environmental stability in marine food webs with a natural history of community assembly. Our analyses provide empirical evidence that smaller mean predator-prey body size ratios are characteristic of more stable environments and that food chains are longer when mean predator-prey body size ratios are small. We conclude that environmental effects on predator-prey body size ratios contribute to observed differences in maximum food-chain length.</t>
  </si>
  <si>
    <t>10.1098/rspb.2003.2392</t>
  </si>
  <si>
    <t>Schaeffer, SM; Sharp, E; Schimel, JP; Welker, JM</t>
  </si>
  <si>
    <t>Soil-plant N processes in a High Arctic ecosystem, NW Greenland are altered by long-term experimental warming and higher rainfall</t>
  </si>
  <si>
    <t>carbon; climate change; global warming; mineralization; nitrification; nitrogen; polar semidesert; precipitation; stable isotopes</t>
  </si>
  <si>
    <t>SIMULATED ENVIRONMENTAL-CHANGE; NITROGEN MINERALIZATION; LOWLAND ECOSYSTEM; LITTER DECOMPOSITION; DRYAS-OCTOPETALA; POLAR SEMIDESERT; CLIMATE-CHANGE; GLOBAL CHANGE; DEVON ISLAND; TUNDRA SOILS</t>
  </si>
  <si>
    <t>Rapid temperature and precipitation changes in High Arctic tundra ecosystems are altering the biogeochemical cycles of carbon (C) and nitrogen (N), but in ways that are difficult to predict. The challenge grows from the uncertainty of N cycle responses and the extent to which shifts in soil N are coupled with the C cycle and productivity of tundra systems. We used a long-term (since 2003) experiment of summer warming and supplemental summer water additions to a High Arctic ecosystem in NW Greenland, and applied a combination of discrete sampling and in situ soil core incubations to measure C and N pools and seasonal microbial processes that might control plant-available N. We hypothesized that elevated temperature and increased precipitation would stimulate microbial activity and net inorganic N mineralization, thereby increasing plant N-availability through the growing season. While we did find increased N mineralization rates under both global change scenarios, water addition also significantly increased net nitrification rates, loss of NO3--N via leaching, and lowered rates of labile organic N production. We also expected the chronic warming and watering would lead to long-term changes in soil N-cycling that would be reflected in soil N-15 values. We found that soil N-15 decreased under the different climate change scenarios. Our results suggest that temperature accelerates biological processes and existing C and N transformations, but moisture increases soil hydraulic connectivity and so alters the pathways, and changes the fate of the products of C and N transformations. In addition, our findings indicate that warmer, wetter High Arctic tundra will be cycling N and C in ways that may transform these landscapes in part leading to greater C sequestration, but simultaneously, N losses from the upper soil profile that may be transported to depth dissolved in water and or transported off site in lateral flow.</t>
  </si>
  <si>
    <t>10.1111/gcb.12318</t>
  </si>
  <si>
    <t>Zhang, PY; van Leeuwen, CHA; Bogers, D; Poelma, M; Xu, J; Bakker, ES</t>
  </si>
  <si>
    <t>Ectothermic omnivores increase herbivory in response to rising temperature</t>
  </si>
  <si>
    <t>climate change; diet shift; food selection; poikilotherm; pond snail; temperature rise; trophic interaction</t>
  </si>
  <si>
    <t>CLIMATE-CHANGE; SPECIES INTERACTIONS; NUTRITIONAL ECOLOGY; DIET SHIFTS; FOOD; WATER; FISHES; SIZE; QUALITY; GROWTH</t>
  </si>
  <si>
    <t>Higher temperatures as a consequence of global climate change may considerably alter trophic interactions. Ectothermic herbivores and carnivores generally ingest more food with rising temperature as their metabolic rates increase with rising temperature. However, omnivorous ectotherms may respond in two ways: quantitatively by consuming more food and qualitatively by altering their degree of herbivory or carnivory through a diet shift. We hypothesize that rising temperature will increase herbivory of ectothermic omnivores as herbivory increases towards the equator. We tested the hypothesis in a freshwater model system in which ectothermic omnivores are prevalent, by applying two approaches, a temperature manipulation experiment and a literature study. We performed feeding trials with a juvenile aquatic ectothermic omnivore (pond snail Lymnaea stagnalis) at different temperatures ranging from 12 to 27 degrees C, supplying them with both animal food and plant material, and directly quantified their consumption rates over time. The results showed that snails cultured at high temperatures (&gt; 21 degrees C) increased the proportion of plant material in their diets after 17 days, which supports our hypothesis. In the literature survey, we found that rising temperature increased herbivory in multiple aquatic animal taxa, including zooplankton, amphibians, crayfish, fish and snails. This suggests that aquatic ectothermic omnivores might commonly increase herbivory with rising temperature. The mechanisms underlying this temperature-induced diet shift are not sufficiently explained by current theories related to the physiology, metabolism and stoichiometry of omnivores. We propose to incorporate the animals' ontogenetic development in the temperature metabolic stoichiometry hypothesis as a complementary explanation for the diet shift, namely that the diet shift could be due to faster development of the ectotherms and an earlier ontogenetic diet shift at higher temperatures. We conclude that future global warming will most likely alter food webs by increasing the top-down control of aquatic herbivores and omnivores on primary producers.</t>
  </si>
  <si>
    <t>10.1111/oik.07082</t>
  </si>
  <si>
    <t>Adam, TC; Burkepile, DE; Holbrook, SJ; Carpenter, RC; Claudet, J; Loiseau, C; Thiault, L; Brooks, AJ; Washburn, L; Schmitt, RJ</t>
  </si>
  <si>
    <t>Landscape-scale patterns of nutrient enrichment in a coral reef ecosystem: implications for coral to algae phase shifts</t>
  </si>
  <si>
    <t>bottom&amp;#8208; up; coral reef; &amp;#948; N-15; herbivory; macroalgae; nitrogen; nutrient pollution; phase shift; sewage; stable isotopes; top&amp;#8208; down; Turbinaria ornata</t>
  </si>
  <si>
    <t>CARIBBEAN ELKHORN CORAL; MACROALGAL BLOOMS; FRENCH-POLYNESIA; NITROGEN POLLUTION; CLIMATE-CHANGE; WATER-QUALITY; OPUNOHU BAY; WHITE POX; TOP-DOWN; MOOREA</t>
  </si>
  <si>
    <t>Nutrient pollution is altering coastal ecosystems worldwide. On coral reefs, excess nutrients can favor the production of algae at the expense of reef-building corals, yet the role of nutrients in driving community changes such as shifts from coral to macroalgae is not well understood. Here we investigate the potential role of anthropogenic nutrient loading in driving recent coral-to-macroalgae phase shifts on reefs in the lagoons surrounding the Pacific island of Moorea, French Polynesia. We use nitrogen (N) tissue content and stable isotopes (delta N-15) in an abundant macroalga (Turbinaria ornata) together with empirical models of nutrient discharge to describe spatial and temporal patterns of nutrient enrichment in the lagoons. We then employ time series data to test whether recent increases in macroalgae are associated with nutrients. Our results revealed that patterns of N enrichment were linked to several factors, including rainfall, wave-driven circulation, and distance from anthropogenic nutrient sources, especially human sewage. Reefs near large watersheds, where inputs of N from sewage and agriculture are high, have been consistently enriched in N for at least the last decade. In many of these areas, corals have decreased and macroalgae have increased, while reefs with lower levels of N input have maintained high cover of coral and low cover of macroalgae. Importantly, these patchy phase shifts to macroalgae have occurred despite substantial island-wide increases in the density and biomass of herbivorous fishes over the time period. Together, these results indicate that nutrient loading may be an important driver of coral-to-macroalgae phase shifts in the lagoons of Moorea even though the reefs harbor an abundant and diverse herbivore assemblage. These results emphasize the important role that bottom-up factors can play in driving coral-to-macroalgae phase shifts and underscore the critical importance of watershed management for reducing inputs of nutrients and other land-based pollutants to coral reef ecosystems.</t>
  </si>
  <si>
    <t>10.1002/eap.2227</t>
  </si>
  <si>
    <t>Tapkir, S; Thomas, K; Kalous, L; Vasek, M; Meador, TB; Smejkal, M</t>
  </si>
  <si>
    <t>Invasive gibel carp use vacant space and occupy lower trophic niche compared to endangered native crucian carp</t>
  </si>
  <si>
    <t>Fish diet; Isotopic niche; Resource partitioning; Non-native species; Vacant niche; Competitive displacement</t>
  </si>
  <si>
    <t>FRESH-WATER FISH; CATFISH SILURUS-GLANIS; LIFE-HISTORY TRAITS; CARASSIUS-GIBELIO; PRUSSIAN CARP; BIOLOGICAL INVASIONS; STABLE-ISOTOPES; LITTORAL-ZONE; GROWTH; DIET</t>
  </si>
  <si>
    <t>The introduction of invasive species increases interspecific competition with native species, especially if the invasive fish have a similar ecological role in the ecosystem. The vacant niche hypothesis postulates that an invasive species may be a stronger competitor if it has, additionally to a native species niche, access to a food unavailable to native species. However, there are very few model examples of nearly identical invasive and native species differing in trophic niche utilization. The once common crucian carp (Carassius carassius) has become endangered or extirpated in many regions of Europe mainly due to the invasion of gibel carp (C. gibelio). To estimate the trophic niche divergence between gibel and crucian carp living in syntopy, a non-lethal method of stable isotope analysis (SIA) of fish scales (delta C-13 and delta N-15) was employed. Samples were collected from four sites in the Czech Republic to determine the overlap and sizes of the trophic niches of these two species. The results showed that at two sites, gibel carp had significantly lower delta N-15 than crucian carp, indicating its lower trophic position. The gibel carp also significantly higher delta C-13 at two sites indicating higher utilization of littoral sources compared to crucian carp. In addition, isotopic niches partially overlapped at the four study sites, with the most divergent trophic niches found in the macrophyte-rich site. Finally, the gibel carp had higher probability to occur within the crucian carp niche space than vice versa. Our results provide support for the vacant niche hypothesis, indicating that invasive gibel carp gain a competitive advantage over the native crucian carp via feeding on plant material that is underexploited by native crucian carp. Furthermore, data suggest that more natural environmental conditions, such as a rich littoral zone, may help to decrease isotopic niche overlap between the two species. Lower trophic position and higher reliance on unexploited food sources seem to contribute to the competitive superiority of the invasive gibel carp over the native crucian carp.</t>
  </si>
  <si>
    <t>10.1007/s10530-023-03081-9</t>
  </si>
  <si>
    <t>Ziegler, JP; Gregory-Eaves, I; Solomon, CT</t>
  </si>
  <si>
    <t>Refuge increases food chain length: modeled impacts of littoral structure in lake food webs</t>
  </si>
  <si>
    <t>ECOSYSTEM SIZE; RESIDENTIAL DEVELOPMENT; FISH PREDATION; WOODY DEBRIS; COMMUNITY; PREY; DISTURBANCE; EUTROPHICATION; DETERMINANTS; PRODUCTIVITY</t>
  </si>
  <si>
    <t>Food chain length (FCL) represents a fundamental metric within ecology because it has implications for ecosystem function and responses to environmental change. Omnivory between linked food chains situated within large ecosystems can increase FCL, whereas overlap of food chains within small or spatially compressed ecosystems is generally thought to decrease FCL. Yet FCL varies widely in small ecosystems and the mechanisms underlying determinants of FCL in these systems is unclear. In small shallow lakes, littoral structure is a predictor of FCL but it is unclear whether this is due to productivity or refuge mechanisms. Here we provide evidence, using consumer resource food web modules parameterized with empirical data, that refuge in spatially compressed ecosystems has the ability on its own to increase the trophic position of top predators by increasing the biomass of top and intermediate predators across a range of common food web module structures. Our results suggest that refuge is an important driver of FCL in small ecosystems, which has implications for determining responses of these systems to environmental change.</t>
  </si>
  <si>
    <t>10.1111/oik.03517</t>
  </si>
  <si>
    <t>Derot, J; Yajima, H; Nakamura, M</t>
  </si>
  <si>
    <t>Enhanced understanding of physicochemical constraints on Corbicula japonica habitat in Lake Shinji assisted by machine learning</t>
  </si>
  <si>
    <t>Commercial fishing; Machine learning; Bivalve habitat; Corbicula japonica; Random forest; Brackish water</t>
  </si>
  <si>
    <t>PREDICTIVE MODEL; FLUMINEA MULLER; PINNA-NOBILIS; AQUACULTURE; HABITAT; MUSSEL; IMPACT; CLASSIFICATION; PARAMETERS; MANAGEMENT</t>
  </si>
  <si>
    <t>The catch of Corbicula japonica is one of the top three in Japan's inland water fisheries. Most of the Japanese fishing stock of this bivalve comes from Lake Shinji. Since the 1980's the catch of this species declined drastically with strong inter-annual variation. New recruitment and poor growth of the clams were thought to be the main reasons for this decline. This bivalve has a poor transportation ability after the settlement. Therefore, it is also important to know their suitable habit that is affected by multi interacting parameters of water qualities and sediments. In order to get a better understanding of their habitat, we used machine learning models to test abiotic limiting factors. The database that we used in our study included 337 sampling stations with 7 physicochemical variables and the Corbicula japonica counting which was divided into two size categories: small (shell length &lt; 4 mm) and large (shell length &gt;= 4 mm). Due to their low self-transportation ability, their survival is primarily influenced by the site environment, such as water quality and sediment conditions. To extract physicochemical thresholds that directly impact these clam populations, we applied a coupled methodology based on a random forest model and partial dependence plots.&amp; nbsp;We highlighted that the use of three different populations groups for each size category, allowed us to significantly increase the accuracy of our model to predict groups. Moreover, our results show that the three most influential predictors were, in order of importance, the water depth, ignition loss of the bottom sediments and silt clay (diameter &amp; LE; 0.063 mm) content of the bottom sediments; with, respectively, the following physicochemical limitations for the preferable habitat: 4 m, 10% and 45%. These limitations are based on the thresholds that we extracted from the coupling between a Random Forest model and the partial dependence plots. Our findings emphasize that this coupled methodology has the advantage of being able to manage the zero values of population and give graphical interpretation of the limiting environmental factors. Consequently, the results that we presented here clearly demonstrate a further step towards comprehension of the inter-annual variations in the fishery resources of Corbicula japonica after accounting for the impact of new recruitment. In addition, this kind of numerical tool could help the local government to manage the clam's population by restoring and conserving the water quality and sediment conditions of the lake.</t>
  </si>
  <si>
    <t>10.1016/j.ecoinf.2022.101608</t>
  </si>
  <si>
    <t>Giroux, MA; Dussault, C; Tremblay, JP; Cote, SD</t>
  </si>
  <si>
    <t>Winter severity modulates the benefits of using a habitat temporally uncoupled from browsing</t>
  </si>
  <si>
    <t>climate; diet; mass loss; Odocoileus virginianus; subsidy</t>
  </si>
  <si>
    <t>WHITE-TAILED DEER; ALTERNATIVE FOOD SOURCES; BALSAM FIR; BODY-MASS; REPRODUCTIVE ALLOCATION; HIGH-DENSITY; SNOW GEESE; RED DEER; DYNAMICS; CLIMATE</t>
  </si>
  <si>
    <t>Resources whose abundance is not affected by the density of the consumer population, namely donor-controlled resources, are ubiquitous. Donor-controlled resources can act as food subsidies when they sustain consumer populations at higher densities than what would be predicted without donor-controlled dynamics. Herbivore populations that have access to food subsidies may reach and maintain high densities, with potential major ecological and economic consequences. A better understanding of the roles of food subsidies on temperate herbivores will likely be achieved by simultaneously taking into account other drivers of demographic variations such as winter severity. Here, we tested the hypothesis that the use of a donor-controlled food resource that may act as a food subsidy, namely balsam fir (Abies balsamea), and winter severity act together to shape the patterns of overwinter mass loss in a large herbivore population (white-tailed deer, Odocoileus virginianus). We monitored weather conditions, diet, habitat use, and mass loss of female deer during two highly contrasted winters. During an exceptionally milder winter, characterized by shallower snow depth and warmer windchill temperatures, female deer shifted their diet toward resources usually covered by snow during typical winters. Surprisingly, the rate of body mass loss remained similar during the milder and the harsher winter. The rate of body mass loss rather decreased with the use of balsam fir stands during the harsher winter, but increased with that same variable during the milder winter. Our study revealed that deer can alleviate overwinter mass loss by using a donor-controlled habitat type temporally uncoupled from browsing, but that this benefit is climate dependent. This study represents an additional step to address the largely unexplored concept of how temporal uncoupling between resources and consumer dynamics may contribute to sustain consumer populations at higher densities than predicted without considering donor-controlled dynamics.</t>
  </si>
  <si>
    <t>e01432</t>
  </si>
  <si>
    <t>10.1002/ecs2.1432</t>
  </si>
  <si>
    <t>Schweizer, M; Seehausen, O; Hertwig, ST</t>
  </si>
  <si>
    <t>Macroevolutionary patterns in the diversification of parrots: effects of climate change, geological events and key innovations</t>
  </si>
  <si>
    <t>Climate change; dispersal; diversification; Gondwana; historical biogeography; key innovation; molecular clock; molecular phylogeny; Psittaciformes; vicariance</t>
  </si>
  <si>
    <t>MOLECULAR PHYLOGENY; NUCLEAR-DNA; HISTORICAL BIOGEOGRAPHY; EVOLUTIONARY DIVERGENCE; CRETACEOUS ORIGIN; SEQUENCE-ANALYSIS; EXTINCTION RATES; GENOME SEQUENCES; GEOGRAPHIC RANGE; BIRDS</t>
  </si>
  <si>
    <t>Aim Parrots are thought to have originated on Gondwana during the Cretaceous. The initial split within crown group parrots separated the New Zealand taxa from the remaining extant species and was considered to coincide with the separation of New Zealand from Gondwana 82-85 Ma, assuming that the diversification of parrots was mainly shaped by vicariance. However, the distribution patterns of several extant parrot groups cannot be explained without invoking transoceanic dispersal, challenging this assumption. Here, we present a temporal and spatial framework for the diversification of parrots using external avian fossils as calibration points in order to evaluate the relative importance of the influences of past climate change, plate tectonics and ecological opportunity. Location Australasian, African, Indo-Malayan and Neotropical regions. Methods Phylogenetic relationships were investigated using partial sequences of the nuclear genes c-mos, RAG-1 and Zenk of 75 parrot and 21 other avian taxa. Divergence dates and confidence intervals were estimated using a Bayesian relaxed molecular clock approach. Biogeographic patterns were evaluated taking temporal connectivity between areas into account. We tested whether diversification remained constant over time and if some parrot groups were more species-rich than expected given their age. Results Crown group diversification of parrots started only about 58 Ma, in the Palaeogene, significantly later than previously thought. The Australasian lories and possibly also the Neotropical Arini were found to be unexpectedly species-rich. Diversification rates probably increased around the Eocene/Oligocene boundary and in the middle Miocene, during two periods of major global climatic aberrations characterized by global cooling. Main conclusions The diversification of parrots was shaped by climatic and geological events as well as by key innovations. Initial vicariance events caused by continental break-up were followed by transoceanic dispersal and local radiations. Habitat shifts caused by climate change and mountain orogenesis may have acted as a catalyst to the diversification by providing new ecological opportunities and challenges as well as by causing isolation as a result of habitat fragmentation. The lories constitute the only highly nectarivorous parrot clade, and their diet shift, associated with morphological innovation, may have acted as an evolutionary key innovation, allowing them to explore underutilized niches and promoting their diversification.</t>
  </si>
  <si>
    <t>10.1111/j.1365-2699.2011.02555.x</t>
  </si>
  <si>
    <t>Mor, JR; Munoz, I; Sabater, S; Zamora, L; Ruhi, A</t>
  </si>
  <si>
    <t>Energy limitation or sensitive predators? Trophic and non-trophic impacts of wastewater pollution on stream food webs</t>
  </si>
  <si>
    <t>community size spectra; energy transfer; food webs; stable isotopes; water quality</t>
  </si>
  <si>
    <t>COMMUNITY SIZE STRUCTURE; RISK-ASSESSMENT; FISH COMMUNITY; CHAIN LENGTH; BIODIVERSITY; DISTURBANCE; MASS; STOICHIOMETRY; EFFICIENCY; EFFLUENTS</t>
  </si>
  <si>
    <t>Impacts of environmental stressors on food webs are often difficult to predict because trophic levels can respond in divergent ways, and biotic interactions may dampen or amplify responses. Here we studied food-web-level impacts of urban wastewater pollution, a widespread source of degradation that can alter stream food webs via top-down and bottom-up processes. Wastewater may (1) subsidize primary producers by decreasing nutrient limitation, inducing a wide-bottomed trophic pyramid. However, (2) wastewater may also reduce the quality and diversity of resources, which could decrease energy transfer efficiency by reducing consumer fitness, leading to predator starvation. Additionally, (3) if higher trophic levels are particularly sensitive to pollution, primary consumers could be released from predation pressure. We tested these hypotheses in 10 pairs of stream sites located upstream and downstream of urban wastewater effluents with different pollutant levels. We found that wastewater pollution reduced predator richness by similar to 34%. Community size spectra (CSS) slopes were steeper downstream than upstream of wastewater effluents in all except one impact site where predators became locally extinct. Further, variation in downstream CSS slopes were correlated with pollution loads: the more polluted the stream, the steeper the CSS. We estimate that wastewater pollution decreased energy transfer efficiencies to primary consumers by similar to 70%, limiting energy supply to predators. Additionally, traits increasing vulnerability to chemical pollution were overrepresented among predators, which presented compressed trophic niches (delta N-15-delta C-13) downstream of effluents. Our results show that wastewater pollution can impact stream food webs via a combination of energy limitation to consumers and extirpation of pollution-sensitive top predators. Understanding the indirect (biotically mediated) vs. direct (abiotic) mechanisms controlling responses to stress may help anticipating impacts of altered water quantity and quality, key signatures of global change.</t>
  </si>
  <si>
    <t>e03587</t>
  </si>
  <si>
    <t>10.1002/ecy.3587</t>
  </si>
  <si>
    <t>Fu, H; Zhang, H; He, L; Sha, YC; Zhao, KS; He, YH; Xu, J</t>
  </si>
  <si>
    <t>Energetic asymmetry connected with energy flow changes in response to eutrophication: a study of multiple fish species in subtropical shallow lakes</t>
  </si>
  <si>
    <t>POLISH JOURNAL OF ECOLOGY</t>
  </si>
  <si>
    <t>energy flow; dietary change; trophic position; benthivory; homogenization</t>
  </si>
  <si>
    <t>FOOD-WEB STRUCTURE; REGIME-SHIFTS; TROPHIC INTERACTIONS; TOP PREDATOR; DIVERSITY; STABILITY; PATHWAYS; POSITION; CARBON</t>
  </si>
  <si>
    <t>Energy flow is a central characteristic in all ecosystems, and it has attracted considerable scientific attention due to its significant effects on the stability of food webs. Lake ecosystems that undergo regime shifts (clear water phase, phytoplankton dominated changed into turbid water, macrophytes dominated or vice versa) are characterized by a series of transformation in trophic structure. Although previous studies have mainly focused on the causes and consequences of regime shifts in shallow lakes, studies about responses of energy flow changes to regime shifts is far from complete. In this paper, we estimated trophic position and benthivory (i.e. degree of benthivory) of seventeen fish species from seven shallow lakes. Our data show that the trophic position and benthivory of fish species in clear water phase are significantly higher than in turbid water. This finding might help spark some ideas for subtropical lake eutrophication treatment.</t>
  </si>
  <si>
    <t>10.3161/15052249PJE2019.67.4.003</t>
  </si>
  <si>
    <t>Yan, TZ; Bai, JW; Arsenio, T; Liu, J; Shen, ZY</t>
  </si>
  <si>
    <t>Future climate change impacts on streamflow and nitrogen exports based on CMIP5 projection in the Miyun Reservoir Basin, China</t>
  </si>
  <si>
    <t>ECOHYDROLOGY &amp; HYDROBIOLOGY</t>
  </si>
  <si>
    <t>Climate change; Miyun Reservoir Basin; SWAT model; NEX-GDDP dataset</t>
  </si>
  <si>
    <t>WATER ASSESSMENT-TOOL; LAND-USE CHANGE; RIVER-BASIN; QUALITY; MODEL; SEDIMENT; UNCERTAINTY; GROUNDWATER; CAPABILITY; CATCHMENT</t>
  </si>
  <si>
    <t>The projection of streamflow and nutrient exports are essential for future water resource and environmental management plans under climate change. This study investigated the responses of streamflow and total nitrogen (TN) loading to future climate scenarios in the Miyun Reservoir Basin (MRB) by coupling a physical process-based hydrologic and water quality model, Soil and Water Assessment Model (SWAT) and 42 statistical downscaled climate projections on the basis of CMIP5 models. Future climatic projections during the two future periods (2021-2035 and 2051-2065) under RCP4.5 and RCP8.5 emission scenarios, primarily precipitation and temperature, were used to drive the calibrated SWAT model. Results show that the MRB would be warmer and more humid. The ensemble mean changes in average annual precipitation (mean temperature) are expected to be more than 5.4% (0.6 degrees C) during the period of 2021-2035 and 12.5% (1.6 degrees C) during 2051-2065. Future streamflow and TN loading projection are expected to increase in two future periods. Meanwhile, the changes in streamflow and TN loading would be higher in summer than in other seasons. The uncertainty ranges in TN loading projection is larger than that in streamflow projection. The probability that streamflow and TN loading increase would be higher in the period of 2021-2035 than in 2051-2065. This study could be of use for providing an insight into the availability of future streamflow and pollution control for the MRB. (C) 2018 European Regional Centre for Ecohydrology of the Polish Academy of Sciences. Published by Elsevier B.V. All rights reserved.</t>
  </si>
  <si>
    <t>10.1016/j.ecohyd.2018.09.001</t>
  </si>
  <si>
    <t>Gu, BH; Schelske, CL; Waters, MN</t>
  </si>
  <si>
    <t>Patterns and controls of seasonal variability of carbon stable isotopes of particulate organic matter in lakes</t>
  </si>
  <si>
    <t>delta C-13; Latitude; Seasonal variability; Trophic state</t>
  </si>
  <si>
    <t>PELAGIC FOOD-WEB; EUTROPHIC LAKE; TROPHIC POSITION; NITROGEN; DELTA-C-13; PRODUCTIVITY; ZOOPLANKTON; DELTA-N-15; SIGNATURES; ONTARIO</t>
  </si>
  <si>
    <t>Carbon stable isotopes (delta C-13) of particulate organic matter (POM) have been used as indicators for energy flow, primary productivity and carbon dioxide concentration in individual lakes. Here, we provide a synthesis of literature data from 32 freshwater lakes around the world to assess the variability of delta C-13(POM) along latitudinal, morphometric and biogeochemical gradients. Seasonal mean delta C-13(POM), a temporally integrated measure of the delta C-13(POM), displayed weak relationships with all trophic state indices [total phosphorus (TP), total nitrogen (TN), and chlorophyll a (Chl a)], but decreased significantly with the increase in latitude, presumably in response to the corresponding decrease in water temperature and increase in CO2 concentration. The seasonal minimum delta C-13(POM) also correlated negatively with latitude while seasonal maximum delta C-13(POM) correlated positively with all trophic state indices, pH, and delta C-13 of dissolved inorganic carbon (DIC). Seasonal amplitude of delta C-13(POM) (the difference between seasonal maximum and minimum values) correlated significantly with pH, TP and Chl a concentrations and displayed small variations in oligotrophic, mesotrophic and low latitude eutrophic lakes, which is attributed to low primary productivity and abundant non-living POM in the low trophic state lakes and relatively stable environmental conditions in the subtropics. Seasonal amplitude of delta C-13(POM) was the greatest in high latitude eutrophic lakes. Greater seasonal changes in solar energy and light regime may be responsible for the large seasonal variability in high latitude productive lakes. This synthesis provides new insights on the factors controlling variations in stable carbon isotopes of POM among lakes on the global scale.</t>
  </si>
  <si>
    <t>10.1007/s00442-010-1888-6</t>
  </si>
  <si>
    <t>Willert, MS; France, CAM; Baldwin, CC; Hay, ME</t>
  </si>
  <si>
    <t>Historic trophic decline in New England's coastal marine ecosystem</t>
  </si>
  <si>
    <t>Food web; Stable isotope; Overfishing; Bass; Scup</t>
  </si>
  <si>
    <t>MOBILE FISHING GEAR; STABLE-ISOTOPE DATA; FOOD-CHAINS; DISTURBANCE; COMMUNITY; ECOLOGY; IMPACTS; FISHES; LEVEL; DIET</t>
  </si>
  <si>
    <t>Overfishing is a worldwide occurrence that simplifies marine food webs, changes trophic patterns, and alters community structure, affecting not only the density of harvested species but also their trophic function. The northwestern Atlantic has a history of heavy fishing, and over the past century has also experienced destructive bottom fishing and harmful mobile fishing gear. After confirming that preservation solvent did not alter the nitrogen stable isotopes of preserved samples, we used museum specimens and modern samples to analyze nitrogen stable isotopes in tissues of two common demersal fishes pre-1950 (1850 to 1950) compared to 2021 to assess changes in trophic positions of coastal New England consumers over this time period. Both the mesopredator Centropristis striata (black sea bass) and the benthivore Stenotomus chrysops (scup) experienced significant declines in trophic position during this time. C. striata declined almost a full trophic level, S. chrysops declined half a trophic level, and these species are now occupying almost the same trophic position. Heavy fishing activities potentially shorten food chains, simplify trophic complexity, lessen the separation of trophic niches, and generally flatten food webs. The consequences of these within-species shifts are poorly investigated but could generate underappreciated cascading impacts on community structure and function. Archived natural-history collections are an invaluable resource for investigating ecological changes in natural communities through time. The evaluation of changing trophic positions via stable isotope analysis may allow fisheries managers to quantify large-scale effects of fishing on ecosystems and food webs over time.</t>
  </si>
  <si>
    <t>10.1007/s00442-023-05410-0</t>
  </si>
  <si>
    <t>Russell, JC; Caut, S; Anderson, SH; Lee, M</t>
  </si>
  <si>
    <t>Invasive rat interactions and over-invasion on a coral atoll</t>
  </si>
  <si>
    <t>Competition; Eradication; Over-invasion; Rattus; Stable isotopes; Trapping</t>
  </si>
  <si>
    <t>NEW-ZEALAND; HABITAT USE; BLACK RATS; R-EXULANS; ISLAND; ERADICATION; IMPACTS; RODENTS; COMPETITION; NORVEGICUS</t>
  </si>
  <si>
    <t>Invasive rats are found on most island groups of the world, and usually more than one species has invaded. On tropical islands populations of different invasive rat species can co-exist on very small islands, but the population dynamics of such co-existing rat species, their impact on each other, and the mechanisms of coexistence are not well known. This lack of knowledge is a barrier to improving the success rate of tropical island rat eradications. Through an exhaustive trapping eradication campaign on a small tropical island, we study the population structure of historically established Rattus exulans where R. rattus have colonised within the last fifty years and over-invaded. We contrast this R. exulans population with a nearby island population where R. exulans exist alone. Recently invaded R. rattus numerically and morphologically dominate R. exulans; however stable isotope analyses show that the trophic position of R. exulans remains consistent regardless of the presence of R. rattus, once differences in trophic foundations of islands are accounted for. Although the trophic position of both rat species is indistinguishable, R. rattus is able to dominate R. exulans through interference competition. Our eradication attempt was interrupted by a tropical cyclone and ultimately unsuccessful, but there is some evidence that R. rattus reduced control device availability to R. exulans, which has important implications for multi-species control operations. (C) 2014 Elsevier Ltd. All rights reserved.</t>
  </si>
  <si>
    <t>10.1016/j.biocon.2014.10.001</t>
  </si>
  <si>
    <t>Feddern, ML; Holtgrieve, GW; Ward, EJ</t>
  </si>
  <si>
    <t>Delayed trophic response of a marine predator to ocean condition and prey availability during the past century</t>
  </si>
  <si>
    <t>amino acid; Chinook salmon; Columbia River; harbor seal; Pacific herring; Phoca vitulina; Salish Sea; sea surface temperature; stable isotope; trophic position; Washington</t>
  </si>
  <si>
    <t>STABLE-ISOTOPES; PUGET-SOUND; BOTTOM-UP; ECOSYSTEM; POSITION; SALMON; DYNAMICS; CARBON; DIET</t>
  </si>
  <si>
    <t>Understanding the response of predators to ecological change at multiple temporal scales can elucidate critical predator-prey dynamics that would otherwise go unrecognized. We performed compound-specific nitrogen stable isotope analysis of amino acids on 153 harbor seal museum skull specimens to determine how trophic position of this marine predator has responded to ecosystem change over the past century. The relationships between harbor seal trophic position, ocean condition, and prey abundance, were analyzed using hierarchical modeling of a multi-amino-acid framework and applying 1, 2, and 3 years temporal lags. We identified delayed responses of harbor seal trophic position to both physical ocean conditions (upwelling, sea surface temperature, freshwater discharge) and prey availability (Pacific hake, Pacific herring, and Chinook salmon). However, the magnitude and direction of the trophic position response to ecological changes depended on the temporal delay. For example, harbor seal trophic position was negatively associated with summer upwelling but had a 1-year delayed response to summer sea surface temperature, indicating that some predator responses to ecosystem change are not immediately observable. These results highlight the importance of considering dynamic responses of predators to their environment as multiple ecological factors are often changing simultaneously and can take years to propagate up the food web.</t>
  </si>
  <si>
    <t>10.1002/ecy.3865</t>
  </si>
  <si>
    <t>Jardine, TD; Pettit, NE; Warfe, DM; Pusey, BJ; Ward, DP; Douglas, MM; Davies, PM; Bunn, SE</t>
  </si>
  <si>
    <t>Consumer-resource coupling in wet-dry tropical rivers</t>
  </si>
  <si>
    <t>biofilm; energy sources; floodplain; food webs; gut contents; hydrology; stable isotope analysis</t>
  </si>
  <si>
    <t>FOOD-WEB; STABLE-ISOTOPE; RELATIVE IMPORTANCE; AUTOTROPHIC CARBON; FISH; DYNAMICS; FLOW; TERRESTRIAL; VARIABILITY; AUSTRALIA</t>
  </si>
  <si>
    <t>1. Despite implications for top-down and bottom-up control and the stability of food webs, understanding the links between consumers and their diets remains difficult, particularly in remote tropical locations where food resources are usually abundant and variable and seasonal hydrology produces alternating patterns of connectivity and isolation. 2. We used a large scale survey of freshwater biota from 67 sites in three catchments (Daly River, Northern Territory; Fitzroy River, Western Australia; and the Mitchell River, Queensland) in Australia's wet-dry tropics and analysed stable isotopes of carbon (delta C-13) to search for broad patterns in resource use by consumers in conjunction with known and measured indices of connectivity, the duration of floodplain inundation, and dietary choices (i.e. stomach contents of fish). 3. Regression analysis of biofilm delta C-13 against consumer delta C-13, as an indicator of reliance on local food sources (periphyton and detritus), varied depending on taxa and catchment. 4. The carbon isotope ratios of benthic invertebrates were tightly coupled to those of biofilm in all three catchments, suggesting assimilation of local resources by these largely nonmobile taxa. 5. Stable C isotope ratios of fish, however, were less well-linked to those of biofilm and varied by catchment according to hydrological connectivity; the perennially flowing Daly River with a long duration of floodplain inundation showed the least degree of coupling, the seasonally flowing Fitzroy River with an extremely short flood period showed the strongest coupling, and the Mitchell River was intermediate in connectivity, flood duration and consumer-resource coupling. 6. These findings highlight the high mobility of the fish community in these rivers, and how hydrological connectivity between habitats drives patterns of consumer-resource coupling.</t>
  </si>
  <si>
    <t>10.1111/j.1365-2656.2011.01925.x</t>
  </si>
  <si>
    <t>Hayden, B; Holopainen, T; Amundsen, PA; Eloranta, AP; Knudsen, R; Praebel, K; Kahilainen, KK</t>
  </si>
  <si>
    <t>Interactions between invading benthivorous fish and native whitefish in subarctic lakes</t>
  </si>
  <si>
    <t>climate change; competition; fish; food webs; invasive species; invertebrates; lakes; stable isotopes</t>
  </si>
  <si>
    <t>COREGONUS-LAVARETUS L.; BIOCLIMATE ENVELOPE MODELS; PERCH PERCA-FLUVIATILIS; FRESH-WATER FISH; BODY-SIZE; STABLE-ISOTOPES; CLIMATE-CHANGE; COMMUNITY; COMPETITION; POPULATION</t>
  </si>
  <si>
    <t>Many species are expanding their distribution towards higher latitudes and altitudes in response to climate change. These range shifts are expected to change fish community structure and alter food-web dynamics in subarctic lakes. However, the impacts of invading species on native fish and invertebrate prey communities remain understudied. The trophic ecology of invasive species determines the likelihood of direct resource competition with native taxa. In Northern Europe, perch (Perca fluviatilis), a trophic generalist, and ruffe (Gymnocephalus cernuus), a benthic specialist, are expanding their distribution ranges northwards, colonising lakes inhabited by a native generalist, whitefish (Coregonus lavaretus). We predicted that increased fish diversity and density would deplete the invertebrate community and increase resource competition between native and invasive species. To assess the degree of resource competition between native and invasive species, we compared (i) fish and invertebrate community structure; (ii) diet and stable carbon and nitrogen ratios of whitefish, ruffe and perch and (iii) growth, condition and relative population size of whitefish in two non-invaded lakes with two lakes containing one and two lakes containing both invasive species. Each lake was sampled on a single occasion between August and September. Benthic macroinvertebrate density and community structure were unaffected by increased consumer diversity, while top-down control of pelagic zooplankton density and size was evident in lakes with increased fish diversity. Differences in diet and stable isotope ratios were evident between all whitefish populations, although these were not directly related to the presence of invasive species. Specialised adaptations of invasive species may confer a competitive advantage in invaded lakes; ruffe dominated the profundal niche, while perch displayed an ontogenetic shift to piscivory, reducing niche overlap with native whitefish. Growth rate and population density of whitefish were largely independent of fish community structure and were governed by local variations in lake productivity. However, there was a sign of lowered condition of whitefish in invaded systems. Shallow and more productive lakes with higher food availability supported populations of native and invasive species. Our findings indicate that trophic specialisations of invasive species play a key role in determining their impacts on the systems they invade. This study focussed on early stages of invasion, and the outcome of species interactions may change following the establishment of new species. In addition, these impacts will not be uniform across the invaded landscape as lake-specific variations in morphometry and resource availability will alter the competitive balance between native and invasive species.</t>
  </si>
  <si>
    <t>10.1111/fwb.12123</t>
  </si>
  <si>
    <t>Proulx, I; Hare, L</t>
  </si>
  <si>
    <t>Differences in feeding behaviour among Chironomus species revealed by measurements of sulphur stable isotopes and cadmium in larvae</t>
  </si>
  <si>
    <t>cadmium; Chironomus species; feeding behaviour; lakes; stable isotopes</t>
  </si>
  <si>
    <t>BENTHIC FOOD WEBS; LAKE-SEDIMENTS; BIOGENIC METHANE; ORGANIC-MATTER; CARBON; DIPTERA; BACTERIA; CONTAMINATION; VARIABILITY; BIOMARKERS</t>
  </si>
  <si>
    <t>1. We set out to determine the feeding behaviours of 15 Chironomus species collected from 16 boreal forest lakes by measuring cadmium (Cd) and stable isotopes of carbon (C), nitrogen (N) and sulphur (S) in larvae. 2. Measurements of S stable isotopes and Cd discriminated between Chironomus species that feed mainly on oxic particles from those that feed mainly on anoxic particles. Our results suggest that C. dilutus, C. entis, C. plumosus and C. staegeri feed mainly on oxic particles (in the water column, in sediment or both), whereas C. anthracinus, C. bifurcatus, C. cucini, C. decorus-group sp. 2, C. harpi, C. nr. atroviridis (sp. 2i), C. ochreatus, C. spp. NAI-NAIII and C. 'tigris' feed mainly on anoxic sediments. 3. In our study lakes, larval C isotopic signatures were relatively high, which suggests that they feed little on methanotrophic bacteria. Although larval C and N signatures differed between some sympatric Chironomus species, these differences were not consistent among lakes. The absence of a trend among lakes suggests that lake-specific factors determine larval C and N signatures. 4. Differences in feeding habits and Cd concentrations among sympatric (cohabiting) Chironomus species suggest that pooling them in ecological, palaeolimnological or ecotoxicological studies could obscure trends in nature, thereby limiting their use as monitors of climate change or pollution.</t>
  </si>
  <si>
    <t>10.1111/fwb.12247</t>
  </si>
  <si>
    <t>Doi, H; Chang, KH; Ando, T; Imai, H; Nakano, S</t>
  </si>
  <si>
    <t>Shoreline bank construction modifies benthic-pelagic coupling of food webs</t>
  </si>
  <si>
    <t>Shoreline development; Engineering; Habitat coupling; Pond; Bank construction; Food web</t>
  </si>
  <si>
    <t>LAKES; FISH; MACROINVERTEBRATES; EUTROPHICATION; MANAGEMENT; COMMUNITY; REMOVAL</t>
  </si>
  <si>
    <t>Management of the food web is important in maintaining ecosystem functions: however, the studies to assess anthropogenic impact on food web structures are very limited. Recently, shoreline development is considered to impact the littoral zone of lakes through loss of littoral habitats. Shoreline engineering would consequently modify the food web structure and coupling between benthic and pelagic habitats. Thus, we investigated whether lakeshore modification would change benthic-pelagic coupling by large-mouth bass in 15 ponds, which differed in the proportion of concrete bank modification. We performed isotope mixing models to estimate benthic contribution to the fish species and tested the relationships with environmental factors including proportion of bank modification by general linear models. These results showed that the benthic contribution to largemouth bass was strongly related to the proportion of anthropogenic shoreline modification, while for bluegill sunfish, the benthic contribution was not changed with anthropogenic shoreline modification. Therefore, anthropogenic modification of shoreline strongly modified the food webs in ponds through the littoral habitat modification. The results suggested that we should pay attention to the anthropogenic impact on food web structures to maintain ecosystems. (C) 2010 Elsevier B.V. All rights reserved.</t>
  </si>
  <si>
    <t>10.1016/j.ecoleng.2009.12.017</t>
  </si>
  <si>
    <t>Wright, JL; Bomfim, B; Wong, CI; Marimon-Junior, BH; Marimon, BS; Silva, LCR</t>
  </si>
  <si>
    <t>Sixteen hundred years of increasing tree cover prior to modern deforestation in Southern Amazon and Central Brazilian savannas</t>
  </si>
  <si>
    <t>carbon; climatic change; forest-savanna dynamics; stable isotopes; woody expansion</t>
  </si>
  <si>
    <t>SOIL ORGANIC-MATTER; PAST VEGETATION CHANGES; CARBON ISOTOPES; CLIMATE-CHANGE; RADIOCARBON; FORESTS; MONSOON; THRESHOLDS; EXPANSION; CERRADO</t>
  </si>
  <si>
    <t>Tropical ecosystems are under increasing pressure from land-use change and deforestation. Changes in tropical forest cover are expected to affect carbon and water cycling with important implications for climatic stability at global scales. A major roadblock for predicting how tropical deforestation affects climate is the lack of baseline conditions (i.e., prior to human disturbance) of forest-savanna dynamics. To address this limitation, we developed a long-term analysis of forest and savanna distribution across the Amazon-Cerrado transition of central Brazil. We used soil organic carbon isotope ratios as a proxy for changes in woody vegetation cover over time in response to fluctuations in precipitation inferred from speleothem oxygen and strontium stable isotope records. Based on stable isotope signatures and radiocarbon activity of organic matter in soil profiles, we quantified the magnitude and direction of changes in forest and savanna ecosystem cover. Using changes in tree cover measured in 83 different locations for forests and savannas, we developed interpolation maps to assess the coherence of regional changes in vegetation. Our analysis reveals a broad pattern of woody vegetation expansion into savannas and densification within forests and savannas for at least the past similar to 1,600 years. The rates of vegetation change varied significantly among sampling locations possibly due to variation in local environmental factors that constrain primary productivity. The few instances in which tree cover declined (7.7% of all sampled profiles) were associated with savannas under dry conditions. Our results suggest a regional increase in moisture and expansion of woody vegetation prior to modern deforestation, which could help inform conservation and management efforts for climate change mitigation. We discuss the possible mechanisms driving forest expansion and densification of savannas directly (i.e., increasing precipitation) and indirectly (e.g., decreasing disturbance) and suggest future research directions that have the potential to improve climate and ecosystem models.</t>
  </si>
  <si>
    <t>10.1111/gcb.15382</t>
  </si>
  <si>
    <t>Zhang, YQ; Yu, ZH; Xu, QZ; Li, XH; Zhu, SL; Li, J</t>
  </si>
  <si>
    <t>Regionally divergent patterns of grass carp relative abundance, feeding habits and trophic niches in the subtropical Pearl River basin</t>
  </si>
  <si>
    <t>Grass carp; Herbivory; Metabarcoding; Feeding habits; Stable isotopes; Trophic niche</t>
  </si>
  <si>
    <t>FRESH-WATER; SUBMERGED MACROPHYTES; CILIATE COMMUNITIES; STABLE-ISOTOPES; CARBON-SOURCES; HERBIVORY; IMPACT; VEGETATION; FISHES</t>
  </si>
  <si>
    <t>The grass carp is one of the most important herbivore consumers in aquatic ecosystems and plays key roles in controlling macrophyte abundance. To assess the trophic role of grass carp and their potential grazing pressure on macrophytes in their native range, we quantified their relative abundance (RA), diet composition and trophic niches in two major tributaries and the central delta of the Pearl River using a fish capture survey, high-throughput analysis of the 18S rDNA sequences of their gut contents, and stable isotope analysis. The grass carp RA variation among the sampling regions was explained most by river discharge range. The RA was the highest in the West River with high discharge range, and the lowest in the central delta with low discharge range. The grass carp fed primarily on Streptophyta (relative read abundance: 0.40 +/- 0.33) and facultatively on Arthropoda, Rotifera, Ascomycota, and Chlorophyta. The Streptophyta proportion increased from the tributaries to the central delta. Such variation contributed most to the dietary difference among regions. Grass carp belonged to the second trophic level. The position and size of isotopic niche of grass carp differed among regions, and their niche breadth decreased from the tributaries to the central delta, as indicated by the corrected standard ellipse areas (SEAs) and the Bayesian SEAs. The regional differences in hydrological regime and grass carp RA probably affected the macrophyte distribution. The availability of macrophytes likely further contributed to the regional difference in the Streptophyta proportion in grass carp diet.</t>
  </si>
  <si>
    <t>10.1007/s10452-021-09923-9</t>
  </si>
  <si>
    <t>Liu, KM; Lin, YH; Chang, SK; Joung, SJ; Su, KY</t>
  </si>
  <si>
    <t>Examining an ontogenetic shift in the diet of the whitespotted bamboo shark Chiloscyllium plagiosum in northern Taiwanese waters</t>
  </si>
  <si>
    <t>REGIONAL STUDIES IN MARINE SCIENCE</t>
  </si>
  <si>
    <t>Feeding ecology; delta C-13; delta N-15; Trophic position; Stable isotope; Stomach content</t>
  </si>
  <si>
    <t>STABLE-ISOTOPES; STOMACH CONTENTS; YELLOWFIN TUNA; TROPHIC LEVEL; GADUS-MORHUA; ATLANTIC COD; CARBON; NITROGEN; FISH; BIOENERGETICS</t>
  </si>
  <si>
    <t>The diet and feeding habits of the whitespotted bamboo shark (Chiloscyllium plagiosum) were described using stomach content analysis and stable isotope analysis based on 327 and 78 specimens, respectively, that were collected in northern Taiwanese waters from October 2013 to March 2015. The index of relative importance indicated that both females and males mainly fed on Demospongiae, unidentified organisms, Annelida, and crustaceans. Juveniles (&lt; 65 cm in total length, TL) preferred Annelida and crustaceans, while adults (&gt; 65 cm in TL) fed more on teleost fishes. Similar standardized diet breadths (B-a) were found for sharks caught by different fishing gear and for sharks at different maturity stages; however, seasonal variation in B-a was noted. These results suggest that the whitespotted bamboo shark is a prey specialist. No significant differences in prey composition among fishing gear, sexes, maturity stages, or seasons were found by the multi-variate statistical analysis. Permutational multi-variate analysis of variance and a global test also indicated that there were no significant differences in diets between the maturity stages and sexes. The stable isotope analysis indicated that the mean values of delta N-15 and delta C-13 for the females and males were similar, suggesting the existence of high overlap in terms of feeding for both sexes. A multi-variate analysis of variance indicated that significant differences were found for the mean values of delta C-13 and delta N-15 among the different seasons, maturity stages and season-maturity stage interactions. These results suggested that an ontogenetic shift in the diet of C. plagiosum may occur when the fish approach the size of maturity. (C) 2020 Elsevier B.V. All rights reserved.</t>
  </si>
  <si>
    <t>10.1016/j.rsma.2020.101234</t>
  </si>
  <si>
    <t>Glass, JR; Daly, R; Cowley, PD; Post, DM</t>
  </si>
  <si>
    <t>Spatial trophic variability of a coastal apex predator, the giant trevally Caranx ignobilis, in the western Indian Ocean</t>
  </si>
  <si>
    <t>Compound-specific stable isotope analysis; Amino acids; Reef fishes; Apex predators; Trophic position; Trevally</t>
  </si>
  <si>
    <t>NITROGEN ISOTOPE RATIOS; STABLE-ISOTOPES; AMINO-ACIDS; INDIVIDUAL SPECIALIZATION; MARINE PREDATORS; YELLOWFIN TUNA; FOOD WEBS; POSITION; ECOLOGY; CARBON</t>
  </si>
  <si>
    <t>Top predators have substantial downstream effects on the structure, function, and resilience of ecosystems. The influence of top predators on an ecosystem can vary if they occur within multiple habitat types and have a wide niche breadth due to spatiotemporal changes in diet. We examined spatial patterns in trophic position and niche width for an economically important reef-associated fishery species, the giant trevally Caranx ignobilis. We sampled 4 localities in the western Indian Ocean representing different habitats: coral atolls, coastal reefs, and granitic islands. We analyzed isotopic ratios of carbon (C-13/C-12) and nitrogen (N-15/N-14), and performed compound-specific amino acid stable isotope analysis (AA-CSIA) to control for baseline nitrogen variation. Our analysis of 12 juveniles and 43 adults revealed wide variation in trophic niche breadth between sampling sites and an offshore to coastal gradient in carbon that drove niche distinctiveness between localities. We observed niche width patterns suggestive of ontogenetic changes in diet and habitat utilization and larger niche sizes at the oceanic island sites than the coastal site. Trophic position estimates ranged from 3.5-5, expanding the trophic range of C. ignobilis relative to previous studies using AA-CSIA and placing it at the equivalent trophic level as many predatory sharks. Our study corroborates prior evidence that C. ignobilis is an important apex predator in reef and island ecosystems. Additionally, we show how evaluating spatiotemporal components of trophic ecology of marine predators is critical for characterizing their functional role and ecosystem influence, allowing for targeted conservation efforts.</t>
  </si>
  <si>
    <t>10.3354/meps13305</t>
  </si>
  <si>
    <t>Newman, SJ; Buckworth, RC; Mackie, MC; Lewis, PD; Wright, IW; Williamson, PC; Bastow, TP; Ovenden, JR</t>
  </si>
  <si>
    <t>Spatial subdivision among assemblages of Spanish mackerel, Scomberomorus commerson (Pisces: Scombridae) across northern Australia: implications for fisheries management</t>
  </si>
  <si>
    <t>Australia; carbon; fisheries management; metapopulation structure; oxygen; otoliths; stable isotopes; stock structure</t>
  </si>
  <si>
    <t>ISOTOPE RATIO ANALYSIS; STABLE-ISOTOPE; FISH OTOLITHS; STOCK DISCRIMINATION; ARAGONITIC OTOLITHS; WESTERN-AUSTRALIA; SARDINOPS-SAGAX; AGE; GROWTH; SNAPPER</t>
  </si>
  <si>
    <t>Aim This study investigated the use of stable delta 13C and delta 18O isotopes in the sagittal otolith carbonate of narrow-barred Spanish mackerel, Scomberomorus commerson, as indicators of population structure across Australia. Location Samples were collected from 25 locations extending from the lower west coast of Western Australia (30 degrees), across northern Australian waters, and to the east coast of Australia (18 degrees) covering a coastline length of approximately 9500 km, including samples from Indonesia. Methods The stable delta 13C and delta 18O isotopes in the sagittal otolith carbonate of S. commerson were analysed using standard mass spectrometric techniques. The isotope ratios across northern Australian subregions were subjected to an agglomerative hierarchical cluster analysis to define subregions. Isotope ratios within each of the subregions were compared to assess population structure across Australia. Results Cluster analysis separated samples into four subregions: central Western Australia, north Western Australia, northern Australia and the Gulf of Carpentaria and eastern Australia. Isotope signatures for fish from a number of sampling sites from across Australia and Indonesia were significantly different, indicating population separation. No significant differences were found in otolith isotope ratios between sampling times (no temporal variation). Main conclusions Significant differences in the isotopic signatures of S. commerson demonstrate that there is unlikely to be any substantial movement of fish among these spatially discrete adult assemblages. The lack of temporal variation among otolith isotope ratios indicates that S. commerson populations do not undergo longshore spatial shifts in distribution during their life history. The temporal persistence of spatially explicit stable isotopic signatures indicates that, at these spatial scales, the population units sampled comprise functionally distinct management units or separate 'stocks' for many of the purposes of fisheries management. The spatial subdivision evident among populations of S. commerson across northern and western Australia indicates that it may be advantageous to consider S. commerson population dynamics and fisheries management from a metapopulation perspective (at least at the regional level).</t>
  </si>
  <si>
    <t>10.1111/j.1466-8238.2009.00475.x</t>
  </si>
  <si>
    <t>von der Meden, CEO; Atkinson, LJ; Branch, GM; Asdar, S; Ansorge, IJ; van den Berg, M</t>
  </si>
  <si>
    <t>Long-term change in epibenthic assemblages at the Prince Edward Islands: a comparison between 1988 and 2013</t>
  </si>
  <si>
    <t>Historical photography; Benthic; Climate change; Southern Ocean; Marion Island; Lanice marionensis</t>
  </si>
  <si>
    <t>SHRIMP NAUTICARIS-MARIONIS; SUB-ANTARCTIC ARCHIPELAGO; ABYSSAL NORTHEAST PACIFIC; MARINE FOOD WEBS; SOUTHERN-OCEAN; CLIMATE-CHANGE; COMMUNITY STRUCTURE; HABITAT HETEROGENEITY; TEMPORAL VARIABILITY; BENTHIC ECOSYSTEMS</t>
  </si>
  <si>
    <t>As proxies and indicators of environmental conditions, offshore benthic assemblages are pertinent to understanding global change. To investigate long-term change in epibenthic assemblages, we compared digitally reprocessed historical (1988) and repeat (2013) benthic survey photographs from nearshore (40-130 m) and interisland locations (140-500 m) at the sub-Antarctic Prince Edward Islands. Given changing interactions between regional oceanography and terrestrially influenced productivity at the islands, temporal change in the benthos is likely, and is expected to be dependent on proximity to the islands (nearshore vs. inter-island). Multivariate PERMANOVA analyses identified a significant interaction effect on epibenthic assemblages (Year 9 Location), with significant dispersion effects defining temporal differences within the inter-island region but not in the nearshore area. Differences in epibenthic assemblages observed between 1988 and 2013 were found to be driven primarily by increased abundances of several common suspension feeding taxa, including a significant increase in the density of a key bioengineering species, the polychaete Lanice marionensis. These higher abundances are congruent with local trophic evidence of long-term, climate-related shifts towards greater allochthonous food supply to the benthos. Given this congruence, a unifying explanation for the observed temporal differences in epibenthic assemblages is that long-term alteration of the position of the subAntarctic Front has changed the local primary productivity regime and hence the flux of food to the benthos. This study provides the first direct support for the notion of long-term change in epibenthic assemblage composition at the islands.</t>
  </si>
  <si>
    <t>10.1007/s00300-017-2132-1</t>
  </si>
  <si>
    <t>Riekenberg, PM; Joling, T; IJsseldijk, LL; Waser, AM; van der Meer, MTJ; Thieltges, DW</t>
  </si>
  <si>
    <t>Stable nitrogen isotope analysis of amino acids as a new tool to clarify complex parasite-host interactions within food webs</t>
  </si>
  <si>
    <t>parasite; trophic level; trophic position; Wadden Sea</t>
  </si>
  <si>
    <t>CRAB CARCINUS-MAENAS; PORPOISES PHOCOENA-PHOCOENA; HARBOR PORPOISES; FRACTIONATION PATTERNS; HELMINTH-PARASITES; SACCULINA-CARCINI; TROPHIC POSITION; MARINE; DISCRIMINATION; FISH</t>
  </si>
  <si>
    <t>Traditional bulk isotopic analysis is a pivotal tool for mapping consumer-resource interactions in food webs but has largely failed to adequately describe parasite-host relationships. Thus, parasite-host interactions remain undescribed in food web frameworks despite these relationships increasing linkage density, connectance and ecosystem biomass. Compound-specific stable isotopes from amino acids provides a promising novel approach that may aid in mapping parasite-host relationships in food webs. Here we apply a combination of traditional bulk stable isotope analyses and compound-specific isotopic analysis of nitrogen in amino acids to examine resource use and trophic interactions of five parasites from three hosts from a marine coastal food web (Wadden Sea, European Atlantic). By comparing isotopic compositions of bulk and amino acid nitrogen, we aimed to characterize isotopic fractionation occurring between parasites and their hosts and to clarify parasite trophic positions. Our results indicate that parasitic trophic interactions were more accurately identified using compound-specific stable isotope analysis due to removal of underlying source isotopic variation for both parasites and hosts. The compound-specific method provided clearer trophic discrimination factors in comparison to bulk isotope methods. Amino acid compound specific isotope analysis has widely been applied to examine trophic position within food webs, but our analyses suggest that the method is particularly useful for clarifying the feeding strategies for parasitic species. Baseline isotopic information provided by source amino acids allows clear identification of the fractionation from parasite metabolism by integrating underlying isotopic variations from the host tissues. However, like for bulk isotope analysis, the application of a universal trophic discrimination factor to parasite-host relationships remains inappropriate for compound-specific stable isotope analysis. Despite this limitation, compound-specific stable isotope analysis is and will continue to be a valuable tool to increase our understanding of parasitic interactions in marine food webs.</t>
  </si>
  <si>
    <t>10.1111/oik.08450</t>
  </si>
  <si>
    <t>Alewell, C; Giesler, R; Klaminder, J; Leifeld, J; Rollog, M</t>
  </si>
  <si>
    <t>Stable carbon isotopes as indicators for environmental change in palsa peats</t>
  </si>
  <si>
    <t>BIOGEOSCIENCES</t>
  </si>
  <si>
    <t>PERMIAN-TRIASSIC BOUNDARY; ORGANIC-MATTER; PHENOLIC CONSTITUENTS; ARCTIC MIRE; SPHAGNUM; CLIMATE; C-13; BOG; DELTA-C-13; METHANE</t>
  </si>
  <si>
    <t>Palsa peats are unique northern ecosystems formed under an arctic climate and characterized by a high biodiversity and sensitive ecology. The stability of the palsas are seriously threatened by climate warming which will change the permafrost dynamic and induce a degradation of the mires. We used stable carbon isotope depth profiles in two palsa mires of Northern Sweden to track environmental change during the formation of the mires. Soils dominated by aerobic degradation can be expected to have a clear increase of carbon isotopes (delta C-13) with depth, due to preferential release of C-12 during aerobic mineralization. In soils with suppressed degradation due to anoxic conditions, stable carbon isotope depth profiles are either more or less uniform indicating no or very low degradation or depth profiles turn to lighter values due to an enrichment of recalcitrant organic substances during anaerobic mineralisation which are depleted in C-13. The isotope depth profile of the peat in the water saturated depressions (hollows) at the yet undisturbed mire Storflaket indicated very low to no degradation but increased rates of anaerobic degradation at the Stordalen site. The latter might be induced by degradation of the permafrost cores in the uplifted areas (hummocks) and subsequent breaking and submerging of the hummock peat into the hollows due to climate warming. Carbon isotope depth profiles of hummocks indicated a turn from aerobic mineralisation to anaerobic degradation at a peat depth between 4 and 25 cm. The age of these turning points was C-14 dated between 150 and 670 yr and could thus not be caused by anthropogenically induced climate change. We found the uplifting of the hummocks due to permafrost heave the most likely explanation for our findings. We thus concluded that differences in carbon isotope profiles of the hollows might point to the disturbance of the mires due to climate warming or due to differences in hydrology. The characteristic profiles of the hummocks are indicators for micro-geomorphic change during permafrost up heaving.</t>
  </si>
  <si>
    <t>10.5194/bg-8-1769-2011</t>
  </si>
  <si>
    <t>Pedro, S; Fisk, AT; Ferguson, SH; Hussey, NE; Kessel, ST; McKinney, MA</t>
  </si>
  <si>
    <t>Broad feeding niches of capelin and sand lance may overlap those of polar cod and other native fish in the eastern Canadian Arctic</t>
  </si>
  <si>
    <t>Niche overlap; Fatty acids; Stable isotopes; Trophic position; Ecological change; Species composition</t>
  </si>
  <si>
    <t>STABLE-ISOTOPE RATIOS; MARINE FOOD-WEB; ALGAE-PRODUCED CARBON; BOREOGADUS-SAIDA; FATTY-ACID; MALLOTUS-VILLOSUS; SEA-ICE; TROPHIC RELATIONSHIPS; BEAUFORT SEA; HUDSON-BAY</t>
  </si>
  <si>
    <t>As ocean temperatures rise, sub-Arctic capelin (Mallotus villosus) and sand lance (Ammodytesspp.) have become increasingly abundant in regions of the eastern Canadian Arctic. These fish have a similar trophic role to the keystone polar cod (Boreogadus saida), potentially competing for food resources when co-occurring. To evaluate this, we calculated feeding niche breadth and overlap based on fatty acids and delta N-15- and delta C-13-derived trophic position and carbon source, among sub-Arctic fish and 10 Arctic fish and invertebrates within low, mid, and high latitudes of the Canadian Arctic. Diverse feeding strategies including benthicMyoxocephalussp., anadromous and pelagic fish, led to limited feeding niche overlap among species (13% average, range 0-96%). Feeding niche overlap between capelin and sand lance from the low Arctic was generally high (36-93%); while fatty acid niches of these fish overlapped 0-21% with polar cod in the mid and high Arctic, and their isotopic niches overlapped up to 96%. Capelin and sand lance showed 3-8 times broader feeding niches than polar cod. Regarding regional variation, polar cod had similar niche breadth between regions and highly overlapping fatty acid niches. Niche variation forMyoxocephalussp. andGammarusspp. between low and high Arctic was likely associated with more diverse sources of primary production in the shallower, more brackish low Arctic. Although regional variation in food availability play an important role defining feeding niches, broader niches and isotopic niche overlap with polar cod indicated a potential ecological advantage for capelin and sand lance over polar cod under climate change.</t>
  </si>
  <si>
    <t>10.1007/s00300-020-02738-8</t>
  </si>
  <si>
    <t>Blanke, C; Chikaraishi, Y; Vander Zanden, MJ</t>
  </si>
  <si>
    <t>Historical niche partitioning and long-term trophic shifts in Laurentian Great Lakes deepwater coregonines</t>
  </si>
  <si>
    <t>compound-specific; Coregonus species; food webs; Lake Michigan; Lake Superior; museum specimens; niche partitioning; species reintroduction; stable isotopes; trophic compression</t>
  </si>
  <si>
    <t>FOOD-WEB STRUCTURE; ISOTOPE ANALYSIS; MICHIGAN; FISHES; DIFFERENTIATION; CONSERVATION; ZOOPLANKTON; EVOLUTION; DYNAMICS; POSITION</t>
  </si>
  <si>
    <t>Over the last 100yr, anthropogenic stressors have decimated the assemblage of deepwater coregonines that once underpinned the food webs of the Laurentian Great Lakes. As a part of ongoing restoration efforts, fisheries managers are interested in reintroducing deepwater coregonines from remnant populations to reestablish historical food web connections. However, little is known about historical trophic position and niche partitioning among deepwater coregonines in the Great Lakes. We used nitrogen stable isotope analysis of amino acids to compare trophic position of museum-preserved (1920s) and present-day forage fishes in Lakes Michigan and Superior. In the 1920s, deepwater coregonines exhibited clear trophic niche partitioning, with trophic positions spanning a full trophic level. Additionally, species trophic positions were tightly conserved between lakes. In Lake Superior, trophic niche partitioning has been maintained over the last 100yr, but trophic position has shifted downward by similar to 0.5 trophic level. The more dramatic species loss in Lake Michigan corresponds with a sharp reduction in trophic niche breadth over time. Our study reveals remarkable trophic niche breadth among deepwater coregonines prior to the major anthropogenic impacts on the Laurentian Great Lakes and provides a food web benchmark for restoring the historical trophic diversity of this iconic species flock.</t>
  </si>
  <si>
    <t>e02080</t>
  </si>
  <si>
    <t>10.1002/ecs2.2080</t>
  </si>
  <si>
    <t>van Strien, MJ; Axhausen, KW; Dubernet, I; Guisan, A; Gret-Regamey, A; Khiali-Miab, A; Ortiz-Rodriguez, DO; Holderegger, R</t>
  </si>
  <si>
    <t>Models of Coupled Settlement and Habitat Networks for Biodiversity Conservation: Conceptual Framework, Implementation and Potential Applications</t>
  </si>
  <si>
    <t>social-ecological system; land-use transport interaction; spatial networks; habitat connectivity; landuse planning; transport planning; conservation planning</t>
  </si>
  <si>
    <t>SOCIAL-ECOLOGICAL SYSTEMS; HUMAN-POPULATION DENSITY; LAND-USE; LANDSCAPE CONNECTIVITY; URBANIZING LANDSCAPES; ECOSYSTEM SERVICES; EMPIRICAL-FINDINGS; RESERVE SIZE; OPEN SPACES; AREA</t>
  </si>
  <si>
    <t>Worldwide, the expansion of settlement and transport infrastructure is one of the most important proximate as well as ultimate causes of biodiversity loss. As much as every modern human society depends on a network of settlements that is well-connected by transport infrastructure (i.e., settlement network), animal and plant species depend on networks of habitats between which they can move (i.e., habitat networks). However, changes to a settlement network in a region often threaten the integrity of the region's habitat networks. Determining plans and policy to prevent these threats is made difficult by the numerous interactions and feedbacks that exist between and within the settlement and habitat networks. Mathematical models of coupled settlement and habitat networks can help us understand the dynamics of this social-ecological system. Yet, few attempts have been made to develop such mathematical models. In this paper, we promote the development of models of coupled settlement and habitat networks for biodiversity conservation. First, we present a conceptual framework of key variables that are ideally considered when operationalizing the coupling of settlement and habitat networks. In this framework, we first describe important network-internal interactions by differentiating between the structural (i.e., relating to purely physical conditions determining the suitability of a location for living or movement) and functional (i.e., relating to the actual presence, abundance or movement of people or other organisms) properties of either network. We then describe the main one-way influences that a settlement network can exert on the habitat networks and vice versa. Second, we give several recommendations for the mathematical modeling of coupled settlement and habitat networks and present several existing modeling approaches (e.g., habitat network models and land-use transport interaction models) that could be used for this purpose. Lastly, we elaborate on potential applications of models of coupled settlement and habitat networks in the development of complex network theory, in the assessment of system resilience and in conservation, transport and urban planning. The development of coupled settlement and habitat network models is important to gain a better system-level understanding of biodiversity conservation under a rapidly urbanizing and growing human population.</t>
  </si>
  <si>
    <t>10.3389/fevo.2018.00041</t>
  </si>
  <si>
    <t>Ruiz-Cooley, RI; Gerrodette, T; Chivers, SJ; Danil, K</t>
  </si>
  <si>
    <t>Cooperative feeding in common dolphins as suggested by ontogenetic patterns in delta N-15 bulk and amino acids</t>
  </si>
  <si>
    <t>cooperative behaviour; Delphinus; feeding strategies; hierarchical Bayesian; isotopic niche; nitrogen stable isotopes; trophic discrimination factor; trophic position</t>
  </si>
  <si>
    <t>NITROGEN ISOTOPIC COMPOSITION; STABLE-ISOTOPES; TROPHIC RELATIONSHIPS; BAYESIAN MEASURES; NICHE; CALIFORNIA; RATIOS; DELTA-C-13; VARIANCE; ECOLOGY</t>
  </si>
  <si>
    <t>Understanding the effect of stage-specific traits on species feeding habits can reveal how natural selection shapes life strategies. Amino acid (AA) nitrogen stable isotopes (delta N-15) provide multiple proxies of habitat baseline values and diet that can improve our understanding of species feeding strategies relative to their animal metabolism. We evaluated the effect of body length as a proxy for life stage and sex on the feeding habits of the common dolphin Delphinus delphis delphis using delta C-13 and delta N-15 in bulk tissue and AAs delta N-15 from skin samples collected for almost two decades. For bulk delta C-13 and delta N-15 data, we used SIBER analysis to compare isotopic niches by sex and life stage. For AA delta N-15 data, we developed a hierarchical Bayesian model (HBM) to estimate indices of trophic status (Delta N-15 and trophic position). The model reflected the natural hierarchical structure of AA data by partitioning variability into three sources: between laboratory replicates, within dolphins and among dolphins. Estimates of Delta N-15 based on all trophic and source AAs were more precise for each dolphin, less variable among dolphins and on average 2.4 parts per thousand higher than indices based on single trophic (Glx) and source (Phe) AAs. Precision was further increased when information was shared among individuals through random effects or regression models. Estimates of trophic position showed similar patterns. Both Delta N-15 and delta N-15(bulk) isotopic niches showed no difference by sex, suggesting that males and females have similar feeding habits and may not segregate. However, lower Delta N-15 values for weaning calves and smaller juveniles discriminate them from adults, whereas delta N-15 bulk isotopic niches do not. A trophic discrimination factor (TDFTro-Src) of 3.1 parts per thousand was required for reasonable estimates of trophic position for these dolphins. Together, the lack of delta N-15 differences between sexes, low variation between juveniles and adults and knowledge of common dolphins' social organization support intraspecific feeding cooperation as an important strategy to feed in the highly dynamic marine environment. Our study also presents an efficient way to analyse complex AA delta N-15 data using HBM to investigate foraging behaviour in long-lived marine species difficult to study in the wild.</t>
  </si>
  <si>
    <t>10.1111/1365-2656.13478</t>
  </si>
  <si>
    <t>Schwartz, JDM; Pallin, MJ; Michener, RH; Mbabazi, D; Kaufman, L</t>
  </si>
  <si>
    <t>Effects of Nile perch, Lates niloticus, on functional and specific fish diversity in Uganda's Lake Kyoga system</t>
  </si>
  <si>
    <t>AFRICAN JOURNAL OF ECOLOGY</t>
  </si>
  <si>
    <t>food web; haplochromine cichlids; Lake Victoria; species introductions; stable isotopes; trophic</t>
  </si>
  <si>
    <t>CICHLID FISHES; HAPLOCHROMINE CICHLIDS; ECOSYSTEM SERVICES; HYPOXIA TOLERANCE; NITROGEN ISOTOPES; SPATIAL VARIATION; VICTORIA BASIN; EAST-AFRICA; NEW-ZEALAND; FOOD-WEBS</t>
  </si>
  <si>
    <t>The introduction of Nile perch, Lates niloticus, to Lake Victoria, East Africa, interacted with eutrophication to cause a reorganization of the lake's food web and the extirpation of many endemic fishes. The Lake Kyoga satellite system lies downstream from Lake Victoria. It encompasses species-rich lakes where Nile perch are absent or very rare, and low diversity lakes where L. niloticus is abundant. In 1999 we surveyed seven lakes in the Kyoga system using experimental monofilament gill nets (1/4-1 inches variable mesh). At Boston University we assessed delta N-15 signatures of epaxial muscle from subsamples of the catch (n = 361). These signatures are often highly correlated with the near-term mean realized trophic position of an individual organism. A neural network analysis of fish length, species name, trophic level, and lake of origin fish explained 94% of the sample variance in delta N-15. We analysed statistical patterns in these signatures at a number of spatial scales. The relationship between trophic level and delta N-15 varied greatly among lakes. Higher diversity perch-free lakes had greater variance in delta N-15 values and fish lengths than lower diversity Nile perch lakes, suggesting an important relationship between species diversity and functional diversity. Against expectations, lake size was negatively correlated with delta N-15. Patterns in stable isotope signatures indicated that Nile perch lakes have shorter food chains than perch-free lakes. The results throw up two management problems for the Kyoga system. Impacted lakes need to be studied to understand and ameliorate the community-level effects of Nile perch introduction, whereas the species-rich nonperch lakes, which harbour a large proportion of the remaining diversity of regionally endemic taxa, are in need of conservation planning.</t>
  </si>
  <si>
    <t>10.1111/j.1365-2028.2006.00579.x</t>
  </si>
  <si>
    <t>Whorley, SB; Wehr, JD</t>
  </si>
  <si>
    <t>Periphyton C and N stable isotopes detect agricultural stressors in low-order streams</t>
  </si>
  <si>
    <t>agriculture; benthic algae; bioassessment; best management practices; stable isotopes; streams</t>
  </si>
  <si>
    <t>DISSOLVED INORGANIC CARBON; BENTHIC ALGAE; RELATIVE IMPORTANCE; DELTA-N-15 VALUES; WATER VELOCITY; FOOD WEBS; RATIOS; DELTA-C-13; PATTERNS; NITRATE</t>
  </si>
  <si>
    <t>Shifts in the stable isotope signatures of C and N in ecological materials have the potential to indicate environmental disturbances. This study examined the delta C-13 parts per thousand and delta N-15 parts per thousand ratios of stream water and periphyton from low-order streams in a landscape influenced by agricultural activities. Our key purpose was to assess the influence of best management practice (BMP) presence and age on C and N isotope values as a potential water-quality assessment. We collected stream water and periphyton from 19 streams within the Upper Delaware River watershed in New York, USA, in each of 4 management categories: 1) recently applied BMP treatments, 2) long-standing BMPs, 3) streams lacking BMPs, and 4) minimally disturbed reference streams. We sampled and analyzed water and periphyton for delta C-13 parts per thousand and delta N-15 parts per thousand in a repeated-measures design (BMP category x time) from April to November 2013. There were large seasonal differences in stream water delta C-13-dissolved organic C (DIC)parts per thousand and delta(NO3)-N-15-N parts per thousand, with strong differences between reference and agricultural streams. Periphyton delta C-13 parts per thousand and delta N-15 parts per thousand values also differed strongly across streams draining land with agricultural activities, with 85% higher periphyton delta N-15 parts per thousand signals in all agricultural categories vs reference streams. Periphyton diatom and chlorophyte taxonomic proportions showed the strongest relationship with periphyton delta C-13 parts per thousand values, where diatoms were negatively associated with increasing delta C-13 parts per thousand. These results suggest that aqueous and periphytic stable isotopes were sensitive in detecting persistent effects of agriculture on these streams despite BMP mitigation, where nutrient (orthosphosphate, nitrite, and ammonia) levels were non-indicative. These results also suggest that BMPs may not have fully eliminated the negative impacts of agricultural stressors on water quality in impacted streams.</t>
  </si>
  <si>
    <t>10.1086/719187</t>
  </si>
  <si>
    <t>Haas, HL; Rose, KA; Fry, B; Minello, TJ; Rozas, LP</t>
  </si>
  <si>
    <t>Brown shrimp on the edge: Linking habitat to survival using an individual-based simulation model</t>
  </si>
  <si>
    <t>brown shrimp; Gulf of Mexico (USA) fisheries; habitat fragmentation; habitat loss; marsh-edge habitat; management; model; individual-based; simulation model; stable isotopes</t>
  </si>
  <si>
    <t>PENAEUS-AZTECUS IVES; NEKTON USE; SALT-MARSH; FISH PREDATION; LOUISIANA; GROWTH; TEXAS; SETIFERUS; PATTERNS; BAY</t>
  </si>
  <si>
    <t>In many coastal areas, natural habitats are being fragmented and lost to encroaching human development. These landscape changes can affect the production of recreationally and commercially important fisheries because many exploited species of fish and shellfish are estuarine dependent and utilize coastal marshes as nursery grounds. Brown shrimp are an example of a commercially exploited species that may be highly affected by changes in the spatial distribution of habitat types. We used a spatially explicit, individual-based simulation model to explore the role of marsh vegetation and edge habitat in brown shrimp survival. The model simulated shrimp movement, mortality, and growth of individual shrimp from arrival as postlarvae to 70-mm body length, when they emigrate offshore. Simulations were performed on 100 X 100 m spatial grid of 1-m(2) cells, with each cell labeled as water or vegetation. Predation mortality was influenced by shrimp size, movement, and habitat. Simulated shrimp growth depended on temperature, habitat, and local shrimp density. We examined the relationships between shrimp survival and marsh attributes (amount of vegetation and edge habitat) by simulating a series of four habitat maps that we created from aerial photographs. Biological parameters were derived from published estimates and from field data. We corroborated the model by comparing the simulated shrimp abundance with summary statistics from long-term monitoring data, by comparing the simulated density with fine-scale patterns observed in field studies, and by comparing simulated and measured stable-isotope values. Surviving shrimp grew faster, moved less, spent more time in vegetation, and experienced slightly higher local densities than shrimp that died during the simulation. Habitat maps with more edge habitat invariably produced higher simulated shrimp survival rates. High-edge habitats increased survival by providing shrimp more direct access to vegetation without additional movement-related mortality and density-dependent growth costs associated with low-edge habitats. Model predictions were robust to higher numbers of initial postlarvae and to alterations to the movement rules. The results of this study suggest that the management of brown shrimp should be extended from protecting the spawning stock through catch regulations to also protecting the estuarine life stages through habitat conservation and restoration.</t>
  </si>
  <si>
    <t>10.1890/03-5101</t>
  </si>
  <si>
    <t>Linzmaier, SM; Musseau, C; Matern, S; Jeschke, JM</t>
  </si>
  <si>
    <t>Trophic ecology of invasive marbled and spiny-cheek crayfish populations</t>
  </si>
  <si>
    <t>Prey choice; Food selection; Stable isotope analysis; Over-invasions; MixSIAR; Functional equivalence; Trophic niche</t>
  </si>
  <si>
    <t>PROCAMBARUS-ALLENI FAXON; ORCONECTES-RUSTICUS; STABLE-ISOTOPES; RUSTY CRAYFISH; OVER-INVASION; FALLAX HAGEN; PACIFASTACUS-LENIUSCULUS; DISCRIMINATION FACTORS; INTRODUCED CRAYFISH; NATIVE CRAYFISH</t>
  </si>
  <si>
    <t>North American cambarid crayfish have been highly successful in establishing and spreading across Europe and are now over-invading earlier arrivals in many water bodies. Parthenogenetic marbled crayfish (Procambarus virginalis), which originated from aquarium stocks, are relatively recent invaders and have established in lakes previously invaded by spiny-cheek crayfish (Faxonius limosus). However, the feeding ecology of marbled crayfish and consequential impacts on the non-native species' coexistence are largely unexplored. By combining laboratory experiments with stable isotope analyses of field samples, we were able to (1) determine food preferences of both species under controlled conditions and (2) explore their trophic niches in three lakes where both species co-occur. In the food-choice laboratory experiments, the two species showed similar food preferences and consumption rates. Consistently, the stable isotope analyses (delta C-13 and delta N-15) highlighted the intermediate trophic position of both species. Marbled crayfish and spiny-cheek crayfish occupied a wide range of trophic positions corresponding to a very generalist diet. However, marbled crayfish were more relying on arthropod prey than spiny-cheek crayfish which fed more on mollusks. This is the first work providing evidence for trophic plasticity of marbled crayfish in lake food webs. Our results suggest that the addition of marbled crayfish increases grazing pressure on macrophytes and macrophyte-dependent organisms and the allochthonous detritus decomposition in ecosystems already invaded by spiny-cheek crayfish. Since both species are listed as invasive alien species of EU concern, further assessments of potentially endangered food organisms are needed.</t>
  </si>
  <si>
    <t>10.1007/s10530-020-02328-z</t>
  </si>
  <si>
    <t>Kreps, TA; Larson, ER; Lodge, DM</t>
  </si>
  <si>
    <t>Do invasive rusty crayfish (Orconectes rusticus) decouple littoral and pelagic energy flows in lake food webs?</t>
  </si>
  <si>
    <t>crayfish; food webs; invasive species; littoral; north temperate lakes; Orconectes rusticus; pelagic; Sander vitreus; stable isotopes</t>
  </si>
  <si>
    <t>STABLE-ISOTOPES; ECOSYSTEM STRUCTURE; TROPHIC POSITION; PREDATION RISK; FISH PREDATION; HABITAT USE; LONG-TERM; STREAM; IMPACTS; TERRESTRIAL</t>
  </si>
  <si>
    <t>Linkages between habitats can strongly affect ecosystem function through exchange of energy and materials. In lake food webs, large piscivorous fishes integrate littoral and pelagic energy sources through the consumption of smaller fishes and macroinvertebrates. We tested the hypothesis that the introduction of the invasive rusty crayfish (Orconectes rusticus) decouples littoral and pelagic food webs by reducing the abundance of small fish and noncrayfish benthic macroinvertebrates, thereby shifting diets of large fish to increased dependence on littoral energy sources (i.e., crayfish). We used stable isotope ratios of C (delta C-13) and N (delta N-15) to examine differences in resource use between lakes with high abundance of O. rusticus (invaded) and lakes with native crayfish only or with low abundance of nonnative crayfish (uninvaded). The trophic position of juvenile crayfish was lower in invaded than in uninvaded lakes, results suggesting decreased availability of, and reliance on, macroinvertebrate prey and greater dependence on detritus and algae. In invaded lakes, diets of piscivorous fishes relied more strongly on littoral energy sources, and Walleye (Sander vitreus), an obligate piscivore, had a lower trophic position than in uninvaded lakes, results suggesting reduced availability of fish prey. In agreement with another recent stable-isotope study and observations from many smaller-scale but more mechanistic mesocosm and enclosure experiments, these results support the hypothesis that invasion by O. rusticus causes a reduction in the abundance of benthic macroinvertebrates and small fishes and consequently reduces trophic position and increases littoral dependence of large fishes.</t>
  </si>
  <si>
    <t>10.1086/683358</t>
  </si>
  <si>
    <t>Tixier, P; Gimenez, J; Reisinger, RR; Mendez-Fernandez, P; Arnould, JPY; Cherel, Y; Guinet, C</t>
  </si>
  <si>
    <t>Importance of toothfish in the diet of generalist subantarctic killer whales: implications for fisheries interactions</t>
  </si>
  <si>
    <t>Diet; Fisheries; Southern Ocean; Killer whale; Stable isotopes; Fishery interactions</t>
  </si>
  <si>
    <t>ORCINUS-ORCA; PATAGONIAN TOOTHFISH; STABLE-ISOTOPE; SOUTHERN-OCEAN; CROZET ARCHIPELAGO; LIPID EXTRACTION; FEEDING ECOLOGY; MARINE MAMMALS; BLUEFIN TUNA; SPERM-WHALES</t>
  </si>
  <si>
    <t>Fisheries may generate new feeding opportunities for marine predators, which switch foraging behaviour to depredation when they feed on fish directly from fishing gear. However, the role of diet in the propensity of individuals to depredate and whether the depredated resource is artificial or part of the natural diet of individuals is often unclear. Using stable isotopes, this study investigated the importance of the commercially exploited Patagonian toothfish Dissostichus eleginoides in the diet of generalist subantarctic killer whales Orcinus orca depredating this fish at Crozet (45 degrees S, 50 degrees E). The isotopic niche of these killer whales was large and overlapped with that of sperm whales Physeter macrocephalus from the same region, which feed on toothfish both naturally and through depredation. There was no isotopic difference between killer whales that depredated toothfish and those that did not. Isotopic mixing models indicated that prey groups including large/medium sized toothfish and elephant seal Mirounga leonina pups represented similar to 60% of the diet relative to prey groups including penguins, baleen whales and coastal fish. These results indicate that toothfish are an important natural prey item of Crozet killer whales and that switching to depredation primarily occurs when fisheries facilitate access to that resource. This study suggests that toothfish, as a commercial species, may also have a key role as prey for top predators in subantarctic ecosystems. Therefore, assessing the extent to which predators use that resource naturally or from fisheries is now needed to improve both fish stock management and species conservation strategies.</t>
  </si>
  <si>
    <t>10.3354/meps12894</t>
  </si>
  <si>
    <t>Isaak, DJ; Young, MK; Nagel, DE; Horan, DL; Groce, MC</t>
  </si>
  <si>
    <t>The cold-water climate shield: delineating refugia for preserving salmonid fishes through the 21st century</t>
  </si>
  <si>
    <t>bull trout; climate change; cutthroat trout; invasive species; refugia; salmonid; species distribution; stream temperature</t>
  </si>
  <si>
    <t>YELLOWSTONE CUTTHROAT TROUT; SPECIES DISTRIBUTION MODELS; SPATIAL STATISTICAL-MODELS; BULL TROUT; BROOK TROUT; STREAM TEMPERATURES; RAINBOW-TROUT; RIVER-BASIN; HABITAT; CONSERVATION</t>
  </si>
  <si>
    <t>The distribution and future fate of ectothermic organisms in a warming world will be dictated by thermalscapes across landscapes. That is particularly true for stream fishes and cold-water species like trout, salmon, and char that are already constrained to high elevations and latitudes. The extreme climates in those environments also preclude invasions by most non-native species, so identifying especially cold habitats capable of absorbing future climate change while still supporting native populations would highlight important refugia. By coupling crowd-sourced biological datasets with high-resolution stream temperature scenarios, we delineate network refugia across &gt;250000 stream km in the Northern Rocky Mountains for two native salmonidsbull trout (BT) and cutthroat trout (CT). Under both moderate and extreme climate change scenarios, refugia with high probabilities of trout population occupancy (&gt;0.9) were predicted to exist (33-68 BT refugia; 917-1425 CT refugia). Most refugia are on public lands (&gt;90%) where few currently have protected status in National Parks or Wilderness Areas (&lt;15%). Forecasts of refuge locations could enable protection of key watersheds and provide a foundation for climate smart planning of conservation networks. Using cold water as a climate shield' is generalizable to other species and geographic areas because it has a strong physiological basis, relies on nationally available geospatial data, and mines existing biological datasets. Importantly, the approach creates a framework to integrate data contributed by many individuals and resource agencies, and a process that strengthens the collaborative and social networks needed to preserve many cold-water fish populations through the 21st century.</t>
  </si>
  <si>
    <t>10.1111/gcb.12879</t>
  </si>
  <si>
    <t>Thomas, SM; Griffiths, SW; Ormerod, SJ</t>
  </si>
  <si>
    <t>Beyond cool: adapting upland streams for climate change using riparian woodlands</t>
  </si>
  <si>
    <t>adaptation; buffer strip; coarse particulate organic matter; isotope; macroinvertebrate; river; subsidy</t>
  </si>
  <si>
    <t>STABLE-ISOTOPE ANALYSIS; WATER-QUALITY; MACROINVERTEBRATE COMMUNITIES; EXPERIMENTAL MANIPULATION; ECOSYSTEM SERVICES; TROPHIC POSITION; ORGANIC-MATTER; UNITED-STATES; RESTORATION; FOREST</t>
  </si>
  <si>
    <t>Managed adaptation could reduce the risks of climate change to the world's ecosystems, but there have been surprisingly few practical evaluations of the options available. For example, riparian woodland is advocated widely as shade to reduce warming in temperate streams, but few studies have considered collateral effects on species composition or ecosystem functions. Here, we use cross-sectional analyses at two scales (region and within streams) to investigate whether four types of riparian management, including those proposed to reduce potential climate change impacts, might also affect the composition, functional character, dynamics and energetic resourcing of macroinvertebrates in upland Welsh streams (UK). Riparian land use across the region had only small effects on invertebrate taxonomic composition, while stable isotope data showed how energetic resources assimilated by macroinvertebrates in all functional guilds were split roughly 50:50 between terrestrial and aquatic origins irrespective of riparian management. Nevertheless, streams draining the most extensive deciduous woodland had the greatest stocks of coarse particulate matter (CPOM) and greater numbers of shredding' detritivores. Stream-scale investigations showed that macroinvertebrate biomass in deciduous woodland streams was around twice that in moorland streams, and lowest of all in streams draining non-native conifers. The unexpected absence of contrasting terrestrial signals in the isotopic data implies that factors other than local land use affect the relative incorporation of allochthonous subsidies into riverine food webs. Nevertheless, our results reveal how planting deciduous riparian trees along temperate headwaters as an adaptation to climate change can modify macroinvertebrate function, increase biomass and potentially enhance resilience by increasing basal resources where cover is extensive (&gt;60m riparian width). We advocate greater urgency in efforts to understand the ecosystem consequences of climate change adaptation to guide future actions.</t>
  </si>
  <si>
    <t>10.1111/gcb.13103</t>
  </si>
  <si>
    <t>Flockhart, DTT; Brower, LP; Ramirez, MI; Hobson, KA; Wassenaar, LI; Altizer, S; Norris, DR</t>
  </si>
  <si>
    <t>Regional climate on the breeding grounds predicts variation in the natal origin of monarch butterflies overwintering in Mexico over 38 years</t>
  </si>
  <si>
    <t>Asclepias; carbon; Danaus plexippus; hydrogen; migratory connectivity; provenance; seasonal migration; stable isotopes</t>
  </si>
  <si>
    <t>STABLE-ISOTOPES; OPTIMAL CONSERVATION; POPULATION DECLINES; MIGRATORY BIRDS; PLEXIPPUS L; LEPIDOPTERA; TEMPERATURE; COLONIES; TRACKING; EASTERN</t>
  </si>
  <si>
    <t>Addressing population declines of migratory insects requires linking populations across different portions of the annual cycle and understanding the effects of variation in weather and climate on productivity, recruitment, and patterns of long-distance movement. We used stable H and C isotopes and geospatial modeling to estimate the natal origin of monarch butterflies (Danaus plexippus) in eastern North America using over 1000 monarchs collected over almost four decades at Mexican overwintering colonies. Multinomial regression was used to ascertain which climate-related factors best-predicted temporal variation in natal origin across six breeding regions. The region producing the largest proportion of overwintering monarchs was the US Midwest (mean annual proportion = 0.38; 95% CI: 0.36-0.41) followed by the north-central (0.17; 0.14-0.18), northeast (0.15; 0.11-0.16), northwest (0.12; 0.12-0.16), southwest (0.11; 0.08-0.12), and southeast (0.08; 0.07-0.11) regions. There was no evidence of directional shifts in the relative contributions of different natal regions over time, which suggests these regions are comprising the same relative proportion of the overwintering population in recent years as in the mid-1970s. Instead, interannual variation in the proportion of monarchs from each region covaried with climate, as measured by the Southern Oscillation Index and regional-specific daily maximum temperature and precipitation, which together likely dictate larval development rates and food plant condition. Our results provide the first robust long-term analysis of predictors of the natal origins of monarchs overwintering in Mexico. Conservation efforts on the breeding grounds focused on the Midwest region will likely have the greatest benefit to eastern North American migratory monarchs, but the population will likely remain sensitive to regional and stochastic weather patterns.</t>
  </si>
  <si>
    <t>10.1111/gcb.13589</t>
  </si>
  <si>
    <t>Tarroux, A; Lowther, AD; Lydersen, C; Kovacs, KM</t>
  </si>
  <si>
    <t>Temporal shift in the isotopic niche of female Antarctic fur seals from Bouvetoya</t>
  </si>
  <si>
    <t>POLAR RESEARCH</t>
  </si>
  <si>
    <t>Arctocephalus gazella; krill; predation; Southern Ocean; stable isotopes; trophic relationships</t>
  </si>
  <si>
    <t>ARCTOCEPHALUS-GAZELLA; SOUTHERN-OCEAN; STABLE-ISOTOPES; CLIMATE-CHANGE; LIPID EXTRACTION; FOOD-CONSUMPTION; FORAGING ECOLOGY; SCOTIA SEA; DIET; CARBON</t>
  </si>
  <si>
    <t>The Antarctic fur seal (Arctocephalus gazella) is a key marine predator in the Southern Ocean, a region that has recently started to show changes as a result of global climate change. Here, carbon (delta C-13) and nitrogen (delta N-15) stable isotope analyses on whole blood and plasma samples were used to examine the isotopic niche of lactating female Antarctic fur seals. Using recently developed Bayesian approaches to determine changes in isotopic niche, a significant increase in delta C-13 and delta N-15 was found between 1997 and 2015; this change occurred at an average rate of 0.067%0 (delta C-13) and 0.072%0 (delta N-15) per year over this period. This suggests that a marked isotopic niche shift has occurred over this period, which very likely corresponds to a shift in diet towards prey at a higher trophic level, such as fish (replacing krill). Although our sampling design prevented us from exploring a seasonal trend in a conclusive manner, our data suggest that concurrent increases in delta C-13 and delta N-15 might occur as the breeding season progresses. At a seasonal scale, an average decrease of 0.7 parts per thousand per month (95% confidence interval = [0.9; 0.6]) in delta C-13 might have occurred, concurrently with an average increase of 1.1% per month in delta N-15. The results of this study constitute the first isotopic assessment for female Antarctic fur seals from Bouvetoya and provide a baseline for the use of this predator species as a sentinel of the marine trophic system in one of the least studied areas within this species' distributional range.</t>
  </si>
  <si>
    <t>10.3402/polar.v35.31335</t>
  </si>
  <si>
    <t>Britton, JR; Ruiz-Navarro, A; Verreycken, H; Amat-Trigo, F</t>
  </si>
  <si>
    <t>Trophic consequences of introduced species: Comparative impacts of increased interspecific versus intraspecific competitive interactions</t>
  </si>
  <si>
    <t>biological invasions; global change; isotopic niche; niche divergence</t>
  </si>
  <si>
    <t>FRESH-WATER FISH; NATIVE FISHES; NICHE WIDTH; INVADERS; COMMUNITIES; INVASIONS; POPULATION; DIVERGENCE; DIVERSITY; MESOCOSM</t>
  </si>
  <si>
    <t>Invasive species can cause substantial ecological impacts on native biodiversity. While ecological theory attempts to explain the processes involved in the trophic integration of invaders into native food webs and their competitive impacts on resident species, results are equivocal. In addition, quantifying the relative strength of impacts from non-native species (interspecific competition) versus the release of native conspecifics (intraspecific competition) is important but rarely completed. Two model non-native fishes, the globally invasive Cyprinus carpio and Carassius auratus, and the model native fish Tinca tinca, were used in a pond experiment to test how increased intra- and interspecific competition influenced trophic niches and somatic growth rates. This was complemented by samples collected from three natural fish communities where the model fishes were present. The isotopic niche, calculated using stable isotope data, represented the trophic niche. The pond experiment used additive and substitutive treatments to quantify the trophic niche variation that resulted from intra- and interspecific competitive interactions. Although the trophic niche sizes of the model species were not significantly altered by any competitive treatment, they all resulted in patterns of interspecific niche divergence. Increased interspecific competition caused the trophic niche of T. tinca to shift to a significantly higher trophic position, whereas intraspecific competition caused its position to shift towards elevated C-13. These patterns were independent of impacts on fish growth rates, which were only significantly altered when interspecific competition was elevated. In the natural fish communities, patterns of trophic niche partitioning between the model fishes was evident, with no niche sharing. Comparison of these results with those of the experiment revealed the most similar results between the two approaches were for the niche partitioning between sympatric T. tinca and C. carpio. These results indicate that trophic niche divergence facilitates the integration of introduced species into food webs, but there are differences in how this manifests between introductions that increase inter- and intraspecific competition. In entirety, these results suggest that the initial ecological response to an introduction appears to be a trophic re-organisation of the food web that minimises the trophic interactions between competing species.</t>
  </si>
  <si>
    <t>10.1111/1365-2435.12978</t>
  </si>
  <si>
    <t>van Wijk, RE; Barshep, Y; Hobson, KA</t>
  </si>
  <si>
    <t>On the Use of Stable Hydrogen Isotope Measurements (delta H-2) to Discern Trophic Level in Avian Terrestrial Food Webs</t>
  </si>
  <si>
    <t>deuterium; trophic enrichment; foraging guild; isotopic niche</t>
  </si>
  <si>
    <t>RATIOS; DIET; DELTA-C-13; ORIGINS; DISCRIMINATION; DELTA-N-15; NITROGEN; VALUES</t>
  </si>
  <si>
    <t>The measurement of stable hydrogen isotope ratios (delta H-2) in animal tissues is a popular means of inferring spatial origins and migratory connections. However, the use of this isotope to infer diet and potentially trophic position remains poorly understood, especially in non-aquatic terrestrial ecosystems. In many animal communities, tissue delta N-15 values are strongly associated with trophic position. Correlations between tissue delta H-2 and delta N-15 are expected, then, if delta H-2 is affected by trophic enrichment of H-2. In addition, within sites, we would expect higher tissue delta H-2 values in insectivorous species compared to granivores or nectarivores. We tested these hypotheses for two resident avian communities in Nigeria consisting of 30 species representing a range of dietary guilds (granivores, frugivores, nectarivores, omnivores, insectivores) by comparing feather delta H-2, delta N-15 and delta C-13 values. We found considerable isotopic overlap among all guilds except granivores, with no clear pattern of enrichment in H-2 with trophic position. However, at one of our sites (open scrubland), feather delta H-2 was positively correlated with feather delta N-15 (R-2 = 0.30) compared to a closed canopy forest site (R-2 = 0.09). Our results indicate weak evidence for predictable trophic enrichment in H-2 in terrestrial environments and indicate that controlled studies are now required to definitively elucidate the behavior of H isotopes in terrestrial food webs.</t>
  </si>
  <si>
    <t>10.3390/d13050202</t>
  </si>
  <si>
    <t>Ruhl, HA</t>
  </si>
  <si>
    <t>Community change in the variable resource habitat of the abyssal northeast Pacific</t>
  </si>
  <si>
    <t>California Current Ecosystem (CCE); climate; deep sea; echinoderm; holothuroid; Long-Term Ecological Research (LTER); megafauna; niche hierarchy; ophiuroid; pelagic-benthic coupling; rank abundance; relative abundance</t>
  </si>
  <si>
    <t>LONG-TERM CHANGE; BENTHIC BOUNDARY-LAYER; TIME-SERIES STATION; DEEP-SEA; SPECIES-DIVERSITY; TEMPORAL VARIABILITY; EPIBENTHIC MEGAFAUNA; REPRODUCTIVE-BIOLOGY; ORGANIC-MATTER; REGIME SHIFTS</t>
  </si>
  <si>
    <t>Research capable of differentiating resource-related community-level change from random ecological drift in natural systems has been limited. Evidence for nonrandom, resource-driven change is presented here for an epibenthic megafauna community in the abyssal northeast Pacific Ocean from 1989 to 2004. The sinking particulate organic carbon food supply is linked not only to species-specific abundances, but also to species composition and equitability. Shifts in rank abundance distributions (RADs) and evenness, from more to less equitable, correlated to increased food supply during La Nina phases of the El Nino Southern Oscillation. The results suggest that each taxon exhibited a differential response to a sufficiently low dimension resource, which led to changes in community composition and equitability. Thus the shifts were not likely due to random ecological drift. Although the community can undergo population-level variations of one or more orders of magnitude, and the shape of the RADs was variable, the organization retained a significant consistency, providing evidence of limits for such changes. The growing evidence for limited resource-driven changes in RADs and evenness further emphasizes the potential importance of temporally variable disequilibria in understanding why communities have certain basic attributes.</t>
  </si>
  <si>
    <t>10.1890/06-2025.1</t>
  </si>
  <si>
    <t>Carpouron, CJ; Zuel, N; Monty, MLF; Florens, FBV</t>
  </si>
  <si>
    <t>Breeding success of an endangered island endemic kestrel increases with extent of invasion by an alien plant species</t>
  </si>
  <si>
    <t>JOURNAL FOR NATURE CONSERVATION</t>
  </si>
  <si>
    <t>Alien plant invasion; Diet; Falco punctatus; Habitat modification; Mauritius; Ravenala madagascariensis</t>
  </si>
  <si>
    <t>GLOBAL CONSEQUENCES; TROPICAL ISLANDS; FALCO-PUNCTATUS; WET FORESTS; CONSERVATION; BIRD; ECOLOGY; RESTORATION; PHELSUMA; PROGRESS</t>
  </si>
  <si>
    <t>The Mauritius Kestrel Falco punctatus, once the rarest kestrel worldwide, became an icon of bird conservation after it recovered from four to six individuals in 1974 to some 800 by 2005 following intense conservation management. Its population however then halved within about a decade prompting a re-evaluation of the IUCN status and up listing of the species in 2014 and an increased conservation attention. Drivers of this new decline are unclear and the influence of habitat structure and diet on breeding success may be important contributors but have received relatively little attention, particularly in the way they may interact to influence production of new fledglings. We address this knowledge gap by studying whether breeding success is influenced by habitat structure (in terms of cover of the invasive Ravenala in native habitats, an alien plant causing strong structural shift in the forests that it invades, and extent of cleared area), diet composition and food pass frequency (as a proxy for food intake) and food quality at 28 nests of a re-introduced kestrel population in south east Mauritius during the 2015-2016 breeding season. The kestrel's diet comprised native and alien birds, reptiles, insects, and small alien mammals, with a disproportionately high proportion of Phelsuma gecko. A higher frequency of food provisioning and percentage cover of Ravenala both contributed to higher breeding success. Ravenala may increase gecko density or increase gecko detectability and predation by the kestrel, or both, while changed land use (pasture and sugar cane fields) may increase prey diversity in the form of non-forest prey known to be eaten by Kestrels (e.g. alien agamids, small mammals and birds). These prey related influences on breeding suggest that the Bambou mountain range provides a human-generated novel ecosystem altering food availability and increasing the kestrel's breeding success. However, Ravenala is an invasive alien species harmful to the wider forest biodiversity. Progressive weeding of Ravenala and concurrent re-introduction and augmentation of native palms and Pandanus species which geckos can use at comparable densities to Ravenala, is recommended. This would likely improve the kestrel's hunting habitat quality and maintain high gecko density or detectability and the vegetation structure required for hunting manoeuvrability and prey availability without the negative consequences of invasive Ravenala.</t>
  </si>
  <si>
    <t>10.1016/j.jnc.2023.126366</t>
  </si>
  <si>
    <t>Marks, JC; Power, ME; Parker, MS</t>
  </si>
  <si>
    <t>Flood disturbance, algal productivity, and interannual variation in food chain length</t>
  </si>
  <si>
    <t>POPULATION-DYNAMICS; COMMUNITIES; PERIPHYTON; PREDATORS; GRADIENTS; PREY; WEBS</t>
  </si>
  <si>
    <t>The length of a river food chain changed from year to pear, shifting with the hydrologic regime. During drought years, grazers suppressed algae across a nutrient gradient, while predators were functionally unimportant. Following flood disturbance, predators suppressed grazers, releasing algae. These results suggest that hydrologic regime, rather than productivity, determines the functional length of this river food chain. Within years, algae and grazer biomass responded to an experimental productivity gradient in patterns predicted by simple trophic models that assume efficient energy transfer. Understanding differences among species within trophic levels, however, was crucial in delineating the controlling interactions.</t>
  </si>
  <si>
    <t>10.1034/j.1600-0706.2000.900103.x</t>
  </si>
  <si>
    <t>Barranco, VS; Van der Meer, MTJ; Kagami, M; Van den Wyngaert, S; Van de Waal, DB; Van Donk, E; Gsell, AS</t>
  </si>
  <si>
    <t>Trophic position, elemental ratios and nitrogen transfer in a planktonic host-parasite-consumer food chain including a fungal parasite</t>
  </si>
  <si>
    <t>Chytrid; Mycoloop; Phytoplankton; Stable isotope analysis; Zooplankton</t>
  </si>
  <si>
    <t>ECOLOGICAL STOICHIOMETRY; STABLE-ISOTOPES; N-15; DELTA-N-15; CARBON; PHYTOPLANKTON; FRACTIONATION; ZYGORHIZIDIUM; ENRICHMENT; STARVATION</t>
  </si>
  <si>
    <t>Parasitism is arguably the most commonly occurring consumer strategy. However, only a few food web studies assess how well stable isotopes reflect the trophic position of parasitic consumers and results are variable. Even fewer studies have measured the nutrient transfer by parasitic consumers, hindering an assessment of their role in nutrient transfer through food webs. Here we used a food chain consisting of a diatom as host, a chytrid as its parasitic consumer and a rotifer as the predatory consumer of the chytrid, to assess the trophic position of all three food-chain components using their natural(13)C and(15)N isotope signatures, and to measure the nitrogen transfer from the host via the chytrid to the rotifer by tracing(15)N of a labelled host up the food chain. Additionally, we measured the carbon to nitrogen (C:N) ratios of all food-chain components. Natural isotope abundance results showed no clear(15)N enrichment in the chytrid or rotifer relative to the primary producer. However, estimates of nitrogen transfer indicated that about 14% of host nitrogen was transferred per day from host to chytrid during infection epidemics and that some of this nitrogen was also transferred onward to the rotifer. Moreover, C:N ratios decreased with trophic level, suggesting that the chytrid provided a high-quality food source to the rotifer. In conclusion, our results support the mycoloop. The mycooloop proposes that chytrid infections allow the transfer of nutrients bound in large, inedible phytoplankton to zooplankton through the production of edible transmission spores, thereby rerouting nutrients back into the food web.</t>
  </si>
  <si>
    <t>10.1007/s00442-020-04721-w</t>
  </si>
  <si>
    <t>Sullivan, SMP; Hossler, K; Meyer, LA</t>
  </si>
  <si>
    <t>Artificial lighting at night alters aquatic-riparian invertebrate food webs</t>
  </si>
  <si>
    <t>cross-boundary subsidies; ecological light pollution; food webs; stream functioning; trophic position; urbanization</t>
  </si>
  <si>
    <t>CHAIN LENGTH; ECOSYSTEM SIZE; STREAM; URBAN; PREY; DISTURBANCE; POLLUTION; PREDATORS; BEHAVIOR; LINKAGE</t>
  </si>
  <si>
    <t>Artificial lighting at night (ALAN) is a global phenomenon that can be detrimental to organisms at individual and population levels, yet potential consequences for communities and ecosystem functions are less resolved. Riparian systems may be particularly vulnerable to ALAN. We investigated the impacts of ALAN on invertebrate community composition and food web characteristics for linked aquatic-terrestrial ecosystems. We focused on food chain length (FCL), a central property of ecological communities that can influence their structure, function, and stability; and the contribution of aquatically derived energy (i.e., nutritional subsidies originating from stream periphyton). We collected terrestrial arthropods and emergent aquatic insects from a suite of stream and wetland sites in Columbus, Ohio, USA. Stable isotopes of carbon (C-13) and nitrogen (N-15) were used to infer FCL and contribution of aquatically derived energy. We found that moderate-to-high levels of ALAN altered invertebrate community composition, favoring primarily predators and detritivores. Impacts of ALAN, however, were very taxon specific as illustrated, for example, by the negative impact of ALAN on the abundance of orb-web spiders belonging to the families Tetragnathidae and Araneidae: key invertebrate riparian predators. Most notably, we observed decreases in both invertebrate FCL and reliance on aquatically derived energy under ALAN (although aquatic energetic contributions appeared to increase again at higher levels of ALAN), in addition to shifts in the timing of reciprocal nutritional subsidies. Our study demonstrates that ALAN can alter the flows of energy between aquatic and terrestrial systems, thereby representing an environmental perturbation that can cross ecosystem boundaries. Given projections for global increases in ALAN, both in terms of coverage and intensity, these results have broad implications for stream ecosystem structure and function.</t>
  </si>
  <si>
    <t>e01821</t>
  </si>
  <si>
    <t>10.1002/eap.1821</t>
  </si>
  <si>
    <t>Colombaroli, D; Cherubini, P; De Ridder, M; Saurer, M; Toirambe, B; Zweifel, N; Beeckman, H</t>
  </si>
  <si>
    <t>Stable carbon and oxygen isotopes in tree rings show physiological responses of Pericopsis elata to precipitation in the Congo Basin</t>
  </si>
  <si>
    <t>JOURNAL OF TROPICAL ECOLOGY</t>
  </si>
  <si>
    <t>Africa; Congo; stable isotopes; tree rings; tropical rain forest</t>
  </si>
  <si>
    <t>EQUATORIAL EAST-AFRICA; RAINFALL VARIABILITY; C-13/C-12 VARIATIONS; TROPICAL FORESTS; TIME-SERIES; CLIMATE; RATIOS; CELLULOSE; RECORD; SIGNAL</t>
  </si>
  <si>
    <t>In equatorial regions, where tree rings are less distinct or even absent, the response of forests to high-frequency climate variability is poorly understood. We measured stable carbon and oxygen isotopes in anatomically distinct, annual growth rings of four Pericopsis elata trees from a plantation in the Congo Basin, to assess their sensitivity to recorded changes in precipitation over the last 50 y. Our results suggest that oxygen isotopes have high common signal strength (EPS = 0.74), and respond to multi-annual precipitation variability at the regional scale, with low delta O-18 values (28-29%) during wetter conditions (1960-1970). Conversely, delta C-13 are mostly related to growth variation, which in a light-demanding species are driven by competition for light. Differences in d13C values between fast- and slow-growing trees (c. 2 parts per thousand), result in low common signal strength (EPS = 0.37) and are driven by micro-site conditions rather than by climate. This study highlights the potential for understanding the causes of growth variation in P. elata as well as past hydroclimatic changes, in a climatically complex region characterized by a bimodal distribution in precipitation.</t>
  </si>
  <si>
    <t>10.1017/S0266467416000134</t>
  </si>
  <si>
    <t>Rode, KD; Taras, BD; Stricker, CA; Atwood, TC; Boucher, NP; Durner, GM; Derocher, AE; Richardson, ES; Cherry, SG; Quakenbush, L; Horstmann, L; Bromaghin, JF</t>
  </si>
  <si>
    <t>Diet energy density estimated from isotopes in predator hair associated with survival, habitat, and population dynamics</t>
  </si>
  <si>
    <t>Beaufort Sea; bowhead whale; energetics; land use; polar bear; ringed seal; sea ice; stable isotopes; Ursus maritimus</t>
  </si>
  <si>
    <t>SOUTHERN BEAUFORT SEA; BEARS URSUS-MARITIMUS; FEMALE POLAR BEARS; STABLE-ISOTOPE; CLIMATE-CHANGE; RINGED SEALS; APEX PREDATOR; PHOCA-HISPIDA; ICE; ECOLOGY</t>
  </si>
  <si>
    <t>Sea ice loss is fundamentally altering the Arctic marine environment. Yet there is a paucity of data on the adaptability of food webs to ecosystem change, including predator-prey interactions. Polar bears (Ursus maritimus) are an important subsistence resource for Indigenous people and an apex predator that relies entirely on the under-ice food web to meet its energy needs. In this study, we assessed whether polar bears maintained dietary energy density by prey switching in response to spatiotemporal variation in prey availability. We compared the macronutrient composition of diets inferred from stable carbon and nitrogen isotopes in polar bear guard hair (primarily representing summer/fall diet) during periods when bears had low and high survival (2004-2016), between bears that summered on land versus pack ice, and between bears occupying different regions of the Alaskan and Canadian Beaufort Sea. Polar bears consumed diets with lower energy density during periods of low survival, suggesting that concurrent increased dietary proportions of beluga whales (Delphinapterus leucas) did not offset reduced proportions of ringed seals (Pusa hispida). Diets with the lowest energy density and proportions from ringed seal blubber were consumed by bears in the western Beaufort Sea (Alaska) during a period when polar bear abundance declined. Intake required to meet energy requirements of an average free-ranging adult female polar bear was 2.1 kg/day on diets consumed during years with high survival but rose to 3.0 kg/day when survival was low. Although bears that summered onshore in the Alaskan Beaufort Sea had higher-fat diets than bears that summered on the pack ice, access to the remains of subsistence-harvested bowhead whales (Balaena mysticetus) contributed little to improving diet energy density. Because most bears in this region remain with the sea ice year round, prey switching and consumption of whale carcasses onshore appear insufficient to augment diets when availability of their primary prey, ringed seals, is reduced. Our results show that a strong predator-prey relationship between polar bears and ringed seals continues in the Beaufort Sea. The method of estimating dietary blubber using predator hair, demonstrated here, provides a new metric to monitor predator-prey relationships that affect individual health and population demographics.</t>
  </si>
  <si>
    <t>10.1002/eap.2751</t>
  </si>
  <si>
    <t>Gonzalez-Bergonzoni, I; Vidal, N; D'Anatro, A; de Mello, FT; Silva, I; Naya, DE</t>
  </si>
  <si>
    <t>Historical analysis reveals ecological shifts in two omnivorous fish after the invasion of Limnoperna fortunei in the Uruguay river</t>
  </si>
  <si>
    <t>Golden mussel; Fish food webs; Megaleporinus obtusidens; Pimelodus maculatus; Invasion impact; Isotopic niche; Biological invasion</t>
  </si>
  <si>
    <t>DE-LA-PLATA; PARANA RIVER; FOOD WEBS; BIVALVE; MYTILIDAE; COMMUNITIES; PREDATION; RESOURCE; MOLLUSKS; MODELS</t>
  </si>
  <si>
    <t>Since the Asian golden mussel, Limnoperna fortunei, was first reported in the Rio de la Plata in the 90's, its invasion has continuously expanded throughout South America, promoting several negative ecosystem consequences. Several fish species consume and assimilate large fractions of L. fortunei in their biomass, partially controlling the abundance of this invader, but potential fish dietary and trophic niche modifications caused by the invasion have not been studied in deep. Through gut content, stable isotopes and gut morphometry analysis of field-collected and historical museum samples, the potential dietary, trophic niche and physiological consequences of the invasion for two predatory fish of the golden mussel were surveyed. The analysis of historical samples of some of the most frequent and abundant L. fortunei consumers, such as Megaleporinus obtusidens and Pimelodus maculatus, revealed changes in trophic niche when fish started to incorporate L. fortunei. Specifically, an increase in trophic position and a reduction in diet diversity was observed for both predators. Also, a reduction in dietary generalism occurred for M. obtusidens. Furthermore, the digestive tract mass of this species decreased after the invasion, that is, in parallel to a markedly increase in the consumption of animal material. This research raised several questions about the potential effect of L. fortunei on growth rates and abundances of M. obtusidens and P. maculatus, two of the most important species in commercial fisheries in the Uruguay river. Also, it may assist in predicting food web changes to be expected in newly invaded areas.</t>
  </si>
  <si>
    <t>10.1007/s10530-023-03020-8</t>
  </si>
  <si>
    <t>Hernandez, MF; Midway, SR; West, L; Tillya, H; Polito, MJ</t>
  </si>
  <si>
    <t>Stable isotopes track the ontogenetic movement of three commercially important fishes along a coastal Tanzanian seascape</t>
  </si>
  <si>
    <t>Fisheries ecology; Mixing models; Stable isotopes; Ontogenetic shift; Habitat use</t>
  </si>
  <si>
    <t>CORAL-REEF FISHES; SEAGRASS BEDS; LUTJANUS-FULVIFLAMMA; BLACKSPOT SNAPPER; FEEDING AREAS; MAFIA ISLAND; GUT-CONTENT; MANGROVES; NICHE; HABITAT</t>
  </si>
  <si>
    <t>Coastal habitats serve a variety of functions for fisheries species including the provision of foraging areas. Numerous studies have demonstrated that fish species shift their habitat preferences as they age, and this paradigm is also common in commercially important species. In this study, the timing and magnitude of ontogenetic movements in 3 coastal fishes (thumbprint emperor Lethrinus harak, crescent perch Terapon jarbua, and dory snapper Lutjanus fulviflamma) was examined in Tanzania. A combination of carbon and nitrogen stable isotope analysis, Bayesian mixing models, and niche metric analysis was used to quantify the ontogenetic timing and magnitude of shifts in each species' habitat niche. Results from this work identified an ontogenetic shift in the relative importance of mangrove and seagrass habitat use between smaller, younger individuals and larger, older individuals across all 3 species. However, the ontogenetic timing of this shift varied between species, with thumbprint emperor exhibiting the most abrupt shift in habitat use with increasing body size, followed by dory snapper and crescent perch. Management approaches that emphasize the conservation of seascapes are suggested to support sustainable fisheries in coastal Tanzania.</t>
  </si>
  <si>
    <t>10.3354/meps13754</t>
  </si>
  <si>
    <t>Klarian, SA; Canales-Cerro, C; Barria, P; Zarate, P; Concha, F; Hernandez, S; Heidemeyer, M; Sallaberry-Pincheira, P; Melendez, R</t>
  </si>
  <si>
    <t>New insights on the trophic ecology of blue (Prionace glauca) and shortfin mako sharks (Isurus oxyrinchus) from the oceanic eastern South Pacific</t>
  </si>
  <si>
    <t>MARINE BIOLOGY RESEARCH</t>
  </si>
  <si>
    <t>Haakon Hop; Stable isotopes; stomach contents; open waters; feeding habits</t>
  </si>
  <si>
    <t>STABLE-ISOTOPE RATIOS; DISCRIMINATION FACTORS; MARINE ECOSYSTEMS; FEEDING ECOLOGY; APEX PREDATORS; NORTH PACIFIC; DIET; FISHES; FOOD; ASSUMPTIONS</t>
  </si>
  <si>
    <t>The blue shark (Prionace glauca) and the shortfin mako shark (Isurus oxyrinchus) are two large and highly migratory sharks distributed in most oceans. Although they are often caught in the south Pacific Ocean long-line fisheries, their trophic ecology is poorly understood. Stable isotopes with Bayesian mixing and dependence concentration models were performed to determine the diet and trophic differences between the two species in the South-eastern Pacific Ocean. According to the mixing models, fishes are the most important prey of these sharks. Dolphin calves and remains were found in the stomachs of both species, which represents a novel finding in trophic ecology of South Pacific sharks. Intra-specific differences were found in P. glauca, but not in specimens of I. oxyrinchus. The two sharks showed a high degree of diet overlap (73%), primarily over mackerel and dolphin carcasses. Our results indicate that blue and shortfin mako sharks have a generalist feeding strategy in the eastern Pacific Ocean, with a strong preference for teleost fishes and also for dolphin carcasses. Therefore, trophic studies are useful to understand energy flow through the food web, and the trophic position of key species.</t>
  </si>
  <si>
    <t>10.1080/17451000.2017.1396344</t>
  </si>
  <si>
    <t>Xu, J; Zhang, M; Xie, P</t>
  </si>
  <si>
    <t>Size-related shifts in reliance on benthic and pelagic food webs by lake anchovy</t>
  </si>
  <si>
    <t>ECOSCIENCE</t>
  </si>
  <si>
    <t>benthic and pelagic food webs; lake anchovy; size-related diet shift; stable isotopes</t>
  </si>
  <si>
    <t>STABLE-ISOTOPE RATIOS; PIKE ESOX-LUCIUS; TROPHIC POSITION; NITROGEN; CARBON; DELTA-C-13; FISH; DELTA-N-15; DIET; PATHWAYS</t>
  </si>
  <si>
    <t>This paper reports large variations in stable carbon and nitrogen isotope ratios of lake anchovy (Coilia ectenes taihuensis) from Lake Chaohu, China. The lake anchovy exhibited a significant C-13- and N-15- enrichment in relation to increasing fish length, and the isotopic compositions of small lake anchovy (&lt;= 130 mm) were significantly more enriched than those of large lake anchovy (&gt; 130 mm). The significant differences in the isotopic compositions of small and large lake anchovy suggested that their assimilated diets differed over a period of time and reflected the size-related diet shift of this fish. Bellamya aeruginosa and Corbicula fluminea were used to establish the baseline carbon signal of benthic and pelagic food webs, and these data were used to parameterize a 2-source mixing model to estimate in consumers the contribution of carbon derived from benthic versus pelagic food webs. Mixing models showed that small lake anchovy derived only 37% of their carbon from benthic food web, indicating increased reliance on pelagic prey, whereas benthic prey contributed 71% of large lake anchovy diet, suggesting greater use of benthic sources. These data indicate that there was a change in lake anchovy feeding strategy related to their size, suggesting a role in dynamic coupling between pelagic and benthic food chains. The trophic position of small lake anchovy averaged 3.0, indicating a zooplankton-based diet, compared with 3.6 in large lake anchovy, indicative of an increase in piscivorous diet. Overlap in the isotopic compositions of small and large lake anchovy probably indicated that these fish occasionally shared common diets, as suggested by stomach content studies, and/or resulted from the differences in the rate of isotopic turnover depending on differences in growth rate and metabolic turnover between small and large anchovy during diet shift from pelagic to benthic food webs. This study presents the contributions of benthic and pelagic food webs supporting lake anchovy and indicates that the intraspecific isotopic dynamic should be considered when applying stable isotope analyses to infer trophic interactions in aquatic ecosystems.</t>
  </si>
  <si>
    <t>10.2980/1195-6860(2007)14[170:SSIROB]2.0.CO;2</t>
  </si>
  <si>
    <t>Zhang, H; Yohannes, E; Rothhaupt, KO</t>
  </si>
  <si>
    <t>The Potential Impacts of Invasive Quagga and Zebra Mussels on Macroinvertebrate Communities: An Artificial Stone Substrate Based Field Experiment Using Stable Isotopes</t>
  </si>
  <si>
    <t>invasive species; macroinvertebrates; colonization; stable isotopes; Lake Constance</t>
  </si>
  <si>
    <t>DREISSENA-POLYMORPHA; POTAMOPYRGUS-ANTIPODARUM; BIVALVES UNIONIDAE; SETTLING JUVENILES; NATIVE AMPHIPOD; LAKE CONSTANCE; TROPHIC NICHE; COLONIZATION; DIFFERENTIATION; CARBON</t>
  </si>
  <si>
    <t>Over the past decades, the zebra mussel (Dreissena polymorpha) and quagga mussel (D. rostriformis bugensis) invaded multiple freshwater systems and posed major threats to the overall ecosystem. In Lake Constance where zebra mussels invaded in the 1960s, the quagga mussel invasion progressed at a very high rate since 2016, providing an opportunity to study the ecological impact of both species at an early stage. We conducted a field experiment in the littoral region of the lake and monitored differences in macroinvertebrate community colonization. We used standardized stone substrates, which were blank, glued with empty shells of mussels, with living adult quagga mussels, and with living adult zebra mussels. Empty shells and the shells of both living adult quagga and zebra mussels created more colonization areas for newly settled macroinvertebrates. The abundance of newly settled quagga mussels was higher than zebra mussels, indicating the outcompeting behavior of quagga mussels. We used stable isotopes (delta C-13 and delta N-15) of both dreissenids and their potential competitors, which include two snail species (New Zealand mud snail Potamopyrgus antipodarum and faucet snail Bithynia tentaculate) and additional invasive gammarid species (killer shrimp Dikerogammarus villosus), in order to investigate their feeding ecology and to evaluate their potential impacts on macroinvertebrate community. The delta C-13 and delta N-15 of neither the newly settled quagga mussels nor the well-established zebra mussels differed significantly among various treatments. Newly settled quagga mussels had higher delta C-13 values than newly settled zebra mussels and showed similar differences in all four stone setups. During the experimental period (with quagga and zebra mussels still coexisting in some regions), these two dreissenids exhibited clear dietary (isotopic) niche segregation. The rapid expansion of invasive quagga mussels coupled with the higher mortality rate of zebra mussels might have caused a dominance shift from zebra to quagga mussels. The study offers the first overview of the progressive invasion of quagga mussel and the reaction of zebra mussels and other newly settled macroinvertebrates, and compliments the hypothesis of facilitative associations between invasive dreissenids. Results provide an experimental benchmark by which future changes in trophic ecology and invasion dynamics can be measured across the ecosystem.</t>
  </si>
  <si>
    <t>10.3389/fevo.2022.887191</t>
  </si>
  <si>
    <t>Csank, AZ; Miller, AE; Sherriff, RL; Berg, EE; Welker, JM</t>
  </si>
  <si>
    <t>Tree-ring isotopes reveal drought sensitivity in trees killed by spruce beetle outbreaks in south-central Alaska</t>
  </si>
  <si>
    <t>Alaska, USA; Dendroctonus rufipennis; drought stress; Picea glauca; spruce beetle; stable isotopes; tree rings; white spruce</t>
  </si>
  <si>
    <t>WATER-USE EFFICIENCY; OXYGEN-ISOTOPE; STABLE CARBON; WHITE SPRUCE; SUMMER TEMPERATURES; CLIMATE-CHANGE; GROWTH; MORTALITY; CELLULOSE; DELTA-C-13</t>
  </si>
  <si>
    <t>Increasing temperatures have resulted in reduced growth and increased tree mortality across large areas of western North American forests. We use tree-ring isotope chronologies (delta C-13 and delta O-18) from live and dead trees from four locations in south-central Alaska, USA, to test whether white spruce trees killed by recent spruce beetle (Dendroctonus rufipennis Kirby) outbreaks showed evidence of drought stress prior to death. Trees that were killed were more sensitive to spring/summer temperature and/or precipitation than trees that survived. At two of our sites, we found greater correlations between the delta C-13 and delta O-18 chronologies and spring/summer temperatures in dead trees than in live trees, suggesting that trees that are more sensitive to temperature-induced drought stress are more likely to be killed. At one site, the difference between delta C-13 in live and dead trees was related to winter/spring precipitation, with dead trees showing stronger correlations between delta C-13 and precipitation, again suggesting increased water stress in dead trees. At all sites where delta O-18 was measured, delta O-18 chronologies showed the greatest difference in climate response between live and dead groups, with delta O-18 in live trees correlating more strongly with late winter precipitation than dead trees. Our results indicate that sites where trees are already sensitive to warm or dry early growing-season conditions experienced the most beetle-kill, which has important implications for forecasting future mortality events in Alaska.</t>
  </si>
  <si>
    <t>10.1002/eap.1365</t>
  </si>
  <si>
    <t>Hall, AG; Avens, L; McNeill, JB; Wallace, B; Goshe, LR</t>
  </si>
  <si>
    <t>Inferring long-term foraging trends of individual juvenile loggerhead sea turtles using stable isotopes</t>
  </si>
  <si>
    <t>Caretta caretta; Individual specialization; Niche width; Resource use; Stable isotopes</t>
  </si>
  <si>
    <t>CARETTA-CARETTA; NICHE WIDTH; MIXING MODELS; GREEN TURTLES; RESOURCE USE; PATTERNS; NITROGEN; GROWTH; CARBON; DIET</t>
  </si>
  <si>
    <t>Individual variation in diet composition has important evolutionary, ecological, and conservation implications. However, few studies of marine turtles have examined long-term foraging behavior of individuals. Using stable carbon (delta C-13) and nitrogen (delta N-15) isotope values from blood plasma, we examined long-term variation in resource use of 27 juvenile loggerhead turtles Caretta caretta captured multiple times in North Carolina between 2001 and 2010. Seven turtles displayed a marked increase in delta N-15 values consistent with a shift from oceanic to neritic habitat. These turtles, which we designated as 'recruits', had initial straightline carapace lengths (SCL) and delta N-15 values at first sampling that were significantly lower (p = 0.007 and p &lt; 0.0001, respectively) than the remaining 20 'resident' turtles. For the resident group, the influence of SCL on delta C-13 (p = 0.02) and delta N-15 (p = 0.05) values was significant. Individual effects on delta C-13 values were also significant (p &lt; 0.001), indicating that foraging patterns vary among individuals; however, individual effects were not significant for delta N-15 (p = 0.07). Stable isotope niche width calculations suggested that residents were consistent in resource selection over time, and individuals were specialized in resource use relative to the population. Also, the resident population was more specialized than generalized in resource use, and stable isotope mixing (MixSIAR) model results suggest their diet is largely comprised of horseshoe crabs Limulus polyphemus. These findings improve understanding of the foraging ecology of juvenile loggerhead turtles, and highlight the importance of examining the long-term diet composition of individuals.</t>
  </si>
  <si>
    <t>10.3354/meps11452</t>
  </si>
  <si>
    <t>Madigan, DJ; Chiang, WC; Wallsgrove, NJ; Popp, BN; Kitagawa, T; Choy, CA; Tallmon, J; Ahmed, N; Fisher, NS; Sun, CL</t>
  </si>
  <si>
    <t>Intrinsic tracers reveal recent foraging ecology of giant Pacific bluefin tuna at their primary spawning grounds</t>
  </si>
  <si>
    <t>Thunnus orientalis; Stable isotopes; AA-CSIA; Diet; Trophic</t>
  </si>
  <si>
    <t>THUNNUS-THYNNUS; STABLE-ISOTOPE; TROPHIC POSITION; GEOGRAPHICAL VARIATIONS; REPRODUCTIVE-BIOLOGY; FEEDING ECOLOGY; YELLOWFIN TUNA; OCEANIC WATERS; NURSERY AREAS; DIET SHIFT</t>
  </si>
  <si>
    <t>Pacific bluefin tuna Thunnus orientalis (PBFT) play important economic and ecological roles in the western Pacific Ocean. We currently lack basic information on PBFT foraging that would facilitate ecologically informed recovery strategies for this species. We used stable isotope analysis to investigate recent (previous similar to 1.5 yr based on isotopic turnover rate) trophic ecology of 261 giant (&gt;180 cm), sexually mature PBFT entering their major spawning grounds off Taiwan. We performed amino acid-compound specific isotope analysis (AA-CSIA) on a subset of PBFT and select prey to assess the trophic position of PBFT in the western Pacific and to validate putative recent trans-Pacific migration from the eastern Pacific Ocean. Bayesian isotopic mixing model results suggested recent PBFT foraging off eastern Japan and in the Kuroshio-Oyashio transition region, with minimal inputs from the Sea of Japan and Taiwan waters. PBFT did not appear to feed primarily on zooplanktivorous forage fish (e.g. sardine, anchovy) but on higher trophic-level prey including mackerels, squids, and pomfrets. AA-CSIA confirmed a high trophic position (&gt;5) of PBFT in this region and identified putative recent trans-Pacific migration of 2 individuals. This study identifies the prey base that sustains giant PBFT before migrating to spawning grounds off Taiwan and sets the stage for future studies comparing the movements and ecology of PBFT in the western Pacific Ocean.</t>
  </si>
  <si>
    <t>10.3354/meps11782</t>
  </si>
  <si>
    <t>McClellan, CM; Braun-McNeill, J; Avens, L; Wallace, BP; Read, AJ</t>
  </si>
  <si>
    <t>Stable isotopes confirm a foraging dichotomy in juvenile loggerhead sea turtles</t>
  </si>
  <si>
    <t>Life history variation; Loggerhead turtle; Migration; Neritic; Oceanic; Stable isotopes</t>
  </si>
  <si>
    <t>FEEDING HABITAT USE; CARETTA-CARETTA; LIFE-HISTORY; CHELONIA-MYDAS; TROPHIC RELATIONSHIPS; LEATHERBACK TURTLES; SOMATIC GROWTH; SHELF WATERS; DIET; JELLYFISH</t>
  </si>
  <si>
    <t>Differential habitat use and foraging behaviors at various life-stages within a population can have profound consequences for survivorship, stage duration, and time to maturity. While evidence for plasticity within a given life-stage in marine species is mounting, factors that contribute to this diversity remain poorly understood. We used stable isotope analysis of consumer and prey tissues to describe the trophic niche width of juvenile loggerhead turtles (Caretta caretta) that have been tracked and previously shown to have significant variation in movement behaviors (oceanic versus neritic). Results of a Bayesian mixing model indicated that whereas benthic invertebrates dominated the recent diet of neritic turtles (determined through blood plasma), pelagic prey items contributed substantially to the diets of oceanic turtles. Analysis of temporally protracted diet composition (determined through red blood cells) reflected contributions from pelagic prey for all turtle groups, indicating that all turtles fed in the pelagic zone during overwintering periods. These results imply that the previous satellite tracking results reflect the turtles' prior foraging habits. Our study highlights the need for an integrative management approach of North Atlantic juvenile loggerheads and validates the use of stable isotopes for determining their differential habitat use. (C) 2010 Elsevier B.V. All rights reserved.</t>
  </si>
  <si>
    <t>10.1016/j.jembe.2010.02.020</t>
  </si>
  <si>
    <t>Koster, D; Lichter, J; Lea, PD; Nurse, A</t>
  </si>
  <si>
    <t>Historical eutrophication in a river-estuary complex in mid-coast maine</t>
  </si>
  <si>
    <t>coastal ecosystem; diatom record; ecosystem degradation; ecosystem recovery; eutrophication; historical ecology; Maine; USA; pollution; shifting baseline</t>
  </si>
  <si>
    <t>CHESAPEAKE BAY; LAND-USE; HUMAN IMPACTS; NEW-ENGLAND; AQUATIC VEGETATION; KENNEBEC ESTUARY; ORGANIC-MATTER; WATER-QUALITY; USA; SEDIMENTS</t>
  </si>
  <si>
    <t>European settlement of New England brought about a novel disturbance regime that impacted rivers and estuaries through over. shing, deforestation, dams, and water pollution. The negative consequences of these activities intensified with industrialization in the 19th and 20th centuries, often resulting in ecosystem degradation. Since environmental legislation was implemented in the 1970s, improvement in water quality has been tangible and widespread; however, ecological recovery can require substantial amounts of time and may never be complete. To document the natural baseline conditions and investigate the recovery of a severely degraded river-estuary complex in mid-coast Maine, we examined diatoms, pollen, total organic carbon, total nitrogen, stable isotopes, total phosphorus, biogenic silica, and trace metals in intertidal sediments and established a chronology with C-14, Pb-210, and indicator pollen horizons. Both climate variability and human effects were evident in the sedimentary record of Merrymeeting Bay, the freshwater tidal portion of the Kennebec estuary. Natural climate variability was apparent in an episode of high sedimentation and altered diatom abundance during the 12th and 13th centuries and in changing pollen abundances between the 16th and 19th centuries, indicative of regional cooling. During the 18th century, colonial land clearance began an era of high sedimentation and eutrophication that strongly intensified with industrialization during the late 19th and 20th centuries. Improvements in water quality over the past 30 years in response to environmental regulation had little effect on ecosystem recovery as represented by the sedimentary record. Diatom composition and productivity and high fluxes of organic C, total P, and biogenic Si in recent sediments indicate that rates of nutrient loading remain high. These environmental proxies imply that aquatic productivity in Merrymeeting Bay was originally nutrient limited and water clarity high, relative to today. Further recovery may require more stringent regulation of nutrient inputs from industrial and municipal point sources. This historical study can contribute to public debate about the environmental management of this unusual river estuary complex by describing its long-term natural baseline, thereby illustrating the upper limit of its potential for recovery.</t>
  </si>
  <si>
    <t>10.1890/06-0815</t>
  </si>
  <si>
    <t>Belle, S; Verneaux, V; Mariet, AL; Millet, L</t>
  </si>
  <si>
    <t>Impact of eutrophication on the carbon stable-isotopic baseline of benthic invertebrates in two deep soft-water lakes</t>
  </si>
  <si>
    <t>allochthony; carbon stable isotopes; lake; palaeolimnology; subfossil Chironomidae</t>
  </si>
  <si>
    <t>CHIRONOMUS-PLUMOSUS L; ORGANIC-MATTER SOURCES; AQUATIC FOOD WEBS; TERRESTRIAL SUPPORT; SEASONAL-VARIATION; INORGANIC CARBON; ZETT DIPTERA; ENERGY-FLOW; DELTA-C-13; METHANE</t>
  </si>
  <si>
    <t>Sedimentary geochemical proxies and carbon stable isotopes of subfossil chironomid head capsules (C-13) were combined to reconstruct long-term changes in organic matter sources contributing to chironomid biomass in two soft-water lakes (Vosges Mountains, France). Here, we test how basal carbon sources fueling the benthic food web responded to two millennia of environmental changes. Sedimentary organic matter characteristics were strongly variable over time, and were mainly influenced by human activities within the watershed basin. During the pre-eutrophication phase, subfossil chironomid C-13 (C-13(HC)) values were lower than those of sedimentary organic matter. These results suggested that chironomid larvae preferentially fed on the autochthonous part of the total sedimentary organic matter. During the modern period, higher accumulation rates of organic matter and a decrease in C/N ratio suggested a steep rise in aquatic productivity for both lakes. As suggested by the synchronous increase in organic matter C-13 values, this higher productivity and the subsequent increase in dissolved CO2 uptake may have induced either a marked increase in atmospheric CO2 uptake by phytoplankton or a reduction in the phytoplankton trophic fractionation. These changes led to overlaps in terrestrial and aquatic carbon stable-isotopic baselines, hampering the reliable reconstruction of the chironomid palaeo-diet. These results seem to indicate the minor role of allochthony to sustain aquatic food webs of large and soft-water lakes, and underscore the necessity to apply an independent compound-specific stable-isotope analysis to better estimate the temporal changes in isotopic baseline and, thus, strengthen the reliability of the chironomid palaeo-diet reconstructions.</t>
  </si>
  <si>
    <t>10.1111/fwb.12931</t>
  </si>
  <si>
    <t>Gonzalez-De Zayas, R; Rossi, S; Hernandez-Fernandez, L; Velazquez-Ochoa, R; Soares, M; Merino-Ibarra, M; Castillo-Sandoval, FS; Soto-Jimenez, MF</t>
  </si>
  <si>
    <t>Stable isotopes used to assess pollution impacts on coastal and marine ecosystems of Cuba and Mexico</t>
  </si>
  <si>
    <t>Macroalgae; Seagrass; Gorgonian; Coral; Nitrogen pollution; Tourism impact; Sewage</t>
  </si>
  <si>
    <t>THALASSIA-TESTUDINUM; NITROGEN-SOURCES; CORAL-REEFS; ANA MARIA; RELATIVE IMPORTANCE; PUERTO-MORELOS; CARIBBEAN SEA; DELTA-N-15; DELTA-C-13; GROUNDWATER</t>
  </si>
  <si>
    <t>Stable isotopes of nitrogen (delta N-15) have been widely used around the world to evaluate the impact of anthropogenic activities on marine ecosystems; however, in the Caribbean Sea countries, such as Mexico and Cuba, they are rarely used. Inputs of nutrients related to urban development and tourist activities along the coasts of the Caribbean Sea have the potential to deteriorate their fragile marine ecosystems. The use of isotopic tools and elemental analysis in sentinel organisms would be useful to provide evidence of the impact generated by anthropogenic nutrients. Measurements of delta N-15 (h), carbon and nitrogen content, and C:N ratios, were conducted in different sentinel groups (macroalgae, seagrasses, gorgonians, and corals) collected in five marine ecosystems with different nearby coastal development pressure in both countries. The selected ecosystems, ordered according to the level of coastal areas development (low to high), were: Jardines de la Reina (JR), Gulf of Ana Maria (GAM), Cayo Coco (CC), and Laguna Larga (LL) in Cuba, and Puerto Morelos (PM) in Mexico. Results evidenced that the majority of sentinels inhabiting near the most developed coastal areas, in terms of population and tourism, showed higher N contents, lower C:N ratios and higher values of delta N-15 (e.g., PM and LL) than those near less developed coastal ecosystems (e.g., GAM and JR). Land-based nutrients from municipal wastewater constitute the primary source of N pollution. Because eutrophication represents a significant threat to the integrity of valuable coastal ecosystems, there is an urgent need to accelerate progress in wastewater treatment systems, in terms of capacity and efficiency, to significantly reduce nutrient inputs to coastal ecosystems. Otherwise, more negative changes and deteriorations to the health of coastal ecosystems, including coral reefs, are expected along the Mexican Caribbean and numerous key points of Cuba and other Caribbean countries. (C) 2020 Elsevier B.V. All rights reserved.</t>
  </si>
  <si>
    <t>10.1016/j.rsma.2020.101413</t>
  </si>
  <si>
    <t>De Santis, V; Roberts, CG; Britton, JR</t>
  </si>
  <si>
    <t>Trophic consequences of competitive interactions in freshwater fish: Density dependent effects and impacts of inter-specific versus intra-specific competition</t>
  </si>
  <si>
    <t>diet composition; isotopic niche; niche partitioning; trophic niche</t>
  </si>
  <si>
    <t>STABLE-ISOTOPE; DISCRIMINATION FACTORS; CYPRINID FISHES; NICHE; BARBEL; INTRODUCTIONS; INVASION; ECOLOGY; GROWTH; COMMUNITIES</t>
  </si>
  <si>
    <t>Determining the comparative impacts of increased intra- versus inter-specific competition is important in freshwater ecosystems for understanding the ecological changes that can result from activities such as fish stocking events (using alien and/or native fish species), as well as from natural processes that elevate population abundances (e.g. increased annual recruitment success). While increased inter-specific competition can result in slower growth rates and/or reduced population density in the weaker or less abundant competitor, it is important that this is assessed in relation to the impacts of increased intra-specific competition. We tested how the strength of inter-specific competition from a co-existing species varies with abundance, and how this compares with increased intra-specific competition. Fish were the model taxa, as their growth rates strongly correlate with competitive success. Replicated pond mesocosms (150 days) used chub Squalius cephalus in an allopatric control (n = 5; C5) and allopatric treatment (n = 10; C10), and in sympatric treatments (n = 5) with European barbel Barbus barbus (n = 5 (T1), 10 (T2) and 15 (T3)). Treatment effects were tested on fish-specific growth rates (SGRs), and the size and position of the trophic and isotopic niche (stomach contents and stable isotope [SI] analyses respectively). Chub SGRs were significantly higher in C5 versus all other treatments, but did not differ among the other allopatric and sympatric treatments. Chub trophic niche sizes in T1 to T3 were significantly smaller than C5, indicating more specialised diets in the presence of barbel. Chub trophic niche size in C10 was, however, larger than C5 and T1, indicating a shift to a more generalised diet as intra-specific competition increased. As SGRs reduced in treatments, so did the predicted extent of fish SI turnover, with SI data in T1 to T3 not at isotopic equilibrium with their diet in the mesocosms at the experiment's end. Following conversion of fish SI data to represent values at 95% isotopic turnover, chub isotopic niches also revealed shifts to a more general diet as intra-specific competition increased, but to more specialised diets as inter-specific competition increased. Increased intra- and inter-specific competition impacts on the trophic and isotopic niches were contrasting; both metrics indicated niche constrictions in sympatry but niche expansions in allopatry. Impacts on fish growth were evident from both. These results emphasise that the trophic consequences of competition in freshwater fish can differ between stocking events involving the release of conspecifics or other species, with this having important considerations for how freshwater fish communities are managed for angling exploitation.</t>
  </si>
  <si>
    <t>10.1111/fwb.13643</t>
  </si>
  <si>
    <t>Liao, JB; Bearup, D; Wang, YQ; Nijs, I; Bonte, D; Li, YH; Brose, U; Wang, SP; Blasius, B</t>
  </si>
  <si>
    <t>Robustness of metacommunities with omnivory to habitat destruction: disentangling patch fragmentation from patch loss</t>
  </si>
  <si>
    <t>bottom-up control; food chain; food web robustness; landscape fragmentation; omnivory; patch connectivity; patch-dynamic model; patch loss; species dispersal; top-down control</t>
  </si>
  <si>
    <t>SPATIALLY STRUCTURED HETEROGENEITIES; FOOD-WEB; DISPERSAL STRATEGIES; METAPOPULATION MODEL; LANDSCAPE GENERATION; POPULATION-DYNAMICS; ECOLOGICAL NETWORKS; TROPHIC LEVELS; COMMUNITIES; EXTINCTION</t>
  </si>
  <si>
    <t>Habitat destruction, characterized by patch loss and fragmentation, is a major driving force of species extinction, and understanding its mechanisms has become a central issue in biodiversity conservation. Numerous studies have explored the effect of patch loss on food web dynamics, but ignored the critical role of patch fragmentation. Here we develop an extended patch-dynamic model for a tri-trophic omnivory system with trophic-dependent dispersal in fragmented landscapes. We found that species display different vulnerabilities to both patch loss and fragmentation, depending on their dispersal range and trophic position. The resulting trophic structure varies depending on the degree of habitat loss and fragmentation, due to a tradeoff between bottom-up control on omnivores (dominated by patch loss) and dispersal limitation on intermediate consumers (dominated by patch fragmentation). Overall, we find that omnivory increases system robustness to habitat destruction relative to a simple food chain.</t>
  </si>
  <si>
    <t>10.1002/ecy.1830</t>
  </si>
  <si>
    <t>Pinnegar, JK; Jennings, S; O'Brien, CM; Polunin, NVC</t>
  </si>
  <si>
    <t>Long-term changes in the trophic level of the Celtic Sea fish community and fish market price distribution</t>
  </si>
  <si>
    <t>climate; environment; exploitation; fisheries; nitrogen; stable isotope</t>
  </si>
  <si>
    <t>MARINE ECOSYSTEMS; FOOD-CHAINS; NORTH-SEA; FISHERIES; CLIMATE; FLUCTUATIONS; DELTA-N-15; DELTA-C-13; NITROGEN; IMPACTS</t>
  </si>
  <si>
    <t>1. The intensive exploitation of fish communities often leads to substantial reductions in the abundance of target species, with ramifications for the structure and stability of the ecosystem as a whole. 2. We explored changes in the mean trophic level of the Celtic Sea (ICES divisions VII f-j) fish community using commercial landings, survey data and estimates of trophic level derived from the analysis of nitrogen stable isotopes. 3. Our analyses showed that there has been a significant decline in the mean trophic level of survey catches from 1982 to 2000 and a decline in the trophic level of landings from 1946 to 1998. 4. The decline in mean trophic level through time resulted from a reduction in the abundance of large piscivorous fishes and an increase in smaller pelagic species which feed at a lower trophic level. 5. Similar patterns of decline in the trophic level of both catches and landings imply that there have been substantial changes in the underlying structure of the Celtic Sea fish community and not simply a change in fishery preferences. 6. We suggest that the reported changes in trophic structure result from reductions in the spawning stock biomass of traditional target species associated with intensive fishing, together with long-term climate variability. 7. The relative distribution of fish market prices has changed significantly over the past 22 years, with high trophic level species experiencing greater price rises than lower trophic level species. 8. Although decreased abundance of high trophic level species will ultimately have negative economic consequences, the reduction in mean trophic level of the fish community as a whole may allow the system to sustain higher fishery yields. 9. Management objectives in this fishery will depend on the relative values that society attaches to economic profit and protein production.</t>
  </si>
  <si>
    <t>10.1046/j.1365-2664.2002.00723.x</t>
  </si>
  <si>
    <t>Brewster, JD; Giraldo, C; Choy, ES; MacPhee, SA; Hoover, C; Lynn, B; McNicholl, DG; Majewski, A; Rosenberg, B; Power, M; Reist, JD; Loseto, LL</t>
  </si>
  <si>
    <t>A comparison of the trophic ecology of Beaufort Sea Gadidae using fatty acids and stable isotopes</t>
  </si>
  <si>
    <t>Niche overlap; Fatty acids; Stable isotopes; Beaufort Sea; Cod</t>
  </si>
  <si>
    <t>COD BOREOGADUS-SAIDA; FOOD-WEB STRUCTURE; PRINCE-WILLIAM-SOUND; MARINE ECOSYSTEM; VARIABILITY; SHELF; CARBON; FISH; DELTA-C-13; ALASKA</t>
  </si>
  <si>
    <t>Polar cod (Boreogadus saida) is one of the most studied Arctic marine fishes given its circumpolar distribution and centralised role in the Arctic marine food web. In contrast, relatively little is known about two other Arctic Gadidae: saffron cod (Eleginus gracilis) and Greenland cod (Gadus ogac). Climate change is expected to have an effect on sea ice-associated species, such as polar cod, but due to our lack of knowledge of other arctic gadid species it remains unclear how climate change will impact them and their interactions within the arctic marine ecosystem. Here, we explored the ecology of three Arctic Gadidae that co-occur in the Canadian Beaufort Sea. Stable isotope (SI) (niche overlap) and fatty acid (FA) (correspondence analysis and linear discriminant analysis) biomarkers were used to assess among- and within-species differences and trophic niche. Despite the close habitat proximity of saffron cod and polar cod while on the shelf, trophic niche characterisation revealed only a marginal overlap. Marginal niche overlaps also occurred for the two coastal species with similar diets, saffron cod and Greenland cod, likely reflecting regional-scale differences between two habitats. Within-species, polar cod collected from three habitats (shelf, upper- and lower-slope habitats) were not differentiated likely due to the movement of individuals between habitats. In contrast, Greenland cod had a narrow trophic niche and differentiation occurred between the two collection sites. The comparison of trophic niches defined by stable isotope and fatty acid proved a promising tool for new insights into the ecology of Arctic fishes.</t>
  </si>
  <si>
    <t>10.1007/s00300-017-2178-0</t>
  </si>
  <si>
    <t>Mahfouz, C; Meziane, T; Henry, F; Abi-Ghanem, C; Spitz, J; Jauniaux, T; Bouveroux, T; Khalaf, G; Amara, R</t>
  </si>
  <si>
    <t>Multi-approach analysis to assess diet of harbour porpoises Phocoena phocoena in the southern North Sea</t>
  </si>
  <si>
    <t>Harbour porpoises; North Sea; Distribution; Foraging ecology; Stomach contents; Stable isotopes; Fatty acids</t>
  </si>
  <si>
    <t>FATTY-ACIDS; MARINE MAMMALS; STABLE-ISOTOPES; ORGANIC-MATTER; FISH; ABUNDANCE; CETACEANS; ATLANTIC; WHALES; WATERS</t>
  </si>
  <si>
    <t>Over the past decade, the distribution of harbour porpoises Phocoena phocoena has undergone a southward shift in the North Sea, which has led to an increase in the number of stranded porpoises in its southern part. Since the changes in distribution and relative abundance of porpoises may be linked to the changes in prey availability, the aim of the present work was to investigate whether any changes in the feeding habits of harbour porpoises along the North Sea occurred in the past decade. The diet of harbour porpoises stranded along the southern North Sea (northern France and Belgian coast) was assessed through 3 complementary methods: stomach content analysis, stable isotopes (carbon and nitrogen) analysis determined from muscle samples, and fatty acids analysis determined from blubber samples. Fatty acid patterns and stable isotope values from 52 porpoises were compared to 14 potential prey species collected from the southern North Sea. Our results showed that the diet of porpoises along the southern North Sea comprises fish species that are among the most abundant and widely distributed in the area, except for the sardine Sardina pilchardus that appeared to be a new potential prey. Moreover, our results suggested that the decline in sandeel (Ammodytidae) in the northern parts of the North Sea along with the re-invasion of the southern North Sea by sardine species might affect the distribution of harbour porpoises.</t>
  </si>
  <si>
    <t>10.3354/meps11952</t>
  </si>
  <si>
    <t>Calcagno, V; Massol, F; Mouquet, N; Jarne, P; David, P</t>
  </si>
  <si>
    <t>Constraints on food chain length arising from regional metacommunity dynamics</t>
  </si>
  <si>
    <t>bottom-up control; colonization; extinction; habitat selection; patch dynamics; top-down control</t>
  </si>
  <si>
    <t>TROPHIC LEVELS; ECOSYSTEM SIZE; WEBS; FRAGMENTATION; STABILITY; COLONIZATION; MECHANISMS; LONG</t>
  </si>
  <si>
    <t>Classical ecological theory has proposed several determinants of food chain length, but the role of metacommunity dynamics has not yet been fully considered. By modelling patchy predator-prey metacommunities with extinction-colonization dynamics, we identify two distinct constraints on food chain length. First, finite colonization rates limit predator occupancy to a subset of prey-occupied sites. Second, intrinsic extinction rates accumulate along trophic chains. We show how both processes concur to decrease maximal and average food chain length in metacommunities. This decrease is mitigated if predators track their prey during colonization (habitat selection) and can be reinforced by top-down control of prey vital rates (especially extinction). Moreover, top-down control of colonization and habitat selection can interact to produce a counterintuitive positive relationship between perturbation rate and food chain length. Our results show how novel limits to food chain length emerge in spatially structured communities. We discuss the connections between these constraints and the ones commonly discussed, and suggest ways to test for metacommunity effects in food webs.</t>
  </si>
  <si>
    <t>10.1098/rspb.2011.0112</t>
  </si>
  <si>
    <t>Hood, JM; Benstead, JP; Cross, WF; Huryn, AD; Johnson, PW; Gislason, GM; Junker, JR; Nelson, D; Olafsson, JS; Tran, C</t>
  </si>
  <si>
    <t>Increased resource use efficiency amplifies positive response of aquatic primary production to experimental warming</t>
  </si>
  <si>
    <t>climate change; ecosystem respiration; gross primary production; headwater streams; nutrient cycling; nutrient use efficiency; stream metabolism; temperature</t>
  </si>
  <si>
    <t>WHOLE-STREAM METABOLISM; OXYGEN CHANGE TECHNIQUE; GLOBAL CARBON-CYCLE; TEMPERATURE-DEPENDENCE; FRESH-WATER; ECOLOGICAL STOICHIOMETRY; ECOSYSTEM METABOLISM; CLIMATE-CHANGE; PRIMARY PRODUCERS; NITROGEN UPTAKE</t>
  </si>
  <si>
    <t>Climate warming is affecting the structure and function of river ecosystems, including their role in transforming and transporting carbon (C), nitrogen (N), and phosphorus (P). Predicting how river ecosystems respond to warming has been hindered by a dearth of information about how otherwise well-studied physiological responses to temperature scale from organismal to ecosystem levels. We conducted an ecosystem-level temperature manipulation to quantify how coupling of stream ecosystem metabolism and nutrient uptake responded to a realistic warming scenario. A similar to 3.3 degrees C increase in mean water temperature altered coupling of C, N, and P fluxes in ways inconsistent with single-species laboratory experiments. Net primary production tripled during the year of experimental warming, while whole-stream N and P uptake rates did not change, resulting in 289% and 281% increases in autotrophic dissolved inorganic N and P use efficiency (UE), respectively. Increased ecosystem production was a product of unexpectedly large increases in mass-specific net primary production and autotroph biomass, supported by (i) combined increases in resource availability (via N mineralization and N-2 fixation) and (ii) elevated resource use efficiency, the latter associated with changes in community structure. These large changes in C and nutrient cycling could not have been predicted from the physiological effects of temperature alone. Our experiment provides clear ecosystem-level evidence that warming can shift the balance between C and nutrient cycling in rivers, demonstrating that warming will alter the important role of in-stream processes in C, N, and P transformations. Moreover, our results reveal a key role for nutrient supply and use efficiency in mediating responses of primary producers to climate warming.</t>
  </si>
  <si>
    <t>10.1111/gcb.13912</t>
  </si>
  <si>
    <t>Bairlein, F; Norris, DR; Voigt, CC; Dunn, EH; Hussell, DJT</t>
  </si>
  <si>
    <t>Using stable-hydrogen isotopes to reveal immigration in an Arctic-breeding songbird population</t>
  </si>
  <si>
    <t>MOVEMENT ECOLOGY</t>
  </si>
  <si>
    <t>Immigration; Dispersal; Stable isotopes; Northern wheatear; Oenanthe oenanthe</t>
  </si>
  <si>
    <t>LONG-DISTANCE DISPERSAL; HABITAT SELECTION; NATAL DISPERSAL; BIRDS; MIGRATION; ORIGINS; CONSEQUENCES; PHILOPATRY; PATTERNS</t>
  </si>
  <si>
    <t>Background: Knowledge of immigration and emigration rates is crucial for understanding of population dynamics, yet little is known about these vital rates, especially for arctic songbirds. We estimated immigration in an Arctic population of northern wheatears on Baffin Island, Canada, by the use of stable hydrogen isotopes in tail feathers (delta H-2(K)). We assumed that delta H-2(K) values of juvenile (hatch-year) feathers grown at the breeding grounds were representative of the local population, while those of breeding adults were indicative of where they grew their feathers during their post-breeding molt the previous year. The extent to which adult isotope values differ from those of juveniles provides an estimate of the minimum level of immigration into the breeding population. Results: Mean delta H-2(K) values did not differ in juvenile birds between years. Breeding adult birds did not differ significantly in mean delta H-2(K) values compared to juveniles but did differ in their respective standard deviations, reflecting a significantly wider range of isotopic signatures in adults than in juveniles. Thirty-eight percent of the delta H-2(K) values in adults were greater +/- 2 SD of the mean delta H-2(K) values of juveniles, suggesting that at least 38 % of the breeding adults were of non-local origin, thus immigrants from elsewhere. Conclusions: Although the use of stable isotopes has limitations, the use of stable-hydrogen isotopic markers has the potential to contribute valuable information towards understanding immigration rates in bird populations. In our study, hydrogen isotope measurements of the feathers of northern wheatears indicated a high rate of immigration into the breeding population, which is consistent with low return rates of banded breeding adults as well as implying high emigration rates of local breeders.</t>
  </si>
  <si>
    <t>10.1186/s40462-016-0081-x</t>
  </si>
  <si>
    <t>Lisi, PJ; Childress, ES; Gagne, RB; Hain, EF; Lamphere, BA; Walter, RP; Hogan, JD; Gilliam, JF; Blum, MJ; McIntyre, PB</t>
  </si>
  <si>
    <t>Overcoming urban stream syndrome: Trophic flexibility confers resilience in a Hawaiian stream fish</t>
  </si>
  <si>
    <t>amphidromy; aquatic invasive species; goby; omnivory; urbanisation</t>
  </si>
  <si>
    <t>SICYOPTERUS-STIMPSONI; ASSEMBLAGE STRUCTURE; COMMUNITY STRUCTURE; ECOSYSTEM FUNCTION; INDO-PACIFIC; PUERTO-RICO; LAND-USE; STRATEGIES; INVASION; STOICHIOMETRY</t>
  </si>
  <si>
    <t>Urbanisation is widely associated with a suite of physical, chemical and biological degradation of stream ecosystems, known as urban stream syndrome. It is unclear whether urban stream syndrome is applicable to oceanic islands, where marine dispersal of larvae enables diadromous species to continuously recolonise even highly degraded urban streams. The depauperate native fauna of oceanic island streams can be entirely composed of diadromous species, but urban streams food webs are often dominated by introduced predators, competitors and functional groups derived from continental systems. Despite these challenges, some native species appear to thrive in urbanised catchments. Here, we test for urban stream syndrome on oceanic islands by quantifying catchment land use, nutrient concentrations and fish community composition for 37 streams across the Hawaiian archipelago. To assess how native species adapt to food webs altered by species introductions, we quantified trophic responses by examining stomach contents, nitrogen stable isotopes and body condition of Awaous stamineus (an omnivorous goby) in each stream. Urbanisation was consistently associated with nitrogen pollution and replacement of native species with more tolerant exotics. Population densities of three of five native goby species declined sharply with urbanisation, whereas the two other native gobies species were resilient. The trophic position of the omnivore A.stamineus was elevated in urban streams compared to forested catchments, reflecting a shift in stomach contents from algae to greater reliance on exotic aquatic and terrestrial invertebrates. Comparable body condition and resilient population density of A.stamineus across the urbanisation gradient suggest that dietary flexibility buffers this species against environmental degradation. Our findings indicate that the concept of urban stream syndrome is applicable to oceanic islands, yet A.stamineus shows striking resilience. Flexibility in diet, life history and habitat use of this native goby appear to buffer it against the effects of urbanisation compared to most other amphidromous fishes in Hawaiian streams.</t>
  </si>
  <si>
    <t>10.1111/fwb.13091</t>
  </si>
  <si>
    <t>Stern, JH; Laidre, KL; Born, EW; Wiig, O; Sonne, C; Dietz, R; Fisk, A; McKinney, MA</t>
  </si>
  <si>
    <t>Feeding habits of Baffin Bay polar bears Ursus maritimus: insight from stable isotopes and total mercury in hair</t>
  </si>
  <si>
    <t>Arctic; Polar bear; Ursus maritimus; Feeding ecology; Dietary tracers; Greenland; Mercury</t>
  </si>
  <si>
    <t>ARCTIC MARINE MAMMALS; SOUTHERN BEAUFORT SEA; FOOD-WEB; RINGED SEALS; DYNAMICS; PATTERNS; POPULATION; INDICATORS; GREENLAND; ECOLOGY</t>
  </si>
  <si>
    <t>Loss of sea ice brought on by climate change affects polar bear Ursus maritimus access to prey. Here we investigated variation in feeding habits of the Baffin Bay (BB) polar bear subpopulation in relation to sea ice, habitat use, season, and demography using hair carbon (delta C-13), nitrogen (delta N-15), and sulfur (delta S-34) stable isotope values and total mercury (THg) concentrations as ecological tracers. We analyzed hair samples from BB polar bears (n = 131) of all age and sex classes live-captured in West Greenland during the spring in 2009-2013. BB polar bears occupied a narrow isotopic space, suggesting limited variation in carbon sources and trophic position within the subpopulation. THg concentrations (median +/- SE: 5.1 +/- 0.2, range: 0.3-12.5 mu g g(-1) dry weight, DW) were related to age class, and nearly half exceeded the suggested threshold for neurological effects in polar bears at 5.4 mu g g(-1) DW. Although distinct coastal and offshore space-use strategies have been reported for BB polar bears, our results suggest that both strategies lead to similar carbon sources and trophic positions. We found seasonal variation in delta C-13 and delta S-34 across both space-use strategies, with delta S-34 suggesting that all BB polar bears may prey on a higher proportion of benthic-feeding bearded seals Erignathus barbatus in late summer relative to spring. Despite wide fluctuations in inter-annual sea ice conditions and differences in space-use strategies among individuals, stable isotope values and THg concentrations suggested limited variation in feeding habits among BB polar bears. The variation of habitat tracers (delta C-13 and delta S-34) was related to season, whereas trophic tracer (delta N-15 and THg) variation was driven by demographic group. The specialized BB polar bear diet suggests limited feeding plasticity under continued climate warming.</t>
  </si>
  <si>
    <t>10.3354/meps13864</t>
  </si>
  <si>
    <t>Bluhm, SL; Eitzinger, B; Bluhm, C; Ferlian, O; Heidemann, K; Ciobanu, M; Maraun, M; Scheu, S</t>
  </si>
  <si>
    <t>The Impact of Root-Derived Resources on Forest Soil Invertebrates Depends on Body Size and Trophic Position</t>
  </si>
  <si>
    <t>FRONTIERS IN FORESTS AND GLOBAL CHANGE</t>
  </si>
  <si>
    <t>root-derived resources; mesofauna; macrofauna; trenching; forest; soil food web; stable isotopes; NLFA</t>
  </si>
  <si>
    <t>ANIMAL FOOD-WEB; STABLE-ISOTOPE; CARBON FLOW; FATTY-ACIDS; ECTOMYCORRHIZAL FUNGI; FEEDING-HABITS; PLANT CARBON; NITROGEN; DIVERSITY; BEECH</t>
  </si>
  <si>
    <t>Forest soil food webs have been assumed to be fueled substantially by root-derived resources. However, until today the flux of root-derived resources into soil animals has been investigated virtually exclusively using isotope labeling experiments, whereas studies on the consequences of disrupting the flux of root-derived resources into the soil animal food web are scarce. We here investigated the importance of rootderived resources for a wide range of soil animals by interrupting the resource flux into the soil of different forest types in Central Europe using a trenching experiment. We recorded the abundance of soil animal taxa varying in body size (micro-, meso-, and macrofauna) 1 and 3 years after root trenching, and quantified changes in biomass, species composition, and trophic shift using stable isotopes and NLFA analysis. Among the microfauna groups studied (trophic groups of Nematode) only the abundance of plant feeding nematodes showed a trend in being decreased by -58% due to root trenching. Major soil mesofauna groups, including Collembola and Oribatida, suffered to a similar extent from root trenching with their abundance and biomass being reduced by about 30-40%. The soil macrofauna groups studied (Diplopoda, Isopoda, Chilopoda, Araneae, Coleoptera) generally were only little affected by root trenching suggesting that they rely less on root-derived resources than micro- and in particular mesofauna. Notably, the community structure of micro-, meso-, and macrofauna was not affected by root trenching. Further, we observed trophic shifts only in 2 out of 10 investigated species with the shifts generally being only minor. The results indicate that soil animal communities are markedly resilient to deprivation of root-derived resources suggesting that links to root-derived resources are non-specific. However, this resilience appears to vary with body size, with mesofauna including both decomposers as well as predators being more sensitive to the deprivation of root-derived resources than microfauna (except for root feeders) and macrofauna. Overall, this suggests that body size constrains the channeling of energy through soil food webs, with rootderived resources in temperate forests being channeled predominantly via soil taxa of intermediate size, i.e., mesofauna.</t>
  </si>
  <si>
    <t>10.3389/ffgc.2021.622370</t>
  </si>
  <si>
    <t>Maguire, CM; Grey, J</t>
  </si>
  <si>
    <t>Determination of zooplankton dietary shift following a zebra mussel invasion, as indicated by stable isotope analysis</t>
  </si>
  <si>
    <t>archived; carbon; Lough Erne; stable isotope analysis; time series</t>
  </si>
  <si>
    <t>DREISSENA-POLYMORPHA; SAGINAW BAY; COMMUNITY STRUCTURE; TROPHIC LEVELS; FOOD-WEB; NITROGEN; CARBON; LAKE; DELTA-N-15; DELTA-C-13</t>
  </si>
  <si>
    <t>1. Freshwaters with established zebra mussel populations typically exhibit reduced chlorophyll a concentrations, but the subsequent impacts upon zooplankton are varied. We hypothesised that in an invaded system with less phytoplankton but available allochthonous subsidy, zooplankton may utilise greater proportions of allochthonous matter and that this could be traced by analysis of stable carbon and nitrogen isotopes. 2. We used archived zooplankton samples which had been consistently preserved and which spanned the invasion period of an Irish lake, Lough Erne. Increasing reliance upon allochthonous resources would be reflected in an increase in zooplankton delta C-13 away from phytoplankton which is relatively C-13-depleted in humic-stained L. Erne. 3. Analysis of a series of monthly samples (1992-96, 1999-2003) revealed significant C-13-enrichment of mixed zooplankton, Eudiaptomus gracilis and Mysis relicta post-zebra mussel invasion; delta C-13 values approached -27 parts per thousand typical of terrestrial organic matter during spring and autumn. Changes in zooplankton elemental composition also suggested a switch to a lower quality diet. However, analysis of zooplankton delta C-13 from an annual, single-point (June) time series spanning 28 years (1977-2004) suggested that when phytoplankton was sufficiently abundant, zooplankton used this resource and their delta C-13 remained relatively constant around -32 parts per thousand. Post-invasion enrichment of mysid delta N-15 may reflect a shift towards carnivory, but planktonic prey abundance was reduced and a subsequent loss of body condition could result in the same isotopic changes. 4. Our results indicate that in L. Erne, when phytoplankton was reduced by zebra mussel filtering, zooplankton assimilated more from allochthonous matter, and potentially sustained a higher population than would otherwise be possible. Thus, zebra mussel impact on foodweb structure and function is likely to be different in lakes subject to varying subsidy levels.</t>
  </si>
  <si>
    <t>10.1111/j.1365-2427.2006.01568.x</t>
  </si>
  <si>
    <t>Adapting streams for climate change using riparian broadleaf trees and its consequences for stream salmonids</t>
  </si>
  <si>
    <t>riparian subsidy; river; salmonidae; stable isotopes; temperature</t>
  </si>
  <si>
    <t>BROWN TROUT; TERRESTRIAL INVERTEBRATES; RIVER RESTORATION; STABLE-ISOTOPE; UPLAND STREAMS; MACROINVERTEBRATE COMMUNITIES; HEADWATER STREAMS; TROPHIC POSITION; WATER YIELD; LAND-USE</t>
  </si>
  <si>
    <t>The societal value, ecological importance and thermal sensitivity of stream-dwelling salmonids have prompted interest in adaptive management strategies to limit the effects of climate change on their habitats. Additionally, in northern temperate regions, the management and restoration of riparian broadleaf forest is advocated increasingly to dampen variations in stream water temperature and discharge, but might have collateral effects on salmonids by changing allochthonous subsidies. Here, in a cross-sectional analysis of 18 temperate headwaters with different riparian and catchment land use, we use classical fisheries data alongside stable isotope ratios in salmonids and their macroinvertebrate prey to examine whether increasing catchment cover of broadleaf trees could (i) increase the density, biomass and size of salmonids, (ii) increase brown trout (Salmo trutta) dietary reliance on production of terrestrial origin and (iii) mediate allochthonous energy flux between aquatic macroinvertebrates and brown trout. Contrary to expectation, catchment broadleaf cover had no systematic effect on salmonid density or individual size, although salmonid biomass was lowest in streams draining non-native conifers. Moreover, there was no major effect of land use on the dependence of S.trutta on terrestrial production: averaged across all sites, trout used more production from in-stream (623%: mean +/- 1 SE) than terrestrial (38 +/- 3%) sources. Dependence on terrestrial production varied more substantially among individual streams than with riparian land use, mirroring site-specific patterns observed in macroinvertebrates. Although increased broadleaf cover could benefit salmonids by offsetting the impacts of warming related to climate change, these results imply that broadleaf restoration along temperate, upland headwaters is neutral with respect to salmonid biomass, density and terrestrial subsidies. In contrast, the use of non-native conifers for stream shading could have negative effects on salmonid production. Knowledge of the ecological implications of climate change adaptation remains rudimentary, and we advocate further evaluations like ours not only for fresh waters, but for ecosystems more generally.</t>
  </si>
  <si>
    <t>10.1111/fwb.12467</t>
  </si>
  <si>
    <t>Kadye, WT; Booth, AJ</t>
  </si>
  <si>
    <t>Integrating stomach content and stable isotope analyses to elucidate the feeding habits of non-native sharptooth catfish Clarias gariepinus</t>
  </si>
  <si>
    <t>Catfish diet; Omnivory; Ontogenetic shift; Isotope mixing models</t>
  </si>
  <si>
    <t>GREAT FISH RIVER; FOOD COMPOSITION; ECOLOGY; IMPACTS; NITROGEN; FRACTIONATION; POPULATIONS; DELTA-N-15; CALIFORNIA; DELTA-C-13</t>
  </si>
  <si>
    <t>Sharptooth catfish Clarias gariepinus was introduced into the Eastern Cape Province, South Africa, in 1976 and there are concerns about its possible negative impacts on native biota. This study investigated its trophic impact by examining its feeding habits. Stomach content and stable isotope analyses were compared from three localities-the Great Fish River, Sundays River and Glen Melville Dam. Stomach content analysis indicated a catholic diet dominated by fish particularly in all localities. Spatially, however, the diets revealed differences based on the dominance of macrophytes that were only present in the rivers, and aquatic invertebrates that appeared more diverse within the Great Fish River compared to other localities. By contrast, stable isotopes revealed a more generalised feeding pattern with no clear dominance of particular prey. Stable isotopes further showed that the catfish was a complex predator, with large catfish being top predators whereas smaller size groups appeared to feed lower in the food chain. An ontogenetic shift in diet was evident, with small fish predominantly consuming aquatic invertebrates and shifting towards fish with increasing size. High dietary overlap suggests the potential risk associated catfish feeding, especially the potential of piscivory by small catfish that are more likely to persist in shallow and marginal where endangered indigenous minnows occur. The alteration of environmental conditions, especially flow by inter-basin water transfer (IBWT) schemes, was inferred to have had a probable influence its invasion success. Occurrence of other invaders, which was facilitated by the IBWT together with the catfish, posits the risk of invasion meltdown within the study systems.</t>
  </si>
  <si>
    <t>10.1007/s10530-011-0116-6</t>
  </si>
  <si>
    <t>Groner, VP; Nicholas, O; Mabhaudhi, T; Slotow, R; Akcakaya, HR; Mace, GM; Pearson, RG</t>
  </si>
  <si>
    <t>Climate change, land cover change, and overharvesting threaten a widely used medicinal plant in South Africa</t>
  </si>
  <si>
    <t>climate change; Clivia miniata; conservation; ecosystem services; land cover change; medicinal plants; metapopulation model; overharvesting; South Africa</t>
  </si>
  <si>
    <t>SPECIES DISTRIBUTION MODELS; HABITAT FRAGMENTATION; EXTINCTION RISK; BIODIVERSITY; IMPACT; AMARYLLIDACEAE; VULNERABILITY; CONSERVATION; LANDSCAPE; SHIFTS</t>
  </si>
  <si>
    <t>Medicinal plants contribute substantially to the well-being of people in large parts of the world, providing traditional medicine and supporting livelihoods from trading plant parts, which is especially significant for women in low-income communities. However, the availability of wild medicinal plants is increasingly threatened; for example, the Natal Lily (Clivia miniata), which is one of the most widely traded plants in informal medicine markets in South Africa, lost over 40% of individuals over the last 90 years. Understanding the species' response to individual and multiple pressures is essential for prioritizing and planning conservation actions. To gain this understanding, we simulated the future range and abundance of C. miniata by coupling Species Distribution Models with a metapopulation model (RAMAS-GIS). We contrasted scenarios of climate change (RCP2.6 vs. RCP8.5), land cover change (intensification vs. expansion), and harvesting (only juveniles vs. all life-stages). All our scenarios pointed to continuing declines in suitable habitat and abundance by the 2050s. When acting independently, climate change, land cover change, and harvesting each reduced the projected abundance substantially, with land cover change causing the most pronounced declines. Harvesting individuals from all life stages affected the projected metapopulation size more negatively than extracting only juveniles. When the three pressures acted together, declines of suitable habitat and abundance accelerated but uncertainties were too large to identify whether pressures acted synergistically, additively, or antagonistically. Our results suggest that conservation should prioritize the protection of suitable habitat and ensure sustainable harvesting to support a viable metapopulation under realistic levels of climate change. Inadequate management of C. miniata populations in the wild will likely have negative consequences for the well-being of people relying on this ecosystem service, and we expect there may be comparable consequences relating to other medicinal plants in different parts of the world.</t>
  </si>
  <si>
    <t>e2545</t>
  </si>
  <si>
    <t>10.1002/eap.2545</t>
  </si>
  <si>
    <t>Staudinger, MD; Dimkovikj, VH; France, CAM; Jorgensen, E; Judkins, H; Lindgren, A; Shea, EK; Vecchione, M</t>
  </si>
  <si>
    <t>Trophic ecology of the deep-sea cephalopod assemblage near Bear Seamount in the Northwest Atlantic Ocean</t>
  </si>
  <si>
    <t>Cephalopods; Deep-sea; Mesopelagic; Bathy/benthopelagic; Seamount; Stable isotope analysis; Community structure; Trophic position; Ontogenetic shifts</t>
  </si>
  <si>
    <t>STABLE-ISOTOPE RATIOS; SQUID LOLIGO-PEALEII; SPERM-WHALES; OMMASTREPHES-BARTRAMII; ONTOGENIC CHANGES; FEEDING ECOLOGY; INCLUDING GIANT; NICHE OVERLAP; FOOD WEBS; PREY</t>
  </si>
  <si>
    <t>Cephalopods compose a vital component of marine food webs worldwide, yet their trophic roles remain largely unresolved. This study used stable carbon and nitrogen isotopes to describe the trophic structure, ontogeny, and isotopic niche overlap of cephalopod groups from pelagic and near-bottom habitats around Bear Seamount in the Northwest Atlantic Ocean. Beaks from 225 specimens (13 families; 27 species), primarily from juvenile and sub-adult life stages, were collected during a deep-sea biodiversity cruise conducted in 2012. Differences in mean delta N-15 and delta C-13 values were detected among some families and across species within the families Ommastrephidae, Histioteuthidae, Mastigoteuthidae, and the superfamily Argonautoidea. Trophic positions ranged from 2.7 to 4.5 across assemblage members, with top positions held by Illex illecebrosus, Histioteuthis reversa, Octopoteuthis sicula, Taonius pavo, and Haliphron atlanticus. Cephalopod families exhibiting the broadest and most diverse isotopic niche widths overall included Ommastrephidae, Cranchiidae, and Octopoteuthidae. Families with the narrowest isotopic niches included Onychoteuthidae and the monospecific Joubiniteuthidae, and Vampyroteuthidae. Trophic position increased significantly with body size (mantle length) across all individuals sampled, and ontogenetic shifts in delta N-15 values were detected in 7 species. The continuous gradient and broad range of isotope values across families, species, and body sizes suggest an unstructured assemblage comprised of generalist and specialist foragers distributed throughout a vertical depth range of pelagic (depleted delta C-13 values) to near-bottom bathy/benthopelagic (enriched delta C-13 values) habitats. The results provide some of the first quantitative trophic metrics for many poorly studied species and advance our understanding of the diversity of cephalopod ecological roles in marine ecosystems.</t>
  </si>
  <si>
    <t>10.3354/meps13121</t>
  </si>
  <si>
    <t>Kardynal, KJ; Jardine, TD; Genier, CSV; Bumelis, KH; Mitchell, GW; Evans, M; Hobson, KA</t>
  </si>
  <si>
    <t>Mercury exposure to swallows breeding in Canada inferred from feathers grown on breeding and non-breeding grounds</t>
  </si>
  <si>
    <t>Aerial insectivore; Agriculture; Mercury; Stable isotopes; Land-use; Species at risk</t>
  </si>
  <si>
    <t>WESTERN NORTH-AMERICA; AQUATIC FOOD WEBS; STABLE-ISOTOPES; TREE SWALLOWS; REPRODUCTIVE SUCCESS; ATMOSPHERIC MERCURY; TROPHIC POSITION; METHYL MERCURY; NITROGEN; BIOACCUMULATION</t>
  </si>
  <si>
    <t>Aerial insectivorous birds such as swallows have been the steepest declining groups of birds in North America over the last 50 years but whether such declines are linked to contaminants has not been examined. We sampled feathers from five species of swallow at multiple locations to assess total mercury [THg] exposure for adults during the non-breeding season, and for juveniles on the breeding grounds. We assessed Hg exposure to juvenile birds in crop- and grass-dominated landscapes to determine if land-use practices influenced feather [THg]. We assayed feathers for stable isotopes (delta H-2,delta C-13,delta N-15) as proxies for relative habitat use and diet to determine their potential influence on feather [THg]. Feather [THg] was highest in adult bank swallows (Riparia riparia) and purple martins (Progne subis) from Saskatchewan and adult cliff swallows (Petrochelidon pyrrhonota) from western regions, indicating differential exposure to Hg on the non-breeding grounds. Juvenile bank, barn (Hirundo rustica) and tree (Tachycineta bicolor) swallows had lower feather [THg] in crop-dominated landscapes than grass-dominated landscapes in Saskatchewan, potentially resulting from lower use of wetland-derived insects due to wetland drainage and intensive agriculture. Feather [THg] was related to juvenile feather stable isotopes for several species, suggesting complex interactions with diet and environmental factors. Many individuals had feather [THg] values &gt;2 mu g/g, a threshold at which deleterious effects may occur. Our findings indicate differential Hg exposure among species of swallow, regions and land-uses and highlight the need for additional research to determine dietary and finer-scale land-use impacts on individual species and populations.</t>
  </si>
  <si>
    <t>10.1007/s10646-020-02249-6</t>
  </si>
  <si>
    <t>Zeug, SC; Brodsky, A; Kogut, N; Stewart, AR; Merz, JE</t>
  </si>
  <si>
    <t>Ancient fish and recent invaders: white sturgeon Acipenser transmontanus diet response to invasive-species-mediated changes in a benthic prey assemblage</t>
  </si>
  <si>
    <t>Overbite clam; Potamocorbula amurensis; San Francisco Estuary; Stable isotope analysis; Gut content analysis; Food web; Mixing model; California</t>
  </si>
  <si>
    <t>SAN-FRANCISCO BAY; CLAM POTAMOCORBULA-AMURENSIS; NORTH-AMERICAN STURGEONS; ISOTOPE MIXING MODELS; REMARKABLE INVASION; CORBULA-AMURENSIS; TROPHIC POSITION; STABLE ISOTOPES; PALLID STURGEON; FOOD WEBS</t>
  </si>
  <si>
    <t>Invasive organisms can have significant impacts on native species, and the San Francisco Estuary (SFE), California, USA, is one of the world's most invaded estuaries. Decline of native white sturgeon Acipenser transmontanus abundance in the SFE has been acknowledged, but underlying mechanisms are poorly understood. Invasion by the overbite clam Potamocorbula amurensis has drastically altered the SFE benthic prey community, yet little is known about how this change has affected sturgeon diets. We investigated changes in the diet of white sturgeon following the overbite clam invasion and subsequent shift in the SFE benthic prey assemblage. Gut content analysis was used to compare white sturgeon prey composition and importance between the pre- and post-invasion periods. Additionally, stable isotope analysis was employed to estimate the assimilation of prey items to sturgeon biomass. Overbite clams dominated diets in the post-invasion period, accounting for 82 to 93% of total volume. Stable isotope analysis confirmed the importance of this prey item, although their assimilated contribution to sturgeon biomass was estimated to be less (70 to 83%) than gut contents indicated. The frequency of fish in white sturgeon guts increased in the post-invasion period, and isotope analysis indicated relatively large contributions of fish to sturgeon biomass (3.7 to 19%). The trophic adaptability of white sturgeon has allowed them to exploit this new prey source (overbite clam). Future conservation and restoration efforts must consider a potentially destabilized food web given the large importance of a single prey item.</t>
  </si>
  <si>
    <t>10.3354/meps11002</t>
  </si>
  <si>
    <t>Skabeikis, A; Morkune, R; Bacevicius, E; Lesutiene, J; Morkunas, J; Poskiene, A; Siaulys, A</t>
  </si>
  <si>
    <t>Effect of round goby (Neogobius melanostomus) invasion on blue mussel (Mytilus edulis trossulus) population and winter diet of the long-tailed duck (Clangula hyemalis)</t>
  </si>
  <si>
    <t>Resource competition; Trophic level; Marine protected area</t>
  </si>
  <si>
    <t>The invasive round goby has established a viable population within 9years of its first introduction to Lithuanian coastal waters (SE Baltic Sea). During its expansion phase, abundances increased 23-fold, which led to the near complete eradication of its main prey, the blue mussel, at &lt;20m depth. The round goby population showed a stabilizing trend after blue mussel biomass was depleted; however, their abundance has not declined. The round goby feeds efficiently on newly settled mollusks, causing a severe constraint for blue mussel recovery. Changes in blue mussel availability and size structure induced a dietary shift in wintering long-tailed duck towards fish prey. An energetically dense food source sustains a good body condition in long-tailed ducks, however the change in trophic position (from 3.1 to 4.3 trophic level) suggests the potential for a reduction in their carrying capacity. Results from this study also show that coastal habitats with low and unpredictable population dynamics of blue mussel become less attractive wintering sites for long-tailed duck in the Baltic Sea. We also document a cascading effect of invasive species in the food web.</t>
  </si>
  <si>
    <t>10.1007/s10530-018-1869-y</t>
  </si>
  <si>
    <t>Kalt, G; Mayer, A; Haberl, H; Kaufmann, L; Lauk, C; Matej, S; Roos, E; Theurl, MC; Erb, KH</t>
  </si>
  <si>
    <t>Exploring the option space for land system futures at regional to global scales: The diagnostic agro-food, land use and greenhouse gas emission model BioBaM-GHG 2.0</t>
  </si>
  <si>
    <t>Agriculture; Land use modelling; Food system; Integrated assessment model; Climate change; Afforestation</t>
  </si>
  <si>
    <t>NET PRIMARY PRODUCTION; AGRICULTURAL LAND; HUMAN APPROPRIATION; CLIMATE-CHANGE; LIVESTOCK; BIOENERGY; POTENTIALS; SCENARIOS; YEAR-2000; ENERGY</t>
  </si>
  <si>
    <t>Close to 40% of Earth's land area is used for agriculture to provide humankind with plant- and animal-based food, fibers or bioenergy. Future trends in agricultural land use, livestock husbandry and associated environmental pressures are determined by developments in the food sector, agricultural productivity, technology, and many other influencing factors. Scenario analysis helps to understand their complex interaction and obtain quantitative insight. We here present an in-depth description of the agricultural land use model BioBaM-GHG 2.0 (BioBaM), designed for evaluating large numbers of agricultural and livestock production scenarios assembled on the basis of exogenous assumptions on food systems, crop yields and other factors. BioBaM determines the feasibility of specific parameter combinations and the corresponding greenhouse gas (GHG) emissions from agricultural activities, livestock husbandry, land-use change and other activities. We provide a description of the software environment, the model's data structures, input and output variables and model algorithms. To illustrate the model's capabilities and the scope of model applications, we describe two exemplary studies performed with BioBaM: We assess implications of agro-ecological innovations and the feasibility of their widespread application in order to illustrate their implications in terms of agricultural self-sufficiency and GHG emissions. This first case study aligns a small number of individual scenarios with qualitative storylines. We also showcase a biophysical option space approach, which represents a comprehensive sensitivity analysis regarding the multidimensional uncertainties inherent to main influencing parameters, i.e. projections for diets and yields; assumptions on cropland use for bioenergy, and regarding grassland intensification. The global potential of forest regeneration for climate change mitigation serves as an example for this second approach. The option space comprises 90 scenarios and encompasses the full range of literature estimates on GHG mitigation from afforestation in 2050 (0.5 - 7 Gt CO2/yr). It further shows that the potential is zero under certain diet-yield combinations. Assuming zero energy crop cultivation and global convergence to a healthy reference diet, the sequestration potential of afforestation rises to 10 Gt CO2/yr in 2050. These exemplary applications illustrate how option spaces developed with BioBaM can complement scenario-based assessments that usually focus on small numbers of individual scenarios: Option spaces shift attention to a wider scope of conceivable futures and thus support a comprehensive view on systemic relations and dependencies, whereas analyses with few scenarios allow apprehension of much more detailed scenario narratives and qualifications.</t>
  </si>
  <si>
    <t>10.1016/j.ecolmodel.2021.109729</t>
  </si>
  <si>
    <t>Rush, SA; Paterson, G; Johnson, TB; Drouillard, KG; Haffner, GD; Hebert, CE; Arts, MT; McGoldrick, DJ; Backus, SM; Lantry, BF; Lantry, JR; Schaner, T; Fisk, AT</t>
  </si>
  <si>
    <t>Long-term impacts of invasive species on a native top predator in a large lake system</t>
  </si>
  <si>
    <t>nearshore; Neogobius melanostomus; offshore; Salvelinus namaycush; stable isotopes</t>
  </si>
  <si>
    <t>TROUT SALVELINUS-NAMAYCUSH; FOOD-WEB STRUCTURE; ROUND GOBY; TROPHIC POSITION; ENERGY DENSITY; FISH COMMUNITY; ONTARIO; DYNAMICS; NITROGEN; HABITAT</t>
  </si>
  <si>
    <t>1. Declining abundances of forage fish and the introduction and establishment of non-indigenous species have the potential to substantially alter resource and habitat exploitation by top predators in large lakes. 2. We measured stable isotopes of carbon (d13C) and nitrogen (d15N) in field-collected and archived samples of Lake Ontario lake trout (Salvelinus namaycush) and five species of prey fish and compared current trophic relationships of this top predator with historical samples. 3. Relationships between d15N and lake trout age were temporally consistent throughout Lake Ontario and confirmed the role of lake trout as a top predator in this food web. However, d13C values for age classes of lake trout collected in 2008 ranged from 1.0 to 3.9 parts per thousand higher than those reported for the population sampled in 1992. 4. Isotope mixing models predicted that these changes in resource assimilation were owing to the replacement of rainbow smelt (Osmerus mordax) by round goby (Neogobius melanostomus) in lake trout diet and increased reliance on carbon resources derived from nearshore production. This contrasts with the historical situation in Lake Ontario where d13C values of the lake trout population were dominated by a reliance on offshore carbon production. 5. These results indicate a reduced capacity of the Lake Ontario offshore food web to support the energetic requirements of lake trout and that this top predator has become increasingly reliant on prey resources that are derived from nearshore carbon pathways.</t>
  </si>
  <si>
    <t>10.1111/fwb.12014</t>
  </si>
  <si>
    <t>Britton, JR; Cucherousset, J; Almela, VD</t>
  </si>
  <si>
    <t>Novel trophic subsidies from recreational angling transform the trophic ecology of freshwater fishes</t>
  </si>
  <si>
    <t>angling; boilies; cyprinid; groundbait; top-down effects</t>
  </si>
  <si>
    <t>CARP CYPRINUS-CARPIO; STABLE-ISOTOPE; ANGLER SUBSIDIES; GROUNDBAIT; RESOURCES; NICHE; DIET; COMMUNITIES; LIMITATIONS; ECOSYSTEMS</t>
  </si>
  <si>
    <t>Angling is a globally popular leisure activity. There are over 31 million anglers in Europe, many of which target species of the Cyprinidae family in lowland freshwater ecosystems using methods generally involving bait (e.g. groundbaits, seeds and pellets), with large bait inputs possible in periods of high angling activity. While these bait inputs act as novel trophic subsidies ('angling subsidy'), substantial knowledge gaps remain on their influence on freshwater food webs, including on fish trophic niche size and position. The effects of angling subsidies on the trophic ecology of cyprinid fish populations and their macroinvertebrate prey resources were investigated in field studies comparing waters of high angling activity ('subsidised fisheries') versus low angling activity ('non-subsidised fisheries'), and complemented by a pond experiment using two cyprinid species in subsidy absence/presence. Methods were based on stable isotope analysis, with angling subsidies being delta C-13 enriched and, generally, delta N-15 depleted compared to macroinvertebrate prey resources. In the subsidised fisheries, while there were minimal influences of the baits on macroinvertebrate stable isotope values, the effects of the subsidies on all fish species were to substantially delta C-13 enrich and delta N-15 deplete their isotopic niches. However, patterns of interspecific niche divergence remained similar between the species in subsidy presence. In the pond experiment, there was strong isotopic association between the two fish species and macroinvertebrate putative prey in subsidy absence. In treatments that then exposed both species to angling subsidies, their stable isotope values shifted to enriched delta C-13. Synthesis and application. Where angling activity is high, angling baits can provide strong trophic subsidies to freshwater fish, but with minimal effects on other trophic levels. Their regular input into freshwaters can provide some substantial benefits for fish (e.g. increased growth rates) and fisheries (e.g. elevated carrying capacity, higher catch rates), but can also increase nutrient enrichment and potentially raise concerns on angling ethics. Thus, in allowing the use of these baits, especially in relatively high quantities, managers must balance the benefits they can deliver to fish and fisheries versus the adverse effects their use can have on freshwater organisms and ecosystem functioning.</t>
  </si>
  <si>
    <t>10.1111/1365-2664.14237</t>
  </si>
  <si>
    <t>Sidorova, OV; Siegwolf, RTW; Saurer, M; Naurzbaev, MM; Shashkin, AV; Vaganov, EA</t>
  </si>
  <si>
    <t>Spatial patterns of climatic changes in the Eurasian north reflected in Siberian larch tree-ring parameters and stable isotopes</t>
  </si>
  <si>
    <t>climate change; delta 13C and delta 18O of wood and cellulose; Greenland ice core; late wood density; North Atlantic Oscillation; northern Finland; permafrost; Siberian north (Russia); spatial patterns; tree-ring width</t>
  </si>
  <si>
    <t>ATLANTIC OSCILLATION; PINUS-SYLVESTRIS; DELTA-C-13; DENSITY; GROWTH; WIDTH; CELLULOSE; RATIOS; SIGNAL; OXYGEN</t>
  </si>
  <si>
    <t>A spatial description of climatic changes along circumpolar regions is presented based on larch tree-ring width (TRW) index, latewood density (MXD), delta 13C, delta 18O of whole wood and cellulose chronologies from eastern Taimyr (TAY) and north-eastern Yakutia (YAK), Russia, for the period 1900-2006, in comparison with a delta 13C cellulose chronology from Finland (FIN) and a delta 18O ice core record from Greenland (GISP2). Correlation analysis showed a strong positive relationships between TRW, MXD, stable isotope chronologies and June, July air temperatures for TAY and YAK, while the precipitation signal was reflected differently in tree-ring parameters and stable isotope data for the studied sites. Negative correlations were found between July, August precipitation from TAY and stable isotopes and MXD, while May, July precipitations are reflected in MXD and stable isotopes for the YAK. No significant relationships were found between TRW and precipitation for TAY and YAK. The areas of significant correlations between July gridded temperatures and TRW, MXD and stable isotopes show widespread dimension from east to west for YAK and from north to south for TAY. The climate signal is stronger expressed in whole wood than in cellulose for both Siberian regions. The comparison analysis between delta 13C cellulose chronologies from FIN and TAY revealed a similar declining trend over recent decades, which could be explained by the physiological effect of the increasing atmospheric CO2. TRW, MXD and delta 13C chronologies from TAY and YAK show a negative correlation with North Atlantic Oscillation index, while the delta 18O chronologies show positive correlations, confirming recent warming trend at high latitudes. The strong correlation between GISP2 and delta 18O of cellulose from YAK chronologies reflects the large-scale climatic signal connected by atmospheric circulation patterns expressed by precipitation.</t>
  </si>
  <si>
    <t>10.1111/j.1365-2486.2009.02008.x</t>
  </si>
  <si>
    <t>Schaus, MH; Godwin, W; Battoe, L; Coveney, M; Lowe, E; Roth, R; Hawkins, C; Vindigni, M; Weinberg, C; Zimmerman, A</t>
  </si>
  <si>
    <t>Impact of the removal of gizzard shad (Dorosoma cepedianum) on nutrient cycles in Lake Apopka, Florida</t>
  </si>
  <si>
    <t>biomanipulation; eutrophication; excretion; fisheries; nutrient cycling</t>
  </si>
  <si>
    <t>FOOD-WEB; FEEDING ECOLOGY; STABLE-ISOTOPES; FISH; PHOSPHORUS; NITROGEN; EXCRETION; PHYTOPLANKTON; BIOMANIPULATION; RESUSPENSION</t>
  </si>
  <si>
    <t>P&gt;1. The St. Johns River Water Management District removed over 5.4 million kg of gizzard shad (Dorosoma cepedianum) from Lake Apopka, FL during 1993-2005, as a means of reducing lake phosphorus and phytoplankton concentrations and improving water clarity. Other steps included reduction of external nutrient inputs and operation of a treatment wetland. We measured nutrient excretion by Lake Apopka gizzard shad to quantify the nutrient effect of this biomanipulation. 2. Both N and P excretion were significantly affected by fish body mass and temperature. Larger fish had lower mass-specific rates of excretion than smaller fish. 3. High water temperature increased P excretion to a much greater extent than N, resulting in a low N : P of nutrient excretion in midsummer. The N : P of excretion was lower than has been observed in other systems, probably because of higher water temperature. 4. Removal of gizzard shad &gt; 200 g prevented the annual release of 45 800 kg N year-1 (3.46 kg N ha-1 year-1) and 7700 kg P year-1 (0.62 kg P ha-1 year-1) on average. The actual impact on the P cycle varied substantially from year to year (range 7900-78 800 kg N year-1; 1200-14 800 kg P year-1), primarily because of fluctuations in the catch. 5. On an annual basis, the P directly removed in fish tissues was similar to that removed by the treatment wetland. The P excretion prevented by the removal of fish was approximately 20% of the reduction in external P loading achieved during 1993-2005. 6. In the short term, most of the P demand of planktonic primary producers is met through recycling of P, which greatly exceeds external P loading. Depending on population biomass, phosphorus excretion by the resident gizzard shad population was similar in magnitude to the P release by diffusive flux from the sediments.</t>
  </si>
  <si>
    <t>10.1111/j.1365-2427.2010.02440.x</t>
  </si>
  <si>
    <t>Wing, SR; Beer, NA; Jack, L</t>
  </si>
  <si>
    <t>Resource base of blue cod Parapercis colias subpopulations in marginal fjordic habitats is linked to chemoautotrophic production</t>
  </si>
  <si>
    <t>Chemoautotrophy; Food web; Fjord; Reef fish; Stable isotopes; Trophic level; Metapopulation</t>
  </si>
  <si>
    <t>LOBSTER JASUS-EDWARDSII; NEW-ZEALAND; EXPLOITATION ECOSYSTEMS; TROPHIC POSITION; POPULATION; FJORDLAND; DELTA-C-13; CARBON; DIET; PLASTICITY</t>
  </si>
  <si>
    <t>Metapopulations are often distributed across habitat patches with distinct differences in nutritional resources. We investigate individual variability in diet among subpopulations of blue cod Parapercis colias across productivity gradients within Fiordland, New Zealand. delta C-13 and delta N-15 of basal organic matter, including phytoplankton, macroalgae, terrestrial detritus and the chemosymbiont-harbouring clam Solemya parkinsonii, were collected. P. colias from inner and outer fjord sites within 5 fjords were analysed for proportion of diet comprising S. parkinsonii, and delta C-13 and delta N-15 of muscle tissue. Relative abundance of photoautotrophic organic matter was quantified from surveys of chl a and abundance of common kelp Ecklonia radiata. Information on mussel beds was collected to characterise potential for benthic-pelagic coupling. A mass balance model using delta C-13 and delta N-15 was used to estimate trophic level and proportion of organic matter from chemosynthesis for individual blue cod. Blue cod from the inner fjords had more variable use of organic matter originating from photoautotrophic versus chemoautotrophic sources than those from outer fjord regions. This was consistent with greater occurrence of S. parkinsonii in stomachs of blue cod from the inner fjords. Abundance of phytoplankton and occurrence of mussels statistically explained 87% of the variability in proportion of organic matter originating from chemosynthesis. These data provide an important example of variation in basal organic matter sources among subpopulations within a marine metapopulation. Our results demonstrate the importance of organic matter produced from chemosynthesis in coastal food webs providing a mechanism for maintenance of high trophic level consumers in marginal habitats.</t>
  </si>
  <si>
    <t>10.3354/meps09929</t>
  </si>
  <si>
    <t>Tonra, CM; Sager-Fradkin, K; Morley, SA; Duda, JJ; Marra, PP</t>
  </si>
  <si>
    <t>The rapid return of marine-derived nutrients to a freshwater food web following dam removal</t>
  </si>
  <si>
    <t>American dipper; Cinclus mexicanus; Elwha River; Salmon; Stable isotopes; Oncorhynchus spp.</t>
  </si>
  <si>
    <t>SPAWNING PACIFIC SALMON; ECOSYSTEMS; DELTA-N-15; PERIPHYTON; CARCASSES; SUBSIDIES; GROWTH</t>
  </si>
  <si>
    <t>Dam removal is increasingly being recognized as a viable river restoration action. Although the main beneficiaries of restored connectivity are often migratory fish populations, little is known regarding recovery of other parts of the freshwater food web, particularly terrestrial components. We measured stable isotopes in key components to the freshwater food web: salmon, freshwater macroinvertebrates and a river specialist bird, American dipper (Cinclus mexicanus), before and after removal of the Elwha Dam, WA, USA. Less than a year after dam removal, salmon returned to the system and released marine-derived nutrients (MDN). In that same year we documented an increase in stable-nitrogen and carbon isotope ratios in American dippers. These results indicate that MDN from anadromous fish, an important nutrient subsidy that crosses the aquatic-terrestrial boundary, can return rapidly to food webs after dams are removed which is an important component of ecosystem recovery. (C) 2015 Elsevier B.V. All rights reserved.</t>
  </si>
  <si>
    <t>10.1016/j.biocon.2015.09.009</t>
  </si>
  <si>
    <t>East, JL; Wilcut, C; Pease, AA</t>
  </si>
  <si>
    <t>Aquatic food-web structure along a salinized dryland river</t>
  </si>
  <si>
    <t>benthic macroinvertebrates; fishes; Pecos River; stable isotope analysis; trophic ecology</t>
  </si>
  <si>
    <t>FISH ASSEMBLAGE STRUCTURE; RIO-GRANDE; TEMPORAL VARIATION; ISOTOPE RATIOS; COLORADO RIVER; CHAIN LENGTH; PECOS RIVER; STREAM; CARBON; HABITAT</t>
  </si>
  <si>
    <t>1. Very little is known about the ecosystem impacts of river salinization despite expectations for global increases in salinization with growing water demand and climate change. In some rivers in the southwestern United States, salinization has occurred as a result of natural saline inputs exacerbated by flow alteration and other anthropogenic impacts. Salinization in the Pecos River has been linked to declines in fish diversity, but impacts on the structure of aquatic food webs have not been investigated. 2. We assessed variation in local food webs along the longitudinal gradient of the main stem Pecos River by estimating carbon sources, trophic positions and assemblage-wide trophic structure for aquatic consumers at 12 sites using stable isotope analysis (delta C-13 and delta N-15). Temporal variation across seasons was also examined for common fish species at a subset of sites. 3. Consumer richness, food-chain length and assemblage-wide niche breadth were inversely related to specific conductivity. Mixing models revealed differences in sources of dietary carbon supporting fish production along the longitudinal fluvial gradient, with a shift towards reliance on algal production in the salinized reaches of the river. Trophic niche breadth was greatest for assemblages in less degraded sites with higher fish species richness. Local food webs in salinized sites were dominated by euryhaline species and had shorter food chains and narrower assemblage-wide niche breadths. Across seasons, delta C-13 and delta N-15 signatures remained fairly constant for five common fish species. 4. Our results suggest that salinization in portions of the Pecos River constrains the diversity of consumers and trophic resources in local food webs. Characterising changes in food-web structure in relation to salinization and other environmental changes is important for habitat assessment, stream restoration and other conservation strategies.</t>
  </si>
  <si>
    <t>10.1111/fwb.12893</t>
  </si>
  <si>
    <t>Bowen, GJ; Putman, A; Brooks, JR; Bowling, DR; Oerter, EJ; Good, SP</t>
  </si>
  <si>
    <t>Inferring the source of evaporated waters using stable H and O isotopes</t>
  </si>
  <si>
    <t>Stable isotopes; Ecohydrology; Water source; Evaporation; Bayesian methods</t>
  </si>
  <si>
    <t>LAKE-WATER; HYDROGEN ISOTOPES; OXYGEN ISOTOPES; URBAN WATER; PRECIPITATION; FRACTIONATION; GROUNDWATER; DELTA-O-18; SEPARATION; CELLULOSE</t>
  </si>
  <si>
    <t>Stable isotope ratios of H and O are widely used to identify the source of water, e.g., in aquifers, river runoff, soils, plant xylem, and plant-based beverages. In situations where the sampled water is partially evaporated, its isotope values will have evolved along an evaporation line (EL) in delta H-2/delta O-18 space, and back-correction along the EL to its intersection with a meteoric water line (MWL) has been used to estimate the source water's isotope ratios. Here, we review the theory underlying isotopic estimation of source water for evaporated samples (iSW(E)). We note potential for bias from a commonly used regression-based approach for EL slope estimation and suggest that a model-based approach may be preferable if assumptions of the regression approach are not valid. We then introduce a mathematical framework that eliminates the need to explicitly estimate the EL-MWL intersection, simplifying iSW(E) analysis and facilitating more rigorous uncertainty estimation. We apply this approach to data from the US EPA's 2007 National Lakes Assessment. We find that data for most lakes are consistent with a water source similar to annual runoff, estimated from monthly precipitation and evaporation within the lake basin. Strong evidence for both summer- and winter-biased sources exists, however, with winter bias pervasive in most snow-prone regions. The new analytical framework should improve the rigor of iSW(E) in ecohydrology and related sciences, and our initial results from US lakes suggest that previous interpretations of lakes as unbiased isotope integrators may only be valid in certain climate regimes.</t>
  </si>
  <si>
    <t>10.1007/s00442-018-4192-5</t>
  </si>
  <si>
    <t>Levesque, M; Saurer, M; Siegwolf, R; Eilmann, B; Brang, P; Bugmann, H; Rigling, A</t>
  </si>
  <si>
    <t>Drought response of five conifer species under contrasting water availability suggests high vulnerability of Norway spruce and European larch</t>
  </si>
  <si>
    <t>carbon isotope; Central Europe; climate change; Larix; oxygen isotope; Picea; Pinus; Pseudotsuga; tree ring; water deficit</t>
  </si>
  <si>
    <t>OXYGEN-ISOTOPE SIGNALS; TREE-RING WIDTH; SCOTS PINE; CLIMATE VARIABILITY; EXTREME EVENTS; STABLE CARBON; PICEA-ABIES; TIME-SERIES; MORTALITY; GROWTH</t>
  </si>
  <si>
    <t>The ability of tree species to cope with anticipated decrease in water availability is still poorly understood. We evaluated the potential of Norway spruce, Scots pine, European larch, black pine, and Douglas-fir to withstand drought in a drier future climate by analyzing their past growth and physiological responses at a xeric and a mesic site in Central Europe using dendroecological methods. Earlywood, latewood, and total ring width, as well as the C-13 and O-18 in early- and latewood were measured and statistically related to a multiscalar soil water deficit index from 1961 to 2009. At the xeric site, C-13 values of all species were strongly linked to water deficits that lasted longer than 11months, indicating a long-term cumulative effect on the carbon pool. Trees at the xeric site were particularly sensitive to soil water recharge in the preceding autumn and early spring. The native species European larch and Norway spruce, growing close to their dry distribution limit at the xeric site, were found to be the most vulnerable species to soil water deficits. At the mesic site, summer water availability was critical for all species, whereas water availability prior to the growing season was less important. Trees at the mesic were more vulnerable to water deficits of shorter duration than the xeric site. We conclude that if summers become drier, trees growing on mesic sites will undergo significant growth reductions, whereas at their dry distribution limit in the Alps, tree growth of the highly sensitive spruce and larch may collapse, likely inducing dieback and compromising the provision of ecosystem services. However, the magnitude of these changes will be mediated strongly by soil water recharge in winter and thus water availability at the beginning of the growing season.</t>
  </si>
  <si>
    <t>10.1111/gcb.12268</t>
  </si>
  <si>
    <t>Greaver, TL; Sternberg, LSL</t>
  </si>
  <si>
    <t>Decreased precipitation exacerbates the effects of sea level on coastal dune ecosystems in open ocean islands</t>
  </si>
  <si>
    <t>Caribbean islands; climate change; coastal plants; eco physiology; ocean water intrusion; oxygen isotopes; water cycle; water relations</t>
  </si>
  <si>
    <t>SCAEVOLA-SERICEA; FRESH-WATER; SALT SPRAY; RAINFALL; FLORIDA; VEGETATION; RESPONSES; ZONATION; DEPTH; RISE</t>
  </si>
  <si>
    <t>The alteration of fresh and marine water cycling is likely to occur in coastal ecosystems as climate change causes the global redistribution of precipitation while simultaneously driving sea-level rise at a rate of 2-3 mm yr-1. Here, we examined how precipitation alters the ecological effects of ocean water intrusion to coastal dunes on two oceanic carbonate islands in the Bahamas. The approach was to compare sites that receive high and low annual rainfall and are also characterized by seasonal distribution (wet and dry season) of precipitation. The spatial and temporal variations in precipitation serve as a proxy for conditions of altered precipitation which may occur via climate change. We used the natural abundances of stable isotopes to identify water sources (e.g., precipitation, groundwater and ocean water) in the soil-plant continuum and modeled the depth of plant water uptake. Results indicated that decreased rainfall caused the shallow freshwater table on the dune ecosystem to sink and contract towards the inland, the lower freshwater head allowed ocean water to penetrate into the deeper soils, while shallow soils became exceedingly dry. Plants at the drier site that lived nearest to the ocean responded by taking up water from the deeper and consistently moist soil layers where ocean water intruded. Towards the inland, decreased rainfall caused the water table to sink to a depth that precluded both recharge to the upper soil layers and access by plants. Consequently, plants captured water in more shallow soils recharged by infrequent rainfall events. The results demonstrate dune ecosystems on oceanic islands are more susceptible to ocean water intrusion when annual precipitation decreases. Periods of diminished precipitation caused drought conditions, increased exposure to saline marine water and altered water-harvesting strategies. Quantifying species tolerances to ocean water intrusion and drought are necessary to determine a threshold of community sustainability.</t>
  </si>
  <si>
    <t>10.1111/j.1365-2486.2010.02168.x</t>
  </si>
  <si>
    <t>Chen, HL; Hagerty, S; Crotty, SM; Bertness, MD</t>
  </si>
  <si>
    <t>Direct and indirect trophic effects of predator depletion on basal trophic levels</t>
  </si>
  <si>
    <t>direct trophic effects; human impacts; indirect trophic effects; fiddler crabs meiofauna; predator depletion</t>
  </si>
  <si>
    <t>NITROGEN-CYCLE; CLIMATE-CHANGE; SALT MARSHES; ECOSYSTEM; COASTAL; COLLAPSE; IMPACTS; RESILIENCE; LANDSCAPES; HERBIVORY</t>
  </si>
  <si>
    <t>Human population growth and development have heavily degraded coastal ecosystems with cascading impacts across multiple trophic levels. Understanding both the direct and indirect trophic effects of human activities is important for coastal conservation. In New England, recreational overfishing has triggered a regional trophic cascade. Predator depletion releases the herbivorous purple marsh crab from consumer control and leads to overgrazing of marsh cordgrass and salt marsh die-off. The direct and indirect trophic effects of predator depletion on basal trophic levels, however, are not understood. Using observational and experimental data, we examined the hypotheses that (1) direct trophic effects of predator depletion decrease meiofaunal abundance by releasing deposit feeding fiddler crabs from consumer control, and/or (2) indirect trophic effects of predator depletion increase meiofaunal abundance by releasing blue carbon via the erosion of centuries of accreted marsh peat. Experimental deposit feeder removal led to 23% higher meiofaunal density at die-off than at healthy sites, while reciprocally transplanting sediment from die-off and healthy sites revealed that carbon-rich die-off sediment increased meiofauna density by over 164%: six times stronger than direct trophic effects. Recovering sites had both carbon-rich sediment and reduced deposit feeding leading to higher meiofauna densities than both die-off and healthy sites. This suggests that consequences of the trophic downgrading of coastal habitats can be driven by both direct and indirect trophic mechanisms that may vary in direction and magnitude, making their elucidation dependent on experimental manipulations.</t>
  </si>
  <si>
    <t>10.1890/15-0900.1</t>
  </si>
  <si>
    <t>Santos, X; Navarro, S; Campos, JC; Sanpera, C; Brito, JC</t>
  </si>
  <si>
    <t>Stable isotopes uncover trophic ecology of the West African crocodile (Crocodylus suchus)</t>
  </si>
  <si>
    <t>Isotopes; Crocodile trophic ecology; Deserts; Conservation of freshwater habitats</t>
  </si>
  <si>
    <t>ONTOGENIC DIETARY SHIFTS; NILE CROCODILE; NICHE WIDTH; CARBON; DELTA-N-15; NILOTICUS; DISCRIMINATION; PRESERVATION; SAHARA; VALUES</t>
  </si>
  <si>
    <t>Stable isotope analysis is a widespread tool in ecological studies of diet composition and habitat use. In deserts, freshwater environments constitute threatened local hotspots of biodiversity. In these environments, stable isotopes may help to describe trophic ecology of top-predators. We examined stable carbon (delta C-13) and nitrogen (delta N-15) isotopes from scute keratin samples of 33 Crocodylus suchus and muscle samples from 39 potential prey collected in Southern Mauritania. Isotope ratios were compared among crocodiles according to size (non-adult and adult), and habitat (rock pools and floodplains). There was a significant interaction effect of habitat and size on crocodile delta C-13 values. Whereas delta C-13 was similar for all crocodiles collected in rock pools, adults had lower signatures than non-adults in seasonal floodplains. delta N-15 indicated an ontogenetic dietary shift with adult crocodiles foraging on prey from higher trophic level. Standard ellipse areas showed wider isotopic niches for adult than non-adult crocodiles, and within adults, for those from floodplains than those from rock pools. These environments are small, seasonal, overexploited for livestock watering, and polluted. They support very small and isolated crocodile populations. This study is aimed to provide conservation authorities with baseline information to strictly protect water-bodies where these predators subsist in arid environments. (C) 2017 Elsevier Ltd. All rights reserved.</t>
  </si>
  <si>
    <t>10.1016/j.jaridenv.2017.09.008</t>
  </si>
  <si>
    <t>Sullivan, SMP; Manning, DWP; Davis, RP</t>
  </si>
  <si>
    <t>Do the ecological impacts of dam removal extend across the aquatic-terrestrial boundary?</t>
  </si>
  <si>
    <t>aerial insectivorous birds; aquatic-insect emergence; in-stream perturbations; nearshore spiders; nutritional subsidies; riparian; stable isotopes</t>
  </si>
  <si>
    <t>TROPHIC DYNAMICS; FISH ASSEMBLAGES; RIVER; STREAM; RESPONSES; INSECTS; CHANNEL; GEOMORPHOLOGY; RESTORATION; WASHINGTON</t>
  </si>
  <si>
    <t>The longitudinal influences of dam removal on river ecosystems are increasingly well described, but impacts to aquatic-terrestrial connectivity are largely unknown. Before and four successive years after dam removal, we quantified density and trophic metrics of nearshore tetragnathid spiders and riparian swallows and their potential emergent-aquatic insect prey at two experimental reaches located within the former impoundment (one unrestored, one with channel restoration) and one control reach above an intact lowhead dam. We observed substantial annual variability in response variables; however, few patterns appear to be strongly linked to dam removal. We found negligible changes in emergent-insect biomass or community structure, although there were slight changes in the relative abundance of feeding modes (e.g., increased predators, decreased collector-gatherers). The most pronounced response was a similar to 9.9 times average decline in spider densities after dam removal at the restored reach. Stable-isotope analysis (C-13, N-15) indicated that changes in aquatically-derived energy (i.e., nutritional subsidies derived from aquatic primary producers) to riparian consumers generally showed comparable patterns system-wide; swallow aquatically-derived energy declined more in the restored vs. control reach by the final year of the study. Trophic position (TP) of spiders showed little change post-dam removal, while swallow TP converged slightly between control and experimental reaches after dam removal. Collectively, we interpret our results as evidence that lowhead dam removal can prompt relatively nuanced shifts in aquatic-terrestrial trophic dynamics, regardless of intensive channel-restoration activities. In contrast, we found that broader-scale forcings (e.g., discharge, regional temperature) may be more influential in governing cross-boundary trophic interactions than the perturbations related to lowhead dam removal. This study furthers current understanding of the effects of dam removal on integrative, food-web metrics of ecosystem structure and function.</t>
  </si>
  <si>
    <t>e02180</t>
  </si>
  <si>
    <t>10.1002/ecs2.2180</t>
  </si>
  <si>
    <t>Swab, RM; Regan, HM; Matthies, D; Becker, U; Bruun, HH</t>
  </si>
  <si>
    <t>The role of demography, intra-species variation, and species distribution models in species' projections under climate change</t>
  </si>
  <si>
    <t>PERENNIAL CARLINA-VULGARIS; LOCAL ADAPTATION; POPULATION-DYNAMICS; RANGE SHIFTS; EXTINCTION RISK; GLOBAL CHANGE; EVOLUTIONARY; RESPONSES; BIODIVERSITY; PERFORMANCE</t>
  </si>
  <si>
    <t>Organisms are projected to shift their distribution ranges under climate change. The typical way to assess range shifts is by species distribution models (SDMs), which predict species' responses to climate based solely on projected climatic suitability. However, life history traits can impact species' responses to shifting habitat suitability. Additionally, it remains unclear if differences in vital rates across populations within a species can offset or exacerbate the effects of predicted changes in climatic suitability on population viability. In order to obtain a fuller understanding of the response of one species to projected climatic changes, we coupled demographic processes with predicted changes in suitable habitat for the monocarpic thistle Carlina vulgaris across northern Europe. We first developed a life history model with species-specific average fecundity and survival rates and linked it to a SDM that predicted changes in habitat suitability through time with changes in climatic variables. We then varied the demographic parameters based upon observed vital rates of local populations from a translocation experiment. Despite the fact that the SDM alone predicted C. vulgaris to be a climate winner' overall, coupling the model with changes in demography and small-scale habitat suitability resulted in a matrix of stable, declining, and increasing patches. For populations predicted to experience declines or increases in abundance due to changes in habitat suitability, altered fecundity and survival rates can reverse projected population trends.</t>
  </si>
  <si>
    <t>10.1111/ecog.00585</t>
  </si>
  <si>
    <t>Hertz, E; Robinson, JPW; Trudel, M; Mazumder, A; Baum, JK</t>
  </si>
  <si>
    <t>Estimation of predator-prey mass ratios using stable isotopes: sources of errors</t>
  </si>
  <si>
    <t>Body size; Diet-dependent discrimination factor; North Sea; Size spectra; PPMR; Food webs; Size structure</t>
  </si>
  <si>
    <t>BODY-SIZE; TROPHIC POSITION; DISCRIMINATION FACTORS; SPECIES ABUNDANCE; FOOD-CHAINS; DELTA-N-15; DELTA-C-13; ENRICHMENT; FISH; VALUES</t>
  </si>
  <si>
    <t>In aquatic systems, the ratio of predator mass to prey mass (PPMR) is an important constraint on food web structure, and has been correlated with environmental stability. One common approach of estimating PPMR uses nitrogen stable isotopes (delta N-15) as an indicator of trophic position, under the assumption that the discrimi nation between diet and tissue is constant with increasing diet delta N-15 (an additive approach). However, recent studies have shown that this assumption may not be valid and that there is a negative trend between the delta N-15 of the diet and the discrimination value (a scaled approach). Here, we estimated PPMR for a simulated food web using both the traditional additive approach and the improved scaled approach, and then tested our predictions with isotope samples from a North Sea food web. Our simulations show that the additive approach yields incorrect estimates of PPMR, and these biases are reflected in North Sea PPMR estimates. The extent of the bias is dependent on the baseline delta N-15 and trophic level sampled, with the greatest differences for samples with low baseline delta N-15 sampled at lower trophic levels. The scaled approach allows for the comparison of PPMR across varying delta N-15 baselines and trophic levels, and will refine estimates of PPMR.</t>
  </si>
  <si>
    <t>10.3354/meps11079</t>
  </si>
  <si>
    <t>Alofs, KM; Jackson, DA</t>
  </si>
  <si>
    <t>The abiotic and biotic factors limiting establishment of predatory fishes at their expanding northern range boundaries in Ontario, Canada</t>
  </si>
  <si>
    <t>bass; biotic acceptance; biotic resistance; centrarchids; climate change; freshwater fish; invasibility; Ontario; range shifts; scale</t>
  </si>
  <si>
    <t>FRESH-WATER FISHES; FOOD-CHAIN LENGTH; POTENTIAL IMPACTS; CLIMATE-CHANGE; ROCK BASS; INVASIONS; DISTRIBUTIONS; ASSEMBLAGES; RESISTANCE; COMMUNITIES</t>
  </si>
  <si>
    <t>There is a poor understanding of the importance of biotic interactions in determining species distributions with climate change. Theory from invasion biology suggests that the success of species introductions outside of their historical ranges may be either positively (biotic acceptance) or negatively (biotic resistance) related to native biodiversity. Using data on fish community composition from two survey periods separated by approximately 28years during which climate was warming, we examined the factors influencing the establishment of three predatory centrarchids: Smallmouth Bass (Micropterus dolomieu), Largemouth Bass (M. salmoides), and Rock Bass (Ambloplites rupestris) in lakes at their expanding northern range boundaries in Ontario. Variance partitioning demonstrated that, at a regional scale, abiotic factors play a stronger role in determining the establishment of these species than biotic factors. Pairing lakes within watersheds where each species had established with lakes sharing similar abiotic conditions where the species had not established revealed both positive and negative relationships between the establishment of centrarchids and the historical presence of other predatory species. The establishment of these species near their northern range boundaries is primarily determined by abiotic factors at a regional scale; however, biotic factors become important at the lake-to-lake scale. Studies of exotic species invasions have previously highlighted how spatial scale mediates the importance of abiotic vs. biotic factors on species establishment. Our study demonstrates how concepts from invasion biology can inform our understanding of the factors controlling species distributions with changing climate.</t>
  </si>
  <si>
    <t>10.1111/gcb.12853</t>
  </si>
  <si>
    <t>Lorrain, A; Pethybridge, H; Cassar, N; Receveur, A; Allain, V; Bodin, N; Bopp, L; Choy, CA; Duffy, L; Fry, B; Goni, N; Graham, BS; Hobday, AJ; Logan, JM; Menard, F; Menkes, CE; Olson, RJ; Pagendam, DE; Point, D; Revill, AT; Somes, CJ; Young, JW</t>
  </si>
  <si>
    <t>Trends in tuna carbon isotopes suggest global changes in pelagic phytoplankton communities</t>
  </si>
  <si>
    <t>albacore tuna; Atlantic Ocean; bigeye tuna; biogeochemical cycles; carbon cycle; Indian Ocean; Pacific Ocean; phytoplankton; Suess effect; yellowfin tuna</t>
  </si>
  <si>
    <t>ANTHROPOGENIC CO2; GROWTH-RATE; BERING-SEA; FRACTIONATION; PRODUCTIVITY; CHLOROPHYLL; TEMPERATURE; PROJECTIONS; YELLOWFIN; C-13/C-12</t>
  </si>
  <si>
    <t>Considerable uncertainty remains over how increasing atmospheric CO2 and anthropogenic climate changes are affecting open-ocean marine ecosystems from phytoplankton to top predators. Biological time series data are thus urgently needed for the world's oceans. Here, we use the carbon stable isotope composition of tuna to provide a first insight into the existence of global trends in complex ecosystem dynamics and changes in the oceanic carbon cycle. From 2000 to 2015, considerable declines in delta C-13 values of 0.8 parts per thousand-2.5 parts per thousand were observed across three tuna species sampled globally, with more substantial changes in the Pacific Ocean compared to the Atlantic and Indian Oceans. Tuna recorded not only the Suess effect, that is, fossil fuel-derived and isotopically light carbon being incorporated into marine ecosystems, but also recorded profound changes at the base of marine food webs. We suggest a global shift in phytoplankton community structure, for example, a reduction in C-13-rich phytoplankton such as diatoms, and/or a change in phytoplankton physiology during this period, although this does not rule out other concomitant changes at higher levels in the food webs. Our study establishes tuna delta C-13 values as a candidate essential ocean variable to assess complex ecosystem responses to climate change at regional to global scales and over decadal timescales. Finally, this time series will be invaluable in calibrating and validating global earth system models to project changes in marine biota.</t>
  </si>
  <si>
    <t>10.1111/gcb.14858</t>
  </si>
  <si>
    <t>Nelson, JA; Lesser, J; James, WR; Behringer, DP; Furka, V; Doerr, JC</t>
  </si>
  <si>
    <t>Food web response to foundation species change in a coastal ecosystem</t>
  </si>
  <si>
    <t>FOOD WEBS</t>
  </si>
  <si>
    <t>Habitat change; Energy flow; Mangrove; Saltmarsh; Stable isotopes; Mixing models</t>
  </si>
  <si>
    <t>SHALLOW ESTUARINE HABITATS; CLIMATE-CHANGE; PHOSPHORUS LIMITATION; BROWN SHRIMP; MODELS; LOUISIANA; MATTER; MANGROVES; DENSITIES; EXPANSION</t>
  </si>
  <si>
    <t>In the Northern Gulf of Mexico, black mangroves (Avicennia germinans) are expanding their range and replacing smooth cordgrass (Spartina alterniflora) as the dominant foundation species in estuarine systems. The impact this habitat transition has on the sources of primary production that contribute to the food webs of these areas is as of yet unclear. Here, we used stable isotopes and Bayesian mixing models to determine the contributions of primary production sources to the food webs in Louisiana saltmarshes currently experiencing rapid mangrove encroachment. In addition, we determined how these contributions arc altered as a function of foundation species cover, particularly for white shrimp (Litopenentis setiferus). Species primarily rely on algae-derived and water-column derived production, not on production derived from the foundational macrophytes themselves. White shrimp trophic position increased in areas with higher mangrove cover at some locations; shrimp used more water column-derived production and less algae-derived production. Transition from Spartina to mangrove-dominated estuarine areas has little effect on the overall pattern of primary producer contribution to food webs in these areas. However, differences in the structural and substrate properties of these foundational species could be altering the way energy moves through food webs. (C) 2019 Elsevier Inc. All rights reserved.</t>
  </si>
  <si>
    <t>e00125</t>
  </si>
  <si>
    <t>10.1016/j.fooweb.2019.e00125</t>
  </si>
  <si>
    <t>Swanson, HK; Johnston, TA; Leggett, WC; Bodaly, RA; Doucett, RR; Cunjak, RA</t>
  </si>
  <si>
    <t>Trophic positions and mercury bioaccumulation in rainbow smelt (Osmerus mordax) and native forage fishes in northwestern Ontario lakes</t>
  </si>
  <si>
    <t>rainbow smelt (Osmerus mordax); biological invasions; stable isotope analysis; trophic positions; mercury concentrations; food webs; Ontario, Canada</t>
  </si>
  <si>
    <t>TROUT SALVELINUS-NAMAYCUSH; FOOD-CHAIN STRUCTURE; STABLE CARBON ISOTOPES; NITROGEN ISOTOPES; CONTAMINANT BIOACCUMULATION; DELTA-C-13; DELTA-N-15; WEBS; BAY; AGE</t>
  </si>
  <si>
    <t>Rainbow smelt (Osmerus mordax) is a recent invader to the lakes of the Hudson Bay drainage in northwestern Ontario, Canada. In some systems, the invasion has been linked to an increase in mercury (Hg) concentration in native predatory fish. This increase may be due to the fact that rainbow smelt are trophically elevated and thus accumulate more Ho than native forage fish species. To test this hypothesis, we compared the trophic positions and Hg concentrations of rainbow smelt and native forage fish in a series of smelt-invaded and reference lakes in northwestern Ontario. A comparison of forage fish delta(15)N (anindex of trophic position) between the smelt-invaded and reference lakes indicated that rainbow smelt moved into a trophic niche that was unoccupied prior to their arrival. Relationships between delta(15)N and body size and between Hg concentration and body size differed among the forage species. This indicates that the response of predator Hg concentrations to smelt invasion depends on both the species and size composition of their pre-versus post-invasion diet. At a standardized body mass of 10 g, rainbow smelt were significantly trophically elevated relative to most native forage species, but they did not have significantly higher muscle Hg concentrations. Relationships between Hg concentration and delta(15)N were weak, both within and among forage fish species. This study shows that trophic elevation on a fine scale (within the forage fish community) may not result in increased contaminant bioaccumulation. It further challenges the general assumptions of food web theory and contaminant bioaccumulation.</t>
  </si>
  <si>
    <t>10.1007/s10021-002-0205-6</t>
  </si>
  <si>
    <t>Golikov, AV; Ceia, FR; Sabirov, RM; Belyaev, AN; Blicher, ME; Arboe, NH; Zakharov, DV; Xavier, JC</t>
  </si>
  <si>
    <t>Food spectrum and trophic position of an Arctic cephalopod, Rossia palpebrosa (Sepiolida), inferred by stomach contents and stable isotope (delta C-13 and delta N-15) analyses</t>
  </si>
  <si>
    <t>Bobtail squid; Arctic marine food webs; Trophic ecology; Feeding; Ecological niche; Competition; Pandalus borealis; Northern shrimp</t>
  </si>
  <si>
    <t>FEEDING-HABITS; GONATUS-FABRICII; INCLUDING GIANT; SQUID; SEA; ECOLOGY; RATIOS; CARBON; WEBS; ECOSYSTEM</t>
  </si>
  <si>
    <t>Rossia palpebrosa (Sepiolida) is the most abundant nekto-benthic cephalopod in the Arctic; however, its feeding and trophic ecology are largely unknown. This work aims to assess the role of this species in Arctic ecosystems based on the contents of its stomach and analyses of delta C-13 and delta N-15 stable isotopes in its beak. The main taxa identified in the food spectrum were Crustacea (frequency of occurrence: 52.1%), followed by Polychaeta (14.6%) and fishes (6.3%). Sipuncula and Echinoidea were occasionally found and were recorded here as R. palpebrosa prey for the first time, as well as Polychaeta and Euphausiacea. A significant geographic increase in delta C-13 values (mean +/- SE, -19.3 +/- 0.2%) from the Barents Sea to West Greenland was found, but no significant ontogenetic increase, suggesting no migrations occurred among different water masses. Values of delta N-15 (8.7 +/- 0.2%) and trophic level (TL; 3.6 +/- 0.1) revealed significant ontogenetic increases and an absence of geographic patterns, suggesting the trophic role of this species is similar throughout the studied part of the Arctic. Stable isotope values, TL and food spectrum for R. palpebrosa are close to Arctic nekto-benthic predatory fishes and shrimps, especially Pandalus borealis. However, sepiolids prey on organisms exceeding their own size and do not scavenge. A gradual ontogenetic decrease in isotopic niche width, while increasing diversity in the food spectrum of larger specimens, was observed in R. palpebrosa. However, delta C-13 values, i.e. variation in primary productivity supporting food sources, were more responsible for these ontogenetic differences in niche size than delta N-15 values.</t>
  </si>
  <si>
    <t>10.3354/meps13152</t>
  </si>
  <si>
    <t>Tornberg, R; Liuska, L; Rytkonen, S; Mutanen, M; Valimaki, P</t>
  </si>
  <si>
    <t>Diet shift induced rapid evolution of size and function in a predatory bird</t>
  </si>
  <si>
    <t>Birds of prey; Environmental change; Skeletal evolution; Geometric morphometrics; Avian osteology</t>
  </si>
  <si>
    <t>GOSHAWKS ACCIPITER-GENTILIS; SEASONAL-VARIATION; NORTHERN GOSHAWK; CLIMATE-CHANGE; PREY; FRAGMENTATION; PERFORMANCE; MORPHOLOGY; LANDSCAPE; SURVIVAL</t>
  </si>
  <si>
    <t>A predator's body size correlates with its prey size. Change in the diet may call for changes in the hunting mode and traits determining hunting success. We explored long-term trends in sternum size and shape in the northern goshawk by applying geometric morphometrics. Tetraonids, the primary prey of the goshawk, have decreased and been replaced by smaller birds in the diet. We expected that the size of the goshawk has decreased accordingly more in males than females based on earlier observations of outer morphology. We also expected changes in sternum shape as a function of changes in hunting mode. Size of both sexes has decreased during the preceding decades (1962-2008), seemingly reflecting a shift in prey size and hunting mode. Female goshawks hunting also mammalian prey tend to have a pronouncedly Buteo-type sternum compared to males preying upon birds. Interestingly, the shrinkage of body size resulted in an increasingly Buteo-type sternum in both sexes. In addition, the sternum shape in birds that died accidentally (i.e., fit individuals) was more Buteo-type than in starved ones, hinting that selection was towards a Buteo-type sternum shape. We conclude that these observed patterns are likely due to directional selection driven by changes in the diet towards smaller and more agile prey. On the other hand, global warming is predicted to also cause a decrease in size, thus these two scenarios are inseparable. Because of difficulties in studying fitness-related phenotypic changes of large raptors in the field, time series of museum exemplars collected over a wide geographical area may give answers to this conundrum.</t>
  </si>
  <si>
    <t>10.1007/s00442-014-3044-1</t>
  </si>
  <si>
    <t>Uphoff, CS; Schoenebeck, CW; Koupal, KD; Pope, KL; Hoback, WW</t>
  </si>
  <si>
    <t>Age-0 walleye Sander vitreus display length-dependent diet shift to piscivory</t>
  </si>
  <si>
    <t>JOURNAL OF FRESHWATER ECOLOGY</t>
  </si>
  <si>
    <t>Age-0; diet shift; ontogenetic; piscivory; Sander vitreus; walleye</t>
  </si>
  <si>
    <t>ELECTROFISHING CATCH RATES; FOOD-HABITS; RECRUITMENT; GROWTH; SURVIVAL; PREY; SIZE; ZOOPLANKTON; MORTALITY; ABUNDANCE</t>
  </si>
  <si>
    <t>The ontogenetic diet shift to piscivory can be energetically beneficial for fish growth and allows larger, more energetically profitable prey to be consumed. A shift to piscivory may be easier for longer individuals within a cohort due to larger gape size, and an early shift is likely advantageous, potentially leading to increased growth rates and survival. Such length-dependent ontogenetic diet shifts may explain the intracohort variability in length that is common for age-0 walleye (Sander vitreus). The objectives of this study were to describe seasonal intracohort variability in length, identify the timing of the shift to piscivory and determine if the onset of piscivory was length-dependent in age-0 walleye. Walleye initially fed on zooplankton, but shifted to piscivory during July of 2010 and June of 2011. The onset of piscivory in age-0 walleye was associated with length-dependent differences during both years, in which longer individuals within the cohort became piscivorous earlier than shorter individuals within the same cohort. Intracohort variability in length was detected and increased postontogenetic diet shift. Age-0 walleye that experience a growth advantage could benefit from increased survival and feeding opportunities.</t>
  </si>
  <si>
    <t>10.1080/02705060.2018.1529637</t>
  </si>
  <si>
    <t>Zupcic-Moore, JR; Ruiz-Cooley, RI; Paliza, O; Koch, PL; McCarthy, MD</t>
  </si>
  <si>
    <t>Using stable isotopes to investigate foraging variation and habitat use of sperm whales from northern Peru</t>
  </si>
  <si>
    <t>Physeter microcephalus; Dentin; Stable isotope analysis; Compound-specific isotope analysis; Amino acid</t>
  </si>
  <si>
    <t>EASTERN TROPICAL PACIFIC; COMPOUND-SPECIFIC NITROGEN; TROPHIC RELATIONSHIPS; NATURAL-ABUNDANCE; FEEDING SUCCESS; AMINO-ACIDS; VOCAL CLANS; CARBON; DELTA-C-13; MOVEMENTS</t>
  </si>
  <si>
    <t>Female sperm whales Physeter macrocephalus are top predators in mesopelagic ecosystems, integrating chemical information about ecosystems through their diet. Proxies for diet and habitat use may be useful to learn about how sperm whales' foraging behavior and environment change through time. We measured stable isotopes of carbon (delta C-13) and nitrogen (delta N-15) from individual growth layer groups from the teeth of 10 female sperm whales, to track changes in diet and habitat use from ca. 1926 to 1960. We found that bulk delta C-13 and delta N-15 records fell into 3 temporal patterns, which may indicate different ontogenetic changes in diet, habitat, or both. Average bulk delta C-13 and delta N-15 values for each tooth were positively correlated, and individual whales generally separated according to temporal patterns. To determine the underlying driver of the bulk relationship, we measured delta C-13 and delta N-15 values from individual amino acids (AAs) in a subset of samples. AA isotope results indicated that the bulk isotopic trend was due to baseline differences. Specifically, whales from each identified pattern likely used different feeding regions, but had similar trophic positions. This conclusion is supported by the relationships between bulk and compound- specific AA isotope values for both nitrogen and carbon. We suggest that these female sperm whales inhabiting northern Peruvian waters had 3 different lifelong foraging strategies, having the same trophic position but feeding overall in different regions. These results provide novel insights into social bonds among female sperm whales, since whales with similar foraging patterns likely shared the same habitat and diet over their lifetime, whereas whales with different foraging strategies had separate trophic niches.</t>
  </si>
  <si>
    <t>10.3354/meps12281</t>
  </si>
  <si>
    <t>Grunzweig, JM; Sparrow, SD; Yakir, D; Chapin, FS</t>
  </si>
  <si>
    <t>Impact of agricultural land-use change on carbon storage in boreal Alaska</t>
  </si>
  <si>
    <t>delta C-13 analysis; chronosequence; cultivation; deforestation; nitrogen mineralization; soil organic matter quality</t>
  </si>
  <si>
    <t>SOIL ORGANIC-MATTER; NITROGEN MINERALIZATION; CLIMATE-CHANGE; SPRUCE STANDS; WHITE SPRUCE; FOREST SOILS; TANANA RIVER; TEMPERATURE; ECOSYSTEMS; STOCKS</t>
  </si>
  <si>
    <t>Climate warming is most pronounced at high latitudes, which could result in the intensification of the extensively cultivated areas in the boreal zone and could further enhance rates of forest clearing in the coming decades. Using paired forest-field sampling and a chronosequence approach, we investigated the effect of conversion of boreal forest to agriculture on carbon (C) and nitrogen (N) dynamics in interior Alaska. Chronosequences showed large soil C losses during the first two decades following deforestation, with mean C stocks in agricultural soils being 44% or 8.3 kg m(-2) lower than C stocks in original forest soils. This suggests that soil C losses from land-use change in the boreal region may be greater than those in other biomes. Analyses of changes in stable C isotopes and in quality of soil organic matter showed that organic C was lost from soils by combustion of cleared forest material, decomposition of organic matter and possibly erosion. Chronosequences indicated an increase in C storage during later decades after forest clearing, with 60-year-old grassland showing net ecosystem C gain of 2.1 kg m(-2) over the original forest. This increase in C stock resulted probably from a combination of large C inputs from belowground biomass and low C losses due to a small original forest soil C stock and low tillage frequency. Reductions in soil N stocks caused by land-use change were smaller than reductions in C stocks (34% or 0.31 kg m(-2)), resulting in lower C/N ratios in field compared with forest mineral soils, despite the occasional incorporation of high-C forest-floor material into field soils. Carbon mineralization per unit of mineralized N was considerably higher in forests than in fields, which could indicate that decomposition rates are more sensitive in forest soils than in field soils to inorganic N addition (e.g. by increased N deposition from the atmosphere). If forest conversion to agriculture becomes more widespread in the boreal region, the resulting C losses (51% or 11.2 kg m(-2) at the ecosystem level in this study) will induce a positive feedback to climatic warming and additional land-use change. However, by selecting relatively C-poor soils and by implementing management practices that preserve C, losses of C from soils can be reduced.</t>
  </si>
  <si>
    <t>10.1111/j.1365-2486.2004.00738.x</t>
  </si>
  <si>
    <t>Seminoff, JA; Komoroske, LM; Amorocho, D; Arauz, R; Chacon-Chaverri, D; de Paz, N; Dutton, PH; Donoso, M; Heidemeyer, M; Hoeffer, G; Jones, TT; Kelez, S; Lemons, GE; Rguez-Baron, JM; Sampson, L; Baca, LS; Steiner, T; Rubio, MV; Zarate, P; Zavala-Norzagaray, A; Popp, BN</t>
  </si>
  <si>
    <t>Large-scale patterns of green turtle trophic ecology in the eastern Pacific Ocean</t>
  </si>
  <si>
    <t>amino acids; Bayesian ellipse; carbon; Chelonia mydas; convex hull; ectotherm; isoscape; isotopic niche; nitrogen; stable isotope analysis; trophic position</t>
  </si>
  <si>
    <t>GULF-OF-CALIFORNIA; NITROGEN ISOTOPIC COMPOSITION; COASTAL FORAGING AREA; FOOD-WEB STRUCTURE; CHELONIA-MYDAS; STABLE-ISOTOPES; SEA-TURTLES; TROPICAL PACIFIC; BAJA-CALIFORNIA; AMINO-ACIDS</t>
  </si>
  <si>
    <t>Trophic position and niche width are fundamental components of a species' ecology, reflecting resource use, and influencing key demographic parameters such as somatic growth, maturation, and survival. Concepts about a species' trophic niche space have important implications for local management and habitat protection, and can shed light about resilience to changing climate for species occurring over broad spatial scales. For elusive marine animals such as sea turtles, trophic niche is challenging to study, and researchers often rely on other metrics, such as isotopic niche, as a proxy. Here, stable isotope analysis (delta C-13 and delta N-15 values) was conducted on bulk skin tissue of 718 green turtles (Chelonia mydas) distributed among 16 foraging areas in the eastern Pacific from the USA to Chile, a range spanning similar to 10,000 km. Compound-specific nitrogen isotope analysis of amino acids (CSIA-AA) was applied to 21 turtles among seven sites. Isotopic niche space was determined via Bayesian ellipse area (BEA) and convex hull area (CHA) analyses of bulk isotope values, which were also used along with amino acid delta N-15 values to determine trophic position (TP). Substantial variability in bulk tissue delta C-13 and delta N-15 values was found within and among sites, and amino acid delta N-15 values confirmed this was largely due to spatial differences in baseline nitrogen isotopic compositions, but also to a lesser extent from TP differences among the green turtle foraging populations. Isotope niche space varied among sites, influenced by the diversity of prey types and relative input of terrestrial- vs. marine-derived nutrients; BEAs were the most suitable measurement of isotopic niche space due to the larger influence of outlying values with the CHA approach. Amino acid isotope-derived TP estimates that accounted for local habitat conditions (e.g., mixed seagrass/macroalgae diet) performed the best among several approaches; TP ranged from 2.3 to 3.6, which indicates an omnivorous diet for most populations. In addition to providing additional spatial resolution for delta C-13 and delta N-15 isoscapes in the eastern Pacific, especially in coastal habitats, this study further establishes CSIA-AA as an effective tool to study the trophic ecology of sea turtles across a variety of food webs and habitats.</t>
  </si>
  <si>
    <t>e03479</t>
  </si>
  <si>
    <t>10.1002/ecs2.3479</t>
  </si>
  <si>
    <t>Obirikorang, KA; Sekey, W; Amenutsuor-Vondee, S; Kweku-Akagbo, E; Adjei-Boateng, D; Kassah, JE; Gyampoh, BA</t>
  </si>
  <si>
    <t>Functional feeding traits and fecundity as predictors of invasive success of the introduced Nile tilapia, Oreochromis niloticus in Lake Bosomtwe, Ghana</t>
  </si>
  <si>
    <t>Alien species; Aquatic invasion; Morphological traits; Trophic interactions</t>
  </si>
  <si>
    <t>BOSUMTWI IMPACT STRUCTURE; BIOLOGICAL INVASIONS; SPAWNING PERIODICITY; EGG SIZE; FISH; BIODIVERSITY; REPRODUCTION; AQUACULTURE; ECOSYSTEM; RESERVOIR</t>
  </si>
  <si>
    <t>Aquaculture-mediated introductions of Nile tilapia (Oreochromis niloticus) into environments where it is not indigenous is well documented. The establishment of a cage-aquaculture facility on Lake Bosomtwe in Ghana in 2012 led to the accidental introduction of O. niloticus. This study details the growing concerns about the potential invasiveness of the species by using morphological feeding traits to predict the ecological position and invasion potential. Fecundity and the relative abundance of the native and non-native species of fish were also assessed. The morphological dataset was constructed using 22 functional feeding traits of 87 fishes (13-15 specimens per species), while the feeding habits and fecundity were assessed using 60 fishes (10 individuals per species) and 66 mature females (9-12 individuals per species) respectively. The PCA ordination of the functional feeding traits and the food preferences indicated very little overlap among the O. niloticus and the native species. The mean fecundity of O. niloticus (470 +/- 178 oocytes) was lower than most of the native species. Compared to the year 2020 when the invasion index (The degree of invasion ranging from 0 to 1) of O. niloticus was 0.1, this study recorded values ranging from 0.31 to 0.97, with the alien species accounting for more than half of the catch composition in 73% of the sampling activities. The spread of the alien O. niloticus and the concomitant declines in the populations of most of the native species is, potentially, of high conservation concern, and it is predicted that further spread of O. niloticus in Lake Bosomtwe might drive these native populations into local extinction.</t>
  </si>
  <si>
    <t>10.1007/s10530-023-03029-z</t>
  </si>
  <si>
    <t>Rooker, JR; Secor, DH; DeMetrio, G; Kaufman, AJ; Rios, AB; Ticina, V</t>
  </si>
  <si>
    <t>Evidence of trans-Atlantic movement and natal homing of bluefin tuna from stable isotopes in otoliths</t>
  </si>
  <si>
    <t>Otolith chemistry; Mixed stock fishery; Stable isotopes; Stock identification; Population structure</t>
  </si>
  <si>
    <t>FISH OTOLITHS; ELEMENTAL COMPOSITION; PLANKTON DELTA-C-13; THUNNUS-THYNNUS; PACIFIC-OCEAN; MARINE FISH; CHEMISTRY; TEMPERATURE; SALINITY; OXYGEN</t>
  </si>
  <si>
    <t>Stable carbon and oxygen isotopes in the otoliths of Atlantic bluefin tuna Thunnus thynnus were used to investigate trans-Atlantic movement and natal homing behaviors. Otolith delta C-13 and 5180 of yearling bluefin tuna from 6 different year classes (1999 to 2004) were characterized to validate the approach and assess inter-annual variation in these markers for individuals from eastern (mediterranean Sea/eastern Atlantic Ocean) and western (USA Atlantic Ocean) nurseries. Otolith 5180 of yearlings from the eastern nursery were enriched relative to their western Counterparts, while otolith VC was relatively similar between nurseries. Temporal variability in otolith delta C-13 and PO of bluefin tuna was observed; nevertheless, classification success to eastern and western nurseries was relatively high (87%,) when all year classes were pooled. Otolith VC and 8180 of yearlings were then used as a baseline sample ('eastern' and 'western' nursery signature) to predict the origin of adolescents (20 to 70 kg) from 1 foraging area (USA Atlantic Ocean) and adults (&gt;140 kg) from 1 spawning ground (Mediterranean Sea) based on otolith core signatures (corresponding to yearling period). Mixed-stock analysis indicated that approximately 60% of the adolescent bluefin tuna collected from foraging areas in the USA Atlantic Ocean originated from the eastern nursery, suggesting that substantial trans-Atlantic movement of adolescents from east to west occurred. In addition, natal homing was well developed, with 94 % of the adult bluefin tuna collected in the Mediterranean Sea derived from the eastern nursery. Findings from this study suggest that USA fisheries depend upon migrants of Mediterranean origin and that mixing across the 45 degrees W management boundary is substantially higher than assumed previously.</t>
  </si>
  <si>
    <t>10.3354/meps07602</t>
  </si>
  <si>
    <t>Metzger, KL; Lehnen, SE; Sesnie, SE; Butler, MJ; Pearse, AT; Harris, G</t>
  </si>
  <si>
    <t>Identifying sustainable winter habitat for whooping cranes</t>
  </si>
  <si>
    <t>Conservation planning; Salt marsh; Endangered species; Texas Gulf Coast</t>
  </si>
  <si>
    <t>SEA-LEVEL RISE; LAND-USE; CONSERVATION PRIORITIES; SALT MARSHES; MODELS; ABUNDANCE; RESPONSES; IMPACT</t>
  </si>
  <si>
    <t>The only self-sustaining population of endangered whooping cranes (Grus americana) requires a network of conservation lands for wintering along the Texas Gulf Coast (USA), so that this increasing population can reach downlisting under the Endangered Species Act (1000 birds). We identify locations providing the highest quality and most sustainable wintering habitat for these whooping cranes through 2100 by predicting future habitats under three projections of sea level rise (0.6, 1.0 and 2.0 m by 2100), while incorporating two scenarios of future urban development. Our method combines predictions of future habitat quality with current whooping crane density estimates to calculate the potential carrying capacity of whooping cranes for each 10 m pixel within this 17,725 km(2) area. We found whooping cranes used locations with salt marsh at twice the rate of places lacking marsh. Areas &gt; 15 km from development or &lt; 2 km from estuarine water had increased crane use. Predicted area of salt marsh habitat oscillated across time given different rates of sea level rise. One urbanization scenario predicted 3% and the other 1% of the area converting to development by 2100. We estimated the study area can support 4414 (95 % CI: 4096-4789) whooping cranes currently, 4795 (95 % CI: 4402-5269) with 0.6 m sea level rise, 3559 (95 % CI: 3352-3791) with 1 m sea level rise, and 2480 (95 % CI: 2375-2592) with 2 m sea level rise by 2100, under the more aggressive urban development scenario. By anticipating climate-induced habitat loss with species population expansion we provide the requisite spatial information for conservation planners to build a sustainable conservation estate for downlisting whooping cranes. By coupling wildlife biology with conservation planning and on-the-ground implementation, our work exemplifies a proactive approach to recover endangered species.</t>
  </si>
  <si>
    <t>10.1016/j.jnc.2020.125892</t>
  </si>
  <si>
    <t>Roach, KA; Winemiller, KO; Layman, CA; Zeug, SC</t>
  </si>
  <si>
    <t>Consistent trophic patterns among fishes in lagoon and channel habitats of a tropical floodplain river: Evidence from stable isotopes</t>
  </si>
  <si>
    <t>Fish; Flood pulse; Food web; Hydrological connectivity; IsoSource; Venezuela</t>
  </si>
  <si>
    <t>FOOD WEBS; ORINOCO RIVER; HYDROLOGIC CONNECTIVITY; AUTOTROPHIC CARBON; MISSISSIPPI RIVER; RATIOS; AMAZON; SEASONALITY; POSITION; FLOW</t>
  </si>
  <si>
    <t>The relationship between food web dynamics and hydrological connectivity in rivers should be strongly influenced by annual flood pulses that affect primary production dynamics and movement of organic matter and consumer taxa. We sampled basal production sources and fishes from connected lagoons and the main channel of a low-gradient, floodplain river within the Orinoco River Basin in Venezuela. Stable isotope analysis was used to model the contribution of four basal production Sources to fishes, and to examine patterns of mean trophic position during the falling-water period of the annual flood cycle. IsoSource, a multi-source mixing model, indicated that proportional contributions from production sources to fish assemblages were similar in lagoons and the main channel. Although distributions differed, the means for trophic positions of fish assemblages as well as individual species were similar between the two habitats. These findings contradict recent food web studies conducted in temperate floodplain rivers that described significant differences in trophic positions of fishes from slackwater and floodplain versus main channel habitats. Low between-habitat trophic variation in this tropical river probably results from an extended annual flood pulse (ca. 5 mo.) that allows mixing of sestonic and allochthonous basal production Sources and extensive lateral movements of fishes throughout the riverscape. (C) 2009 Elsevier Masson SAS. All rights reserved.</t>
  </si>
  <si>
    <t>10.1016/j.actao.2009.03.007</t>
  </si>
  <si>
    <t>Dillon, KS; Slife, C; Kohler, B; Gibson, D; Gray, G; Franks, JS</t>
  </si>
  <si>
    <t>Evaluation of red snapper Lutjanus campechanus trophic dynamics with simultaneous stomach content and stable isotope analysis</t>
  </si>
  <si>
    <t>Lutjanus campechanus; Stomach content analysis; Stable isotopes; Food webs; Gulf of Mexico</t>
  </si>
  <si>
    <t>GULF-OF-MEXICO; CRAB CALLINECTES-SAPIDUS; NORTHERN GULF; ARTIFICIAL REEFS; FEEDING ECOLOGY; FOOD WEBS; FISH; DIET; POSITION; HABITAT</t>
  </si>
  <si>
    <t>The importance of multiple prey taxa to red snapper Lutjanus campechanus diet was investigated using simultaneous stomach content analysis (SCA) and stable isotope analysis (SIA) over a 2 yr period in the north-central Gulf of Mexico (GOM) across 3 depth strata and 3 artificial structure types. Stable nitrogen isotope values were also used to estimate the trophic positions (TPs) of red snapper and prey items. SCA results showed that a variety of taxonomic prey groups were consumed, but the most frequent prey were stomatopods, portunid crabs and several families of fish. Some isotopic differences were found between red snapper size and age classes and across habitat types and depth strata for each sampling year; however, no consistent differences were found across the entire study period. Stable isotope mixing model results showed that diet varied annually, with sciaenid fishes being the greatest contributor in 2016 and portunid crabs in 2017, with the remaining proportions split across other taxa. Red snapper TP ranged from 3.4 to 4.8, while that of most prey groups was highly variable. The consistency in red snapper isotope values and the isotopic inconsistency of prey groups suggests that individual red snapper feed evenly across a taxonomically and isotopically diverse prey field. These results help develop a better understanding of reef ecology and food web structure in the northern GOM. Future investigations of red snapper diet that characterize reef habitats in terms of the available prey field and environmental conditions would improve our understanding of its trophic role in reef food webs.</t>
  </si>
  <si>
    <t>10.3354/meps14167</t>
  </si>
  <si>
    <t>Ma, P; Zhang, L; Mitsch, WJ</t>
  </si>
  <si>
    <t>Investigating sources and transformations of nitrogen using dual stable isotopes for Lake Okeechobee restoration in Florida</t>
  </si>
  <si>
    <t>Lake; Eutrophication; Harmful algal bloom; Stable isotope; Lake Okeechobee; Florida Everglades; Nitrogen; Phosphorus</t>
  </si>
  <si>
    <t>DIFFERENT LAND USES; NUTRIENT DYNAMICS; MISSISSIPPI RIVER; NITRATE SOURCES; FRESH-WATER; SHALLOW; CHINA; DENITRIFICATION; FRACTIONATION; CONTAMINATION</t>
  </si>
  <si>
    <t>An analysis of nitrate concentrations and isotopic compositions was undertaken on Florida's large (1730 km(2)) and shallow (mean depth 2.7 m) Lake Okeechobee to determine possible connectivity between the lake's many inflows and outflows and to illustrate how stable isotopes can assist in the restoration of a very large subtropical lake. The Kissimmee River, as expected, dominated inflows to Lake Okeechobee (58.4 +/- 2.11 m(3)/s) much higher than the second most important inflow, Fisheating Creek, (9.2 +/- 0.27 m(3)/s).The primary outflows (which are sometimes inflows) are the Caloosahatchee (27.7 +/- 0.63 m(3)/s), which flows westward to the Gulf of Mexico and the St. Lucie River (6.98 +/- 0.30 m(3)/s) that flows eastward to the Atlantic Ocean. Water samples of inflows and outflows were collected at 14 locations around the lake in both the dry and wet seasons in 2018. Total nitrogen and total phosphorus averaged 1.56 +/- 0.42 mg L-1 and 0.11 +/- 0.06 mg L-1 respectively with no significant seasonal variations. Dissolved organic nitrogen (DON = TKN-NH4+) was the dominant form of nitrogen at all sampling sites, with an average value of 1.18 +/- 0.32 mg L-1. The TN:TP ratios were mostly less than 22:1. Isotope delta N-15-NO3- ranged from -8.75 to 9.14 parts per thousand, and delta O-18-NO3- from -0.26 to 11.97 parts per thousand. Inflow delta N-15-NO3- and delta O-18-NO3- measurements ranged from -3.92 to 9.14 parts per thousand and 0.50 to 11.97 parts per thousand. A Bayesian mixing model output revealed that non-point sources from NH4+ fertilizers and soil nitrogen were the main nitrate sources in Lake Okeechobee. NH4+ fertilizer contributes 36.7% of nitrate in the dry season and 54.9% in the wet season, while soil N contributes 31.4% in the dry season and 25.1% in the wet season. Although pasture is the dominant land use in the watershed of Lake Okeechobee, manure was not the dominant source of nitrate; it contributes only 12.0% of the nitrate in the wet season and 25.4% in the dry season. Isotopes of NO3- suggested that denitrification was strong, and nitrification was weak in both the dry and wet seasons. High levels of NH4+ during the wet season, partly caused by weakness of nitrification, promoted uptake of NH4+ that affects microbial food web recycling processes in the lake. These results indicate that monitoring and regulatory strategies for the lake restoration should consider the control of nitrogen pollution sources from agriculture to complement the control of phosphorus inflows that are thought to be the main drivers for harmful algal blooms in the lake and downstream of the lake.</t>
  </si>
  <si>
    <t>10.1016/j.ecoleng.2020.105947</t>
  </si>
  <si>
    <t>Kress, A; Saurer, M; Buntgen, U; Treydte, KS; Bugmann, H; Siegwolf, RTW</t>
  </si>
  <si>
    <t>Summer temperature dependency of larch budmoth outbreaks revealed by Alpine tree-ring isotope chronologies</t>
  </si>
  <si>
    <t>Climate change; Defoliation; Dendrochronology; European larch; Stable isotopes</t>
  </si>
  <si>
    <t>BUD-MOTH CYCLE; POPULATION-CYCLES; STABLE-ISOTOPES; CO2 ENRICHMENT; EUROPEAN ALPS; CARBON; FOREST; OXYGEN; CELLULOSE; RATIOS</t>
  </si>
  <si>
    <t>Larch budmoth (LBM, Zeiraphera diniana Gn.) outbreaks cause discernable physical alteration of cell growth in tree rings of host subalpine larch (Larix decidua Mill.) in the European Alps. However, it is not clear if these outbreaks also impact isotopic signatures in tree-ring cellulose, thereby masking climatic signals. We compared LBM outbreak events in stable carbon and oxygen isotope chronologies of larch and their corresponding tree-ring widths from two high-elevation sites (1800-2200 m a.s.l.) in the Swiss Alps for the period AD 1900-2004 against isotope data obtained from non-host spruce (Picea abies). At each site, two age classes of tree individuals (150-250 and 450-550 years old) were sampled. Inclusion of the latter age class enabled one chronology to be extended back to AD 1650, and a comparison with long-term monthly resolved temperature data. Within the constraints of this local study, we found that: (1) isotopic ratios in tree rings of larch provide a strong and consistent climatic signal of temperature; (2) at all sites the isotope signatures were not disturbed by LBM outbreaks, as shown, for example, by exceptionally high significant correlations between non-host spruce and host larch chronologies; (3) below-average July to August temperatures and LBM defoliation events have been coupled for more than three centuries. Dampening of Alps-wide LBM cyclicity since the 1980s and the coincidence of recently absent cool summers in the European Alps reinforce the assumption of a strong coherence between summer temperatures and LBM defoliation events. Our results demonstrate that stable isotopes in tree-ring cellulose of larch are an excellent climate proxy enabling the analysis of climate-driven changes of LBM cycles in the long term.</t>
  </si>
  <si>
    <t>10.1007/s00442-009-1290-4</t>
  </si>
  <si>
    <t>Taylor, GC; Weyl, OLF; Hill, JM; Peel, RA; Hay, CJ</t>
  </si>
  <si>
    <t>Comparing the fish assemblages and food-web structures of large floodplain rivers</t>
  </si>
  <si>
    <t>fish assemblage structure; fish community composition; flood pulse concept; food webs; stable isotope analysis</t>
  </si>
  <si>
    <t>INVASIVE CRAYFISH; TROPHIC POSITION; CLIMATE-CHANGE; COMMUNITY; CARBON; ZAMBEZI; OKAVANGO; NICHE; FLOW; PATTERNS</t>
  </si>
  <si>
    <t>1. The Upper Zambezi, Kavango and Kwando are large floodplain rivers with substantial biodiversity, providing water and ecosystem services to a large tract of southern Africa. These rivers differ in hydrological regime. The Upper Zambezi and Kavango rivers are in flood for 4months (March, April, May, June) while, in the Kwando River, floods are later and last for 1-2months in July and August. The Upper Zambezi River has the largest annual flood pulse, followed by the Kavango River, while the Kwando River experiences small and unreliable floods. During years of exceptional flooding of the Upper Zambezi and Kavango rivers, the rivers are interconnected at peak flows and therefore share a common ichthyofauna. This provided a natural experiment to investigate the responses of fish communities comprised of the same species to differing flood regimes by comparing the fish assemblages and food-web structures between rivers. 2. Fish assemblage structure was characterised by analysing biomass catch per unit effort data collected using gillnets in all water-level seasons for all three rivers. Whole ecosystem-stable isotope data collected once from each river were used to examine differences in food-web structure and fish feeding ecology between rivers. Due to temporal differences in hydrology, the Upper Zambezi and Kavango river food webs were characterised during the low and falling water seasons, while the Kwando River food web was sampled during the rising water season. 3. In the Upper Zambezi and Kavango rivers, fish assemblages varied with hydrological season due to the homogenising influence of the flood pulse, while in the Kwando River fish assemblages did not change seasonally. 4. The Upper Zambezi River food web had a restricted nitrogen range (NR=0.90), with a reduced food chain length and predators did not occupy elevated trophic positions compared to those in the Kavango and Kwando river food webs (NR=1.05 and 0.97 respectively). The Kwando and Kavango rivers are less exploited than the heavily fished Upper Zambezi River, where fishing has reduced the abundance of primary and tertiary consumers, potentially resulting in the observed reduction in food chain length. The Upper Zambezi and Kavango river food webs were based on differing basal resources compared to the Kwando River food web. The Upper Zambezi and Kavango river food webs were likely supported by C-13-enriched resources such as C4 riparian vegetation fromthe floodplain, while the Kwando River food web was likely based on C-13-depleted resources such as filamentous algae and aquatic macrophytes. 5. The influence of the varying flood pulses on the fish communities of these three rivers supports the flood pulse concept. There is also evidence that food-web structures differ between rivers but, due to differing hydrological regimes in the rivers, further study is required to understand causal factors. These ecosystems are increasingly impacted by human population growth and development, as well as climate change, and improved predictions in fish community and food-web structure in relation to flood pulse changes are important for ecosystem management in future.</t>
  </si>
  <si>
    <t>10.1111/fwb.13032</t>
  </si>
  <si>
    <t>DeColibus, DT; Rober, AR; Sampson, AM; Shurzinske, AC; Walls, JT; Turetsky, MR; Wyatt, KH</t>
  </si>
  <si>
    <t>Legacy effects of drought alters the aquatic food web of a northern boreal peatland</t>
  </si>
  <si>
    <t>Alaska; algae; climate change; hydrologic regime; macroinvertebrates</t>
  </si>
  <si>
    <t>HETEROTROPHIC BACTERIA; COMMUNITY STRUCTURE; STABLE-ISOTOPES; CARBON; NUTRIENT; TERRESTRIAL; RESPONSES; WETLAND; ALGAE; FEN</t>
  </si>
  <si>
    <t>Compared to other temporary aquatic ecosystems, we know relatively little about how inundation frequency and duration (i.e. hydrologic regime) influences the structure of aquatic communities in northern peatlands. In this study, we examined patterns in nutrient availability and aquatic community structure during a natural flooding event in an Alaskan fen where water-table position had been manipulated in three large-scale experimental plots during previous years to simulate both drought (lowered water-table treatment) and flooding (raised water-table treatment) conditions relative to a control without manipulation. Although the natural flood disrupted the long-term experimental manipulation, it provided an opportunity to evaluate how variation in past hydrologic regime influences nutrient dynamics and aquatic food web structure during periods of inundation in a northern boreal peatland. Despite similar water depth among experimental plots during the time of sampling (i.e. water was above the peat surface in all plots), water-column nutrient concentrations were significantly greater in the drought treatment (where water table had been lowered during the previous growing season) compared to the raised water-table treatment and the control. Algal production increased with enhanced nutrient availability across all water-table treatments and was most elevated following the rewetting of dry sediments in the drought treatment. Consumer biomass (heterotrophic bacteria and macroinvertebrates) increased with algal production and was significantly greater in the drought treatment compared to the raised water-table treatment and the control. Consumer biomass decreased into the second year of constant inundation as algal production was constrained by reduced nutrient availability. Stable isotope analysis (C-13 and N-15) showed that elevated levels of periphyton (i.e. the intact biofilm) associated with enhanced nutrient availability promoted energy transfer to higher trophic levels (grazers and predators) rather than living or dead mosses or vascular plant material. Consumption of algal material by grazers altered the size and composition of the algal community. The algal community shifted from coccoid (edible) to filamentous (inedible) growth forms with increased grazer abundance in the drought treatment, possibly owing to selective grazing. Conversely, there was a similar proportion of edible and inedible taxa in the control and raised treatments where grazers were lower in abundance. Our results show that the legacy effects of drought can regulate aquatic community structure in northern peatlands. Within a predictive context, our findings suggest that conditions of more variable hydrology expected with climate change (i.e. increased frequency of drought) occurring across northern latitudes will promote energy flow to higher trophic levels by releasing nutrient constraints on microalgae during periods of inundation.</t>
  </si>
  <si>
    <t>10.1111/fwb.12950</t>
  </si>
  <si>
    <t>van Oevelen, D; Duineveld, GCA; Lavaleye, MSS; Kutti, T; Soetaert, K</t>
  </si>
  <si>
    <t>Trophic structure of cold-water coral communities revealed from the analysis of tissue isotopes and fatty acid composition</t>
  </si>
  <si>
    <t>Haakon Hop; carbon isotopes; cold-water coral reefs; fatty acid composition; food web; nitrogen isotopes</t>
  </si>
  <si>
    <t>FOOD-SUPPLY MECHANISMS; NE ATLANTIC; ROCKALL-BANK; NORTHEAST ATLANTIC; CONTINENTAL-SLOPE; NORWEGIAN SHELF; DIETARY OVERLAP; ORGANIC-MATTER; WEB STRUCTURE; DEEP</t>
  </si>
  <si>
    <t>The trophic structure of cold-water coral reef communities at two contrasting locations, the 800-m deep Belgica Mounds (Irish margin) and the 300-m deep Traena reefs (Norwegian Shelf), was investigated using stable isotope (C-13 and N-15) and fatty-acid composition analysis. A broad range of specimens, with emphasis on (commercial) fish specie's, and organic matter sources were sampled using a variety of tools. Irrespective of the environmental and geographical setting, the N-15 values indicated that the food web encompasses roughly 1.5 to 3 trophic levels. Mobile echinoderms, i.e. sea urchins and sea stars, had highest N-15 values, indicative of a high trophic position in the food web. The fraction of bacterial fatty acids in reef fauna was generally low (&lt;5%), indicating that enhanced bacterial production in the water column through seafloor seepage of nutrients (hydraulic theory') does not form a significant energy pathway into the food web. The high fraction of algal and essential fatty acids in reef fauna and fish at both locations indicates a close coupling with surface productivity, but the transport mechanism depends on the hydrographic setting. At Traena, Calanus copepods and euphausiids form an additional link between primary production and fish, which is largely absent at Belgica Mounds. At Belgica Mounds, the reef community is primarily supported by phytodetritus, as evidenced by the high contribution of algal fatty acids in faunal tissue and seasonal chlorophyll a deposition and marine snow at the reef. The environmental setting of cold-water coral reefs influences the structure of the associated food web.</t>
  </si>
  <si>
    <t>10.1080/17451000.2017.1398404</t>
  </si>
  <si>
    <t>MAHATO, M; JOHNSON, DM</t>
  </si>
  <si>
    <t>INVASION OF THE BAYS MOUNTAIN LAKE DRAGONFLY ASSEMBLAGE BY DROMOGOMPHUS-SPINOSUS (ODONATA, GOMPHIDAE)</t>
  </si>
  <si>
    <t>JOURNAL OF THE NORTH AMERICAN BENTHOLOGICAL SOCIETY</t>
  </si>
  <si>
    <t>DRAGONFLY; ODONATA; COMPETITION; DIET; INVASION; NICHE SHIFT</t>
  </si>
  <si>
    <t>Dromogomphus spinosus (Odonata: Gomphidae) larvae are burrowing dragonflies which usually inhabit sand deposits in lotic systems. This species has recently invaded Bays Mountain Lake (Sullivan Country, Tennessee, USA), where larvae now occupy widespread submersed macrophyte and allochthonous detritus habitats. It is now one of the more abundant species in a relatively stable odonate assemblage. During the Dromogomphus invasion, there was a gradual decline in abundance of Epitheca (Tetragoneuria) cynosura (Odonata: Corduliidae), the dominant anisopteran in that assemblage. Analyses of Dromogomphus and Epitheca numbers from 12 years (1977-1989) of monthly sweep-net samples at fixed stations within each of five types of littoral zone habitat document trends in population size, suggest that both species have partially semivoltine life-histories with comparable phenology, and show overlap in habitat use between species as well as negative correlations of within-sample abundances for some habitats. Gut contents of Dromogomphus collected in these sweep-net samples showed no change in diet over the 12-yr period. Predominant prey were midge larvae (56%), especially burrowing midges, and oligochaetes (34%). Analyses of fecal pellets produced by specimens of both Dromogomphus and Epitheca collected during 1988-1989 show that diets differed for both small and large instars. For both size categories, Epitheca tended to eat more microcrustaceans, but small larvae also ate more miscellaneous arthropods (including odonate larvae). Comparing 1988-1989 Epitheca diets with those reported previously from 1978-1979 suggests that large Epitheca exhibited a dietary niche shift during the Dromogomphus invasion. Contemporary large Epitheca eat fewer burrowing midges and more oligochaetes and microcrustaceans than they did previously.</t>
  </si>
  <si>
    <t>10.2307/1467576</t>
  </si>
  <si>
    <t>Vesely, L; Ercoli, F; Ruokonen, TJ; Blaha, M; Kubec, J; Buric, M; Hamalainen, H; Kouba, A</t>
  </si>
  <si>
    <t>The crayfish distribution, feeding plasticity, seasonal isotopic variation and trophic role across ontogeny and habitat in a canyon-shaped reservoir</t>
  </si>
  <si>
    <t>Stable isotopes; Reservoir; Trophic chain; Depth distribution; Season; Habitat; Astacus astacus</t>
  </si>
  <si>
    <t>PACIFASTACUS-LENIUSCULUS DANA; STABLE-ISOTOPES; FRESH-WATER; PARANEPHROPS-ZEALANDICUS; OMNIVOROUS CRAYFISH; ORCONECTES-RUSTICUS; FOOD WEBS; STREAM; FISH; POSITION</t>
  </si>
  <si>
    <t>Man-made reservoirs are important freshwater ecosystems as they are globally common and share features of both standing and running waters. In streams and lakes, crayfish are an important component of freshwater ecosystems due to their habitat-modifying behaviour, substantial size, omnivorous feeding and often high abundance; however, their trophic role in reservoirs is not known. We evaluated the distribution and diet of noble crayfish (Astacus astacus) in the canyon-shaped, oligotrophic NATIN SMALL LETTER Y WITH ACUTErsko reservoir in West Bohemia region, Czech Republic. Using stable isotope analysis, we quantified the trophic level of all major components of the reservoir food web and investigated seasonal isotopic variation and how the trophic role of noble crayfish varied with habitat and ontogeny. Crayfish were an important food source for both predatory and omnivorous fish and consumed food sources from multiple trophic levels, including detritus, algae, zoobenthos and other crayfish. Throughout ontogeny, crayfish had similar levels of carnivory, but cannibalism was more prevalent in adult crayfish, while juveniles and sub-adults fed more on other zoobenthos. Moreover, crayfish had high feeding plasticity in time, as the relative importance of dominant food sources varied with season. Their feeding plasticity was especially evident in crayfish populations from different habitats, which adapted their feeding strategy to local resources. In addition, pelagic source usage increased with the depth as detritus and algae usage decreased. Proportion of females increased with the depth, while population density showed a unimodal response to the depth gradient. These findings indicate that crayfish are indeed ecologically important species with both direct and indirect roles in the trophic web of this reservoir ecosystem.</t>
  </si>
  <si>
    <t>10.1007/s10452-020-09801-w</t>
  </si>
  <si>
    <t>Berg, MP; Kiers, ET; Driessen, G; van der Heijden, M; Kooi, BW; Kuenen, F; Liefting, M; Verhoef, HA; Ellers, J</t>
  </si>
  <si>
    <t>Adapt or disperse: understanding species persistence in a changing world</t>
  </si>
  <si>
    <t>adaptation; climate change; dispersal; interaction network; phenotypic plasticity; species interaction; temperature; thermal reaction norm; warming</t>
  </si>
  <si>
    <t>TEMPERATURE-DEPENDENT DEVELOPMENT; CLIMATE-CHANGE IMPACTS; BIOTIC INTERACTIONS; INSECT HERBIVORES; GROWTH-RESPONSE; ENVELOPE MODELS; SOIL BIOTA; HOST STAGE; RANGE; HYMENOPTERA</t>
  </si>
  <si>
    <t>The majority of studies on environmental change focus on the response of single species and neglect fundamental biotic interactions, such as mutualism, competition, predation, and parasitism, which complicate patterns of species persistence. Under global warming, disruption of community interactions can arise when species differ in their sensitivity to rising temperature, leading to mismatched phenologies and/or dispersal patterns. To study species persistence under global climate change, it is critical to consider the ecology and evolution of multispecies interactions; however, the sheer number of potential interactions makes a full study of all interactions unfeasible. One mechanistic approach to solving the problem of complicated community context to global change is to (i) define strategy groups of species based on life-history traits, trophic position, or location in the ecosystem, (ii) identify species involved in key interactions within these groups, and (iii) determine from the interactions of these key species which traits to study in order to understand the response to global warming. We review the importance of multispecies interactions looking at two trait categories: thermal sensitivity of metabolic rate and associated life-history traits and dispersal traits of species. A survey of published literature shows pronounced and consistent differences among trophic groups in thermal sensitivity of life-history traits and in dispersal distances. Our approach increases the feasibility of unraveling such a large and diverse set of community interactions, with the ultimate goal of improving our understanding of community responses to global warming.</t>
  </si>
  <si>
    <t>10.1111/j.1365-2486.2009.02014.x</t>
  </si>
  <si>
    <t>Jaeger, A; Jaquemet, S; Phillips, RA; Wanless, RM; Richard, P; Cherel, Y</t>
  </si>
  <si>
    <t>Stable isotopes document inter- and intra-specific variation in feeding ecology of nine large southern Procellariiformes</t>
  </si>
  <si>
    <t>Albatross; Generalism; Migration; Seabird; Trophic segregation</t>
  </si>
  <si>
    <t>WHITE-CHINNED PETRELS; AT-SEA DISTRIBUTION; INDIAN-OCEAN; TROPHIC POSITION; NONBREEDING ALBATROSSES; WANDERING ALBATROSSES; FORAGING AREAS; INDIVIDUAL SPECIALIZATION; COMMERCIAL FISHERIES; HABITAT PREFERENCES</t>
  </si>
  <si>
    <t>Investigating the foraging ecology of seabirds is especially challenging given their wide-ranging movements and the practical difficulties of obtaining unbiased information on their feeding behavior. Despite the development of animal-borne tracking devices, several limitations preclude investigations at the scale of a whole community in a given season or year, and, until recently, during the non-breeding period. Here we analyzed delta C-13 and delta N-15 in feathers of chicks and adults to investigate inter-and intra-specific variation in the foraging habitat and trophic position of 9 large procellariiform seabirds from 6 southern breeding localities during the breeding and non-breeding periods. Isotopic ratios of each species were generally consistent among different breeding populations, despite the large geographical scale and potential variation in oceanography in surrounding waters. Both spatial and trophic segregation apparently allowed the coexistence of sympatric species in most breeding localities, except at South Georgia, where both delta C-13 and delta N-15 in chicks showed high overlap among species, probably resulting from the superabundance of alternative food resources during the summer. Low variance in stable isotope ratios among adults in several species indicated high overlap between individuals in feeding habits and trophic levels (i.e. isotopic specialist populations) during the non-breeding period. By contrast, large isotopic variances and the high within-and between-individual components of the trophic niche width suggested that grey-headed and light-mantled sooty albatrosses are generalists. Based on delta C-13, the species that breed in the Southern Ocean can be categorized as residents or subtropical migrants, with the latter including oceanic and neritic subtropical migrants. Albatrosses meet the high energetic challenge of feather synthesis by foraging in different habitats, depending on the length of the non-breeding period. Annual breeders renew their plumage in productive neritic waters in similar to 4 mo, whereas biennially breeding species moult in less productive oceanic waters over much longer periods (similar to 12 to 16 mo).</t>
  </si>
  <si>
    <t>10.3354/meps10436</t>
  </si>
  <si>
    <t>Shestakova, TA; Voltas, J; Saurer, M; Berninger, F; Esper, J; Andreu-Hayles, L; Daux, V; Helle, G; Leuenberger, M; Loader, NJ; Masson-Delmotte, V; Saracino, A; Waterhouse, JS; Schleser, GH; Bednarz, Z; Boettger, T; Dorado-Linan, I; Filot, M; Frank, D; Grabner, M; Haupt, M; Hilasvuori, E; Jungner, H; Kalela-Brundin, M; Krapiec, M; Marah, H; Pawelczyk, S; Pazdur, A; Pierre, M; Planells, O; Pukiene, R; Reynolds-Henne, CE; Rinne-Garmston, KT; Rita, A; Sonninen, E; Stievenard, M; Switsur, VR; Szychowska-Krapiec, E; Szymaszek, M; Todaro, L; Treydte, K; Vitas, A; Weigl, M; Wimmer, R; Gutierrez, E</t>
  </si>
  <si>
    <t>Spatio-temporal patterns of tree growth as related to carbon isotope fractionation in European forests under changing climate</t>
  </si>
  <si>
    <t>carbon isotopes; climate change; dendroecology; drought stress; European forests; latitudinal gradients; Pinus; Quercus; stomatal control; tree rings</t>
  </si>
  <si>
    <t>WATER-USE EFFICIENCY; STABLE-ISOTOPES; RADIAL GROWTH; DISCRIMINATION; RESPONSES; CHRONOLOGIES; RINGS; PHOTOSYNTHESIS; PRECIPITATION; PRODUCTIVITY</t>
  </si>
  <si>
    <t>Aim The aim was to decipher Europe-wide spatio-temporal patterns of forest growth dynamics and their associations with carbon isotope fractionation processes inferred from tree rings as modulated by climate warming. Location Europe and North Africa (30-70 degrees N, 10 degrees W-35 degrees E). Time period 1901-2003. Major taxa studied Temperate and Euro-Siberian trees. Methods We characterize changes in the relationship between tree growth and carbon isotope fractionation over the 20th century using a European network consisting of 20 site chronologies. Using indexed tree-ring widths (TRWi), we assess shifts in the temporal coherence of radial growth across sites (synchrony) for five forest ecosystems (Atlantic, boreal, cold continental, Mediterranean and temperate). We also examine whether TRWi shows variable coupling with leaf-level gas exchange, inferred from indexed carbon isotope discrimination of tree-ring cellulose (Delta C-13(i)). Results We find spatial autocorrelation for TRWi and Delta C-13(i) extending over a maximum of 1,000 km among forest stands. However, growth synchrony is not uniform across Europe, but increases along a latitudinal gradient concurrent with decreasing temperature and evapotranspiration. Latitudinal relationships between TRWi and Delta C-13(i) (changing from negative to positive southwards) point to drought impairing carbon uptake via stomatal regulation for water saving occurring at forests below 60 degrees N in continental Europe. An increase in forest growth synchrony over the 20th century together with increasingly positive relationships between TRWi and Delta C-13(i) indicate intensifying impacts of drought on tree performance. These effects are noticeable in drought-prone biomes (Mediterranean, temperate and cold continental). Main conclusions At the turn of this century, convergence in growth synchrony across European forest ecosystems is coupled with coordinated warming-induced effects of drought on leaf physiology and tree growth spreading northwards. Such a tendency towards exacerbated moisture-sensitive growth and physiology could override positive effects of enhanced leaf intercellular CO2 concentrations, possibly resulting in Europe-wide declines of forest carbon gain in the coming decades.</t>
  </si>
  <si>
    <t>10.1111/geb.12933</t>
  </si>
  <si>
    <t>Baxter, CV; Fausch, KD; Murakami, M; Chapman, PL</t>
  </si>
  <si>
    <t>Invading rainbow trout usurp a terrestrial prey subsidy from native charr and reduce their growth and abundance</t>
  </si>
  <si>
    <t>hokkaido; Japan; invasion ecology; Oncorhynchus mykiss; resource subsidies; Salvelinus malma</t>
  </si>
  <si>
    <t>FORAGING MODE SHIFT; HEADWATER STREAM; JAPANESE STREAM; FOOD WEBS; INVASION; POPULATIONS; SALMONIDS; INVERTEBRATES; ECOSYSTEMS; PATTERNS</t>
  </si>
  <si>
    <t>Movements of prey organisms across ecosystem boundaries often subsidize consumer populations in adjacent habitats. Human disturbances such as habitat degradation or non-native species invasions may alter the characteristics or fate of these prey subsidies, but few studies have measured the direct effects of this disruption on the growth and local abundance of predators in recipient habitats. Here we present evidence, obtained from a combined experimental and comparative study in northern Japan, that an invading stream fish usurped the flux of allochthonous prey to a native fish, consequently altering the diet and reducing the growth and abundance of the native species. A large-scale field experiment showed that excluding terrestrial invertebrates that fell into the stream with a mesh greenhouse reduced terrestrial prey in diets of native Dolly Varden charr (Salvelinus malma) by 46-70%, and reduced their growth by 25% over six weeks. However, when normative rainbow trout (Oncorhynchus mykiss) were introduced, they monopolized these prey and caused an even greater reduction of terrestrial prey in charr diets of 82-93%, and reduced charr growth by 31% over the same period. Adding both greenhouse and rainbow trout treatments together produced similar results to adding either alone. Results from a comparative field study of six other stream sites in the region corroborated the experimental findings, showing that at invaded sites rainbow trout usurped the terrestrial prey subsidy, causing a more than 75% decrease in the biomass of terrestrial invertebrates in Dolly Varden diets and forcing them to shift their foraging to insects on the stream bottom. Moreover, at sites with even low densities of rainbow trout, biomass of Dolly Varden was more than 75% lower than at sites without rainbow trout. Disruption of resource fluxes between habitats may be a common, but unidentified, consequence of invasions, and an additional mechanism contributing to the loss of native species.</t>
  </si>
  <si>
    <t>10.1007/s00442-007-0743-x</t>
  </si>
  <si>
    <t>Galib, SM; Sun, JR; Grocke, DR; Lucas, MC</t>
  </si>
  <si>
    <t>Ecosystem effects of invasive crayfish increase with crayfish density</t>
  </si>
  <si>
    <t>biological invasion; ecosystem processes; enclosure-exclosure; non-native species; stable isotopes; trophic cascade</t>
  </si>
  <si>
    <t>ISOTOPE MIXING MODELS; PACIFASTACUS-LENIUSCULUS; SIGNAL CRAYFISH; INTRODUCED CRAYFISH; STABLE-ISOTOPES; ECOLOGICAL IMPACTS; SEASONAL-CHANGES; FOOD-WEB; STREAM; FISH</t>
  </si>
  <si>
    <t>The nature and extent of effects of increasing densities of non-native species on stream ecosystems remain poorly understood. Non-native crayfish are among the most invasive aquatic species and we hypothesised that, in temperate streams, the extent of trophic modification increases with non-native crayfish density. Instream flow-through mesocosms in the River Lune, north-east England, were used over a 47-day period in summer to measure density effects of invasive signal crayfish Pacifastacus leniusculus on different ecosystem components (benthic fish, macroinvertebrates, algal biomass, and leaf litter breakdown). Effects were measured through three density treatments (low, medium, and high; four, eight, or 12 crayfish with five bullhead Cottus perifretum per 1.5 m(2)) and two control (crayfish and fish absent; crayfish absent and benthic fish present) groups. Impacts of crayfish on macroinvertebrates (density, taxonomic composition), fish (growth, diet), algal standing stock, and decomposition rates increased with crayfish density. Direct effects of increased crayfish density were more important than indirect trophic cascade effects. Despite similar invertebrate abundance and richness across enclosures before introducing crayfish and bullhead, they differed significantly from controls at the end of the study, with &gt;80% reduction in macroinvertebrate abundance recorded in the high-density group. Stable isotope (delta N-15, delta C-13) analysis showed that the trophic niche of bullhead, but not signal crayfish, changed when the species were in sympatry. Bullhead in treatment enclosures occupied a lower trophic position in the food web than those from the control group. Bullhead in the high-density group lost 4.2% of body mass over the study period, confirming the existence of resource competition. Leaf litter break down was 59.2% faster, and algal biomass was 91.4% lower in the treatment with the highest crayfish density compared to the control without study animals. This study indicates that signal crayfish, even at a low density, can strongly alter multiple ecosystem components in streams, and emphasises the need for minimising the spread of invasive crayfish within and between streams.</t>
  </si>
  <si>
    <t>10.1111/fwb.13897</t>
  </si>
  <si>
    <t>Mendez-Fernandez, P; Bustamante, P; Bode, A; Chouvelon, T; Ferreira, M; Lopez, A; Pierce, GJ; Santos, MB; Spitz, J; Vingada, JV; Caurant, F</t>
  </si>
  <si>
    <t>Foraging ecology of five toothed whale species in the Northwest Iberian Peninsula, inferred using carbon and nitrogen isotope ratios</t>
  </si>
  <si>
    <t>Stable isotopes; Toothed whales; Trophic position; Trophic relationships; Isotopic mixing model; North West Iberian Peninsula</t>
  </si>
  <si>
    <t>BOTTLE-NOSED-DOLPHIN; MARINE MAMMALS; STABLE-ISOTOPES; STENELLA-COERULEOALBA; TURSIOPS-TRUNCATUS; GALICIAN WATERS; FEEDING ECOLOGY; STRIPED DOLPHIN; FOOD-WEB; DIET</t>
  </si>
  <si>
    <t>The feeding ecology and habitat use of the most frequently sighted and/or regularly reported stranded or by-caught toothed whale species of the North Western Iberian Peninsula (NWIP) were examined, with a special focus on their trophic position (TP) and relationships with their prey. With this aim, the stable isotope ratios of carbon (delta C-13) and nitrogen (delta C-15) of common dolphin (Delphinus delphis), bottlenose dolphin (Tursiops truncatus), harbour porpoise (Phocoena phocoena), striped dolphin (Stenella coeruleolba) and long-finned pilot whale (Globicepahala melas) were analyzed in muscle samples taken from stranded and by-caught animals between 2004 and 2008. Stable isotopes were also measured in 17 species of fish and cephalopods previously identified as prey species, based on stomach content analyses, and in plankton. The trophic enrichment factors (TEF) were calculated for all five species and in addition, isotopic mixing models were applied to estimate the proportional contribution of each prey source to the diet of the common dolphin, which was the toothed whale species best sampled in our study. Plankton, fish and cephalopods exhibited an increasing trend in their delta C-13 values (from -19.6 parts per thousand to -15.3 parts per thousand) along the offshore-inshore axis, with a less clear spatial pattern observed for delta C-15 values. Striped dolphins exhibited the lowest mean delta C-13, delta C-15 and TP values (-17.6 parts per thousand, 10.8 parts per thousand and 4.3, respectively), which confirms the oceanic character of this species and its lower trophic position when compared to the other toothed whales analyzed. The common dolphin exhibited mean delta C-13, delta C-15 and TP values that were at an intermediate level (-17.0 parts per thousand., 11.7 parts per thousand. and 4.7, respectively) and results of the mixing model indicated that blue whiting (Micromesistius poutassou) was the main component of the diet. The harbour porpoise, bottlenose dolphin and pilot whale exhibited higher and very similar isotopic compositions and TPs. The mean TEF obtained between predators and their main prey were 1.4 parts per thousand. for delta C-15 and 0.8 parts per thousand. for delta C-13. These results provide information on stable isotope incorporation data for toothed whales, which are essential if conclusions are to be drawn in issues concerning trophic structures and habitat use in the NWIP. (C) 2012 Elsevier B.V. All rights reserved.</t>
  </si>
  <si>
    <t>10.1016/j.jembe.2011.12.007</t>
  </si>
  <si>
    <t>Caldwell, TJ; Chandra, S; Feher, K; Simmons, JB; Hogan, Z</t>
  </si>
  <si>
    <t>Ecosystem response to earlier ice break-up date: Climate-driven changes to water temperature, lake-habitat-specific production, and trout habitat and resource use</t>
  </si>
  <si>
    <t>climate change; ecosystem production; ecosystems; fish ecology; ice phenology; mountain lakes; stable isotopes</t>
  </si>
  <si>
    <t>LENGTH-MASS RELATIONSHIPS; BROOK TROUT; ALPINE LAKE; FOOD WEBS; SALVELINUS-FONTINALIS; NORTHERN-HEMISPHERE; STABLE-ISOTOPES; BODY-SIZE; GROWTH; CARBON</t>
  </si>
  <si>
    <t>Climate warming has yielded earlier ice break-up dates in recent decades for lakes leading to water temperature increases, altered habitat, and both increases and decreases to ecosystem productivity. Within lakes, the effect of climate warming on secondary production in littoral and pelagic habitats remains unclear. The intersection of changing habitat productivity and warming water temperatures on salmonids is important for understanding how climate warming will impact mountain ecosystems. We develop and test a conceptual model that expresses how earlier ice break-up dates influence within lake habitat production, water temperatures and the habitat utilized by, resources obtained and behavior of salmonids in a mountain lake. We measured zoobenthic and zooplankton production from the littoral and pelagic habitats, thermal conditions, and the habitat use, resource use, and fitness of Brook Trout (Salvelinus fontinalis). We show that earlier ice break-up conditions created a resource-rich littoral-benthic habitat with increases in zoobenthic production compared to the pelagic habitat which decreased in zooplankton production. Despite the increases in littoral-benthic food resources, trout did not utilize littoral habitat or zoobenthic resources due to longer durations of warm water temperatures in the littoral zone. In addition, 87% of their resources were supported by the pelagic habitat during periods with earlier ice break-up when pelagic resources were least abundant. The decreased reliance on littoral-benthic resources during earlier ice break-up caused reduced fitness (mean reduction of 12 g) to trout. Our data show that changes to ice break-up drive multi-directional results for resource production within lake habitats and increase the duration of warmer water temperatures in food-rich littoral habitats. The increased duration of warmer littoral water temperatures reduces the use of energetically efficient habitats culminating in decreased trout fitness.</t>
  </si>
  <si>
    <t>10.1111/gcb.15258</t>
  </si>
  <si>
    <t>Morra, KE; Chikaraishi, Y; Gandhi, H; James, HF; Rossman, S; Wiley, AE; Raine, AF; Beck, J; Ostrom, PH</t>
  </si>
  <si>
    <t>Trophic declines and decadal-scale foraging segregation in three pelagic seabirds</t>
  </si>
  <si>
    <t>Stable isotope; Amino acid; Trophic decline; Foraging ecology; Seabird</t>
  </si>
  <si>
    <t>NITROGEN ISOTOPIC COMPOSITION; STABLE-ISOTOPES; HAWAIIAN PETREL; AMINO-ACIDS; COMMUNITIES; FIXATION; NITRATE; OCEAN; SPECIALIZATION; EVOLUTION</t>
  </si>
  <si>
    <t>We investigated how foraging habits vary among three ecologically distinct wide-ranging seabirds. Using amino acid N-15 proxies for nutrient regime (N-15(Phe)) and trophic position (N-15(Glu-Phe)), we compared Newell's shearwater (Puffinus newelli) and Laysan albatross (Phoebastria immutabilis) foraging habits over the past 50-100years, respectively, to published records for the Hawaiian petrel (Pterodroma sandwichensis). Standard ellipses constructed from the isotope proxies show that inter-population and interspecific foraging segregation have persisted for several decades. We found no evidence of a shift in nutrient regime at the base of the food web for the three species. However, our data identify a trophic decline during the past century for Newell's shearwater and Laysan albatross (probability0.97), echoing a similar decline observed in the Hawaiian petrel. During this time, Newell's shearwaters and Hawaiian petrels have experienced population declines and Laysan albatross has experienced range extension and apparent population stability. Counting other recent studies, a pattern of trophic decline over the past century has now been identified in eight species of pelagic seabirds that breed in the Hawaiian Islands. Because our study species forage broadly across the North Pacific Ocean and differ in morphological and behavioral traits and feeding methods, the identified trophic declines suggest a pervasive shift in food web architecture within the past century.</t>
  </si>
  <si>
    <t>10.1007/s00442-018-04330-8</t>
  </si>
  <si>
    <t>Fairhurst, GD; Vogeli, M; Serrano, D; Delgado, A; Tella, JL; Bortolotti, GR</t>
  </si>
  <si>
    <t>Can synchronizing feather-based measures of corticosterone and stable isotopes help us better understand habitat-physiology relationships?</t>
  </si>
  <si>
    <t>Biomarker; Physiological conservation; Dupont's lark; Fragmentation; Stress hormone</t>
  </si>
  <si>
    <t>DEVELOPMENT PREDICTS FITNESS; LARK CHERSOPHILUS-DUPONTI; ADRENOCORTICAL-RESPONSE; PRACTICAL GUIDE; STRESS-RESPONSE; MIGRATORY BIRD; WATER-USE; LAND-USE; NITROGEN; QUALITY</t>
  </si>
  <si>
    <t>Physiological mechanisms link the environment with population dynamics, and glucocorticoid hormones are of particular interest because they respond adaptively to environmental change and can influence vertebrate reproduction and fitness. We tested a novel approach of synchronizing feather-based measures of corticosterone (the primary avian glucocorticoid; CORTf) and ratios of stable isotopes (SIs) of C (delta C-13) and N (delta N-15) to provide information about environmental conditions and an integrated physiological response to those conditions over the same period of feather synthesis. Using a fragmented metapopulation of Dupont's larks Chersophilus duponti, an endangered steppe songbird, we analyzed interrelationships among CORTf, delta C-13, delta N-15, and the physical environment, including measures of habitat loss and fragmentation. CORTf was not related to any habitat variable measured directly. However, we detected a significant spatial structure to CORTf values and food availability, with greater similarity in both at smaller spatial scales. Using SIs as proxies for the local environment, we found CORTf was negatively related to delta C-13. Values of CORTf, delta C-13, and the relationship between the two were likely driven by variation in agricultural land use surrounding lark habitat patches. Our feather-based approach revealed that individual physiology was sensitive to environmental conditions (e.g., an interaction of food availability and variation in habitat) at a local scale, but not patch or landscape scales. Combining CORTf and SIs may be a promising tool because it can provide individual-based information about habitat, physiology, and their relationship during the same time period.</t>
  </si>
  <si>
    <t>10.1007/s00442-013-2678-8</t>
  </si>
  <si>
    <t>Lei, JL; Jia, YF; Wang, YY; Lei, GC; Lu, C; Saintilan, N; Wen, L</t>
  </si>
  <si>
    <t>Behavioural plasticity and trophic niche shift: How wintering geese respond to habitat alteration</t>
  </si>
  <si>
    <t>behavioural response; hydrological regimes; trophic niche width; trophic position; wintering habitats</t>
  </si>
  <si>
    <t>FORAGING BEHAVIOR; DONGTING LAKE; STABLE-ISOTOPES; BRENT GEESE; CONSERVATION; SCALE; SELECTION; BIOMASS; DEGRADATION; POPULATIONS</t>
  </si>
  <si>
    <t>The accelerated rate of human-induced environmental change poses a significant challenge for wildlife. The ability of wild animals to adapt to environmental changes has important consequences for their fitness, survival, and reproduction. Behavioural flexibility, an immediate adjustment of behaviour in response to environmental variability, may be particularly important for coping with anthropogenic change. The main aim of this study was to quantify the response of two wintering goose species (bean goose Anser fabalis and lesser white-fronted goose Anser erythropus) to poor habitat condition at population level by studying foraging behaviour. In addition, we tested whether behavioural plasticity could alter trophic niche. We characterised foraging behaviours and calculated daily home range (HR) of the geese using global positioning system tracking data. We calculated standard ellipse areas to quantify niche width using the delta C-13 and delta N-15 values of individual geese. We linked behavioural plasticity with habitat quality using ANCOVA (analysis of covariance) models. We also tested the correlation between standard ellipse areas and HR using ANCOVA model. We found significant differences in geese foraging behaviours between years in their daily foraging area, travel distance and speed, and turning angle. Specifically, the birds increased their foraging area to satisfy their daily energy intake requirement in response to poor habitat conditions. They flew more sinuously and travelled faster and longer distances on a daily basis. For the endangered lesser white-fronted goose, all behaviour variables were associated with habitat quality. For bean goose, only HR and turning angle were correlated with habitat quality. The birds, especially the lesser white-fronted goose, may have had a higher trophic position under poor conditions. Our findings indicate that wintering geese showed a high degree of behavioural plasticity. However, more active foraging behaviours under poor habitat condition did not lead to a broader trophic niche. Habitat availability could be responsible to the divergent responses of foraging HR and isotopic niche to human-induced environmental change. Therefore, maintaining natural hydrological regimes during the critical period (i.e. September-November) to ensure that quality food resources are available is central to the future of populations of geese within the East Asian-Australasian Flyway.</t>
  </si>
  <si>
    <t>10.1111/fwb.13294</t>
  </si>
  <si>
    <t>Schindler, DE; Smits, AP</t>
  </si>
  <si>
    <t>Subsidies of Aquatic Resources in Terrestrial Ecosystems</t>
  </si>
  <si>
    <t>heterogeneity; complexity; habitat coupling; global change; homogenization; food webs</t>
  </si>
  <si>
    <t>SALMON ONCORHYNCHUS SPP.; PACIFIC SALMON; FRESH-WATER; RECIPROCAL SUBSIDIES; RIPARIAN FORESTS; FATTY-ACIDS; FOOD WEBS; STREAM; RIVER; NITROGEN</t>
  </si>
  <si>
    <t>Floods, spatially complex water flows, and organism movements all generate important fluxes of aquatic-derived materials into terrestrial habitats, counteracting the gravity-driven downhill transport of matter from terrestrial-to-aquatic ecosystems. The magnitude of these aquatic subsidies is often smaller than terrestrial subsidies to aquatic ecosystems but higher in nutritional quality, energy density, and nutrient concentration. The lateral extent of biological aquatic subsidies is typically small, extending only a few meters into riparian habitat; however, terrestrial consumers often aggregate on shorelines to capitalize on these high-quality resources. Although the ecological effects of aquatic subsidies remain partially understood, it is clear that ongoing human modification to aquatic ecosystems, riparian habitats and river floodplains affect the magnitude, quality, and spatial and temporal patterning of aquatic subsidies in terrestrial landscapes. These changes will alter the character of aquatic-terrestrial coupling and have consequences for terrestrial organisms that rely on these high-quality and temporally dependable resource subsidies. Homogenization of landscapes and flow regimes, eutrophication, exotic species, and contaminants all represent threats to the vital flows of aquatic-derived resources into terrestrial ecosystems. Research emphasizing that landscapes are integrated terrestrial-aquatic systems, characterized by both biological and hydrological flows among habitats, is needed for understanding the consequences of aquatic subsidies and managing ecological risks of ongoing human development.</t>
  </si>
  <si>
    <t>10.1007/s10021-016-0050-7</t>
  </si>
  <si>
    <t>Mbabazi, D; Makanga, B; Orach-Meza, F; Hecky, RE; Balirwa, JS; Ogutu-Ohwayo, R; Verburg, P; Chapman, L; Muhumuza, E</t>
  </si>
  <si>
    <t>Intra-lake stable isotope ratio variation in selected fish species and their possible carbon sources in Lake Kyoga (Uganda): implications for aquatic food web studies</t>
  </si>
  <si>
    <t>fish; isotopes; phytoplankton; spatial variability; trophic</t>
  </si>
  <si>
    <t>TROPHIC STRUCTURE; MWANZA GULF; NITROGEN; DIET; DELTA-N-15; EUTROPHICATION; SPECIALIZATION; DELTA-C-13; COMMUNITY; VICTORIA</t>
  </si>
  <si>
    <t>The stable isotopes of nitrogen (delta 15N) and carbon (delta 13C) provide powerful tools for quantifying trophic relationships and carbon flow to consumers in food webs; however, the isotopic signatures of organisms vary within a lake. Assessment of carbon and nitrogen isotopic signatures in a suite of plants, invertebrates, and fishes in Lake Kyoga, indicated significant variation between two sites for delta 13C (paired t = 6.305; df = 14, P &lt; 0.001 and delta 15N paired t = 1.292; df = 14; P &lt; 0.05). The fish fauna in Bukungu was generally more 13C enriched (mean delta 13C = -16.37 +/- 1.64 parts per thousand) than in Iyingo (mean delta 13C = -20.80 +/- 2.41 parts per thousand) but more delta 15N depleted (mean delta 15N = 5.57 +/- 0.71 parts per thousand) than in Iyingo (mean delta 15N = 6.92 +/- 0.83 parts per thousand). The simultaneous shifts in phytoplankton and consumer signatures confirmed phytoplankton as the major source of carbon for the food chain leading to fish. Limited sampling coverage within lakes may affect lake wide stable isotope signatures, and the same error is transferred into trophic position estimation. Consideration of potential intra-lake spatial variability in isotope ratios and size is essential in evaluating the spatial and trophic structure of fish assemblages.Resume Les isotopes stables d'azote (delta 15N) et de carbone (delta 13C) sont des outils interessants pour quantifier les relations trophiques et le flux de carbone vers les consommateurs de chaines alimentaires; cependant, la signature isotopique des organismes varie au sein d'un meme lac. L'evaluation des signatures isotopiques du carbone et de l'azote dans une suite de plantes, d'invertebres et de poissons du lac Kyoga indiquait une variation significative entre deux sites pour delta 13C (test t apparie = 6.305; df = 14; P &lt; 0.05). La faune piscicole de Bukungu etait generalement plus enrichie en delta 13C (moyenne de delta 13C = -16.37 +/- 1.64 parts per thousand) qu'a Iyingo (moyenne de delta 13C = -20.80 +/- 2.41 parts per thousand) mais plus depourvue de delta 15N (moyenne de delta 15N = 5.57 +/- 0.71 parts per thousand) qu'Inyingo (moyenne de delta 15N = 6.92 +/- 0.83 parts per thousand). Les glissements simultanes des signatures du phytoplancton et des consommateurs confirmaient que le phytoplancton est la source principale de carbone de la chaine alimentaire qui aboutit aux poissons. Une couverture limitee de l'echantillonnage dans les lacs peut affecter la signature des isotopes stables de tout le lac, et cette meme erreur est reportee dans l'estimation de la situation trophique. Il est essentiel de tenir compte de la variabilite spatiale possible des taux et de la taille des isotopes dans les lacs lorsque l'on evalue la structure spatiale et trophique des assemblages de poissons.</t>
  </si>
  <si>
    <t>10.1111/j.1365-2028.2009.01163.x</t>
  </si>
  <si>
    <t>Hetherington, ED; Kurle, CM; Benson, SR; Jones, TT; Seminoff, JA</t>
  </si>
  <si>
    <t>Re-examining trophic dead ends: stable isotope values link gelatinous zooplankton to leatherback turtles in the California Current</t>
  </si>
  <si>
    <t>Foraging ecology; Food web; Leatherback turtle; Gelatinous zooplankton; Trophic position; Stable isotope analysis</t>
  </si>
  <si>
    <t>PACIFIC SUBTROPICAL GYRE; FOOD-WEB STRUCTURE; DERMOCHELYS-CORIACEA; SEA-TURTLES; FORAGING HABITAT; YELLOWFIN TUNA; AMINO-ACIDS; BOTTOM-UP; NITROGEN; NORTH</t>
  </si>
  <si>
    <t>Predator-prey interactions provide essential information for tracing energy flow through food webs and evaluating the structure and function of ecosystems. In pelagic environments, these interactions are often difficult to discern, which is problematic for identifying specific energy pathways that support populations of protected species. We examined the trophic ecology of an endangered population of leatherback turtles Dermochelys coriacea and their gelatinous prey in the California Current-Large Marine Ecosystem (CC-LME). We combined carbon and nitrogen bulk stable isotope analysis and compound-specific isotope analysis of amino acids (CSIA-AA) with Bayesian statistical approaches to examine the diets of leatherbacks and their prey (scyphozoans and thaliaceans) sampled in the CC-LME. Our objectives were to evaluate (1) temporal changes in leatherback trophic position, (2) the contribution of different gelatinous prey to leatherback diets, and (3) trophic structure of the leatherback food web by estimating trophic positions and isotopic niches of leatherbacks and their potential prey. Leatherback trophic positions did not change over time, although carbon isotope values suggest a temporary shift in leatherback habitat in 2005, coincident with anomalous upwelling conditions. Bayesian mixing models suggest that carnivorous sea nettles Chrysaora fuscescens were the largest contributor to leatherback diet, followed by filter-feeding thaliaceans. Isotope analyses provided useful and ecologically realistic estimates of trophic structure, where trophic positions were lowest for thaliaceans, intermediate for scyphozoans, and highest for leatherbacks. Overall, our findings provide information on leatherback foraging ecology over a 13 yr period and the trophic structure of gelatinous zooplankton that support the leatherback population in the CC-LME.</t>
  </si>
  <si>
    <t>10.3354/meps13117</t>
  </si>
  <si>
    <t>Crain, DD; Karpovich, SA; Quakenbush, L; Polasek, L</t>
  </si>
  <si>
    <t>Using claws to compare reproduction, stress and diet of female bearded and ringed seals in the Bering and Chukchi seas, Alaska, between 1953-1968 and 1998-2014</t>
  </si>
  <si>
    <t>CONSERVATION PHYSIOLOGY</t>
  </si>
  <si>
    <t>bearded seals; claws; cortisol; pregnancy; ringed seals; stable isotopes</t>
  </si>
  <si>
    <t>CORTISOL CONCENTRATIONS; CLIMATE-CHANGE; PUSA-HISPIDA; ICE COVER; PROGESTERONE; HAIR; PREGNANCY; GLUCOCORTICOIDS; MAMMALS; GROWTH</t>
  </si>
  <si>
    <t>Rapid climate warming is decreasing sea ice thickness, extent and duration. Marine mammals such as bearded (Erignathus barbatus) and ringed (Pusa hispida) seals, which use sea ice for pupping, molting and resting, may be negatively affected. Claws from bearded and ringed seals store up to 14 and 12 years of sequential analyte data, respectively. These data can be used to compare reproduction, stress and diet across decades. In this study, we compare progesterone, cortisol and carbon and nitrogen stable isotopes in female bearded and ringed seals during 1953-1968 (pre-1968, a period prior to sea ice decline) to 1998-2014 (post-1998, a period during sea ice decline). When comparing these periods, bearded seals had statistically higher cortisol concentrations post-1998, and for both species delta C-13 was more negative post-1998, while progesterone and delta N-15 did not change. There was a positive relationship between progesterone and cortisol Z-scores for both species, except for ringed seals post-1998. There was a negative relationship between cortisol Z-scores and delta C-13 for bearded seals evident in post-1998 indicating that higher cortisol Z-scores are associated with more negative delta C-13 in bearded seals in recent years. This negative relationship between cortisol and delta C-13 in bearded seals suggests a shift to higher prey diversity, possibly due to changes in sea ice in the Pacific Arctic evident post 1998. Progesterone Z-scores corresponded to expected differences among non-pregnant, unimplanted, implanted and post-partum individuals. Using these data, pregnancy history was determined for reproductive years for each individual female sampled, which could allow for yearly pregnancy rates to be calculated given a large enough representative sample of the population. These results combine decades of observational studies with hormones and stable isotopes to infer changes in reproduction, stress and diet, as well as the connection between these life history parameters.</t>
  </si>
  <si>
    <t>coaa115</t>
  </si>
  <si>
    <t>10.1093/conphys/coaa115</t>
  </si>
  <si>
    <t>Fera, SA; Rennie, MD; Dunlop, ES</t>
  </si>
  <si>
    <t>Broad shifts in the resource use of a commercially harvested fish following the invasion of dreissenid mussels</t>
  </si>
  <si>
    <t>aquatic invasive species; benthic-pelagic coupling; benthification; Coregonidae; mid-depth sink; nearshore phosphorus shunt; regime shift</t>
  </si>
  <si>
    <t>LONG-TERM TRENDS; BENTHIC MACROINVERTEBRATE POPULATIONS; WHITEFISH COREGONUS-CLUPEAFORMIS; STABLE-ISOTOPE ANALYSIS; LAKE WHITEFISH; ZEBRA MUSSEL; FOOD-CHAINS; ECOSYSTEM; HURON; NITROGEN</t>
  </si>
  <si>
    <t>Dreissenid mussels, including the zebra (Dreissena polymorpha) and quagga (Dreissena rostiformus bugensis) mussel, are invasive species known for their capacity to act as ecosystem engineers. They have caused significant changes in the many freshwater systems they have invaded by increasing water clarity, reducing primary productivity, and altering zooplankton and benthic invertebrate assemblages. What is less clear is how their ecosystem engineering effects manifest up the food web to impact higher trophic levels, including fish. Here, we use a biological tracer (stable isotopes of carbon and nitrogen) to analyze long-term and broad-scale trends in the resource use of benthivorous lake whitefish (Coregonus clupeaformis) in the Laurentian Great Lakes, where dreissenid mussels have become established in each lake except Lake Superior. We measured stable isotope ratios from archived material (fish scale samples) collected over several decades by multiple agencies and from 14 locations around the Great Lakes. In the majority of locations, the delta C-13 of lake whitefish increased following the establishment of dreissenid mussels. Trends in delta N-15 were less clear, but significant breakpoints in the time series occurred within 5 yr of dreissenid establishment in several locations, followed by declines in delta N-15. In contrast, isotopic signatures in Lake Superior locations did not show these trends. Our results provide evidence that lake whitefish shifted toward greater reliance on nearshore benthic production, supporting the theory that fundamental energy pathways are changed when dreissenid mussels become established. Importantly, these effects were noted across multiple, large, and complex ecosystems spanning a broad geographic area. Our study underscores the potential for aquatic invasive species to alter key ecosystem services as demonstrated here through their impacts on energy pathways supporting a commercially harvested fish species.</t>
  </si>
  <si>
    <t>10.1002/ecy.1836</t>
  </si>
  <si>
    <t>Naganuma, T; Nakashita, R; Tochigi, K; Zedrosser, A; Kozakai, C; Yamazaki, K; Koike, S</t>
  </si>
  <si>
    <t>Functional dietary response of Asian black bears to changes in sika deer density</t>
  </si>
  <si>
    <t>Asian black bear; body mass; Cervus nippon; diet; Japan; sika deer; stable nitrogen isotopes; trophic position; ungulate; Ursus thibetanus</t>
  </si>
  <si>
    <t>YELLOWSTONE GRIZZLY BEARS; STABLE-ISOTOPE RATIOS; URSUS-ARCTOS; BROWN BEARS; BODY-SIZE; SEXUAL SEGREGATION; ECOLOGICAL CAUSES; FORAGING ECOLOGY; FEEDING ECOLOGY; FOOD-HABITS</t>
  </si>
  <si>
    <t>Omnivores are generally opportunistic foragers and have a flexible dietary response to resource abundance and availability. Their populations may consist of individuals that differ from each other in terms of their trophic positions, which implies that the dietary response to resource fluctuations differs within a population. We investigated how changes in the abundance of sika deer (Cervus nippon) affected dietary variation and body condition in the Asian black bear (Ursus thibetanus). We used fecal analysis, nitrogen stable isotopes (delta N-15), and body measurements to determine whether the variation in dietary meat content of Asian black bears is positively related to variations in the density of the sika deer population, whether male bears have a higher trophic position compared to females, and whether dietary meat content is positively related with body mass or body condition of bears. We found a positive correlation between the occurrence of deer remains in bear feces and deer density, suggesting that bears change their diet in response to temporal changes in deer density. Male bears had higher delta N-15 values than females, and neither values varied when deer density decreased. Males selectively consumed deer after a reduction in deer density, whereas females consistently consumed more plant-based diet. The delta N-15 values were positively related with body mass of adult (&gt;4 yr) bears but had no relationship with body condition of bears of either sex or any age class. Deer seem to be an important food source for large adult males, which have an advantage in mating. Thus, increasing herbivore abundance and availability altered the foraging strategy of Asian black bears, but the importance of herbivore on bear diet differs within a population.</t>
  </si>
  <si>
    <t>e22218</t>
  </si>
  <si>
    <t>10.1002/jwmg.22218</t>
  </si>
  <si>
    <t>Basic, T; Copp, GH; Edmonds-Brown, VR; Keskin, E; Davison, PI; Britton, JR</t>
  </si>
  <si>
    <t>Trophic consequences of an invasive, small-bodied non-native fish, sunbleak Leucaspius delineatus, for native pond fishes</t>
  </si>
  <si>
    <t>Trophic niche; Stable isotope analysis; Non-native species; Niche constriction; Outdoor experimental ponds</t>
  </si>
  <si>
    <t>PUMPKINSEED LEPOMIS-GIBBOSUS; PERCH PERCA-FLUVIATILIS; FRESH-WATER FISHES; STABLE-ISOTOPE; CLIMATE-CHANGE; NICHE BREADTH; GROWTH; COMMUNITIES; DIVERGENCE; PATTERNS</t>
  </si>
  <si>
    <t>Assessments of the trophic consequences of invasive fishes are important for quantifying their ecological impacts on native species more generally. A small-bodied cyprinid fish native to continental Europe and introduced in the 1970s to the U.K, the sunbleak Leuciscus delineatus, has been shown previously to establish closer social associations with native species of similar size than do native species amongst themselves. To assess the potential detrimental trophic consequences of native species associations with L. delineatus, a field-based experiment was undertaken in summer 2015 in six outdoor, artificial ponds containing three native cyprinid species (rudd Scardinius erthrophthalamus, gudgeon Gobio gobio, tench Tinca tinca). Three ponds were controls (no L. delineatus) and three were treatments (L. delineatus present). The results of stable isotope analysis (SIA) of fish tissue samples provided strong evidence that the isotopic niches of both native benthic fishes were reduced in the presence of L. delineatus, although there were no significant effects on the trophic position, body size or condition of two of the three native fish species. Introduced L. delineatus maintained a core isotopic niche that was distinct from the two native benthic fishes, with no overlap detected between native and non-native fishes when including 40% and 95% of the data. These results indicate that the response of the native fishes to the introduction of L. delineatus was niche constriction via trophic specialisation, with this response sufficient to maintain their growth rates and condition. This result is similar to studies on a range of small-bodied invasive fishes, suggesting the trophic impacts of these invaders are relatively consistent across species and systems.</t>
  </si>
  <si>
    <t>10.1007/s10530-018-1824-y</t>
  </si>
  <si>
    <t>Coletto, JL; Besser, AC; Botta, S; Madureira, LASP; Newsome, SD</t>
  </si>
  <si>
    <t>Multi-proxy approach for studying the foraging habitat and trophic position of a migratory marine consumer in the southwestern Atlantic Ocean</t>
  </si>
  <si>
    <t>Foraging ecology; Movement; AA-CSIA; Stable isotopes; Nitrogen; Amino acids; Katsuwonus pelamis</t>
  </si>
  <si>
    <t>PACIFIC BLUEFIN TUNA; KATSUWONUS-PELAMIS; ISOTOPE ANALYSIS; YELLOWFIN TUNA; SKIPJACK TUNA; STABLE-ISOTOPES; THUNNUS-ALBACARES; FEEDING-HABITS; NITROGEN; DIET</t>
  </si>
  <si>
    <t>Skipjack tuna Katsuwonus pelamis sustains the largest catches among tuna species. Despite its relevance for global food security and the tuna canning industry, information about its foraging ecology in the southwestern Atlantic Ocean (SWAO) is limited. We combined amino acid (AA) and bulk tissue nitrogen isotope (d15N) analysis with stomach content analysis (SCA) to study skipjack foraging habitat and trophic position (TP) in the SWAO. Mean (+/- SD) delta N-15 values of source AAs lysine (Lys: 6.5 +/- 1.3%) and phenylalanine (Phe: 10.6 +/- 1.3%) were higher at higher latitudes (30-34 degrees S) of the southern area relative to the northern area between 20-26 degrees S (Lys: 3.4 +/- 1.1%, Phe: 8.2 +/- 1.2%). Correlations between bulk tissue delta N-15 (delta(15)Nbulk) and source AA delta N-15 showed that Lys is a more robust indicator of delta N-15 baseline variation in this region than Phe. Regional mixing models based on AA delta N-15 indicated spatial structure in foraging habitat: smaller individuals use the southern area and larger individuals forage at lower latitudes or in offshore areas. TP estimates using the Glx-Lys trophic-source AA pair were in much better agreement with TP estimates based on SCA (TPSCA) and on bulk tissue analysis (TPbulk) than those using Glx-Phe. Skipjack forages across multiple food webs throughout its lifecycle in the SWAO and increases its TP with ontogeny (TPGlx-Lys: 3.5-4.0). Stock management strategies should consider that the southern region supports dense aggregations of juvenile skipjack, which may be more vulnerable to non-selective fisheries.</t>
  </si>
  <si>
    <t>10.3354/meps14036</t>
  </si>
  <si>
    <t>Trimble, ST; Sagers, CL</t>
  </si>
  <si>
    <t>Differential host use in two highly specialized ant-plant associations: evidence from stable isotopes</t>
  </si>
  <si>
    <t>Azteca; Cecropia; conditional mutualism; Costa Rica; stable isotopes</t>
  </si>
  <si>
    <t>ANTIHERBIVORE DEFENSES; MYRMECOPHYTIC CECROPIA; TROPHIC RELATIONSHIPS; NITROGEN ISOTOPES; CARBON ISOTOPES; MUTUALISM; AZTECA; DELTA-N-15; EVOLUTION; EXPLOITATION</t>
  </si>
  <si>
    <t>Carbon and nitrogen stable isotopes were used to examine variation in ant use of plant resources in the Cecropia obtusifolia / Azteca spp. association in Costa Rica. Tissue of ants, host plants and symbiotic pseudococcids were collected along three elevation transects on the Pacific slope of Costa Rica's Cordillera Central, and were analyzed for carbon and nitrogen isotopic composition. Worker carbon and nitrogen signatures were found to vary with elevation and ant colony size, and between Azteca species groups. Ants in the A. constructor species group appear to be opportunistic foragers at low elevations, but rely more heavily on their host plants at high elevations, whereas ants in the A. alfari species group consume a more consistent diet across their distribution. Further, isotope values indicate that both ant species groups acquire more nitrogen from higher trophic levels at low elevation and when ant colonies are small. Provisioning by the host is a substantial ecological cost to the interaction, and it may vary, even in a highly specialized association. Nonetheless, not all specialized interactions are equivalent; where interaction with one ant species group appears conditional upon the environment, the other is not. Differential host use within the Cecropia-Azteca association suggests that the ecological and evolutionary benefits and costs of association may vary among species pairs.</t>
  </si>
  <si>
    <t>10.1007/s00442-003-1406-1</t>
  </si>
  <si>
    <t>Finzi, AC; Austin, AT; Cleland, EE; Frey, SD; Houlton, BZ; Wallenstein, MD</t>
  </si>
  <si>
    <t>Responses and feedbacks of coupled biogeochemical cycles to climate change: examples from terrestrial ecosystems</t>
  </si>
  <si>
    <t>FRONTIERS IN ECOLOGY AND THE ENVIRONMENT</t>
  </si>
  <si>
    <t>NITROGEN LIMITATION; ATMOSPHERIC CO2; CARBON; SOIL; GROWTH; AVAILABILITY; TEMPERATURE; DIVERSITY; DYNAMICS; NUTRIENT</t>
  </si>
  <si>
    <t>The biogeochemical cycles of carbon (C), nitrogen (N), and phosphorus (P) are fundamental to life on Earth. Because organisms require these elements in strict proportions, the cycles of C, N, and P are coupled at molecular to global scales through their effects on the biochemical reactions controlling primary production, respiration, and decomposition. The coupling of the C, N, and P cycles constrains organismal responses to climatic and atmospheric change, suggesting that present-day estimates of climate warming through the year 2100 are conservative. N and P supplies constrain C uptake in the terrestrial biosphere, yet these constraints are often not incorporated into global-scale analyses of Earth's climate. The inclusion of coupled biogeochemical cycles is critical to the development of next-generation, global-scale climate models.</t>
  </si>
  <si>
    <t>10.1890/100001</t>
  </si>
  <si>
    <t>Nakazawa, T</t>
  </si>
  <si>
    <t>Ontogenetic niche shift, food-web coupling, and alternative stable states</t>
  </si>
  <si>
    <t>Complex life cycle; Habitat linkage; Metacommunity; Multiple stable states; Stage structure</t>
  </si>
  <si>
    <t>SIZE-STRUCTURED POPULATIONS; COMPLEX LIFE-CYCLES; REGIME SHIFTS; ECOSYSTEMS; TERRESTRIAL; STABILITY; HISTORY; LINK</t>
  </si>
  <si>
    <t>Several recent studies have shown that food web coupling by ontogenetic niche shifts can generate alternative stable states (ASS). However, these studies mainly considered cases where juvenile and adult stages are the top level consumers. The conditions under which ASS occur in more structurally diverse food web configurations have not been explored. In this study, I examine the influence of food-chain length and the trophic positions of juveniles and adults on the existence of ASS. Comprehensive model analysis showed that if both juveniles and adults are top predators, ASS are possible irrespective of their trophic level, because of overcompensation in reproduction and maturation due to strong density dependence, as previously predicted. However, the following potential food-web effects were found: ASS potential (1) disappears if either or both the juveniles and adults have a predator and (2) is once again observed if another predator is added on the stage-specific predator. These mechanisms involve (1) top-down control that relaxes intrastage food competition and (2) top-down cascade that intensifies the intrastage competition, respectively. Furthermore, it was illustrated that the environmental conditions under which ASS occurred varied in complex ways with the coupled food-web configurations. My results provide a novel concept that anthropogenic changes in local community structure (e.g., species extinction and invasion) propagate through space and may cause or prevent regime shifts in broad-scale community structure by altering the resilience to environmental perturbations.</t>
  </si>
  <si>
    <t>10.1007/s12080-010-0090-0</t>
  </si>
  <si>
    <t>Williams, CT; Iverson, SJ; Buck, CL</t>
  </si>
  <si>
    <t>Stable isotopes and fatty acid signatures reveal age- and stage-dependent foraging niches in tufted puffins</t>
  </si>
  <si>
    <t>stable isotopes; fatty acids; adipose tissue; foraging ecology; Fratercula cirrhata; seabirds; Gulf of Alaska</t>
  </si>
  <si>
    <t>SHORT-TAILED SHEARWATERS; TROPHIC RELATIONSHIPS; FOOD-WEB; SEASONAL-CHANGES; BODY CONDITION; GREAT SKUAS; DIET; NITROGEN; CARBON; FRACTIONATION</t>
  </si>
  <si>
    <t>Major breeding failures of seabird populations are sometimes attributed to reduced egg laying or abandonment of incubation due to nutritional stress, yet diets during these reproductive stages are often poorly characterized. We used stable isotopes and fatty acid (FA) signatures to infer age- (adult vs. nestling) and stage-dependent foraging niches of tufted puffins Fratercula cirrhata captured in Chiniak Bay, Kodiak Island, Alaska, USA, from 2003 to 2005. Whole blood delta N-15 values indicated a seasonal shift in trophic niche of adults: 15 N enrichment was consistent with a 0.47 to 0.68 increase in trophic level of feeding from pre-lay to late chick-rearing. Although incomplete turnover of blood cells from the pre-lay period likely contributed to intermediate delta N-15 values of incubating puffins, this was insufficient to account for differences between incubating and chick-rearing adults. Differences in 815 N and 513 C between chick-rearing adults and nestlings were small and inconsistent between years. Discriminant function analysis (DFA) using the 14 most abundant FAs classified individuals by reproductive stage and age within each year with a high level of accuracy (linear DFA: 93 to 99 %; quadratic DFA: 80 to 92 %). When all years were combined, accuracy of cross-validated classification remained high (linear DFA: 90 %; quadratic DFA: 76 %). Based on stable isotopes and FA signatures, we conclude that foraging niches are stage-dependent in this species and suggest that chick-rearing adults do not typically feed at a lower trophic level than nestlings but likely consume a different array of prey species.</t>
  </si>
  <si>
    <t>10.3354/meps07477</t>
  </si>
  <si>
    <t>Doi, H; Chang, KH; Ando, T; Ninomiya, I; Imai, H; Nakano, S</t>
  </si>
  <si>
    <t>Resource availability and ecosystem size predict food-chain length in pond ecosystems</t>
  </si>
  <si>
    <t>STABLE-ISOTOPES; WEB STRUCTURE; PATTERNS; PRODUCTIVITY; BIOMASS; CARBON</t>
  </si>
  <si>
    <t>Food-chain length (FCL) in ecosystems has been studied extensively, and numerous hypotheses to predict FCL, productivity, ecosystem size, and productive space have been proposed. For example, the productivity hypothesis suggests that resource availability limits FCL, whereas the productive-space hypothesis predicts that per-unit-size resource availability and ecosystem size equally limit FCL. However, previous studies have only measured total productivity to test FCL and have never tested the impact of resource availability within a system on FCL. Therefore, we estimated FCL in 15 ponds using stable isotope techniques to test the most common hypotheses for predicting FCL. We also measured total productivity, pond volume (ecosystem size), and edible microalgal carbon (resource availability) in each pond. We found that productive-space (edible carbon+pond volume) was the best model to predict FCL, and FCL was significantly correlated with edible carbon and pond volume. However, factors such as total productivity did not directly predict FCL of the ponds. Therefore, our results suggest that both resource availability and ecosystem size predict FCL in pond ecosystems and play significant roles in maintaining longer FCLs. Furthermore, the productive-space hypothesis appears to be particularly important for determining the FCL of ponds.</t>
  </si>
  <si>
    <t>10.1111/j.1600-0706.2008.17171.x</t>
  </si>
  <si>
    <t>Hintz, WD; Mattes, BM; Schuler, MS; Jones, DK; Stoler, AB; Lind, L; Relyea, RA</t>
  </si>
  <si>
    <t>Salinization triggers a trophic cascade in experimental freshwater communities with varying food-chain length</t>
  </si>
  <si>
    <t>ecosystem services; freshwater contaminants; lake ecosystem; land use; macroinvertebrates; novel ecosystems; osmoregulation; predation; primary producers; salinity; sublethal effects</t>
  </si>
  <si>
    <t>BENTHIC INVERTEBRATE COMMUNITY; ROAD SALT; ECOSYSTEM SERVICES; YELLOW PERCH; SALINITY; CHLORIDE; LAKES; TOXICITY; DYNAMICS; BRACKISH</t>
  </si>
  <si>
    <t>The application of road deicing salts in northern regions worldwide is changing the chemical environment of freshwater ecosystems. Chloride levels in many lakes, streams, and wetlands exceed the chronic and acute thresholds established by the United States and Canada for the protection of freshwater biota. Few studies have identified the impacts of deicing salts in stream and wetland communities and none have examined impacts in lake communities. We tested how relevant concentrations of road salt (15, 100, 250, 500, and 1000mgCl(-)/L) interacted with experimental communities containing two or three trophic levels (i.e., no fish vs. predatory fish). We hypothesized that road salt and fish would have a negative synergistic effect on zooplankton, which would then induce a trophic cascade. We tested this hypothesis in outdoor mesocosms containing filamentous algae, periphyton, phytoplankton, zooplankton, several macroinvertebrate species, and fish. We found that the presence of fish and high salt had a negative synergistic effect on the zooplankton community, which in turn caused an increase in phytoplankton. Contributing to the magnitude of this trophic cascade was a direct positive effect of high salinity on phytoplankton abundance. Cascading effects were limited with respect to impacts on the benthic food web. Periphyton and snail grazers were unaffected by the salt-induced trophic cascade, but the biomass of filamentous algae decreased as a result of competition with phytoplankton for light or nutrients. We also found direct negative effects of high salinity on the biomass of filamentous algae and amphipods (Hyalella azteca) and the mortality of banded mystery snails (Viviparus georgianus) and fingernail clams (Sphaerium simile). Clam mortality was dependent on the presence of fish, suggesting a non-consumptive interactive effect with salt. Our results indicate that globally increasing concentrations of road salt can alter community structure via both direct and indirect effects.</t>
  </si>
  <si>
    <t>10.1002/eap.1487</t>
  </si>
  <si>
    <t>Hertz, E; Trudel, M; El-Sabaawi, R; Tucker, S; Dower, JF; Beacham, TD; Edwards, AM; Mazumder, A</t>
  </si>
  <si>
    <t>Hitting the moving target: modelling ontogenetic shifts with stable isotopes reveals the importance of isotopic turnover</t>
  </si>
  <si>
    <t>Bayesian; Chinook salmon; niche; ontogeny; trophic level</t>
  </si>
  <si>
    <t>JUVENILE CHINOOK SALMON; NORTHERN CALIFORNIA CURRENT; TROPHIC STRUCTURE; SOCKEYE-SALMON; PACIFIC SALMON; COHO SALMON; GROWTH-RATE; WEST-COAST; FOOD WEBS; DIET</t>
  </si>
  <si>
    <t>Ontogenetic niche shifts are widely prevalent in nature and are important in shaping the structure and dynamics of ecosystems. Stable isotope analysis is a powerful tool to assess these shifts, with N-15 providing a measure of trophic level and C-13 a measure of energy source. Previous applications of stable isotopes to study ontogenetic niche shifts have not considered the appreciable time lag between diet and consumer tissue associated with isotopic turnover. These time lags introduce significant complexity into field studies of ontogenetic niche shifts. Juvenile Chinook salmon (Oncorhynchus tshawytscha) migrate from freshwater to marine ecosystems and shift their diet from feeding primarily on invertebrates to feeding primarily on fish. This dual ontogenetic habitat and diet shift, in addition to the long time lag associated with isotopic turnover, suggests that there is potential for a disconnect between the prey sources that juvenile salmon are consuming, and the inferred prey sources from stable isotopes. We developed a model that considered ontogenetic niche shifts and time lags associated with isotopic turnover, and compared this ontogeny' model to one that considered only isotopic turnover. We used a Bayesian framework to explicitly account for parameter uncertainty. Data showed overwhelming support for the ontogeny model relative to the isotopic turnover model. Estimated variables from best model fits indicate that the ontogeny model predicts a much greater reliance on fish prey than does the stomach content data. Overall, we found that this method of quantifying ontogenetic niche shifts effectively accounted for both isotopic turnover and ontogenetic diet shifts; a finding that could be widely applicable to a variety of systems.</t>
  </si>
  <si>
    <t>10.1111/1365-2656.12504</t>
  </si>
  <si>
    <t>Johnson, AC; Hobson, KA; Lunn, NJ; McGeachy, D; Richardson, ES; Derocher, AE</t>
  </si>
  <si>
    <t>Temporal and intra-population patterns in polar bear foraging ecology in western Hudson Bay</t>
  </si>
  <si>
    <t>Stable isotopes; Polar bear; Ursus maritimus; Foraging ecology; Arctic marine ecology; Western Hudson Bay</t>
  </si>
  <si>
    <t>SEALS PHOCA-VITULINA; MARINE FOOD-WEB; STABLE-ISOTOPE; TROPHIC RELATIONSHIPS; NITROGEN ISOTOPES; DIET COMPOSITION; URSUS-MARITIMUS; ICE CONDITIONS; FOXE BASIN; VARIABILITY</t>
  </si>
  <si>
    <t>Climate-mediated sea ice declines have led to alterations in ecosystem composition, phenology, and primary productivity, potentially altering trophic dynamics in Arctic marine ecosystems. As one of the Arctic's top predators and a species dependent on sea ice habitat for survival, polar bears Ursus maritimus are at risk of habitat loss from sea ice declines, and therefore have been used to monitor the effects of climate change in the Arctic. We used stable isotope (delta N-15, delta C-1(3)) values of 806 hair samples collected from Western Hudson Bay (WH) polar bears from 1993-1994 and 2004-2016 to examine variations in isotopic niche size and diet within the population, patterns in foraging ecology over time, and the relationship between hair isotopic values and sea ice dynamics. We found significant variation in isotopic values between age- and sex-classes. Adult males had the highest delta N-15 and delta C-1(3) values and the largest isotopic niches, reflecting broader diets. In contrast, adult females (with and without cubs) and subadults differed isotopically from adult males, and their relatively smaller isotopic niches potentially make them more vulnerable to habitat change. Population delta C-1(5) values significantly increased over time from 1993 (mean +/- SD: 18.8 +/- 0.5 parts per thousand) to 2016 (19.5 +/- 0.7 parts per thousand), while delta C-1(3) values significantly decreased from 1993 (-16.2 +/- 0.3 parts per thousand) until 2011 (-17.7 +/- 0.2 parts per thousand) before increasing until 2016 (-17.0 +/- 0.3 parts per thousand). Values of delta C-1(3) were significantly correlated with length of the open-water period, suggesting that this apex predator's foraging ecology was affected by climate change. We suggest that WH polar bears may have undergone a significant dietary niche shift and/or that the baseline isotopic values in this ecosystem may have changed over the last 25 yr in response to climate change.</t>
  </si>
  <si>
    <t>10.3354/meps12933</t>
  </si>
  <si>
    <t>Haubrock, PJ; Balzani, P; Azzini, M; Inghilesi, AF; Vesely, L; Guo, W; Tricarico, E</t>
  </si>
  <si>
    <t>Shared Histories of Co-evolution May Affect Trophic Interactions in a Freshwater Community Dominated by Alien Species</t>
  </si>
  <si>
    <t>stable isotopes; stomach contents; community structure; mixing models; feeding ecology; interactions</t>
  </si>
  <si>
    <t>CATFISH SILURUS-GLANIS; STABLE-ISOTOPE ANALYSES; PSEUDORASBORA-PARVA; FOOD WEBS; ICTALURUS-PUNCTATUS; ALBURNUS-ALBURNUS; PREDATION IMPACT; MIXING MODELS; FISH; DIET</t>
  </si>
  <si>
    <t>Interactions occurring between species in multiple invaded freshwater ecosystems are often difficult to observe and study. Studies on invasive alien species typically focus on single species, and, when the species community is exclusively composed of alien species, their interactions, eventual facilitation and hindering processes are very scarcely assessed. To investigate such a community, the species community in the Arno River (Tuscany, Italy) was examined as a model system using the combined approach of stable isotopes and dietary analyses. Established alien species have formed a pyramid shaped community with the European catfish Silurus glanis and the North American channel catfish Ictalurus punctatus in the apex position, followed by opportunistic predatory (Lepomis gibbosus) and omnivore (Alburnus alburnus, Cyprinus carpio, Barbus barbus, Pseudorasbora parva, Padogobius sp., Tinca tinca) species. These species were observed to feed on a variety of primary producers (Myriophyllum sp., Potamogeton sp., Phragmites australis) and consumers (aquatic insects, molluscs, Dikerogammarus villosus, Procambarus clarkii, Palaemon antennarius, tadpoles). Remarkably, the channel catfish Ictalurus punctatus showed an ontogenetic niche shift, with juveniles occupying a slightly higher trophic position than mature individuals. Pseudorasbora parva and A. alburnus showed a strong niche overlap, with the former having a wider niche. Such wide niches were also found for the invasive crustaceans D. villosus and P. clarkii. Outgoing from our findings, we suggest that life-history and geographic origin play a role in determining competition and interaction type among alien species, with species from the same geographic area showing a lower potential to compete than species from different areas, hence affecting their potential impact on native species.</t>
  </si>
  <si>
    <t>10.3389/fevo.2019.00355</t>
  </si>
  <si>
    <t>Bajo, AB; Castro, LR; Costalago, D</t>
  </si>
  <si>
    <t>Elucidating trophic pathways of the most abundant fish larvae in northern Patagonia using delta C-13 and delta N-15 isotopes</t>
  </si>
  <si>
    <t>Carbon sources; Ichthyoplankton; Stable isotopes; Sea of Chiloe; Estuarine systems; Southern Chile; Fjords</t>
  </si>
  <si>
    <t>LIFE STAGES DISTRIBUTIONS; SPRAT SPRATTUS-FUEGENSIS; CARBON FLOW-THROUGH; PELAGIC FOOD-WEB; CHILEAN PATAGONIA; FEEDING ECOLOGY; ORGANIC-MATTER; STABLE-ISOTOPES; OCEANOGRAPHIC CONDITIONS; ENVIRONMENTAL-CONDITIONS</t>
  </si>
  <si>
    <t>The alternation of the classic and microbial food-webs in spring and winter, respectively, and the trespass towards higher trophic levels represented by fish early stages, are not well understood in Patagonia. These trophic routes were investigated in the inner Sea of Chiloe, an estuary of high ecological relevance in northern Patagonia. The isotopic values of delta C-13 and delta N-15 of ichthyoplankton and particulate organic matter were analyzed in late winter and spring 2017 to evaluate whether seasonal changes (e.g. in the composition of the freshwater discharge) were reflected in the isotopic signals of fish larvae. For this purpose, larvae of dominant fish species with contrasting feeding strategies were collected up to 100 m depth. The inshore zone of northern Patagonia was characterized by a dominance ofmarine carbon production, with increasing input of terrestrial organic matter during winter. delta C-13 values &lt; -25 parts per thousand at the outermost estuary stations indicated the influence of allochthonous carbon exported from the inshore area in spring. The delta C-13-larval signature of the species of the lightfish Maurolicus parvipinnis, the pipefish Leptonotus blainvilleanus, and the rockfish Sebastes oculatus followed the isotopic signature of the particulate organicmatter in both seasons, at inshore and the exchange (outer) zone. Food partitioning was detected between species, with Merluccius spp. at the highest trophic position and L. blainvilleanus at the lowest. The fish larval community reached more diverse and higher delta N-15 values in winter, when larvae likely fed on prey items of higher trophic level, or instead when the food-web was partly sustained by microbial sources. Our results showed seasonal variations in delta C-13 values, suggesting differences in the source of organic carbon incorporated by the studied fish larvae. Moreover, trophic plasticity at larval stages may be an important characteristic of this type of estuarine environment.</t>
  </si>
  <si>
    <t>10.3354/meps13374</t>
  </si>
  <si>
    <t>Pilgrim, KL; Green, RE; Purcell, KL; Wilcox, TM; McGregor, EL; Gleason, LE; Wasser, SK; Schwartz, MK</t>
  </si>
  <si>
    <t>Shifts in fisher (Pekania pennanti) diet in response to climate-induced tree mortality in California assessed with DNA metabarcoding</t>
  </si>
  <si>
    <t>Diet; DNA; Drought; Energetics; Fisher; Metabarcoding; Pekania pennanti; Scat; Tree mortality; Sierra Nevada</t>
  </si>
  <si>
    <t>SOUTHERN SIERRA-NEVADA; MARTES-PENNANTI; COMPETITION; SQUIRREL; SURVIVAL</t>
  </si>
  <si>
    <t>A recent climate-induced tree mortality event in California, USA has led to dramatic landscape-level changes in the southern Sierra Nevada. Wide-spread conifer mortality was documented in habitat occupied by fisher (Pekania pennanti), a mature-forest associated species of conservation concern in this region. We analyzed fisher scats collected on the Sierra National Forest from the pre-tree-mortality period (PreTM, 2011 - 2013) and posttree-mortality period (PostTM, 2017 - 2018). We used DNA metabarcoding to successfully identify taxa and summarized diet composition for 109 PreTM and 102 PostTM fisher scats. We observed 48 different diet items (33 assigned to species and 15 to genus). Mammals, birds, and plants of the Ribes genus (gooseberries and currents) comprised the highest proportions of diet items, although scats also contained DNA from reptiles, insects, arachnids, snails, and fungi. The frequency of occurrence of mammalian prey items was lower in PostTM (49.0%) versus PreTM scats (81.7%) with a reduction in the occurrence of two tree squirrels (Douglas squirrel and Humboldt's flying squirrel). A higher proportion of scats collected PostTM (46.1%) contained DNA from Ribes spp. versus scats collected PreTM (19.3%). Our data reveal potential cascading effects of climate-induced tree mortality on fisher diet in the southern Sierra Nevada. Flexibility in fisher diet, however, may allow resilience to ecological change though future studies should consider the behavioral, energetic, demographic or fitness consequences from a shift away from medium-sized mammalian prey to plants.</t>
  </si>
  <si>
    <t>10.1016/j.jnc.2023.126408</t>
  </si>
  <si>
    <t>Phillips, ND; Smith, EAE; Newsome, SD; Houghton, JDR; Carson, CD; Alfaro-Shigueto, J; Mangel, JC; Eagling, LE; Kubicek, L; Harrod, C</t>
  </si>
  <si>
    <t>Bulk tissue and amino acid stable isotope analyses reveal global ontogenetic patterns in ocean sunfish trophic ecology and habitat use</t>
  </si>
  <si>
    <t>Diet; Pelagic; Benthic; Energy pathways; Ontogeny; Mola; Bycatch; Trophic position</t>
  </si>
  <si>
    <t>MOLA-MOLA; BENTHIC MICROALGAE; MEDITERRANEAN SEA; NITROGEN; CARBON; DIET; DELTA-C-13; DELTA-N-15; LIPIDS; FRACTIONATION</t>
  </si>
  <si>
    <t>Ocean sunfish (Mola spp.) have largely been considered as obligate gelativores, but recent research has suggested that they undergo an unusual life history shift. In this study, analyses of bulk and amino acid nitrogen (delta N-15) and carbon (delta C-13) stable isotope ratios were employed to provide detailed insight into ontogenetic variation in sunfish trophic ecology and habitat use and to assess whether any observed patterns were common to populations around the world. Through this combined approach, a clear ontogenetic shift was identified in both trophic ecology and habitat use of ocean sunfish, indicating a complex trophic role that changes from more benthic to pelagic prey on a continuous scale as fish grow larger. The data also revealed strong population structuring with potential to assess connectivity between distinct groupings using isotopic analysis. When combined, these new insights into sunfish ecology may be of value to conservation management teams, indicating a broad ecological role, distinct population clustering and possible trans-Atlantic movements. These results suggest that the current mass bycatch of ocean sunfish may have far-reaching ecological implications and further highlights the growing need for conservation management of this vulnerable genus.</t>
  </si>
  <si>
    <t>10.3354/meps13166</t>
  </si>
  <si>
    <t>MARNEWECK, CJ; ALLEN, BL; BUTLER, AR; SAN, ED; HARRIS, SN; JENSEN, AJ; Saldo, EA; SOMERS, MJ; TITUS, K; MUTHERSBAUGH, M; VANAK, A; JACHOWSKI, DS</t>
  </si>
  <si>
    <t>Middle-out ecology: small carnivores as sentinels of global change</t>
  </si>
  <si>
    <t>MAMMAL REVIEW</t>
  </si>
  <si>
    <t>Carnivora; change; global; indicator; mesocarnivore; sentinel; small carnivore</t>
  </si>
  <si>
    <t>ATLANTIC FOREST; PUP GROWTH; SELECTION; SURVIVAL; HABITAT; CATS; DIET; LANDSCAPE; RESPONSES; PREY</t>
  </si>
  <si>
    <t>Species that respond to ecosystem change in a timely, measurable, and interpretable way can be used as sentinels of global change. Contrary to a pervasive view, we suggest that, among Carnivora, small carnivores are more appropriate sentinels than large carnivores. This reasoning is built around six key points: that, compared to large carnivores, small carnivores 1) are more species-rich and diverse, providing more potential sentinels in many systems; 2) occupy a wider range of ecological niches, exhibiting a greater variety of sensitivities to change; 3) hold an intermediate trophic position that is more directly affected by changes at the producer, primary consumer, and tertiary consumer levels; 4) have shorter life spans and higher reproductive rates, exhibiting more rapid responses to change; 5) have smaller home ranges and are more abundant, making it easier to investigate fine-scale management interventions; 6) are easier to monitor, manage, and manipulate. Therefore, we advocate for incorporating a middle-out approach, in addition to the established top-down and bottom-up approaches, to assessing the responses of ecosystems to global change.</t>
  </si>
  <si>
    <t>10.1111/mam.12300</t>
  </si>
  <si>
    <t>Hill, JM</t>
  </si>
  <si>
    <t>Baseline isotopic data for Wolffia spp.: another option for tracing N-loading in freshwater systems?</t>
  </si>
  <si>
    <t>biological monitoring; macrophytes; stable isotopes; nutrient enrichment; pollution; river; stream; ecological status</t>
  </si>
  <si>
    <t>SWINE WASTE-WATER; EICHHORNIA-CRASSIPES; NUTRIENT STORAGE; FOOD WEBS; NITROGEN; DUCKWEED; MACROALGAE; GROWTH; FRACTIONATION; PHOSPHORUS</t>
  </si>
  <si>
    <t>delta N-15 values of aquatic plants can reflect anthropogenic N loading. Recent work suggests the duckweed Spirodela spp. effectively maps N loading in freshwater ecosystems, but its use may be complicated by a cyanobacterium-duckweed symbiosis that could reduce its utility in low-nutrient environments. I aimed to evaluate the potential of a 2nd duckweed species Wolffia spp., which lacks a cyanobacterial symbiosis, for use in pollution monitoring in freshwater ecosystems. I used a series of laboratory experiments to investigate delta N-15 equilibration rates and concentration-level effects of single-source N solutions in plant tissue over 16 d to provide baseline data for sewage-plume mapping with Wolffia spp. I also tested concentration-level effects in multisource solutions to investigate the effects of mixed-source inputs. Wolffia reflected environmental N sources with a 12-to 16-d isotopic equilibration time and showed enriched and depleted delta N-15 ratios for manure and KNO3 solutions, respectively, but distinguished poorly between lower concentrations of manure. Fractionations at isotopic equilibrium were opposite to expectations and decreased with increasing [N]. Wolffia showed a consistent preference for NH3 in mixed-source treatments, regardless of the proportion or concentration of NH3 or NO3-available, and a capacity for N storage, which may complicate mapping of N-loading in natural environments. Wolffia is likely to be a less useful bioindicator than the previously tested Spirodela. Future research should focus on field applications of Spirodela spp. to test its capacity for sewage-plume mapping of freshwater ecosystems in a natural environment.</t>
  </si>
  <si>
    <t>10.1086/696126</t>
  </si>
  <si>
    <t>Varela, JL; Larranaga, A; Medina, A</t>
  </si>
  <si>
    <t>Prey-muscle carbon and nitrogen stable-isotope discrimination factors in Atlantic bluefin tuna (Thunnus thynnus)</t>
  </si>
  <si>
    <t>Diet-tissue discrimination; Lipid extraction; Stable isotopes; Thunnus thynnus; Trophic markers</t>
  </si>
  <si>
    <t>LIPID EXTRACTION; FOOD-WEB; REPRODUCTIVE STATUS; FACTORS DELTA-N-15; TROPHIC POSITION; FEEDING LEVEL; FISH-TISSUES; BODY-SIZE; DIET; DELTA-C-13</t>
  </si>
  <si>
    <t>Analyses of carbon and nitrogen stable isotopes naturally occurring in animal tissues prove useful in trophic ecology investigations. The correct interpretation of field stable-isotope data should be supported by previous experimental work, but the development of isotopic models is frequently based on untested assumptions. This study was conducted to provide reference isotopic data that may be of application in further studies designed to reconstruct diets and elucidate trophic relationships of Atlantic bluefin tuna, Thunnus thynnus. The influence of the fat content on carbon and nitrogen isotope ratios (delta C-13 and delta N-15), as well as prey-predator discrimination factors (Delta C-13 and Delta N-15), were assessed in white-muscle samples of wild-caught bluefin tuna reared on chub mackerel for approximately five months. Lipid extraction resulted in significantly lower values of C:N ratio, and higher values of delta C-13 and delta N-15. Four significantly different Delta C-13 and Delta N-15 estimates were obtained using all possible combinations of bulk and lipid-extracted muscle data from predator and prey. Removal of lipids from bluefin tuna muscle resulted in significantly different Delta C-13 and Delta N-15 estimates, whereas lipid extraction from prey samples did not significantly change the results. We suggest that, where specific experimental data are not available, the values proposed here for Delta C-13 (-0.16 parts per thousand) and Delta N-15 (1.64 parts per thousand) be used in diet reconstruction and food-web investigations on bluefin tuna and other closely related species. (C) 2011 Elsevier B.V. All rights reserved.</t>
  </si>
  <si>
    <t>10.1016/j.jembe.2011.06.010</t>
  </si>
  <si>
    <t>Wing, SR; Shears, NT; Tait, LW; Schiel, DR</t>
  </si>
  <si>
    <t>The legacies of land clearance and trophic downgrading accumulate to affect structure and function of kelp forests</t>
  </si>
  <si>
    <t>alternate stable states; catchment modifications; kelp forest; legacy effects; marine reserve; metapopulation; multiple stressors; sea urchin; sedimentation; trophic downgrading</t>
  </si>
  <si>
    <t>LOBSTER JASUS-EDWARDSII; MARINE PROTECTED AREAS; NEW-ZEALAND; SEA-URCHIN; COMMUNITY STRUCTURE; HABITAT CONVERSION; FJORDLAND; POPULATION; STRESSORS; CASCADES</t>
  </si>
  <si>
    <t>Aotearoa New Zealand is the last major landmass settled by people, and therefore provides a recent record of ecological legacy effects in the coastal zone. Large-scale land clearances of forests accelerated over the last century, affecting the concentration of suspended sediments, light environment, and nutrient composition on rocky reefs, and consequently the distribution, abundance, and composition of algal forests. The environmental effects were compounded in many places by overfishing and long-term declines of large predatory species, often leading to proliferation and extensive grazing by sea urchins. In this study, we examine these processes in three biogeographic regions that have been differentially affected by ecological legacy effects. The study was based on the depth-specific associations between sea urchins (Evechinus chloroticus) and the common kelp (Ecklonia radiata) from multiple sites within each region, some of which were sampled over two decades within no-take marine reserves and in actively fished areas. Satellite-derived estimates of water-column properties were used as proxies for the relative effects of coastal sedimentation on kelp forest habitats. We then used an information-theoretic framework to assess the relative factor weightings of marine reserve effects on urchin density, total suspended solids (TSS), and regional urchin density on the depth-specific density of Ecklonia radiata. The fishing effects were significant within and outside of reserves in the northern and central regions, but the effect sizes were by far strongest in the northern region. In the central region characterized by extensive land clearance and forestry combined with high coastal retention of water, the concentration of TSS had a major influence on the depth distribution of kelp, confining it to shallow water (&lt; 10-m depth) in small patches where urchins did not overgraze. These patterns are in sharp contrast to the small marine reserve effects and deep distribution of Ecklonia radiata in the southern region, which has intact native forested catchments, comparatively low fishing pressure, and a large regional network of marine reserves. The results highlight important differences in how centuries-old legacies of land clearance and exploitation affect regional-scale dynamics of sea urchins and kelp and define the appropriate spatial scale of ecosystem-based management of critical kelp forest habitats.</t>
  </si>
  <si>
    <t>e4303</t>
  </si>
  <si>
    <t>10.1002/ecs2.4303</t>
  </si>
  <si>
    <t>Robinson, W; Kerhoulas, LP; Sherriff, RL; Roletti, G; van Mantgem, PJ</t>
  </si>
  <si>
    <t>Drought survival strategies differ between coastal and montane conifers in northern California</t>
  </si>
  <si>
    <t>C-13 discrimination; basal area increment; climate change; dendrochronology; Klamath Mountains; stable isotopes; tree physiology; tree rings</t>
  </si>
  <si>
    <t>CARBON-ISOTOPE DISCRIMINATION; TREE-GROWTH; MORTALITY; CLIMATE; FOREST; COMPETITION; MECHANISMS; RESISTANCE; PATTERNS; TRENDS</t>
  </si>
  <si>
    <t>Increasingly severe and prolonged droughts are contributing to tree stress and forest mortality across western North America. However, in many cases, we currently have poor information concerning how drought responses in forests vary in relation to competition, climate, and site and tree characteristics. We used annual tree ring evidence of C-13 discrimination (?C-13) and growth metrics to assess drought resistance and resilience for six conifer species at the intersection of several bioregions in northern California. Within each species' range in northern California, we collected competition and tree characteristics from 270 focal trees across sites that varied from wetter to drier habitat conditions (54 sites). Across sites, all six conifer species weathered the severe 2013-2015 drought with reasonably high resistance and post-drought resilience. However, we found important differences in drought responses between coastal and montane species based on annual growth and ?C-13 metrics. Broadly, the two coastal species showed consistent declines in drought resistance across successive drought years, whereas the four montane species maintained high drought resistance across drought years. More specifically, we found lower ?C-13 and growth during drought years in coastal species, suggesting stomatal closure during drought with the potential for vulnerability to carbon depletion during long-term drought. Conversely, ?C-13 and growth were stable in montane species throughout the drought, which may contribute to hydraulic failure under increased drought frequency and/or severity. We also evaluated environmental factors that affect ?C-13 using data from before and during the drought. These physiological models were consistent for the two coastal species, with a positive relationship between annual precipitation and ?C-13 and a negative relationship between tree density and ?C-13. Conversely, the four montane models illustrated a greater importance of site conditions on drought responses for these species. Our findings show differential risk for drought stress across diverse conifers during severe drought. This work highlights the importance of site and tree characteristics in determining drought responses across cool, annually humid coastal habitats to seasonally dry montane habitats.</t>
  </si>
  <si>
    <t>e4480</t>
  </si>
  <si>
    <t>10.1002/ecs2.4480</t>
  </si>
  <si>
    <t>Hart, JA; Vizza, C; West, WE; Chaloner, DT; Jones, SE; Lamberti, GA</t>
  </si>
  <si>
    <t>Methane Cycling Contributes to Distinct Patterns in Carbon Stable Isotopes of Wetland Detritus</t>
  </si>
  <si>
    <t>WETLANDS</t>
  </si>
  <si>
    <t>Methane; Stable isotopes; Wetlands; Decomposition; Food webs</t>
  </si>
  <si>
    <t>ORGANIC-MATTER; COASTAL WETLANDS; FOOD WEBS; DECOMPOSITION; SIGNATURES; RESPONSES; PATHWAYS; BALANCE; ENERGY</t>
  </si>
  <si>
    <t>Increasing global temperatures are changing the balance between carbon sequestration and its microbial processing in wetlands, making the tracking of these processes important. We used detrital carbon stable isotopes (C-13) to trace aerobic decomposition and CH4 production in two experiments conducted in Alaskan wetlands. In laboratory bottle incubations, larger decreases in detritus delta C-13 corresponded to higher net CH4 and CO2 production rates. Because net CH4 production was the stronger predictor and its effect was negative, we hypothesize that decreases in C-13 trace concurrent CH4 production and oxidation. In a field experiment, decreases in detritus delta C-13 were not correlated with aerobic decomposition rates, but were positively correlated with CH4 production potentials as estimated from bottle incubations. We hypothesize that the positive relationship reflects only CH4 production, rather than concurrent production and oxidation. Although CH4 production rates were correlated with changes in detrital C-13 in both experiments, the direction of this relationship differed between laboratory and field with important consequences for the scale of ecological experiments. Our study demonstrates that CH4 cycling can create distinct patterns in C-13 of wetland detritus. Future studies should conduct explicit mass balance experiments to clarify mechanisms and determine the importance of scale in shaping isotopic patterns.</t>
  </si>
  <si>
    <t>10.1007/s13157-018-1119-1</t>
  </si>
  <si>
    <t>Penna, D; Geris, J; Hopp, L; Scandellari, F</t>
  </si>
  <si>
    <t>Water sources for root water uptake: Using stable isotopes of hydrogen and oxygen as a research tool in agricultural and agroforestry systems</t>
  </si>
  <si>
    <t>AGRICULTURE ECOSYSTEMS &amp; ENVIRONMENT</t>
  </si>
  <si>
    <t>Stable water isotopes; Root water uptake; Water sources; Water resources management; Irrigation; Agriculture and agroforestry systems</t>
  </si>
  <si>
    <t>SOIL-WATER; WINTER-WHEAT; SUMMER MAIZE; EVAPOTRANSPIRATION; TREES; IRRIGATION; QUANTIFICATION; CONSUMPTION; COMPONENTS; SEPARATION</t>
  </si>
  <si>
    <t>Understanding water sources for crop water uptake in agricultural and agroforestry systems is an essential step to develop more efficient and sustainable water management strategies, which is increasingly important in the light of current world population growth, changing climatic conditions and consequent growing pressures on agricultural- and agroforestry production. Stable isotopes of hydrogen and oxygen in the water molecule are powerful and, nowadays, affordable tracers that can help to define the proportion of water sources accessed by plants. Yet, contrary to natural environments, their application is still relatively limited in agricultural and agroforestry research. In this work, we synthesize the advantages and the current knowledge deriving from the use of the stable isotopes of hydrogen and oxygen, in support of more traditional techniques, to understand root water uptake dynamics in agricultural and agroforestry systems. We also underline the practical implications related to the application of this technique for management purposes, and provide a vision for new challenges and future research opportunities in exploring crop and plant water use based on isotopic data.</t>
  </si>
  <si>
    <t>10.1016/j.agee.2019.106790</t>
  </si>
  <si>
    <t>Codron, D; Codron, J; Lee-Thorp, JA; Sponheimer, M; Grant, CC; Brink, JS</t>
  </si>
  <si>
    <t>Stable isotope evidence for nutritional stress, competition, and loss of functional habitat as factors limiting recovery of rare antelope in southern Africa</t>
  </si>
  <si>
    <t>Carbon isotopes; Isosource; Nitrogen isotopes; Roan antelope; Tsessebe</t>
  </si>
  <si>
    <t>KRUGER-NATIONAL-PARK; ROAN ANTELOPE; MAMMALIAN HERBIVORES; CARBON; DIETS; SAVANNA; POPULATION; BOVIDAE; FECES; FRACTIONATION</t>
  </si>
  <si>
    <t>A major focus in Population ecology is understanding factors that limit rare species. We used stable isotope approaches to diet to determine whether remaining rare antelope populations in Kruger National Park (KNP), South Africa experience i) nutritional stress; ii) competition with sympatric bulk grazers; iii) reduced habitat heterogeneity. Rare species consumed near-pure C-4 grass-based diets throughout the seasonal cycle, in contrast to field observations that reported significant levels of C-3 consumption (browse) by these taxa. This finding, coupled with low faecal %N at the height of the dry season, may indicate nutritional stress, but recent isotopic studies of the same species elsewhere in Africa suggest that field observations overestimated levels of browse consumption. We find little evidence for diet niche overlap between rare antelope with bulk grazing species. This partitioning of resources (interpreted mainly as tall- versus short-grass grazing, respectively), is consistent with reported differences in observed diet, and comparative oral morphology. Last, we find less seasonal diet variations amongst bulk grazers feeding in rare antelope habitats compared with other landscapes. We propose that loss of functional heterogeneity, apparently brought about by high densities of artificial waterholes, limits recovery of diet- and habitat-selective rare antelope populations in KNP. (C) 2008 Elsevier Ltd. All rights reserved.</t>
  </si>
  <si>
    <t>4-5</t>
  </si>
  <si>
    <t>10.1016/j.jaridenv.2008.12.003</t>
  </si>
  <si>
    <t>Sirot, C; Gronkjaer, P; Pedersen, JB; Panfili, J; Zetina-Rejon, M; Tripp-Valdez, A; Ramos-Miranda, J; Flores-Hernandez, D; Sosa-Lopez, A; Darnaude, AM</t>
  </si>
  <si>
    <t>Using otolith organic matter to detect diet shifts in Bardiella chrysoura, during a period of environmental changes</t>
  </si>
  <si>
    <t>Trophic ecology; Stable isotope analysis; Coastal ecosystem; Bairdiella chrysoura; Terminos Lagoon</t>
  </si>
  <si>
    <t>STABLE-ISOTOPE ANALYSIS; TROPHIC INTERACTIONS; FOOD-WEB; MOVEMENT PATTERNS; TEMPORAL-CHANGES; CLIMATE-CHANGE; FISH; SURVIVAL; HABITAT; PREY</t>
  </si>
  <si>
    <t>Accurate knowledge on fish trophic ecology and its modifications is crucial for understanding the impact of global change on ecosystems. In this context, we investigated the value of the delta C-13 and delta N-15 of otolith soluble organic matter (SOM) for identifying temporal diet shifts in American silver perch Bairdiella chrysoura over a 30-yr period characterized by strong changes in its population size and habitats within the Terminos Lagoon (Mexico). We first compared the otolith SOM isotopic signatures from present-clay adults to those of muscle and the main local prey. Our results suggest that otolith SOM can be confidently extracted and analyzed for both present and past otoliths of this species. The mean otolith SOM signatures obtained (-15.92 +/- 1.35%, for delta C-13 and 9.38 +/- 0.93%, for delta N-15) were consistent with those of the diet as 85% of the individual signatures were included within the prey isotopic niche area. Moreover, this study supports a trophic enrichment factor between diet and otolith (TEFdiet-otolith) close to 0 for delta N-15, while for delta C-13, the TEFololith-muscle of +0.02% warrants further investigation. Then, we compared past and contemporary otolith SOM signatures to investigate temporal diet shifts in B. chrysoura. This showed that 613C and delta N-15 differed significantly between the past and present period even if the temporal shift remained relatively small (respectively +1.17%, and 0.55%). The present study substantiates the use of otolith SOM delta C-13 and delta N-15 as a proxy of fish present and past trophic position, opening the possibility for major progress in studies of temporal changes in food web ecology.</t>
  </si>
  <si>
    <t>10.3354/meps12166</t>
  </si>
  <si>
    <t>Palumbo, MD; Tozer, DC; Hobson, KA</t>
  </si>
  <si>
    <t>Origins of harvested Mallards from Lake St. Clair, Ontario: a stable isotope approach</t>
  </si>
  <si>
    <t>AVIAN CONSERVATION AND ECOLOGY</t>
  </si>
  <si>
    <t>deuterium; harvest management; isoscapes; Mallard; origins; stable isotopes</t>
  </si>
  <si>
    <t>DELTA-D; POPULATION-DYNAMICS; BREEDING MALLARDS; SOUTHERN ONTARIO; TRACING ORIGINS; WATERFOWL; HYDROGEN; ASSOCIATIONS; MANAGEMENT; DISPERSAL</t>
  </si>
  <si>
    <t>Determining origins of waterfowl is important for establishing appropriate management and conservation strategies. In North America, much information is available from long-term mark-recapture programs involving banding on breeding or molting grounds. However, this approach is less able to identify origins of individuals across broad areas where banding effort is low. We used stable-hydrogen isotope analyses of feathers (delta H-2(f)) from Mallards (Arras platyrhynchos) harvested during the 2014-2015 and 2015-2016 hunting seasons at Lake St. Clair (LSC), Ontario, Canada (n = 237 individuals). We created a feather isoscape and applied Bayesian assignment approaches to determine probability of origin. The proportion of hatch-year Mallards produced locally, i.e., at the same latitude as LSC, as opposed to farther north or south of LSC, ranged from 13.1% to 22.0% with almost no difference by sex. The proportion of after-hatch-year (AHY) birds that molted locally ranged from 3.5% to 11.7%, with slightly fewer local AHY females compared with local AHY males. Nearly all birds that did not originate locally came from latitudes to the north of LSC, and only 2 from south of LSC. Whether this pattern is representative of locations in the Great Lakes beyond our study area is unknown but is of great relevance for harvest management. As such, we are expanding our study with plans to examine isotope-based origins of Mallards and other harvested waterfowl species at locations throughout the Great Lakes region. Because of its unique potential to fill knowledge gaps, we advocate the use of the stable isotope technique in the management of North American waterfowl and encourage more research in this area.</t>
  </si>
  <si>
    <t>10.5751/ACE-01389-140203</t>
  </si>
  <si>
    <t>O'Neill, BJ; Thorp, JH</t>
  </si>
  <si>
    <t>Untangling food-web structure in an ephemeral ecosystem</t>
  </si>
  <si>
    <t>Branchiopoda; food-web complexity; hydroperiod; stable isotopes; trophic structure</t>
  </si>
  <si>
    <t>STREPTOCEPHALUS-PROBOSCIDEUS FRAUENFELD; STABLE-ISOTOPE RATIOS; COMMUNITY-WIDE MEASURES; SPECIES-DIVERSITY; TROPHIC STRUCTURE; TEMPORARY POOLS; VERNAL POOLS; ECOLOGY; BRANCHIOPODA; ANOSTRACA</t>
  </si>
  <si>
    <t>Scientists know relatively little about the ecology of ephemeral aquatic habitats beyond the importance of hydroperiod and vertebrate predators, especially regarding trophic structure. We used playa wetlands, ephemeral habitats common in arid to semi-arid regions, as our study ecosystem. We predicted that larger, more species-rich playas would have food webs with larger dimensions (longer food chains and more energy sources used), more variation (more niches filled) and more redundancy (niche overlap). We used geometric properties of stable C and N isotope biplots to explore: (i) what regulates trophic structure in ephemeral wetlands, (ii) the role of anthropogenic forces in altering factors controlling trophic structure and (iii) how trophic structure in ephemeral systems differs from that typical of permanent systems. We sampled aquatic animal food webs of 21 playa wetlands located mostly in the short-grass prairies of the Pawnee National Grassland in Colorado, U.S.A. Playas with higher insect diversity had more complex trophic structures than those dominated by large branchiopods (tadpole, clam and fairy shrimps). Insect diversity seemed dependent on length of the hydroperiod and time since filling, both of which are determined by playa depth. The key to understanding trophic structure in playas is an interaction between hydroperiod and the traits, lifespans and trophic niches of the species present. The trophic structure of naturally created playas was marginally more complex than artificial playas, and playas buffered by native vegetation were more likely to have food webs that included unique trophic strategies. Food webs of playas influenced by row crop agriculture had a broader selection of food sources. Playas grazed by cattle had food-web structures comparable to those in ungrazed playas, suggesting that playa biota may be adapted to large mammal disturbances. The trophic structure of ephemeral aquatic habitats may not respond to disturbance in the same way as permanent systems. Indeed, food chain length in a playa can actually increase as the ephemeral ecosystem approaches the end of its hydroperiod. Measures of ecosystem size need to include more than the two dimensions of surface area when being applied to general ecological theory. Food webs increase in complexity with time, and many of the same factors that control trophic structure in ephemeral habitats could be important at least at some time in the life of a relatively permanent ecosystem.</t>
  </si>
  <si>
    <t>10.1111/fwb.12358</t>
  </si>
  <si>
    <t>Stallings, CD; Nelson, JA; Peebles, EB; Ellis, G; Goddard, EA; Jue, NK; Mickle, A; Tzadik, OE; Koenig, CC</t>
  </si>
  <si>
    <t>Trophic ontogeny of a generalist predator is conserved across space</t>
  </si>
  <si>
    <t>Biochemical markers; Individual variation; Macroecology; Ontogenetic niche shift; Optimal foraging; Seagrass</t>
  </si>
  <si>
    <t>GULF-OF-MEXICO; NITROGEN ISOTOPIC COMPOSITION; NICHE SHIFTS; INTERACTION STRENGTH; JUVENILE GAGS; AMINO-ACIDS; DIET SHIFTS; BODY-SIZE; PREY; STABILITY</t>
  </si>
  <si>
    <t>Consumers can influence ecological patterns and processes through their trophic roles and contributions to the flow of energy through ecosystems. However, the diet and associated trophic roles of consumers commonly change during ontogeny. Despite the prevalence of ontogenetic variation in trophic roles of most animals, we lack an understanding of whether they change consistently across local populations and broad geographic gradients. We examined how the diet and trophic position of a generalist marine predator varied with ontogeny across seven broadly separated locations (similar to 750 km). We observed a high degree of heterogeneity in prey consumed without evidence of spatial structuring in this variability. However, compound-specific isotope analysis of amino acids revealed remarkably consistent patterns of increasing trophic position through ontogeny across local populations, suggesting that the roles of this generalist predator scaled with its body size across space. Given the high degree of diet heterogeneity we observed, this finding suggests that even though the dietary patterns differed, the underlying food web architecture transcended variation in prey species across locations for this generalist consumer. Our research addresses a gap in empirical field work regarding the interplay between stage-structured populations and food webs, and suggests ontogenetic changes in trophic position can be consistent in generalist consumers.</t>
  </si>
  <si>
    <t>10.1007/s00442-023-05337-6</t>
  </si>
  <si>
    <t>Hill, AJ; Dawson, TE; Shelef, O; Rachmilevitch, S</t>
  </si>
  <si>
    <t>The role of dew in Negev Desert plants</t>
  </si>
  <si>
    <t>Water; Stable isotopes; Climate change; Drought tolerance; Aridity</t>
  </si>
  <si>
    <t>STABLE-ISOTOPES; WATER RELATIONS; DEPENDENT DEW; FOREST; FOG; PHOTOSYNTHESIS; PRECIPITATION; ECOSYSTEM; LICHENS; ROOT</t>
  </si>
  <si>
    <t>We investigated the possible use of dew as a water source for three desert plant species native to the Negev Desert: an annual Salsola inermis, and two perennials Artemisia sieberi and Haloxylon scoparium, with different rooting depths of 15, 30 and 90 cm, respectively. We quantified dew-water inputs and used stable isotope analyses to determine the proportion of dew as compared to the proportion of soil water each species utilized. Dew was isotopically enriched (delta D values ranged from -25 to 5 aEuro degrees), relative to rainfall with delta D values that ranged from -40 to -20 aEuro degrees and relative to soil water with delta D values that ranged from -65 to -35 aEuro degrees. Using a two-source isotope mixing model, we found that S. inermis, A. sieberi and H. scoparium used, on average, 56, 63 and 46 % of their water from dewfall, respectively. Our results suggest that dew-water utilization by Negev Desert plants is highly significant ecologically and thus may be more common than previously thought. In light of future predicted climate change, it may be increasingly important for plants of the Negev Desert to make use of dew as a water resource as it may play an important role in their ability to cope with the associated hydrological constraints predicted for the Negev region.</t>
  </si>
  <si>
    <t>10.1007/s00442-015-3287-5</t>
  </si>
  <si>
    <t>Kurle, CM</t>
  </si>
  <si>
    <t>Interpreting temporal variation in omnivore foraging ecology via stable isotope modelling</t>
  </si>
  <si>
    <t>omnivore foraging ecology; invasive rats; stable isotopes; stable isotope incorporation rates; stable isotope turnover models</t>
  </si>
  <si>
    <t>N-15 INCORPORATION; NITROGEN TURNOVER; TISSUE TURNOVER; CARBON ISOTOPES; DIET; BLOOD; FRACTIONATION; REPLACEMENT; DELTA-N-15; FEATHERS</t>
  </si>
  <si>
    <t>P&gt;The use of stable carbon (C) and nitrogen (N) isotopes (delta N-15 and delta C-13, respectively) to delineate trophic patterns in wild animals is common in ecology. Their utility as a tool for interpreting temporal change in diet due to seasonality, migration, climate change or species invasion depends upon an understanding of the rates at which stable isotopes incorporate from diet into animal tissues. To best determine the foraging habits of invasive rats on island ecosystems and to illuminate the interpretation of wild omnivore diets in general, I investigated isotope incorporation rates of C and N in fur, liver, kidney, muscle, serum and red blood cells (RBC) from captive rats raised on a diet with low delta N-15 and delta C-13 values and switched to a diet with higher delta N-15 and delta C-13 values. I used the reaction progress variable method (RPVM), a linear fitting procedure, to estimate whether a single or multiple compartment model best described isotope turnover in each tissue. Small sample Akaike Information criterion (AIC(c)) model comparison analysis indicated that 1 compartment nonlinear models best described isotope incorporation rates for liver, RBC, muscle, and fur, whereas 2 compartment nonlinear models were best for serum and kidney. I compared isotope incorporation rates using the RPVM versus nonlinear models. There were no differences in estimated isotope retention times between the model types for serum and kidney (except for N turnover in kidney from females). Isotope incorporation took longer when estimated using the nonlinear models for RBC, muscle, and fur, but was shorter for liver tissue. There were no statistical differences between sexes in the isotope incorporation rates. I also found that N and C isotope incorporation rates were decoupled for liver, with C incorporating into liver tissue faster than N. The data demonstrate the utility of analysing isotope ratios of multiple tissues from a single animal when estimating temporal variation in mammalian foraging ecology.</t>
  </si>
  <si>
    <t>10.1111/j.1365-2435.2009.01553.x</t>
  </si>
  <si>
    <t>Massol, F; David, P; Gerdeaux, D; Jarne, P</t>
  </si>
  <si>
    <t>The influence of trophic status and large-scale climatic change on the structure of fish communities in Perialpine lakes</t>
  </si>
  <si>
    <t>fishery; foodweb; global warming; oligotrophication; recruitment</t>
  </si>
  <si>
    <t>NORTH-ATLANTIC OSCILLATION; TEMPERATURE; MODEL; SIZE; ECOSYSTEMS; REGRESSION; EUTROPHICATION; PRODUCTIVITY; POPULATIONS; DIVERSITY</t>
  </si>
  <si>
    <t>1. A recurrent question in ecology is the influence of environmental factors, particularly nutrients and climatic variables, on community structure and functioning, and their interaction with internal community processes (e.g. competition). 2. Perialpine lakes have been subject to two main kinds of human-induced changes over the last 50 years: eutrophication-reoligotrophication, represented by lake-specific changes in total phosphorus concentration (TP), and long-term global climatic change, captured by average winter temperature (AWT). 3. Changes in fish communities (abundance of seven species from fishery data) in 11 Perialpine lakes during 31 years (1970-2000) were investigated in relation to variation in TP and AWT using models incorporating the effects of fish maturation age, and potentially discriminating effects on adult survival and recruitment. 4. We show that phosphorus concentration affects fish abundance in species-specific ways. These effects are mediated by recruitment rather than by adult survival. Phosphorus effects are probably modulated by interspecific interactions, as increasing TP enhances total community biomass, which in turn is either positively or negatively associated with species abundance depending on species position in trophic chains. 5. Climatic change has very little effect on fish abundances, which is not consistent with the prediction of larger changes in species near their southern distribution boundary. 6. We propose several hypotheses to account for those findings, and place our study in the wider framework of community ecology.</t>
  </si>
  <si>
    <t>10.1111/j.1365-2656.2007.01226.x</t>
  </si>
  <si>
    <t>Quinones-Rivera, ZJ; Wissel, B; Justic, D; Fry, B</t>
  </si>
  <si>
    <t>Partitioning oxygen sources and sinks in a stratified, eutrophic coastal ecosystem using stable oxygen isotopes</t>
  </si>
  <si>
    <t>stable oxygen isotopes; oxygen cycling hypoxia; eutrophication; Mississippi river; Gulf of Mexico</t>
  </si>
  <si>
    <t>GULF-OF-MEXICO; MISSISSIPPI RIVER; DISSOLVED-OXYGEN; WATER; FRACTIONATION; HYPOXIA; RESPIRATION; LOUISIANA; NITROGEN; SURFACE</t>
  </si>
  <si>
    <t>Coastal hypoxia develops as a synergistic product of biological and physical factors. Based on oxygen concentration measurements alone, it is difficult to separate the effects of biological factors from physical factors, which complicates the analysis of oxygen dynamics. To address this problem we used a dual budget approach to assess the importance of oxygen sources and sinks for the Louisiana continental shelf in the northern Gulf of Mexico,which is strongly influenced by the Mississippi River and develops a large summertime zone of hypoxic (&lt; 2 mg O(2)1(-1)) bottom waters. The dual budget approach was based on using stable oxygen isotopes (delta O-18) in combination with conventional oxygen concentration measurements. The shelf ecosystem showed strong oxygen dynamics with a wide range of oxygen saturations between 180 % and almost 0 % and a corresponding wide range of delta O-18 values from 15 %. in surface waters to 50 %. in bottom waters. Physical mixing primarily controlled oxygen dynamics in fall and winter, but during summer stratification, oxygen dynamics were controlled predominantly by biological processes. Model estimates indicated that during a summer 2001 shelf-wide cruise, stratified surface waters were very productive with an average calculated production/respiration (P/R) ratio of 1.12 and average gross and net primary productivities of 0.54 and 0.06 g C m(-3) d(-1), respectively. In bottom waters summer oxygen depletion was predominantly due to benthic respiration, accounting for about 73 % of the total oxygen loss. In the most hypoxic summer waters the importance of benthic respiration declined, consistent with low oxygen conditions slowing the rate of benthic oxygen consumption. Overall, the dual budget approach yielded new estimates of productivity dynamics in surface waters and of sediment oxygen demand in bottom waters.</t>
  </si>
  <si>
    <t>10.3354/meps342069</t>
  </si>
  <si>
    <t>Ishikawa, NF; Tadokoro, K; Matsubayashi, J; Ohkouchi, N</t>
  </si>
  <si>
    <t>Biomass Pyramids of Marine Mesozooplankton Communities as Inferred From Their Integrated Trophic Positions</t>
  </si>
  <si>
    <t>biodiversity; body weight; CSIA-AA; iTP; trophic transfer; turnover</t>
  </si>
  <si>
    <t>NITROGEN ISOTOPE ANALYSIS; OYASHIO REGION; AMINO-ACIDS; NEOCALANUS-PLUMCHRUS; COPEPOD COMMUNITY; FOOD-WEB; DYNAMICS; PLANKTON; FRACTIONATION; CRISTATUS</t>
  </si>
  <si>
    <t>Biomass pyramids in natural food webs provide insights into multitrophic ecosystem functioning. We measured the integrated trophic position (iTP), which reflects the average efficiency of biomass transfer through trophic pathways, of 14 mesozooplankton communities in the western North Pacific. Compound-specific nitrogen isotope analysis of amino acids for composite mesozooplankton biomass indicated that the iTP values of marine mesozooplankton communities and their biomass pyramids are essentially controlled by biodiversity, body weight, and species turnover. Offshore communities with lower diversity and higher iTP were dominated by large copepods with slow turnover, such as Neocalanus, whereas nearshore communities with higher diversity and lower iTP were characterized by several smaller, fast turnover species belonging to Calanus, Paracalanidae, Eucalanidae, and Metridinidae. The observed iTP values (2.36 +/- 0.32) indicate different topologies in biomass pyramids in different sites, where inverted pyramids are found in less diverse communities. The results also suggest that iTP can be linked to food chain length (FCL), a conventional proxy for the biomass pyramid. Combining iTP and FCL in the future studies will be a powerful approach to better understand factors controlling food web structure and dynamics.</t>
  </si>
  <si>
    <t>10.1007/s10021-022-00753-w</t>
  </si>
  <si>
    <t>Melody, C; Schmidt, O</t>
  </si>
  <si>
    <t>Northward range extension of an endemic soil decomposer with a distinct trophic position</t>
  </si>
  <si>
    <t>decomposers; ecological niche; soil carbon; soil macrofauna; species introductions</t>
  </si>
  <si>
    <t>EARTHWORM; INVASION</t>
  </si>
  <si>
    <t>Ecological niche theory asserts that invading species become established only if introduced propagules survive stochastic mortality and can exploit resources unconsumed by resident species. Because their transportation is not controlled by plant health or biosecurity regulations, soil macrofauna decomposers, including earthworms are probably introduced frequently into non-native soils. Yet even with climatic change, exotic earthworm species from southern Europe have not been reported to become established in previously glaciated areas of northern Europe that already have trophically differentiated earthworm communities of 'peregrine' species. We discovered established populations of the earthworm Prosellodrilus amplisetosus (Lumbricidae), a member of a genus endemic to southern France, in six habitats of an urban farm in Dublin, Ireland, about 1000 km north of the genus's endemic range. Not only was P. amplisetosus the dominant endogeic (geophagous) earthworm species in two habitats, it also occupied a significantly different trophic position from the resident species, as evinced by stable isotope ratio analysis. The suggested ability of this non-native species to feed on and assimilate isotopically more enriched soil carbon (C) and nitrogen fractions that are inaccessible to resident species portends potential implications of decomposer range expansions for soil functioning including C sequestration.</t>
  </si>
  <si>
    <t>10.1098/rsbl.2012.0537</t>
  </si>
  <si>
    <t>Weldrick, CK; Trebilco, R; Davies, DM; Swadling, KM</t>
  </si>
  <si>
    <t>Trophodynamics of Southern Ocean pteropods on the southern Kerguelen Plateau</t>
  </si>
  <si>
    <t>Clio pyramidata; Clione limacina; isotopic niche; size-based; Spongiobranchaea australis; trophic position</t>
  </si>
  <si>
    <t>STABLE-ISOTOPE RATIOS; TROPHIC NICHE WIDTH; MIDWATER FOOD-WEB; CLIONE-LIMACINA; CLIMATE-CHANGE; ANTARCTIC PTEROPODS; CARBON ISOTOPES; FATTY-ACIDS; ROSS SEA; LIPIDS</t>
  </si>
  <si>
    <t>Pteropods are a group of small marine gastropods that are highly sensitive to multiple stressors associated with climate change. Their trophic ecology is not well studied, with most research having focused primarily on the effects of ocean acidification on their fragile, aragonite shells. Stable isotopes analysis coupled with isotope-based Bayesian niche metrics is useful for characterizing the trophic structure of biological assemblages. These approaches have not been implemented for pteropod assemblages. We used isotope-based Bayesian niche metrics to investigate the trophic relationships of three co-occurring pteropod species, with distinct feeding behaviors, sampled from the Southern Kerguelen Plateau area in the Indian Sector of the Southern Ocean-a biologically and economically important but poorly studied region. Two of these species were gymnosomes (shell-less pteropods), which are traditionally regarded as specialist predators on other pteropods, and the third species was a thecosome (shelled pteropod), which are typically generalist omnivores. For each species, we aimed to understand (a) variability and overlap among isotopic niches; and (b) whether there was a relationship between body size and trophic position. Observed isotopic niche areas were broadest for gymnosomes, especially Clione limacina antarctica, whose observed isotopic niche area was wider than expected on both delta C-13 and delta N-15 value axes. We also found that trophic position significantly increased with increasing body length for Spongiobranchaea australis. We found no indication of a dietary shift toward increased trophic position with increasing body size for Clio pyramidata f. sulcata. Trophic positions ranged from 2.8 to 3.5, revealing an assemblage composed of both primary and secondary consumer behaviors. This study provides a comprehensive comparative analysis on trophodynamics in Southern Ocean pteropod species, and supports previous studies using gut content, fatty acid and stable isotope analyses. Combined, our results illustrate differences in intraspecific trophic behavior that may be attributed to differential feeding strategies at species level.</t>
  </si>
  <si>
    <t>10.1002/ece3.5380</t>
  </si>
  <si>
    <t>Fufachev, IA; Ehrich, D; Sokolova, NA; Sokolov, VA; Sokolov, AA</t>
  </si>
  <si>
    <t>Flexibility in a changing arctic food web: Can rough-legged buzzards cope with changing small rodent communities?</t>
  </si>
  <si>
    <t>breeding success; diet selectivity; food web; indirect effects of climate change; lemming cycles; numerical response; rough-legged buzzard; trophic interactions</t>
  </si>
  <si>
    <t>LEMMING POPULATION-DYNAMICS; CLIMATE-CHANGE; BREEDING SUCCESS; COMMON BUZZARD; BUTEO-LAGOPUS; ECOSYSTEMS; PREDATION; DENSITY; DETERMINANTS; PATTERNS</t>
  </si>
  <si>
    <t>Indirect effects of climate change are often mediated by trophic interactions and consequences for individual species depend on how they are tied into the local food web. Here we show how the response of demographic rates of an arctic bird of prey to fluctuations in small rodent abundance changed when small rodent community composition and dynamics changed, possibly under the effect of climate warming. We observed the breeding biology of rough-legged buzzards (Buteo lagopus) at the Erkuta Tundra Monitoring Site in southern Yamal, low arctic Russia, for 19 years (1999-2017). At the same time, data on small rodent abundance were collected and information on buzzard diet was obtained from pellet dissection. The small rodent community experienced a shift from high-amplitude cycles to dampened fluctuations paralleled with a change in species composition toward less lemmings and more voles. Buzzards clearly preferred lemmings as prey. Breeding density of buzzards was positively related to small rodent abundance, but the shift in small rodent community lead to lower numbers relative to small rodent abundance. At the same time, after the change in small rodent community, the average number of fledglings was higher relative to small rodent abundance than earlier. These results suggest that the buzzard population adapted to a certain degree to the changes in the major resource, although at the same time density declined. The documented flexibility in the short-term response of demographic rates to changes in structure and dynamics of key food web components make it difficult to predict how complex food webs will be transformed in a warmer Arctic. The degree of plasticity of functional responses is indeed likely to vary between species and between regions, depending also on the local food web context.</t>
  </si>
  <si>
    <t>10.1111/gcb.14790</t>
  </si>
  <si>
    <t>Vinagre, C; Costa, MJ; Wood, SA; Williams, RJ; Dunne, JA</t>
  </si>
  <si>
    <t>Potential impacts of climate change and humans on the trophic network organization of estuarine food webs</t>
  </si>
  <si>
    <t>Niche model; Probabilistic niche model; Estuarine environments; Anthropogenic impact</t>
  </si>
  <si>
    <t>TAGUS-ESTUARY; ENVIRONMENTAL VARIABLES; SPECIES RICHNESS; FISH COMMUNITY; SPATIAL SCALE; SOLEA-SOLEA; MARINE; ROBUSTNESS; PARASITES; PATTERNS</t>
  </si>
  <si>
    <t>The aim of this study was to compare estuarine food web network structure in the past, present and future, in a climate warming context, while also taking the trophic role of humans into account. Three versions of the Tagus Estuary (Portugal) food web were compiled representing its past (1970s), present (2000s) and future (2100s) trophic organization in relation to losses and gains of taxa and feeding links due to climate change. Although the species richness of the Tagus Estuary food web is expected to increase from past to present to future, along with links and mean links per species, due to a net gain of primarily fish species, there is little anticipated change in the structure of the food web. Unlike all but a few previously published food webs, the Tagus dataset explicitly includes humans, and compared to other predators in the food web, humans are supergeneralists that feed on an increasing fraction of available taxa from the past to the future, up to 38% of species by the 2100s. Such an increase in human impact results from many of the projected new species being commercial species in their current range. In addition, a supergeneralist shark, the milkshark Rhizoprionodon acutus, is predicted to enter the system in the future under climate change. Since the milkshark is likely to have a similar diet to humans, it may amplify the pressure on species already under fishing pressure and alter the function and stability of the Tagus estuary food web. Similar phenomena can occur at other mid-latitude estuaries.</t>
  </si>
  <si>
    <t>10.3354/meps12932</t>
  </si>
  <si>
    <t>Lesage, V; Hammill, MO; Kovacs, KM</t>
  </si>
  <si>
    <t>Marine mammals and the community structure of the Estuary and Gulf of St Lawrence, Canada: evidence from stable isotope analysis</t>
  </si>
  <si>
    <t>stable isotopes; delta C-13; delta N-15; seal; beluga whale; food web; trophic position</t>
  </si>
  <si>
    <t>FOOD-WEB STRUCTURE; ORGANIC-CARBON; TROPHIC RELATIONSHIPS; DIVING BEHAVIOR; PHOCA-VITULINA; FRACTIONATION; DELTA-C-13; DIETS; PHYTOPLANKTON; RATIOS</t>
  </si>
  <si>
    <t>The trophic relationships of both the benthic and pelagic communities in the Estuary and Gulf of St Lawrence regions were examined, with a special focus on the trophic position (TP) and relationship(s) among harbour, grey, hooded and harp seals and beluga whales. A multiple stable isotope and multiple tissue approach, used in:conjunction with conventional dietary information, suggested that marine mammals occupied the highest trophic positions in the food webs of both communities and that they overlapped with one another to some extent trophically. Harbour seals Phoca vitulina and hooded seals Cystophora cristata occupied the highest TP, grey seals Halichoerus grypus, Gulf harp seals Phoca groenlandica, and male beluga whales Delphinapterus leucas were intermediate, and Estuary harp seals and female beluga whales were at the lowest TP. A general pattern of increasing enrichment of C-13 or N-15 with age was observed in marine mammals las well as fishes), although yearlings showed a decreased enrichment compared to both younger and older age classes. Sex also influenced delta N-15 values. Males were more N-15-enriched than females, with the difference between the sexes increasing with age, and being most pronounced in species that are sexually dimorphic with respect to body size. Geographical location also influenced isotope abundance. Estuary organisms were generally C-13-enriched relative to Gulf animals. delta C-13 values were on average lower in short-term diet integrators (blood serum) than in longer-term diet integrators (red blood cells) of harbour seals captured in April to June in the Estuary, which suggests that they probably did not move outside the Lower Estuary during the winter. Grey seals captured in the Lower Estuary did, however, show evidence of having been in the Gulf region some weeks or months before capture.</t>
  </si>
  <si>
    <t>10.3354/meps210203</t>
  </si>
  <si>
    <t>Meijer, CG; Warburton, HJ; McIntosh, AR</t>
  </si>
  <si>
    <t>Disentangling the multiple effects of stream drying and riparian canopy cover on the trophic ecology of a highly threatened fish</t>
  </si>
  <si>
    <t>cannibalism; climate change; drought; Galaxiidae; invasive plants; restoration; stable isotopes; subsidies</t>
  </si>
  <si>
    <t>NEOCHANNA-BURROWSIUS SALMONIFORMES; FOOD-CHAIN LENGTH; CANTERBURY MUDFISH; THRESHOLD FUNCTION; ARTHROPOD INPUTS; STABLE-ISOTOPES; ECOSYSTEM SIZE; HABITAT LOSS; DISTURBANCE; PREY</t>
  </si>
  <si>
    <t>Understanding risks to aquatic systems posed by changing drought regimes is particularly important for the conservation of already threatened taxa. However, little is known about how local environmental conditions, especially those in heavily human-influenced situations, interact with regional shifts such as droughts to alter realised impacts on aquatic communities, including threatened top predators. Here, we investigated the combined effects of stream drying intensity and riparian canopy cover on the trophic interactions of critically endangered kowaro, or Canterbury mudfish (Neochanna burrowsius) in an agricultural area of New Zealand. Fish populations and their potential prey, both terrestrial and aquatic, as well as environmental variables, including riparian canopy cover and drying measured with stage loggers, were sampled over eight visits to 24 sites spanning orthogonal drying and canopy gradients. Stable isotope ratios,C-13/C-12 and(15)N/N-14, were used to investigate trophic links between mudfish and their terrestrial and aquatic prey across these gradients. When non-native willows (predominantlySalix fragilis) dominated the riparian canopy, increased tree cover led to elevated drying intensity, probably driven by their relatively high water demands compared to other trees. However, in the absence of willows, canopy cover had no effect on drying intensity. Although this was the only direct link between these two environmental factors, they had opposing effects on kowaro populations, which will be important for management under drought. Increased drying intensity contributed to elevated abundance of microcrustacea and aquatic Diptera larvae, and an increase in the relative abundance of kowaro juveniles. However, drying-affected kowaro populations also had fewer large reproductive adults and elevated delta N-15 values, probably driven by physiological limitations and an increase in kowaro cannibalism, respectively. By comparison, increased canopy cover enhanced input of terrestrial invertebrates, a food resource for larger kowaro, leading to elevated kowaro delta C-13 values, no effects on delta N-15 values, and higher relative abundance of large kowaro in shaded streams compared to unshaded streams. Thus, the riparian canopy cover was able to offset some of the effects of drying. Overall, we found no interactions between drying intensity and canopy cover affecting kowaro. However, their opposing effect highlights the important role local conditions such as riparian canopies play on aquatic communities and their potential role as a restoration tool to mitigate the effects of large-scale shifts such as drought.</t>
  </si>
  <si>
    <t>10.1111/fwb.13620</t>
  </si>
  <si>
    <t>Sedano, F; Guerra-Garcia, JM; Navarro-Barranco, C; Sempere-Valverde, J; Pavon, A; Espinosa, F</t>
  </si>
  <si>
    <t>Do artificial structures affect the diet of the limpet Patella caerulea Linnaeus, 1758?</t>
  </si>
  <si>
    <t>Nitrogen; Carbon; Isotope; Limpet; Food; Artificial structure</t>
  </si>
  <si>
    <t>BALISTES CAPRISCUS GMELIN; STABLE-ISOTOPE ANALYSES; OCEAN SPRAWL; MEDITERRANEAN SEA; FATTY-ACID; MARINE; HABITATS; PATTERNS; COASTAL; MANAGEMENT</t>
  </si>
  <si>
    <t>The current scenario of global change and the increase of human population in coastal areas is leading to the introduction of numerous man-made structures into the coastal environment. Those artificial structures provide different services at the expenses of habitat loss and a range of widely documented ecological impacts. Limpets are keystone species that are worldwide established in these artificial habitats. However, little is known about the impact of artificial coastal defence structures on the diet of limpets. Therefore, the aim of this study was to evaluate if different kinds of artificial structures (cubes, rip-raps, seawalls and tetrapods) across a geographical gradient (western to eastern Alboran Sea), could affect the food consumption of the limpet Patella caerulea by using carbon and nitrogen isotopes analysis. Our results suggested that for certain localities, there was a shift in the trophic niche of P. caerulea inhabiting artificial substrates in comparison with the nearest natural rocky shore. However, patterns were not consistent for all localities and different types of artificial structures, which reinforces the importance of considering local scales for conservation and management purposes. Finally, delta N-15 ratio in P. caerulea is a good indicator of eutrophication at regional scales, by showing a gradient of enrichment in the limpet tissues from oligotrophic to eutrophic waters within the Alboran Sea. (C) 2020 Elsevier B.V. All rights reserved.</t>
  </si>
  <si>
    <t>10.1016/j.rsma.2020.101261</t>
  </si>
  <si>
    <t>Johnson, SP; Schindler, DE</t>
  </si>
  <si>
    <t>Four decades of foraging history: stock-specific variation in the carbon and nitrogen stable isotope signatures of Alaskan sockeye salmon</t>
  </si>
  <si>
    <t>Climate; Trophic ecology; Biocomplexity; Food web; North Pacific Ocean; Pacific Decadal Oscillation</t>
  </si>
  <si>
    <t>SUB-ARCTIC PACIFIC; FOOD-WEB STRUCTURE; BERING-SEA; ONCORHYNCHUS-SPP.; TROPHIC POSITION; STOMACH CONTENTS; ATLANTIC SALMON; SURVIVAL RATES; REGIME SHIFTS; FISH SCALES</t>
  </si>
  <si>
    <t>Broad-scale shifts in climate during the 20th century had large effects on the ecology of the North Pacific Ocean, including a substantial change in the composition of the dominant food web. Salmon production in Alaskan stocks increased with a concurrent shift of the Pacific Decadal Oscillation in 1977. Salmon production has since been persistently high through 2010, yet the biological mechanisms for this increase in production remain unclear. Carbon and nitrogen stable isotopes of sockeye salmon scales collected from 8 rivers in Bristol Bay between 1964 and 2003 were analyzed to assess whether the trophic ecology of these fish changed systematically over this period, during which there were substantial changes in oceanographic conditions. Isotope values were remarkably stable over the study despite substantial changes in salmon production and oceanographic conditions in this region. Our results also suggest river-specific patterns in the variation of stable isotopes through time; stable isotope changes were related to stock identity and showed some geographic organization. Larger salmon tended to have depleted delta N-15 and delta C-13. Isotopic characteristics among rivers became more variable during the period of high ocean productivity (after the 1977 regime shift and before the 1989 regime shift). Some of the dominant signals of variation in stable isotope variation were related to important environmental physical processes, but they appear to have unique effects on the isotopic characteristics of stocks from different rivers, suggesting important connections between the ecology of sockeye salmon in freshwater and in the ocean.</t>
  </si>
  <si>
    <t>10.3354/meps09772</t>
  </si>
  <si>
    <t>Thomsen, MS; Byers, JE; Schiel, DR; Bruno, JF; Olden, JD; Wernberg, T; Silliman, BR</t>
  </si>
  <si>
    <t>Impacts of marine invaders on biodiversity depend on trophic position and functional similarity</t>
  </si>
  <si>
    <t>Invasive species; Impact analysis; Diversity; Richness; Evenness; Meta analysis; Attribute matching</t>
  </si>
  <si>
    <t>CAULERPA-RACEMOSA; MACROALGAL ASSEMBLAGES; NATIVE INVERTEBRATES; ECOLOGICAL IMPACTS; SARGASSUM-MUTICUM; HABITAT-FORMATION; INVASION; METAANALYSIS; PLANTS; PREDATION</t>
  </si>
  <si>
    <t>Impacts of marine invaders on local biodiversity have not been analyzed across invasive species and invaded habitats. We conducted a meta-analysis of 56 field experiments published in 29 papers that examined the effects of marine invaders on local species richness, diversity, and/or evenness. We show that invaders, across studies, typically have negative effects on biodiversity within a trophic level but positive effects on biodiversity of higher trophic levels. For example, both plants and sessile filter-feeders had positive effects on richness and diversity of mobile consumers. The contrasting negative and positive effects on similar versus higher trophic levels are potentially manifested through community-wide antagonism (competition and consumption) versus facilitation (habitat and food provisioning) interactions, respectively. These relation ships extended to functional interactions, as sessile invaders had negative effects on the biodiversity of sessile communities (intra-functional interactions) but positive effects on the biodiversity of mobile communities (inter-functional interactions). Our analyses highlight the importance of pairing attributes of the invader and the impacted organisms to obtain simple predictions of how the diversity of entire communities may respond to species invasions on local scales. We also note that our analysis did not require information on co-evolutionary history but that such data, coupled with long-term large-scale mensurative data, are needed to gain a comprehensive predictive insight into invasion impact.</t>
  </si>
  <si>
    <t>10.3354/meps10566</t>
  </si>
  <si>
    <t>Jin, ZX; Wang, JF; Chen, JG; Zhang, RX; Li, Y; Lu, YT; He, KK</t>
  </si>
  <si>
    <t>Identifying the sources of nitrate in a small watershed using delta N-15-delta O-18 isotopes of nitrate in the Kelan Reservoir, Guangxi, China</t>
  </si>
  <si>
    <t>Agricultural non-point source pollution; delta N-15 and delta O-18 isotopes of nitrate; Stable isotope analysis in R (SIAR); Small watershed</t>
  </si>
  <si>
    <t>SURFACE-WATER; NITROGEN; TRANSFORMATIONS; RIVER; CONTAMINATION; DELTA-N-15; SYSTEM; DENITRIFICATION; EUTROPHICATION; GROUNDWATER</t>
  </si>
  <si>
    <t>China has one of the largest areas of agriculture and one of the highest application rates of chemical fertilizer in the world. Agricultural non-point source pollution has became important source of nitrogen (N) pollution of surface water. In this study, the delta N-15 and delta O-18 isotopes of nitrate as a tool were used to reveal the sources of nitrate in water bodies in the Nala watershed, at a sugarcane planted area in Guangxi, China. According to the analyses based on a stable isotope analysis in R (SIAR), the mean contributions of different nitrate sources in the Nala watershed could be ranked as follows: manure (39.90 %) &gt; soil N (SN) (34.94 %) &gt; chemical fertilizer (CF) (17.77 %) &gt; rainfall (7.39 %) in July; manure (42.30 %) &gt; SN (33.54 %) &gt; CF (24.16 %) in December. The CF and SN collectively mean contributing &gt; 50 % of nitrate both in July and in December in the watershed, therefore, reducing the use of CF is the key to control nitrate pollution in the Nala watershed. Manure also composed a substantial contribution (mean 39.68 %, in July and December) to nitrate in the small watershed, it is necessary to provide recycle treatment for manure for the purpose of alleviating the pollution. The delta N-15 and delta O-18 isotopes of nitrate can accurately identify various sources of nitrate and SIAR offers a useful method to quantify the contribution rates of different N sources to the N pollution of watersheds.</t>
  </si>
  <si>
    <t>10.1016/j.agee.2020.106936</t>
  </si>
  <si>
    <t>Paredes, I; Otero, N; Soler, A; Green, AJ; Soto, DX</t>
  </si>
  <si>
    <t>Agricultural and urban delivered nitrate pollution input to Mediterranean temporary freshwaters</t>
  </si>
  <si>
    <t>Nitrate sourcee; Stable isotopes; Fertilizers; Wastewater; Denitrification</t>
  </si>
  <si>
    <t>OXYGEN-ISOTOPE FRACTIONATION; NITROGEN POLLUTION; MICROBIAL DENITRIFICATION; DUAL ISOTOPES; RIVER; GROUNDWATER; NITRIFICATION; DELTA-O-18; IDENTIFICATION; AQUIFER</t>
  </si>
  <si>
    <t>Nitrate dual stable isotopes (delta N-15(NO3) and delta O-18(NO3)) have proven to be a powerful technique to trace nitrate sources and transformations in freshwater systems worldwide. However, most studies have focused on perennial systems, and less is known about intermittent ones. The impacts of intensive agricultural practices and wastewaters in Donana (SW Spain), an iconic Mediterranean temporary wetland protected as a UNESCO World Heritage Site, were quantified using stable isotope mixing models in a Bayesian framework under different denitrification scenarios. We aimed to identify the main nitrate sources and transformation processes in surface waters of interconnected temporary streams, ponds and marshes, and link them with the main human pressures in the watershed (e.g. intensive fruticulture, urban wastewaters). We measured nitrate (NO3-) concentrations and stable isotopes (delta N-15(NO3) and delta O-18(NO3)) in water samples collected during different periods over two years (2015-2016). Most sites showed coupled increases of nitrate isotopic values (delta N-15(NO3) and delta O-18(NO3)), which were higher than reference values of any possible sources (e.g. synthetic/organic fertilizers and wastewaters), indicating fractionations typical of denitrification processes. The main nitrate sources to the watershed were linked to agricultural practices and the use of synthetic fertilizers, but further investigations in other transformation processes that occur simultaneously should be evaluated. These results highlight an important nitrate removal capacity (i.e. denitrification) of the system, which may positively contribute to natural resilience against eutrophication. However, given the high intra and interannual hydrological fluctuations of Mediterranean aquatic systems, future studies on the relative contribution of nitrate sources and processes should increase spatio-temporal resolution of water sampling, and include measurements of groundwater and interstitial water as well as surface water.</t>
  </si>
  <si>
    <t>10.1016/j.agee.2020.106859</t>
  </si>
  <si>
    <t>deHart, PAP; Strand, SE</t>
  </si>
  <si>
    <t>Effects of Garlic Mustard Invasion on Arthropod Diets as Revealed through Stable-Isotope Analyses</t>
  </si>
  <si>
    <t>SOUTHEASTERN NATURALIST</t>
  </si>
  <si>
    <t>ALLIARIA-PETIOLATA; CARBON ISOTOPES; FOOD-WEB; PLANT; HYDROGEN; FRACTIONATION; DELTA-C-13; PREDATORS; ABUNDANCE; ONTARIO</t>
  </si>
  <si>
    <t>Alliaria petiolata (Garlic Mustard) is an invasive plant species which displaces native communities by lowering levels of mycorrhizal fungi essential to native plant nutrient acquisition. Consequently, the diets of arthropods using these native plants as a primary food source may be altered. To assess the magnitude of this disruption, stable-isotope analyses of carbon, nitrogen, oxygen, and hydrogen were used to trophically differentiate the diets of arthropods in Garlic Mustard-invaded areas. In invaded areas, arthropods were depleted in delta C-13 and enriched in delta N-15 relative to arthropods in uninvaded areas, suggesting a change in trophic position among generalist predators. Slight trophic repositioning was observed in all 4 isotopes, indicating interactions of 3 primary predators throughout the study area. Most observable shifts are likely due to predators either altering prey source or traveling further to acquire nutrients.</t>
  </si>
  <si>
    <t>10.1656/058.011.0403</t>
  </si>
  <si>
    <t>Allan, EL; Froneman, PW; Durgadoo, JV; McQuaid, CD; Ansorge, IJ; Richoux, NB</t>
  </si>
  <si>
    <t>Critical indirect effects of climate change on sub-Antarctic ecosystem functioning</t>
  </si>
  <si>
    <t>Climate change; food web; frontal shifts; land-based top predators; Prince Edward Islands; Southern Ocean; stable isotope signatures; sub-Antarctic Front</t>
  </si>
  <si>
    <t>PRINCE-EDWARD-ISLANDS; SHRIMP NAUTICARIS-MARIONIS; SOUTHERN-OCEAN; GROWTH-RATE; PHALACROCORAX-ATRICEPS; CO2 CONCENTRATION; PYGOSCELIS-PAPUA; RECENT TRENDS; FOOD-WEB; FRACTIONATION</t>
  </si>
  <si>
    <t>Sub-Antarctic islands represent critical breeding habitats for land-based top predators that dominate Southern Ocean food webs. Reproduction and molting incur high energetic demands that are sustained at the sub-Antarctic Prince Edward Islands (PEIs) by both inshore (phytoplankton blooms; island mass effect; autochthonous) and offshore (allochthonous) productivity. As the relative contributions of these sustenance pathways are, in turn, affected by oceanographic conditions around the PEIs, we address the consequences of climatically driven changes in the physical environment on this island ecosystem. We show that there has been a measurable long-term shift in the carbon isotope signatures of the benthos inhabiting the shallow shelf region of the PEIs, most likely reflecting a long-term decline in enhanced phytoplankton productivity at the islands in response to a climate-driven shift in the position of the sub-Antarctic Front. Our results indicate that regional climate change has affected the balance between allochthonous and autochthonous productivity at the PEIs. Over the last three decades, inshore-feeding top predators at the islands have shown a marked decrease in their population sizes. Conversely, population sizes of off-shore-feeding predators that forage over great distances from the islands have remained stable or increased, with one exception. Population decline of predators that rely heavily on organisms inhabiting the inshore region strongly suggest changes in prey availability, which are likely driven by factors such as fisheries impacts on some prey populations and shifts in competitive interactions among predators. In addition to these local factors, our analysis indicates that changes in prey availability may also result indirectly through regional climate change effects on the islands' marine ecosystem. Most importantly, our results indicate that a fundamental shift in the balance between allochthonous and autochthonous trophic pathways within this island ecosystem may be detected throughout the food web, demonstrating that the most powerful effects of climate change on marine systems may be indirect.</t>
  </si>
  <si>
    <t>10.1002/ece3.678</t>
  </si>
  <si>
    <t>Chikaraishi, Y; Steffan, SA; Takano, Y; Ohkouchi, N</t>
  </si>
  <si>
    <t>Diet quality influences isotopic discrimination among amino acids in an aquatic vertebrate</t>
  </si>
  <si>
    <t>Amino acids; diet quality; food web; nitrogen isotopic composition; trophic discrimination factor</t>
  </si>
  <si>
    <t>TROPHIC POSITION; FOOD WEBS; NITROGEN; FRACTIONATION; DELTA-N-15; ENRICHMENT; ECOLOGY</t>
  </si>
  <si>
    <t>Stable nitrogen isotopic composition of amino acids (N-15(AA)) has recently been employed as a powerful tool in ecological food web studies, particularly for estimating the trophic position (TP) of animal species in food webs. However, the validity of these estimates depends on the consistency of the trophic discrimination factor (TDF; = N-15(AA) at each shift of trophic level) among a suite of amino acids within the tissues of consumer species. In this study, we determined the TDF values of amino acids in tadpoles (the Japanese toad, Bufo japonicus) reared exclusively on one of three diets that differed in nutritional quality. The diets were commercial fish-food pellets (plant and animal biomass), bloodworms (animal biomass), and boiled white rice (plant carbohydrate), representing a balanced, protein-rich, and protein-poor diet, respectively. The TDF values of two source amino acids (Src-AAs), methionine and phenylalanine, were close to zero (0.3-0.5 parts per thousand) among the three diets, typifying the values reported in the literature (similar to 0.5 parts per thousand and similar to 0.4 parts per thousand, respectively). However, TDF values of trophic amino acids (Tr-AAs) including alanine, valine, leucine, isoleucine, and glutamic acid varied by diet: for example, the glutamic acid TDF was similar to the standard value (similar to 8.0 parts per thousand) when tadpoles were fed either the commercial pellets (8.0 parts per thousand) or bloodworms (7.9 parts per thousand), but when they were fed boiled rice, the TDF was significantly reduced (0.6 parts per thousand). These results suggest that a profound lack of dietary protein may alter the TDF values of glutamic acid (and other Tr-AAs and glycine) within consumer species, but not the two Src-AAs (i.e., methionine and phenylalanine). Knowledge of how a nutritionally poor diet can influence the TDF of Tr- and Src-AAs will allow amino acid isotopic analyses to better estimate TP among free-roaming animals.</t>
  </si>
  <si>
    <t>10.1002/ece3.1491</t>
  </si>
  <si>
    <t>Terui, A; Nishijima, S</t>
  </si>
  <si>
    <t>Spatial disturbance synchrony alters the association of food chain length and ecosystem size</t>
  </si>
  <si>
    <t>ecosystem size; food web; metacommunity; metapopulation; spatial dynamics</t>
  </si>
  <si>
    <t>PRODUCTIVITY; EMERGENCE; DYNAMICS; SPACE; LAKES; WEBS</t>
  </si>
  <si>
    <t>The origin of variation in food chain length (FCL) has long been a central topic of ecology due to its influences on trophic control, energy flow and bioaccumulation of environmental contaminants. The positive association of FCL and ecosystem size has been consistently supported in natural systems. Recent studies, however, have begun to report no effects of ecosystem size on FCL. The emerging inconsistency among previous studies implies the existence of overlooked factors that can modulate the relationship between FCL and ecosystem size. Here, we developed a mathematical model describing metacommunity dynamics to show that large ecosystems do not necessarily support long food chains in the presence of spatially correlated disturbance. Our simple model predicted that the effect of ecosystem size was strongly dependent on the spatial extent of disturbance synchrony. When the spatial correlation of disturbance was weak, the positive association between FCL and ecosystem size appeared. However, the relationship of FCL and ecosystem size became more complex, including hump-shaped and multimodal forms, as the spatial extent of disturbance synchrony increases. This pattern emerged because larger ecosystems have wider aerial coverage, so more chances exist that an episodic disturbance hits some of the habitat patches and spreads across the landscape. Our finding highlights the important role of spatial disturbance synchrony in driving FCL, providing insights into why ecosystem size effects are variable across systems.</t>
  </si>
  <si>
    <t>10.1111/1440-1703.12056</t>
  </si>
  <si>
    <t>Schwinning, S; Starr, BI; Ehleringer, JR</t>
  </si>
  <si>
    <t>Summer and winter drought in a cold desert ecosystem (Colorado Plateau) part I: effects on soil water and plant water uptake</t>
  </si>
  <si>
    <t>climate change; drought tolerance; ecohydrology; seasonal drought effects; stable isotopes; Walter's two-layer model</t>
  </si>
  <si>
    <t>RAINFALL VARIABILITY; CHIHUAHUAN DESERT; SPECIES-DIVERSITY; MOJAVE DESERT; GREAT-BASIN; SHRUBS; GRASSES; PRECIPITATION; PATTERNS; CLIMATE</t>
  </si>
  <si>
    <t>We investigated the effects of winter and summer drought on plants of the Colorado Plateau in western North America. This winter-cold, summer-hot desert region receives both winter and summer precipitation. Droughts were imposed for two consecutive years using rainout shelters. Here, we examine drought effects on the hydrologic interactions between plants and soil. We chose three perennial species for this study, representing different rooting patterns and responsiveness to precipitation pulses: Oryzopsis hymenoides, a perennial bunch grass with shallow roots; Gutierrezia sarothrae, a subshrub with dimorphic roots; and Ceratoides lanata, a predominantly deep-rooted woody shrub. Drought effects on plant water status were qualitatively similar among species, despite morphological differences. Summer drought affected the water status of all species more negatively than winter drought. Isotopic analysis of stem water revealed that all three species took up deeper soil water under drought conditions and shallow soil water after a large rainfall event in summer. Thus all three species appeared to use the same water sources most of the time. However, after a particularly dry summer, only the deepest-rooted species continued to take up soil water, while the more shallow-rooted species were either dead or dormant. Our study suggests therefore that increased occurrence of summer drought could favor the most deep-rooted species in ecosystem. (C) 2004 Elsevier Ltd. All rights reserved.</t>
  </si>
  <si>
    <t>10.1016/j.jaridenv.2004.07.003</t>
  </si>
  <si>
    <t>Trahan, MW; Schubert, BA</t>
  </si>
  <si>
    <t>Temperature-induced water stress in high-latitude forests in response to natural and anthropogenic warming</t>
  </si>
  <si>
    <t>boreal forest; carbon dioxide; carbon isotopes; climate change; drought stress; global warming; tree-rings; water-use efficiency</t>
  </si>
  <si>
    <t>CARBON-ISOTOPE DISCRIMINATION; ATMOSPHERIC CO2 CONCENTRATION; TREE-RING DELTA-C-13; STABLE CARBON; USE EFFICIENCY; PINUS-SYLVESTRIS; AIR-TEMPERATURE; SCOTS PINE; CLIMATE; RECONSTRUCTION</t>
  </si>
  <si>
    <t>The Arctic is particularly sensitive to climate change, but the independent effects of increasing atmospheric CO2 concentration (pCO(2)) and temperature on high-latitude forests are poorly understood. Here, we present a new, annually resolved record of stable carbon isotope (C-13) data determined from Larix cajanderi tree cores collected from far northeastern Siberia in order to investigate the physiological response of these trees to regional warming. The tree-ring record, which extends from 1912 through 1961 (50years), targets early twentieth-century warming (ETCW), a natural warming event in the 1920s to 1940s that was limited to Northern hemisphere high latitudes. Our data show that net carbon isotope fractionation (C-13), decreased by 1.7 parts per thousand across the ETCW, which is consistent with increased water stress in response to climate warming and dryer soils. To investigate whether this signal is present across the northern boreal forest, we compiled published carbon isotope data from 14 high-latitude sites within Europe, Asia, and North America. The resulting dataset covered the entire twentieth century and spanned both natural ETCW and anthropogenic Late Twentieth-Century Warming (similar to 0.7 degrees C per decade). After correcting for a similar to 1 parts per thousand increase in C-13 in response to twentieth century pCO(2) rise, a significant negative relationship (r=-0.53, P&lt;0.0001) between the average, annual C-13 values and regional annual temperature anomalies is observed, suggesting a strong control of temperature on the C-13 value of trees growing at high latitudes. We calculate a 17% increase in intrinsic water-use efficiency within these forests across the twentieth century, of which approximately half is attributed to a decrease in stomatal conductance in order to conserve water in response to drying conditions, with the other half being attributed to increasing pCO(2). We conclude that annual tree-ring records from northern high-latitude forests record the effects of climate warming and pCO(2) rise across the twentieth century.</t>
  </si>
  <si>
    <t>10.1111/gcb.13121</t>
  </si>
  <si>
    <t>Drago, M; Crespo, EA; Aguilar, A; Cardona, L; Garcia, N; Dans, SL; Goodall, N</t>
  </si>
  <si>
    <t>Historic diet change of the South American sea lion in Patagonia as revealed by isotopic analysis</t>
  </si>
  <si>
    <t>South American sea lion; Otaria flavescens; Dietary shift; Stable isotopes; Bone; Fishery interactions; Discarded fish</t>
  </si>
  <si>
    <t>OTARIA-FLAVESCENS; STABLE CARBON; ENVIRONMENTAL-CHANGE; FORAGING ECOLOGY; PACIFIC-OCEAN; BONE-COLLAGEN; BERING-SEA; NORTHERN; MARINE; POPULATION</t>
  </si>
  <si>
    <t>Carbon and nitrogen isotopic analyses of skull bone were used to investigate how sealing and the development of industrial fishing have affected the diet of the South American sea lion Otaria flavescens in northern Patagonia, Males from Tierra del Fuego were used as a control, as the species there was decimated by sealing, but industrial fishing is only poorly developed. The delta C-13 of both males and females from northern Patagonia increased from the 1940s to the 1970s, and then declined steadily. The decline in the slope was similar in both sexes, although females were more depleted in C-13 than were males. The delta N-15 remained unaffected in males throughout the period, whereas that of females decreased from the 1940s to the 1970s and then stabilized. Conversely, no change was found in either the delta C-13 or delta N-15 in the skulls from Tierra del Fuego animals. As benthic prey off northern Patagonia are more enriched in C-13 than are pelagic prey, the above results indicate increased consumption of benthic coastal prey in this region from the 1940s to the 1970s, when sea lions were decimated by commercial hunting, and increased consumption of pelagic prey since the 1970s, simultaneous with sea lion population recovery. Reinforced intraspecific competition and massive discard of pelagic fish likely contributed to the observed dietary shift, while the poorly developed industrial fishing off Tierra del Fuego did not facilitate a similar change there. Nevertheless, physical forcing related to regime changes observed in the Pacific Ocean since the 1970s may also have played a role.</t>
  </si>
  <si>
    <t>10.3354/meps08017</t>
  </si>
  <si>
    <t>Messager, ML; Olden, JD</t>
  </si>
  <si>
    <t>Phenotypic variability of rusty crayfish (Faxonius rusticus) at the leading edge of its riverine invasion</t>
  </si>
  <si>
    <t>aquatic invasive species; Faxonius rusticus; invasive crayfish; John Day River; range margin</t>
  </si>
  <si>
    <t>BENTHIC ALGAL BIOMASS; ORCONECTES-RUSTICUS; PACIFASTACUS-LENIUSCULUS; TROPHIC POSITION; SIGNAL CRAYFISH; TRADE-OFFS; INTRODUCED CRAYFISH; EXPANDING RANGE; LIFE-HISTORIES; FOOD QUALITY</t>
  </si>
  <si>
    <t>Species around the globe are undergoing phenotypic shifts at ecologically relevant timescales as they invade new ecosystems and respond to changing environments. Disentangling the contribution of environmental gradients from the process of range expansion in shaping these changes, and identifying the specific traits undergoing selection, are both critical to anticipate the secondary spread and impact of invasive species. Here, we investigate phenotypic changes in rusty crayfish (Faxonius rusticus), a nuisance invasive species, through an extensive survey of their invasion gradient in multiple tributaries of the John Day River (JDR, Oregon, U.S.A.), a major tributary of the Columbia River. Rusty crayfish in the JDR have developed better physiological condition (intrinsic growth and/or reproductive potential measured as RNA/DNA ratio) but less competitive morphology (lighter body and smaller claws) as they spread upstream and downstream from their location of initial introduction. In addition, rusty crayfish in invasion front populations are at a lower trophic level than conspecifics closer to core areas. By accounting for variations in temperature, primary productivity, and prey (macroinvertebrates) biomass throughout the invasion extent of rusty crayfish, our findings suggest that low conspecific densities at the invasion edge and spatial sorting primarily drive these phenotypic changes. The trends observed here are thus likely to intensify over time as rusty crayfish continues to rapidly spread throughout the JDR and reach the mainstem Columbia River. Our study shows that phenotypic shifts can manifest rapidly over environmental gradients experienced during the range expansion of aquatic invasive species. Patterns in both morphological and functional traits documented in the JDR demonstrate the importance of both environmental factors and dispersal processes in shaping these responses in riverine networks.</t>
  </si>
  <si>
    <t>10.1111/fwb.13295</t>
  </si>
  <si>
    <t>Kitagawa, T; Fujioka, K</t>
  </si>
  <si>
    <t>Rapid ontogenetic shift in juvenile Pacific bluefin tuna diet</t>
  </si>
  <si>
    <t>Thunnus orientalis; Ontogeny; Endothermy; Prey diet; Aspect ratio; Juvenile; Stable isotope analysis</t>
  </si>
  <si>
    <t>THUNNUS-ORIENTALIS; REPRODUCTIVE-BIOLOGY; YELLOWFIN TUNA; GROWTH; TEMPERATURE; AREA; SEA</t>
  </si>
  <si>
    <t>We measured white muscle isotopic compositions and aspect ratios (ARs) of caudal fins in juvenile Pacific bluefin tuna Thunnus orientalis (PBT) to examine ontogenetic dietary shifts and swimming ability. ARs averaged 3.9 in fish with fork length (FL) &lt;15 cm, 4.6 in fish with FL of 30-35 cm, and 6.7 in adult fish with FL &gt;200 cm. Mean isotope values of carbon and nitrogen in white muscle increased from -18.3 to -18.0% and from +7.2 to 8.9% in similar to 20 cm fish to -16.5% and +12.3% in 30-35 cm fish, respectively, with a shift at 25 cm FL. This shift was much earlier than that reported for yellowfin tuna T. albacares (40-50 cm FL). Our results suggest that, after moving to Japanese coastal areas and reaching a FL of 25 cm, PBT rapidly develop swimming abilities by achieving endothermy and switching from a diet of small squid and zooplankton to a diet based on fish prey items that have greater body mass with higher calorific content and swimming ability. This may give them a selective advantage and allow high energetic expenditure.</t>
  </si>
  <si>
    <t>10.3354/meps12129</t>
  </si>
  <si>
    <t>Lach, L; Hoffmann, BD; Moir, ML</t>
  </si>
  <si>
    <t>Native and non-native sources of carbohydrate correlate with abundance of an invasive ant</t>
  </si>
  <si>
    <t>NEOBIOTA</t>
  </si>
  <si>
    <t>Anoplolepis gracilipes; extrafloral nectar; Hemiptera-ant mutualisms; honeydew; invasion ecology; stable isotopes; trophic position</t>
  </si>
  <si>
    <t>Invasive species threaten many ecological communities and predicting which communities and sites are invasible remains a key goal of invasion ecology. Although invasive ants often reach high abundances in association with plant-based carbohydrate resources, the source and provenance of these resources are rarely investigated. We characterized carbohydrate resources across ten sites with a range of yellow crazy ant abundance in Arnhem Land, Australia and New Caledonia to determine whether yellow crazy ant (Anoplolepis gracilipes) abundance and trophic position correlate with carbohydrate availability, as well as the relative importance of native and non-native sources of carbohydrates to ant diet. In both locations, measures of yellow crazy ant abundance strongly positively correlated with carbohydrate availability, particularly honeydew production, the number of tended hemipterans, and the number of plants with tended hemipterans. In Arnhem Land, 99.6% of honeydew came from native species, whereas in New Caledonia, only 0.2% of honeydew was produced by a native hemipteran. More honeydew was available in Australia due to three common large-bodied species of Auchenorrhyncha honeydew producers (treehoppers and leafhoppers). Yellow crazy ant trophic position declined with increasing yellow crazy ant abundance indicating that in greater densities the ants are obtaining more of their diet from plant-derived resources, including honeydew and extrafloral nectar. The relationships between yellow crazy ant abundance and carbohydrate availability could not be explained by any of the key environmental variables we measured at our study sites. Our results demonstrate that the positive correlation between yellow crazy ant abundance and honeydew production is not contingent upon the provenance of the hemipterans. Native sources of carbohydrate may play an underappreciated role in greatly increasing community invasibility by ants.</t>
  </si>
  <si>
    <t>10.3897/neobiota.63.57925</t>
  </si>
  <si>
    <t>Singh, AK</t>
  </si>
  <si>
    <t>State of aquatic invasive species in tropical India: An overview</t>
  </si>
  <si>
    <t>non-native; invasion pathways; ecological threats; invasion prediction; management</t>
  </si>
  <si>
    <t>GANGA RIVER; TRADE; IMPACTS; FISHES; RISK</t>
  </si>
  <si>
    <t>India, a megadiverse tropical country is grappling with the rising trend of aquatic invasions. Out of 532 introduced non-native fish, 16 species of freshwater aquaculture and aquarium were assessed invasive by using a risk assessment protocol, 'Fish Invasiveness Screening Test'. Six major identified invasion pathways of the aquatic invasive species were inadvertent or deliberate releases, escapes, contaminants from hatcheries, river corridors, stowaways and unaided introductions. Invasion mechanism further elucidated the factors promoting successful invasion in freshwater ecosystems. For predictive future performance of invasive fish, the concrete and predictive values based on mean abundance by weight was calculated. Over 28.67% and 29.02 % persistent increased yield of the invasive Tilapia and Common Carp respectively was predicted in the Ganga river in the coming decades. Single species Tilapia invasion facilitated multiple species fish invasion, manifesting in invasion meltdown. The trophic changes due to fish invasion exhibited biotic homogenization with trophic downgrading. Aquatic invasive species were found highly competitive interacting with native species causing serious biodiversity loss, health hazards, and economic damage consequently affecting the ecosystem services. In spite of available regulatory approaches and guidelines to manage aquatic invasive species, fish invasion has been on the rise. This paper suggests modifications and stringent implementation of the existing regulatory mechanisms besides adopting linkages, cutting-edge research on invasion science and modern molecular containment tools for effective management.</t>
  </si>
  <si>
    <t>10.14321/aehm.024.02.05</t>
  </si>
  <si>
    <t>Chang, HY; Wu, SH; Shao, KT; Kao, WY; Maa, CJW; Jan, RQ; Liu, LL; Tzeng, CS; Hwang, JS; Hsieh, HL; Kao, SJ; Chen, YK; Lin, HJ</t>
  </si>
  <si>
    <t>Longitudinal variation in food sources and their use by aquatic fauna along a subtropical river in Taiwan</t>
  </si>
  <si>
    <t>C3 plants; C4 plants; land use; periphyton; stable isotope</t>
  </si>
  <si>
    <t>CARBON-ISOTOPE RATIOS; STABLE-ISOTOPES; SECONDARY PRODUCTION; PRIMARY PRODUCERS; TROPHIC POSITION; ORGANIC-MATTER; CHAIN LENGTH; NITROGEN; BIODIVERSITY; DELTA-N-15</t>
  </si>
  <si>
    <t>1. River food webs rely on two major food sources: autochthonous primary production within the river and allochthonous organic matter transferred to the river. We characterised the consumer communities and assessed the food sources of dominant consumers along a subtropical mountainous river (the Lanyang River of north-eastern Taiwan) at the catchment scale from the headwater to the estuary using natural abundances of stable carbon and nitrogen isotopes. 2. The downstream transport of fine particulate organic matter (FPOM) was two orders of magnitude greater than that of coarse particulate organic matter (CPOM). Transport of both materials increased from the headwater and reached a maximum in the midstream reach. CPOM composition exhibited a gradual shift from leaves and branches in the headwater, an area characterised by high canopy cover, to algae in the midstream reaches and marsh plants in the downstream reaches. 3. Consumer communities can be classified into two regional categories: the upland category in the headwater and upstream and midstream reaches and the lowland category comprised of samples from the downstream reach and estuary. The upland category revealed a clear and gradual seasonal shift in community composition, but a seasonal shift was not apparent for the lowland category. Nutrient concentrations and water temperature were the main factors explaining longitudinal and seasonal variations. 4. The use of sources of organic matter by dominant consumers along the Lanyang River was primarily determined by their availability. Riparian C3 plants were the major food sources in the headwater, upstream reach and estuary, but the contribution of periphyton increased in the upper midstream reach where the river flows through an agricultural area. In the lower midstream and downstream reaches, the contribution of riparian C4 plants became dominant. 5. The trophic transfer of organic materials in the Lanyang River may be influenced by the fast current velocity and by sewage nutrient loading in the river, both of which have important implications for predicting how the functioning of subtropical river food webs will respond to human-related changes in land use.</t>
  </si>
  <si>
    <t>10.1111/j.1365-2427.2012.02843.x</t>
  </si>
  <si>
    <t>Martin, J; Looker, N; Hoylman, Z; Jencso, K; Hu, J</t>
  </si>
  <si>
    <t>Differential use of winter precipitation by upper and lower elevation Douglas fir in the Northern Rockies</t>
  </si>
  <si>
    <t>Douglas fir; growth; snowmelt; soil moisture; stable isotopes; water use</t>
  </si>
  <si>
    <t>SOIL-MOISTURE; HYDRAULIC REDISTRIBUTION; SUMMER PRECIPITATION; CLIMATE-CHANGE; SPATIAL-PATTERNS; TREE MORTALITY; WATER SOURCES; SNOW-COVER; WESTERN; DROUGHT</t>
  </si>
  <si>
    <t>In temperate regions such as the American west, forest trees often exhibit growth sensitivity to climatic conditions of a particular season. For example, annual tree ring growth increments may correlate well with winter precipitation, but not with summer rainfall, suggesting that trees rely more on winter snow than summer rain. Because both the timing and character of seasonal western climate patterns are expected to change considerably over coming decades, variation in the importance of different seasonal moisture sources for trees can be expected to influence how different forest trees respond to climate change as a whole, with shifts in seasonality potentially benefitting some trees while challenging others. In this study, we inferred patterns of tree water use in Douglas fir trees from the Northern Rockies for 2 years using stable water isotopes, while simultaneously quantifying and tracking precipitation inputs to soil moisture across a vertical soil profile. We then coupled water source use with daily measurements of radial growth to demonstrate that soil moisture from winter precipitation accounted for 87.5% and 84% of tree growth at low and high elevations, respectively. We found that prevailing soil moisture conditions drive variation in the depth at which trees access soil water, which in turn determines which seasonal precipitation inputs are available to support tree growth and function. In general, trees at lower elevations relied more on winter precipitation sourced from deep soils while trees at higher elevations made better use of summer rains sourced from near-surface soil layers. As both the timing of seasons and phase of precipitation (rain vs. snow) are likely to change considerably across much of the west, such patterns in tree water use are likely to play a role in determining the evolution of forest composition and structure in a warming climate.</t>
  </si>
  <si>
    <t>10.1111/gcb.14435</t>
  </si>
  <si>
    <t>McMeans, BC; Kadoya, T; Pool, TK; Holtgrieve, GW; Lek, S; Kong, H; Winemiller, K; Elliott, V; Rooney, N; Laffaille, P; McCann, KS</t>
  </si>
  <si>
    <t>Consumer trophic positions respond variably to seasonally fluctuating environments</t>
  </si>
  <si>
    <t>aquatic; environmental variation; fishes; food webs; omnivory; stable isotopes; stomach contents; tropical river-floodplain ecosystem</t>
  </si>
  <si>
    <t>FOOD-WEB DYNAMICS; FISH ASSEMBLAGE; STABLE-ISOTOPE; ECOLOGY; DIET; SHIFTS; CONNECTIVITY; POPULATION; COMPLEXITY; OMNIVORY</t>
  </si>
  <si>
    <t>The effects of environmental seasonality on food web structure have been notoriously understudied in empirical ecology. Here, we focus on seasonal changes in one key attribute of a food web, consumer trophic position. We ask whether fishes inhabiting tropical river-floodplain ecosystems behave as seasonal omnivores, by shifting their trophic positions in relation to the annual flood pulse, or whether they feed at the same trophic position all year, as much empirical work implicitly assumes. Using dietary data from the Tonle Sap Lake, Cambodia, and a literature review, we find evidence that some fishes, especially small piscivores, increased consumption of invertebrates and/or plant material during the wet season, as predicted. However, nitrogen stable isotope (delta N-15) data for 26 Tonle Sap fishes, spanning a broader range of functional groups, uncovered high variation in seasonal trophic position responses among species (0 to +/- 0.52 trophic positions). Based on these findings, species respond to the flood pulse differently. Diverse behavioral responses to seasonality, underpinned by spatiotemporal variation at multiple scales, could be central for rerouting matter and energy flow in these dynamic ecosystems. Seasonally flexible foraging behaviors warrant further study given their potential influence on food web dynamics in a range of fluctuating environments.</t>
  </si>
  <si>
    <t>e02570</t>
  </si>
  <si>
    <t>10.1002/ecy.2570</t>
  </si>
  <si>
    <t>Bennett, H; Bell, JJ; Davy, SK; Webster, NS; Francis, DS</t>
  </si>
  <si>
    <t>Elucidating the sponge stress response; lipids and fatty acids can facilitate survival under future climate scenarios</t>
  </si>
  <si>
    <t>climate change; coral reef; fatty acid; heterotroph; lipid; mechanism; ocean acidification; ocean warming; phototroph; porifera</t>
  </si>
  <si>
    <t>STABLE CARBON ISOTOPES; MEMBRANE-LIPIDS; THERMAL-STRESS; HOMEOVISCOUS ADAPTATION; OCEAN ACIDIFICATION; MARINE ORGANISMS; CORAL-REEFS; LONG-CHAIN; TEMPERATURE; STEROLS</t>
  </si>
  <si>
    <t>Ocean warming (OW) and ocean acidification (OA) are threatening coral reef ecosystems, with a bleak future forecast for reef-building corals, which are already experiencing global declines in abundance. In contrast, many coral reef sponge species are able to tolerate climate change conditions projected for 2100. To increase our understanding of the mechanisms underpinning this tolerance, we explored the lipid and fatty acid (FA) composition of four sponge species with differing sensitivities to climate change, experimentally exposed to OW and OA levels predicted for 2100, under two CO2 Representative Concentration Pathways. Sponges with greater concentrations of storage lipid, phospholipids, sterols and elevated concentrations of n-3 and n-6 long-chain polyunsaturated FA (LC PUFA), were more resistant to OW. Such biochemical constituents likely contribute to the ability of these sponges to maintain membrane function and cell homeostasis in the face of environmental change. Our results suggest that n-3 and n-6 LC PUFA are important components of the sponge stress response potentially via chain elongation and the eicosanoid stress-signalling pathways. The capacity for sponges to compositionally alter their membrane lipids in response to stress was also explored using a number of specific homeoviscous adaptation (HVA) indicators. This revealed a potential mechanism via which additional CO2 could facilitate the resistance of phototrophic sponges to thermal stress through an increased synthesis of membrane-stabilizing sterols. Finally, OW induced an increase in FA unsaturation in phototrophic sponges but a decrease in heterotrophic species, providing support for a difference in the thermal response pathway between the sponge host and the associated photosymbionts. Here we have shown that sponge lipids and FA are likely to be an important component of the sponge stress response and may play a role in facilitating sponge survival under future climate conditions.</t>
  </si>
  <si>
    <t>10.1111/gcb.14116</t>
  </si>
  <si>
    <t>Roth, JD</t>
  </si>
  <si>
    <t>Temporal variability in arctic fox diet as reflected in stable-carbon isotopes; the importance of sea ice</t>
  </si>
  <si>
    <t>carbon 13; Alopex lagopus; scavenging; stable isotope ratios</t>
  </si>
  <si>
    <t>TERRESTRIAL FOOD WEBS; ALOPEX-LAGOPUS; POLAR BEARS; HUDSON-BAY; VULPES-VULPES; RED FOX; NORTHERN; MARINE; POPULATION; NITROGEN</t>
  </si>
  <si>
    <t>Consumption of marine foods by terrestrial predators can lead to increased predator densities, potentially impacting their terrestrial resources. For arctic foxes (Alopex lagopus), access to such marine foods in winter depends on sea ice, which is threatened by global climate change. To quantify the importance of marine foods (seal carrion and seal pups) and document temporal variation in arctic fox diet I measured the ratios of the stable isotopes of carbon (C-13/C-12) in hair of arctic foxes near Cape Churchill, Manitoba, from 1994 to 1997. These hair samples were compared to the stable carbon isotope ratios of several prey species. Isotopic differences between seasonally dimorphic pelage types indicated a diet with a greater marine content in winter when sea ice provided access to seal carrion. Annual variation in arctic fox diet in both summer and winter was correlated with lemming abundance. Marine food sources became much more important in winters with low lemming populations, accounting for nearly half of the winter protein intake following a lemming decline. Potential alternative summer foods with isotopic signatures differing from lemmings included goose eggs and caribou, but these were unavailable in winter. Reliance on marine food sources in winter during periods of low lemming density demonstrates the importance of the sea ice as a potential habitat for this arctic fox population and suggests that a continued decline in sea ice extent will disrupt an important link between the marine and terrestrial ecosystems.</t>
  </si>
  <si>
    <t>10.1007/s00442-002-1004-7</t>
  </si>
  <si>
    <t>Wing, SR; Durante, LM; Connolly, AJ; Sabadel, AJM; Wing, LC</t>
  </si>
  <si>
    <t>Overexploitation and decline in kelp forests inflate the bioenergetic costs of fisheries</t>
  </si>
  <si>
    <t>amino acid; food web; kelp forest; marine ecosystem; prehistoric fishery; stable isotope; trophic structure</t>
  </si>
  <si>
    <t>NITROGEN STABLE-ISOTOPES; RIVER MOUTH SITE; MARINE ECOSYSTEMS; TROPHIC ECOLOGY; BONE-COLLAGEN; AMINO-ACIDS; COD; SUBPOPULATIONS; VALUES; CARBON</t>
  </si>
  <si>
    <t>Aim Fisheries ecosystems are subject to long-term shifts in food web structure as a result of exploitation and environmental change. These shifts can be gradual and unresolved by decadal-scale time series. The aim of our study was to determine long-term legacy effects of overexploitation and changes to the composition of basal organic matter sources on the trophic structure of marine food webs. Location New Zealand. Time period Approximately 1250 AD to the present; the complete history of human occupation in New Zealand. Major taxa studied Mesopredatory fishes. Methods We used whole tissue (delta C-13 and delta N-15) and amino acid-specific (delta N-15(AA)) stable isotope analyses of bone collagen and muscle tissue from five fishes spanning the period of human occupation of New Zealand to resolve the bioenergetic consequences of long-term shifts in food web structure. Stable isotope analysis of amino acids provided the basis for resolution of changes in trophic level in the absence of information on delta N-15 at the base of the food web during pre-industrial times. Results Our analyses indicate likely declines in the contribution of organic matter derived from kelps in four species, and intraspecific increases in trophic levels in three species of the five fishes studied between European colonization (AD 1650-1800) and the present-day regime of industrialized fishing and environmental change (AD 1953-2018), but little change during the prehistoric time period spanning early Maori occupation (AD 1250-1450) to European colonization. Analysis of the bioenergetic costs of the observed shifts in food web structure indicate a 179% increase in basal organic matter requirements to support mesopredatory fish. Main conclusions These data provide a rare case study on the consequences of legacy effects of exploitation and environmental change for bioenergetics of fish communities relevant to ongoing changes in global marine ecosystems. Overexploitation and decline in kelp forests have inflated the bioenergetic costs of these fisheries.</t>
  </si>
  <si>
    <t>10.1111/geb.13448</t>
  </si>
  <si>
    <t>Girvan, MK; Jones, J; Norris, DR; Barg, JJ; Kyser, TK; Robertson, RJ</t>
  </si>
  <si>
    <t>Long-distance Dispersal Patterns of Male Cerulean Warblers (Dendroica cerulea) Measured by Stable-hydrogen Isotopes</t>
  </si>
  <si>
    <t>Bayes' Rule; long-distance dispersal; feathers; likelihood assignment test; migratory songbird; stable-hydrogen isotopes</t>
  </si>
  <si>
    <t>BREEDING DISPERSAL; CONSPECIFIC ATTRACTION; HABITAT SELECTION; NATAL DISPERSAL; POPULATION-DYNAMICS; SITE FIDELITY; SURVIVAL; BIRDS; EVOLUTION; PHILOPATRY</t>
  </si>
  <si>
    <t>Despite the fundamental role played by long-distance dispersal in population dynamics, the mechanisms promoting or inhibiting dispersal by migratory songbirds are poorly understood. We used stable-hydrogen isotopes (delta D) to evaluate several hypotheses related to long-distance dispersal in the Cerulean Warbler (Dendroica cerulea), a migratory songbird at the center of considerable conservation attention. Feather samples were collected from 103 males throughout the breeding range. We assumed feathers were molted in late summer on the breeding grounds and thus delta D values provided an estimate of breeding or hatching location for the previous year. We used a likelihood-based assignment test to estimate the origin of birds the previous year and derived expected delta D values for the entire Cerulean Warbler breeding range from precipitation-based maps. Using Bayes' Rule, we also incorporated a prior probability of breeding origin based on estimated rates of site fidelity and survival between breeding seasons. We found that long-distance breeding dispersal by adult male Cerulean Warblers was a fairly common occurrence with 20 of 71 (28.2%) individuals originating from a region other than the one they were sampled in. Surprisingly, long-distance natal dispersal was uncommon; only three of 32 (9.4%) second-year birds were estimated to have hatched in a region outside their capture region. Young males may be using a form of post-fledging prospecting or conspecific attraction when selecting their first breeding habitats. Populations on the breeding range periphery, such as Ontario and Tennessee, tended to receive fewer long-distance dispersers than did other regions but produced more dispersing individuals than did core regions, suggesting that these areas could act as important sources for other regions. The tendency of a region to produce dispersing individuals was not significantly related to its relative abundance, implying that population abundance is not a good indicator of population health for this species. Range-wide variation in long-distance dispersal patterns may contribute to variation in sensitivity to habitat loss and fragmentation, further complicating conservation and management efforts for the Cerulean Warbler.</t>
  </si>
  <si>
    <t>Vrede, T; Ballantyne, A; Mille-Lindblom, C; Algesten, G; Gudasz, C; Lindahl, S; Brunberg, AK</t>
  </si>
  <si>
    <t>Effects of N:P loading ratios on phytoplankton community composition, primary production and N fixation in a eutrophic lake</t>
  </si>
  <si>
    <t>N-15 stable isotopes; eutrophication; nitrogen; phosphorus; stoichiometry</t>
  </si>
  <si>
    <t>ATMOSPHERIC NITROGEN DEPOSITION; PHOSPHORUS SUPPLY RATIOS; NUTRIENT LIMITATION; MARINE ECOSYSTEMS; FRESH-WATER; BACTERIOPLANKTON; CYANOBACTERIAL; SEDIMENT; ESTUARINE; DOMINANCE</t>
  </si>
  <si>
    <t>1. The aim of this study was to assess the effects of different nitrogen (N) to phosphorus (P) loading ratios on phytoplankton community composition and primary production in a naturally eutrophic lake. Furthermore, the sources of N fuelling primary production were estimated using N-15 stable isotope tracers. 2. A mesocosm experiment was performed with the same amount of P added to all mesocosms (similar to internal loading rates) but with a range of N additions (0-86 mu m N), resulting in a gradient of N : P supply ratios. 3. Low N : P supply ratios resulted in a significant shift in the phytoplankton assemblage to a community dominated by N-fixing cyanobacteria and a supply of atmospheric N-2 estimated to be up to 60% of total supply. 4. The N : P loading ratio had no significant effect on primary production, total nitrogen (TN) concentration or particulate N concentration. 5. Our results imply that a reduced N : P ratio of the nutrient load does not necessarily result in a lower TN concentration and downstream N export due to compensation by N-fixing cyanobacteria.</t>
  </si>
  <si>
    <t>10.1111/j.1365-2427.2008.02118.x</t>
  </si>
  <si>
    <t>Mirzajani, A; Ghane, A; Bagheri, S; Abbasi, K; Sayadrahim, M; Salahi, M; Lavajoo, F</t>
  </si>
  <si>
    <t>Diet Survey and Trophic Position of Macrobrachium nipponense in the Food Web of Anzali Wetland</t>
  </si>
  <si>
    <t>Anzali wetland; Macrobrachium nipponense; Natural diet; Stable isotope</t>
  </si>
  <si>
    <t>ORIENTAL RIVER PRAWN; STABLE-ISOTOPES; CONTINENTAL-SHELF; FEEDING-HABITS; NATURAL DIET; DECAPODA; SHRIMP; PALAEMONIDAE; CRUSTACEA; CARIDEA</t>
  </si>
  <si>
    <t>The oriental river shrimp (Macrobrachium nipponense), an exotic species, has been well adapted and dispersed in Iranian freshwater ecosystems. The feeding ecology and trophic level of this species in the Anzali Wetland, southwestern Caspian Sea, was investigated by both a traditional method and the carbon and nitrogen stable isotope technique. The highest feeding index (FI) was seen in mollusca at 35.9%, followed by detritus at 31.3%. While no significant differences were observed in the preference of food items among different seasons. A Bayesian mixing model was used to estimate the contributions of the stomach contents to the isotopic signature of M. nipponense. According to mixing model results, M. nipponense obtain food from gastropod, fish, shrimp (as cannibalism), insecta, other crustacea, aquatic plants, worms, zooplankton, and unrecognizable content (as detritus) with 30.6%, 16.8%, 12.7%, 5.2%, 4.3%, 3.5%, 0.6%, 0.3%, and 25.9%, respectively. M. nipponense showed a high delta N-15 and its trophic level (TL = 3.38) was at the top of the Anzali Wetland food web, close to commercially important fish species such as pike, Esox Lucius. Being at this trophic level, this shrimp is expected to possess high nutritional quality for human consumption.</t>
  </si>
  <si>
    <t>10.1007/s13157-020-01278-5</t>
  </si>
  <si>
    <t>Haynie, AC; Huntington, HP</t>
  </si>
  <si>
    <t>Strong connections, loose coupling: the influence of the Bering Sea ecosystem on commercial fisheries and subsistence harvests in Alaska</t>
  </si>
  <si>
    <t>ECOLOGY AND SOCIETY</t>
  </si>
  <si>
    <t>Bering Sea; commercial fisheries; ecosystem studies; human-environment connections; subsistence</t>
  </si>
  <si>
    <t>POLLOCK THERAGRA-CHALCOGRAMMA; HUMAN DIMENSIONS; CLIMATE-CHANGE; CATCH SHARES; MANAGEMENT; ICE; CONSEQUENCES; COMMUNITIES; ECONOMICS; DYNAMICS</t>
  </si>
  <si>
    <t>Human-environment connections are the subject of much study, and the details of those connections are crucial factors in effective environmental management. In a large, interdisciplinary study of the eastern Bering Sea ecosystem involving disciplines from physical oceanography to anthropology, one of the research teams examined commercial fisheries and another looked at subsistence harvests by Alaska Natives. Commercial fisheries and subsistence harvests are extensive, demonstrating strong connections between the ecosystem and the humans who use it. At the same time, however, both research teams concluded that the influence of ecosystem conditions on the outcomes of human activities was weaker than anticipated. Likely explanations of this apparently loose coupling include the ability of fishers and hunters to adjust to variable conditions, and the role of social systems and management in moderating the direct effects of changes in the ecosystem. We propose a new conceptual model for future studies that incorporates a greater range of social factors and their dynamics, in addition to similarly detailed examinations of the ecosystem itself.</t>
  </si>
  <si>
    <t>10.5751/ES-08729-210406</t>
  </si>
  <si>
    <t>Olive, PJW; Pinnegar, JK; Polunin, NVC; Richards, G; Welch, R</t>
  </si>
  <si>
    <t>Isotope trophic-step fractionation: a dynamic equilibrium model</t>
  </si>
  <si>
    <t>food-webs; isotopic fractionation; linear model; Nereis virens; trophic step enrichment</t>
  </si>
  <si>
    <t>STABLE-ISOTOPE; ABSORPTION EFFICIENCY; NITROGEN-CONTENT; FOOD; DELTA-N-15; CARBON; N-15; DELTA-C-13; MARINE; DIET</t>
  </si>
  <si>
    <t>1. Trophic position is a fundamental feature of food-web structure, knowledge of which is being improved by stable isotope approaches which assume a constant enrichment in heavier isotopes in consumers relative to their diet. 2. We argue that the typical enrichment reflects a dynamic equilibrium between fractionation vectors associated with assimilation and excretion. 3. We develop a linear model to characterize the relationship between the equilibrium isotopic signature and the feeding rate influenced by isotopic discrimination during assimilation and excretion. 4. We present new data for both diet switching and starvation experiments using a marine worm Nereis virens and use this, and previously published data for a fish, bird and mammal to calculate controlling parameters from observations of the isotopic signature following diet-switching and the onset of starvation. 5. We show that the observed variance in isotopic signatures at each trophic step carries substantially more information than has been used hitherto and is influenced by feeding rate in addition to the isotopic signature of the food source. 6. Using the linear model as a tool we predict that parasitic organisms may be depleted relative to the tissues of their host.</t>
  </si>
  <si>
    <t>10.1046/j.1365-2656.2003.00730.x</t>
  </si>
  <si>
    <t>Rambal, S; Cavender-Bares, J; Sparks, KL; Sparks, JP</t>
  </si>
  <si>
    <t>Consequences of drought severity for tropical live oak (Quercus oleoides) in Mesoamerica</t>
  </si>
  <si>
    <t>climate change; Costa Rica; drought indices; El Nino; Honduras; Mesoamerica; ontogenic stages; Quercus oleoides; soil water uptake; Standardized Precipitation Evapotranspiration Index</t>
  </si>
  <si>
    <t>CLIMATE MODEL PERFORMANCE; STABLE-ISOTOPES; CENTRAL-AMERICA; WATER-UPTAKE; SOIL-WATER; DISTRIBUTION PATTERNS; MIDSUMMER DROUGHT; RAINFALL GRADIENT; STOMATAL CLOSURE; LEAF DELTA-C-13</t>
  </si>
  <si>
    <t>In two Costa Rican and three Honduran sites that vary in rainfall and soil properties, we used natural isotopes, a soil water balance model, and broad-scale climate-based drought indices to study shifts in water use with ontogeny from seedlings to mature tropical live oak (Quercus oleoides) trees. Water use patterns help to explain persistence of this broadly distributed species in Mesoamerica and to evaluate likely threats of ongoing climate changes. At the end of the dry season, soil delta O-18 profiles can be described by one-phase exponential decay curves. Minimum values reflect geographic origins of the last significant rain event, and curvature is inversely related to canopy closure, demonstrating its role in controlling topsoil evaporation. Partitioning of soil water sources for transpiration was analyzed with a mixing model. In the Costa Rican sites, in a relatively dry year, saplings and mature trees took up water from the upper soil. In a relatively wet year in the Honduran sites, we observed deeper water extraction. In all sites, soil storage dampens extreme variation in water availability. The size dependence of water uptake with larger stems exploiting deeper layers is translated into variation in bulk leaf delta C-13-based water use efficiency (WUE) with the exception of mature trees. From 1932 to 2015, drought severity was evaluated with the Standardized Precipitation Evapotranspiration Index (SPEI) concurrently with simulations of the soil water balance model. Drought occurrence increased, regardless of the time period, averaged across 6, 12, or 24 months. All ontogenetic stages in all populations experienced frequent water limitation. We found evidence for linear trends toward aridification with increases of return periods of drought for October SPEI-24 declining from 42 to 6 yr in Costa Rica and from 21 to 7 yr in Honduras and recent occurrence of multiyear droughts from 2013 to 2016. October SPEI-12 and SPEI-24 were significantly related to the Oceanic Nino Indices demonstrating that local inter-annual variations in drought severity in Mesoamerica are modulated by large-scale climate forces. Drought severity in the near-term future depends on the extent to which the Pacific will adopt a more La Nina-like vs. a more El Nino-like state under ongoing climatic changes.</t>
  </si>
  <si>
    <t>10.1002/eap.2135</t>
  </si>
  <si>
    <t>Llewelyn, J; Strona, G; McDowell, MC; Johnson, CN; Peters, KJ; Stouffer, DB; de Visser, SN; Saltre, F; Bradshaw, CJA</t>
  </si>
  <si>
    <t>Sahul's megafauna were vulnerable to plant-community changes due to their position in the trophic network</t>
  </si>
  <si>
    <t>biotic interactions; coextinction; ecological network; extinction event; food web; Late Pleistocene</t>
  </si>
  <si>
    <t>PLEISTOCENE CLIMATE-CHANGE; LATE QUATERNARY MEGAFAUNA; FOOD WEBS; TOP-DOWN; BIOTIC INTERACTIONS; NARACOORTE CAVES; EXTINCTION RISK; MAMMAL FAUNAS; BODY-SIZE; AUSTRALIA</t>
  </si>
  <si>
    <t>Extinctions stemming from environmental change often trigger trophic cascades and coextinctions. Bottom-up cascades occur when changes in the primary producers in a network elicit flow-on effects to higher trophic levels. However, it remains unclear what determines a species' vulnerability to bottom-up cascades and whether such cascades were a large contributor to the megafauna extinctions that swept across several continents in the Late Pleistocene. The pathways to megafauna extinctions are particularly unclear for Sahul (landmass comprising Australia and New Guinea), where extinctions happened earlier than on other continents. We investigated the potential role of bottom-up trophic cascades in the megafauna extinctions in Late Pleistocene Sahul by first developing synthetic networks that varied in topology to identify how network position (trophic level, diet breadth, basal connections) influences vulnerability to bottom-up cascades. We then constructed pre-extinction (-80 ka) network models of the ecological community of Naracoorte, south-eastern Sahul, to assess whether the observed megafauna extinctions could be explained by bottom-up cascades. Synthetic networks showed that node vulnerability to bottom-up cascades decreased with increasing trophic level, diet breadth and basal connections. Extinct species in the Naracoorte community were more vulnerable overall to these cascades than were species that survived. The position of extinct species in the network - tending to be of low trophic level and therefore having relatively narrow diet breadths and fewer connections to plants - made them vulnerable. However, these species also tended to have few or no predators, a network-position attribute that suggests they might have been particularly vulnerable to new predators. Together, these results suggest that trophic cascades and naivety to predators could have contributed to the megafauna extinction event in Sahul.</t>
  </si>
  <si>
    <t>10.1111/ecog.06089</t>
  </si>
  <si>
    <t>Ziegeweid, JR; Bartsch, MR; Bartsch, LA; Zigler, SJ; Kennedy, RJ; Love, SA</t>
  </si>
  <si>
    <t>Assessing the migratory histories, trophic positions, and conditions of lake sturgeon in the St. Croix and Mississippi Rivers using fin ray microchemistry, stable isotopes, and fatty acid profiles</t>
  </si>
  <si>
    <t>Fin ray microchemistry; Stable isotopes; Fatty acids; Lake sturgeon; St; Croix River; Mississippi River; National park; Strontium; Calcium</t>
  </si>
  <si>
    <t>BIGHEAD CARP; DESCRIBE MOVEMENTS; OTOLITH CHEMISTRY; ASIAN CARPS; FISH; WATER; MANAGEMENT; SIGNATURES; ESTUARIES; SILVER</t>
  </si>
  <si>
    <t>Background Reproducing populations of invasive carps (Hypophthalmichthys spp.) could alter aquatic food webs and negatively affect native fishes in the Mississippi National River and Recreation Area (MISS) and the St. Croix National Scenic Riverway (SACN). However, proposed invasive carp barriers may also threaten populations of native migratory fishes by preventing movements of fish between rivers that are necessary for life history requirements. In this study, nonlethal chemical techniques were used to provide baseline data related to the condition, trophic position, and migratory histories of lake sturgeon (Acipenser fulvescens) captured in the Mississippi and St. Croix Rivers. Results Fish length and weight measurements and age estimates determined from pectoral fin rays demonstrated that lake sturgeon from the Mississippi River had greater lengths-at-age compared to sturgeon from the St. Croix River. However, length-weight relations were similar for sturgeon from the Mississippi and St. Croix Rivers. Lake sturgeon captured from different locations had distinguishable fatty acid signatures, and stable isotope analyses demonstrated that lake sturgeon from the Mississippi River generally feed at a higher trophic level than those in the St. Croix River. Strontium-to-calcium ratios (Sr:Ca) from fin ray cross sections indicated that sturgeon captured from the Mississippi River had higher Sr:Ca values than sturgeon captured from the St. Croix River, and natal origins and capture locations were not significantly different among sturgeon captured within individual rivers. Most sturgeon were captured in water with a similar Sr:Ca signature as their natal waters, indicating that there is some separation between populations of lake sturgeon in the St. Croix and Mississippi Rivers. However, Sr:Ca data indicated substantial variation in movement patterns among individual lake sturgeon, indicating that populations interact through migrations of individual fish between rivers. Conclusions Study results provide baseline condition and food web structure index data for assessing changes in lake sturgeon populations should invasive carps become established in these areas of the Mississippi and St. Croix Rivers. Controlled-exposure and telemetry studies would help verify and enhance the relations between Sr:Ca signatures in water and lake sturgeon pectoral fin rays to further assess mixing of sturgeons between rivers.</t>
  </si>
  <si>
    <t>10.1186/s13717-021-00344-y</t>
  </si>
  <si>
    <t>Gao, XD; Gong, Y; Chen, XJ; Li, YK</t>
  </si>
  <si>
    <t>Dietary shifts and niche partitioning throughout ontogeny reduce intraspecific competition in a pelagic generalist predator</t>
  </si>
  <si>
    <t>Dosidicus gigas; Feeding apparatus; Stomach content; Stable isotope; Fatty acid; Trophic niche</t>
  </si>
  <si>
    <t>SQUID DOSIDICUS-GIGAS; FATTY-ACID-COMPOSITION; STABLE-ISOTOPE; STOMACH CONTENTS; INTERANNUAL VARIABILITY; LIPID-COMPOSITION; TROPHIC POSITION; HUMBOLDT SQUID; FEEDING-HABITS; CEPHALOPODA</t>
  </si>
  <si>
    <t>Patterns of feeding strategy change throughout ontogeny according to size-specific abilities and requirements. Characterizing the extent and potential repeated occurrence of dietary differences within the population can improve understanding of the intraspecific predation regime and population dynamics. Here, we investigated size-related feeding habits and trophic niche partitioning of an iconic pelagic generalist predator, the jumbo squid Dosidicus gigas, by a combined analysis of morphologic indicators of feeding capability (fin and feeding apparatuses), trophic biochemical tracers (stable isotopes and fatty acids), and stomach contents. Results showed significant variation in prey composition, isotopic values, and fatty acid profiles with size. D. gigas exhibited a shift in diet at approximately 250 mm mantle length (ML). The trophic niche of small (ML = 250 mm) and large (ML &gt; 250 mm) squid revealed low potential for resource overlap, suggesting segregation in terms of spatial and food resources of different size groups. Large individuals tend to feed deeper and on smaller prey to optimize food capture costs and energy benefits. This feeding strategy is likely related to variability in the development of feeding capacity, increasing swimming ability, and metabolic demand as squid grow and may reduce intraspecific competition to improve survival. These results highlight the dietary flexibility of D. gigas and demonstrate that niche differentiation acts as a major factor in a cohort, which may have important implications for their population dynamics and management. In addition, this study demonstrates that using multiple diet tracers can highlight subtle differentiations in diet correlated to growth in a pelagic generalist predator.</t>
  </si>
  <si>
    <t>10.3354/meps14079</t>
  </si>
  <si>
    <t>Ulrich, KL; Tallman, RF</t>
  </si>
  <si>
    <t>The Capelin invasion: evidence for a trophic shift in Arctic Char populations from the Cumberland Sound region, Nunavut, Canada</t>
  </si>
  <si>
    <t>ARCTIC SCIENCE</t>
  </si>
  <si>
    <t>Capelin; Arctic Char; food web; climate; trophic change</t>
  </si>
  <si>
    <t>SALVELINUS-ALPINUS L.; SOUTHERN BAFFIN-ISLAND; MALLOTUS-VILLOSUS; STABLE-ISOTOPES; TEMPORAL VARIABILITY; LIPID EXTRACTION; BELUGA WHALES; LAKE SYSTEMS; RESOURCE USE; FATTY-ACID</t>
  </si>
  <si>
    <t>Climate change is having myriad effects on Arctic marine ecosystems and food webs. Anadromous Arctic Char, Salvelinus alpinus (Linnaeus, 1758), feed intensively at sea during summer. In Cumberland Sound, Nunavut, Canada, there has been a recent increased availability of a forage fish, Capelin. To investigate changes over time in Arctic Char foraging, we assessed Arctic Char trophic niche from 2002 to 2011 using stomach content analysis and stable isotope analysis (delta C-13 and delta N-15) of muscle tissue from two river/lake systems, Isuituq and Kipisa. We also compared population characteristics by calculating Fulton's condition factor (K) and by fitting von Bertalanffy growth curves with length-at-age data. Results revealed Capelin were newly present in the diets of Arctic Char in 2011, describing a shift from a primarily invertebrate-based to a fish-based diet. No trend in delta N-15 over time suggests that the trophic level of Arctic Char has not changed; however, the delta C-15 for both systems converged in 2011 on a value suggestive of feeding on Capelin. Growth curves and length-at-age analyses suggest that foraging on Capelin may have increased individual growth. Changes in the growth and condition of Arctic Char in this region could have significant economic and cultural implications.</t>
  </si>
  <si>
    <t>10.1139/as-2020-0001</t>
  </si>
  <si>
    <t>Gwiazda, R; Amirowicz, A</t>
  </si>
  <si>
    <t>TOWARDS THE OPTIMAL FORAGING STRATEGY: IS SEASONAL SHIFT IN THE DIET OF CORMORANTS PHALACROCORAX CARBO (L.) IN A DAM RESERVOIR THE EFFECT OF WATER TEMPERATURE OR SIZE PATTERN IN FISH ASSEMBLAGES?</t>
  </si>
  <si>
    <t>roach; perch; diet composition; prey size; fish availability; diet shift</t>
  </si>
  <si>
    <t>GREAT CORMORANT; SINENSIS; CONSUMPTION; PREY; NETHERLANDS; ENERGETICS</t>
  </si>
  <si>
    <t>According to optimal foraging theory the prey choice strongly affects the benefit-cost ratios. Predators search prey giving the highest benefit and costs of all components of predation (i.e. prey search, encounter, pursuit, capture, and handling) may be considerably reduced if the prey is more available. The study on Cormorant diet and the species composition of prey fish assemblages in the Dobczyce Reservoir (area 985 ha, submontane, eutrophic reservoir in Southern Poland) in spring (May-June) and in autumn (Oct-Nov) showed differences in the food composition and the prey size affected by seasonal changes in fish availability. The diet of Cormorant included eleven fish species and the dominant species in the food was roach in spring (72%) and roach and perch in autumn (49% in total). Roach and perch had the highest share in prey assemblages too (56% in spring, and 53% in autumn). Significant preference toward roach in spring was found. The share of roach and perch did not changed seasonally and could not explain the change in the composition of Cormorant diet. The range of the total length (LT) of fish in Cormorant diet was 3.5-35.2 cm. Diet consisted of distinctly smaller fish in autumn. Relative number of small fish was ca 3 times greater in this period compared to spring. Weighted mean of fish TL in prey assemblage was 20.0 cm for roach and 12.5 cm for perch in spring, and 11.8 and 8.1 in autumn, respectively. The proportion of average weight of roach (W = 0.004074 LT3.334) to that of perch (W = 0.005779 LT3.260) was greater in spring (4.1:1) than in autumn (2.9:1). Probably it can explain the diet shift in autumn. The switch to smaller but more abundant fish in autumn was not related to temperature but to fish availability which reduced the cost of searching and the prey may be easily found.</t>
  </si>
  <si>
    <t>Moller, H; Lee, SY; Paterson, B; Mann, D</t>
  </si>
  <si>
    <t>Cannibalism contributes significantly to the diet of cultured sand crabs, Portunus pelagicus (L.): A dual stable isotope study</t>
  </si>
  <si>
    <t>cannibalism; crab culture; Portunus pelagicus; stable isotope analysis; trophic shift</t>
  </si>
  <si>
    <t>FOOD WEBS; BLUE-CRAB; ECOLOGY; RECRUITMENT; LINNAEUS; POSITION; RATIOS</t>
  </si>
  <si>
    <t>The significance of cannibalism in the diet of juvenile pond-cultured blue swimmer crabs (Portunus pelagicus (L.)) was investigated using dual stable isotope analysis of carbon and nitrogen. In a laboratory feeding experiment, delta N-15 demonstrated a constant trophic shift (Delta delta N-15 approximate to+1.6 parts per thousand.), and therefore seemed to be a reliable indicator for assessing trophic position for P. pelagicus. This agrees with previously reported trends. Difference in growth rate did not seem to influence delta N-15 values. In contrast, delta C-13 did not display consistent shifts between trophic levels (range of Delta delta C-13: +1 to +1.7%.). The results from the pond experiment showed that larger individuals had a more enriched delta N-15 than smaller individuals, which, when compared to the results from the laboratory experiment, indicates that larger individuals were at a higher trophic level. This is most likely due to cannibalism prevailing in the pond rather than a direct result of faster growth rate. Cannibalistic behaviour might further increase growth, resulting in the observed positive correlation between size and delta N-15. (c) 2008 Elsevier B.V. All rights reserved.</t>
  </si>
  <si>
    <t>10.1016/j.jembe.2008.04.013</t>
  </si>
  <si>
    <t>Gerard, J; Brion, N; Triest, L</t>
  </si>
  <si>
    <t>Effect of water column phosphorus reduction on competitive outcome and traits of Ludwigia grandiflora and L. peploides, invasive species in Europe</t>
  </si>
  <si>
    <t>macrophyte; alien; eutrophication; growth; freshwater; competition; RGR</t>
  </si>
  <si>
    <t>RESOURCE-USE EFFICIENCY; FRESH-WATER; INTERSPECIFIC COMPETITION; NUTRIENT CONCENTRATIONS; HYDRILLA-VERTICILLATA; PLANT; NITROGEN; GROWTH; PHOTOSYNTHESIS; ACCUMULATION</t>
  </si>
  <si>
    <t>The invasion of alien macrophytes in aquatic ecosystems has caused serious ecological and economic impacts. Their introduction often leads to competition with natives and already established invasive species. Competition among invasive species is assumed to be greater than among native and invasive species, especially for plants with similar growth form and position in the water column. Many freshwater bodies are eutrophicated due to high phosphorus inputs, which have led to a competitive advantage for invasive macrophytes. A decrease in water column phosphorus load might lead to a change in competitive performance and reveal apparent variation in those traits promoting invasiveness. We investigated the effect of a water column phosphorus reduction on the growth, competitive outcome, traits and nutrient uptake of two related invasive Ludwigia species, L. grandiflora and L. peploides. We performed indoor competition experiments in eutrophic and mesotrophic conditions following a complete additive design. L. grandiflora always was the better competitor in both trophic conditions and had higher trait values compared to L. peploides. Both species relative growth rates (RGR) and trait values were affected by a P reduction, especially the number of branches and stem length. Although both species prefer higher water column phosphorus loadings, they can also colonize habitats of lower mesotrophic phosphorus concentrations. L. peploides was able to store more P in its tissue compared to L. grandiflora, thereby possibly outcompeting L. grandiflora in even lower P concentrations. Our results show a water column P reduction to lower branch numbers, stem length and biomass, which could reduce mat formation and allow for more effective control of both species.</t>
  </si>
  <si>
    <t>10.3391/ai.2014.9.2.04</t>
  </si>
  <si>
    <t>Tucker, S; Bowen, WD; Iverson, SJ</t>
  </si>
  <si>
    <t>Convergence of diet estimates derived from fatty acids and stable isotopes within individual grey seals</t>
  </si>
  <si>
    <t>fatty acids; stable isotopes; diet estimation; corroboration; grey seals</t>
  </si>
  <si>
    <t>TROPHIC RELATIONSHIPS; HALICHOERUS-GRYPUS; SEX-DIFFERENCES; CALLORHINUS-URSINUS; SIGNATURE ANALYSIS; MARINE CARNIVORE; PREDATOR DIETS; SCOTIAN SHELF; ST-LAWRENCE; FUR SEALS</t>
  </si>
  <si>
    <t>What animals consume is perhaps one of the most fundamental questions in ecology. Limitations of stomach content and faecal analyses have led to the development of alternative biochemical methods, namely fatty acid (FA) signature analysis and stable isotope (SI) analysis. Proportional estimates of diet composition can be made at the level of the individual by statistically matching a consumer's FA signature to an inclusive prey database, after accounting for predator metabolism effects in a mixing model. Both of these approaches provide inferences about or quantitative estimates of diet that are time-integrated and readily applied to most taxa of interest, thereby alleviating many problems associated with conventional analysis. Moreover, analysis is done at the level of individual predators, thereby increasing our ability to detect differences amongst various demographic groups. However, it is difficult to validate diet estimates from either of these methods in the field, particularly for wide-ranging aquatic predators such as seals or seabirds consuming complex diets. Concurrent sampling of individual predators for both stable isotopes and fatty acids provide 1 such independent test. To that effect, we analyzed SI and FA for grey seals Halichoerus grypus (n = 75) and potential fish and invertebrate prey (n = 45). We show 2 lines of evidence for the convergence of stable isotope and fatty acid estimates of diet. First, in fish, invertebrates and grey seals, principal components derived from fatty acid signatures are correlated to the stable-carbon isotope (delta C-13) signature of the same species. Second, both the estimated portion of pelagic prey and the trophic level of the diet derived from the quantitative analysis of fatty acid signatures of individual seals are positively correlated with the stable-carbon (delta C-13) and stable-nitrogen (delta N-15) signatures in those same individuals. The corroboration of independent measures of diet provides further validation of these biochemical methods to understand the foraging ecology of consumers.</t>
  </si>
  <si>
    <t>10.3354/meps07263</t>
  </si>
  <si>
    <t>Harrison, JL; Blagden, M; Green, MB; Salvucci, GD; Templer, PH</t>
  </si>
  <si>
    <t>Water sources for red maple trees in a northern hardwood forest under a changing climate</t>
  </si>
  <si>
    <t>ECOHYDROLOGY</t>
  </si>
  <si>
    <t>Acer rubrum; climate change; soil depth; stable isotopes; water uptake</t>
  </si>
  <si>
    <t>SOIL-WATER; STABLE-ISOTOPES; EUCALYPTUS-CAMALDULENSIS; RIPARIAN VEGETATION; FUTURE CHANGES; NEW-HAMPSHIRE; PLANT; ROOT; DEPTH; DEEP</t>
  </si>
  <si>
    <t>Climate models project increased growing season air temperatures and decreased depth and duration of winter snowpack for the north-eastern United States, leading to greater frequency of soil freeze/thaw cycles in winter over the next century. We utilized the Climate Change Across Seasons Experiment (CCASE) at Hubbard Brook Experimental Forest in New Hampshire to determine how projected changes in climate in this region affect the depth from which trees take up water, which to our knowledge has yet to be determined. We determined the stable isotopic composition of water in soils and branch xylem three times throughout the growing season to partition potential sources of water for red maple (Acer rubrum) trees. Using a Bayesian mixing model approach, we determined that all trees used similar water sources in the early (June) and mid (July) growing season. However, in the late growing season (August), trees exposed to ambient and warmer growing season soil temperatures took up more than 40% of their water from between 90- and 100-cm soil depth, likely due to greater water availability at this depth. In contrast, those trees exposed to soil freeze/thaw cycles in winter utilized water from all depths (0-100 cm) evenly (8-10%), possibly due to soil freezing causing compensatory root growth in the following growing season, compared with trees in the reference and warmed plots. These results demonstrate that the projected changes in climate for the north-eastern United States are likely to alter the depth from which trees access water, especially in the late growing season.</t>
  </si>
  <si>
    <t>e2248</t>
  </si>
  <si>
    <t>10.1002/eco.2248</t>
  </si>
  <si>
    <t>Diebel, MW; Vander Zanden, MJ</t>
  </si>
  <si>
    <t>Nitrogen stable isotopes in streams: effects of agricultural sources and transformations</t>
  </si>
  <si>
    <t>agriculture; denitrification; fertilizer; manure; nitrogen stable isotopes; primary consumer invertebrates; watershed; Wisconsin, USA</t>
  </si>
  <si>
    <t>GULF-OF-MEXICO; MISSISSIPPI RIVER-BASIN; FOOD-WEB; ATMOSPHERIC AMMONIA; LANDSCAPE-SCALE; NITRATE SOURCES; LAND-COVER; DENITRIFICATION; DELTA-N-15; INDICATORS</t>
  </si>
  <si>
    <t>The nitrogen stable isotope ratio of biological tissue has been proposed as an indicator of anthropogenic N inputs to aquatic ecosystems, but overlap in the isotopic signatures of various N sources and transformations make definitive attribution of processes difficult. We collected primary consumer invertebrates from streams in agricultural settings in Wisconsin, USA, to evaluate the relative influence of animal manure, inorganic fertilizer, and denitrification on biotic delta(15)N. Variance in biotic delta(15)N was explained by inorganic fertilizer inputs and the percentage of wetland land cover in the watershed, but not by animal manure inputs. These results suggest that denitrification of inorganic fertilizer is the primary driver of delta(15)N variability among the study sites. Comparison with previously collected stream water NO(3)-N concentrations at the same sites supports the role of denitrification; for a given N application rate, streams with high biotic delta(15)N had low NO(3)-N concentrations. The lack of a manure signal in biotic delta(15)N may be due its high ammonia content, which can be dispersed outside the range of its application by volatilization. Based on our findings and on agricultural census data for the entire United States, inorganic fertilizer is more likely than manure to drive variability in biotic delta(15)N and to cause excessive nitrogen concentrations in streams.</t>
  </si>
  <si>
    <t>10.1890/08-0327.1</t>
  </si>
  <si>
    <t>Hobson, KA; Kardynal, KJ; Koehler, G</t>
  </si>
  <si>
    <t>Expanding the Isotopic Toolbox to Track Monarch Butterfly (Danaus plexippus) Origins and Migration: On the Utility of Stable Oxygen Isotope (delta O-18) Measurements</t>
  </si>
  <si>
    <t>deuterium; stable isotopes; oxygen-18; natal origins; wing chitin; assignment</t>
  </si>
  <si>
    <t>NATAL ORIGINS; HYDROGEN; POPULATION; DELTA-C-13; DELTA-H-2; WILDLIFE; INSECTS; EASTERN; O-18</t>
  </si>
  <si>
    <t>The measurement of naturally occurring stable hydrogen (delta H-2) and carbon (delta C-13) isotopes in wings of the eastern North American monarch butterflies (Danaus plexippus) have proven useful to infer natal origins of individuals overwintering in Mexico. This approach has provided a breakthrough for monarch conservation because it is the only viable means of inferring origins at continental scales. Recently, routine simultaneous analyses of tissue delta H-2 and delta O-18 of organic materials has emerged leading to questions of whether the dual measurement of these isotopes could be used to more accurately infer spatial origins even though the two isotopes are expected to be coupled due to the meteoric relationship. Such refinement would potentially increase the accuracy of isotopic assignment of wintering monarchs to natal origin. We measured a sample of 150 known natal-origin monarchs from throughout their eastern range simultaneously for both delta H-2 and delta O-18 wing values. Wing delta H-2 and delta O-18 values were correlated (r(2) = 0.42). We found that wing delta H-2 values were more closely correlated with amount-weighted growing season average precipitation delta H-2 values predicted for natal sites (r(2) = 0.61) compared to the relationship between wing delta O-18 values and amount-weighted growing season average precipitation delta O-18 values (r(2) = 0.30). This suggests that monarch wing delta H-2 values will be generally more useful in natal assignments than delta O-18 values. Spatial information related to the use of deuterium excess in environmental waters was similarly found to be not useful when applied to monarch wings likely due to the considerable variance in wing delta O-18 values. Nonetheless, we recommend further testing of monarch wing delta H-2 and delta O-18 values from known natal sites with an emphasis on field data across a strong gradient in precipitation deuterium excess.</t>
  </si>
  <si>
    <t>10.3389/fevo.2019.00224</t>
  </si>
  <si>
    <t>Panek, JA; Waring, RH</t>
  </si>
  <si>
    <t>Stable carbon isotopes as indicators of limitations to forest growth imposed by climate stress</t>
  </si>
  <si>
    <t>forest climate stress; forest modelling; Pseudotsuga menziesii; stable carbon isotopes; stomatal conductance; tree rings</t>
  </si>
  <si>
    <t>DOUGLAS-FIR; OREGON TRANSECT; TREES; GRADIENT; PATTERNS; FOLIAGE; MODEL</t>
  </si>
  <si>
    <t>Stable carbon isotopes have the potential to be sensitive indicators of carbon uptake limitations in forest trees. We assessed the ability of climate factors to explain the variation in delta(13)C in foliage and annual rings of Douglas-fir trees at six sites along a steep climatic gradient in Oregon. To examine the physiological basis of the relationship between climate and delta(13)C, we parameterized a process-level model (FOREST-BGC) and used the model to separate the daily limitations on stomatal conductance due to climate factors. We found that, of the climatic constraints that could affect stomatal conductance (freezing temperature, humidity deficit, and soil drought), only the cumulative growing season constraints on stomata imposed by humidity deficit explained the variability in the carbon isotope composition of cellulose in foliage. Over an 8-yr period at any one site, modelled stomatal limitation due to humidity deficit was significantly correlated with foliar delta(13)C. Over the same period, delta(13)C in annual growth rings was less well correlated with modelled stomatal constraints. This relation between delta(13)C and absolute humidity demonstrated the sensitivity of carbon uptake in Douglas-fir, a species with a broad range across the intermountain West, to moisture at the leaf-atmosphere interface. Furthermore, the parameters derived from the relationship offer a baseline from which to assess limitations imposed on Douglas-fir carbon uptake from sources other than climate.</t>
  </si>
  <si>
    <t>Schalk, CM; Montana, CG; Winemiller, KO; Fitzgerald, LA</t>
  </si>
  <si>
    <t>Trophic plasticity, environmental gradients and food-web structure of tropical pond communities</t>
  </si>
  <si>
    <t>canopy cover; hydroperiod; Neotropics; pond size; stable isotopes</t>
  </si>
  <si>
    <t>ISOTOPE RATIOS PROVIDE; FOREST CANOPY COVER; REPRODUCTIVE MODES; HABITAT SELECTION; SPECIES RICHNESS; WIDE MEASURES; DIVERSITY; ECOLOGY; DISTRIBUTIONS; DISTURBANCE</t>
  </si>
  <si>
    <t>1. Freshwater pond communities exhibit strong patterns in species composition in response to environmental gradients such as ecosystem size, disturbance and productivity, serving as excellent systems for studies of food-web structure. 2. We surveyed 13 ponds that varied along environmental gradients of canopy cover, pond size and hydroperiod at the beginning and end of the rainy season in the semi-arid thorn forests of the Gran Chaco ecoregion of Bolivia. We collected basal resources and consumers (tadpoles, macroinvertebrates and fishes) from these ponds and used stable isotope ratios of carbon (C-13/C-12) and nitrogen (N-15/N-14), to quantify the spatiotemporal dynamics of the food webs in these tropical ponds. 3. There were no relationships between vertical structure of the food webs and the environmental gradients associated with the ponds. Consumers within these ponds exhibited high trophic variability, with multiple taxa occupying more than one trophic position across space or time. 4. Consumers from larger ponds had a greater degree of trophic redundancy. More shaded ponds supported food webs that had lower trophic diversity. More permanent ponds had significantly greater trophic diversity as well as a greater range of basal resource diversity. 5. The breeding ponds utilised by tadpoles and macroinvertebrates are patchily distributed across space and time. In these dynamic habitats, a feeding strategy of trophic generalism and plasticity enables consumers to exploit a broad range of resources and promote species coexistence. These results suggest that high diversity in tropical ponds does not necessarily translate into specialisation of trophic function.</t>
  </si>
  <si>
    <t>10.1111/fwb.12882</t>
  </si>
  <si>
    <t>Calado, JG; Verissimo, SN; Paiva, VH; Ramos, R; Vaz, PT; Matos, D; Pereira, J; Lopes, C; Oliveira, N; Quaresma, A; Ceia, FR; Velando, A; Ramos, JA</t>
  </si>
  <si>
    <t>Influence of fisheries on the spatio-temporal feeding ecology of gulls along the western Iberian coast</t>
  </si>
  <si>
    <t>Larus michahellis; Larus audouinii; Pellets; Stable isotopes; Plasma biochemistry; Fishery discards</t>
  </si>
  <si>
    <t>YELLOW-LEGGED GULL; CRAB POLYBIUS-HENSLOWII; STABLE-ISOTOPE ANALYSES; LARUS-MICHAHELLIS; POTENTIAL CONSEQUENCES; CONTINENTAL-SHELF; DELTA-N-15 VALUES; TROPHIC ECOLOGY; AUDOUINS GULLS; FOOD SUBSIDIES</t>
  </si>
  <si>
    <t>Gulls are highly opportunistic seabirds, and the exploitation of fishery discards has led to many population increases worldwide. We investigated the importance of fish in the diet of yellow-legged Larus michahellis and Audouin's gulls L. audouinii and assessed the influence of fishery discards on their feeding ecology. We collected pellets from 4 islands along the western Iberian coast during pre-breeding, breeding, and post-breeding seasons from 2014 to 2018. Stable isotopes (from adult blood, and chick and adult feathers) were used to investigate spatial, seasonal, and inter-annual differences in their feeding ecology. We used pellet, stable isotope (delta N-15, delta C-13, and delta S-34), and biochemical (triglycerides, uric acid, total protein, and carotenoids in adult plasma) analyses to investigate their relationships with fish landings across the annual cycle. Results revealed that the fish species consumed by gulls matched those landed by local fisheries on all study islands, and there was a positive association of pelagic and demersal fish diets with fish landing quantities for 2 islands. d34S values suggest different self-feeding and chick-provisioning strategies in relation to fisheries. d15N values exhibited strong negative correlations with fish landings, and triglycerides were positively correlated with pelagic but not with demersal fish landing quantities, suggesting that gulls fed more on lower trophic level and higher energetic content pelagic fish than on demersal fish. Overall, our results based on several techniques suggest that gull feeding ecology was linked to fishery discards, which in view of the new EU landing obligation may have major implications for both gull populations across Europe.</t>
  </si>
  <si>
    <t>10.3354/meps13601</t>
  </si>
  <si>
    <t>Leclerc, C; Reynaud, N; Danis, PA; Moatar, F; Daufresne, M; Argillier, C; Usseglio-Polatera, P; Verneaux, V; Dedieu, N; Frossard, V; Sentis, A</t>
  </si>
  <si>
    <t>Temperature, productivity, and habitat characteristics collectively drive lake food web structure</t>
  </si>
  <si>
    <t>aquatic ecosystem; climate; freshwater ecosystem; habitat; productivity; trophic ecology</t>
  </si>
  <si>
    <t>ECOSYSTEM SIZE; CHAIN LENGTH; BODY-SIZE; BENTHIC MACROINVERTEBRATES; ECOLOGICAL COMMUNITIES; CLIMATE-CHANGE; COMPLEXITY; SCALE; CONNECTANCE; STABILITY</t>
  </si>
  <si>
    <t>While many efforts have been devoted to understand variations in food web structure among terrestrial and aquatic ecosystems, the environmental factors influencing food web structure at large spatial scales remain hardly explored. Here, we compiled biodiversity inventories to infer food web structure of 67 French lakes using an allometric niche-based model and tested how environmental variables (temperature, productivity, and habitat) influence them. By applying a multivariate analysis on 20 metrics of food web topology, we found that food web structural variations are represented by two distinct complementary and independent structural descriptors. The first is related to the overall trophic diversity, whereas the second is related to the vertical structure. Interestingly, the trophic diversity descriptor was mostly explained by habitat size (26.7% of total deviance explained) and habitat complexity (20.1%) followed by productivity (dissolved organic carbon: 16.4%; nitrate: 9.1%) and thermal variations (10.7%). Regarding the vertical structure descriptor, it was mostly explained by water thermal seasonality (39.0% of total deviance explained) and habitat depth (31.9%) followed by habitat complexity (8.5%) and size (5.5%) as well as annual mean temperature (5.6%). Overall, we found that temperature, productivity, and habitat characteristics collectively shape lake food web structure. We also found that intermediate levels of productivity, high levels of temperature (mean and seasonality), as well as large habitats are associated with the largest and most complex food webs. Our findings, therefore, highlight the importance of focusing on these three components especially in the context of global change, as significant structural changes in aquatic food webs could be expected under increased temperature, pollution, and habitat alterations.</t>
  </si>
  <si>
    <t>10.1111/gcb.16642</t>
  </si>
  <si>
    <t>Hobson, KA; Lormee, H; Van Wilgenburg, SL; Wassenaar, LI; Boutin, JM</t>
  </si>
  <si>
    <t>Stable isotopes (delta D) delineate the origins and migratory connectivity of harvested animals: the case of European woodpigeons</t>
  </si>
  <si>
    <t>deuterium; game-bird management; migratory connectivity; population structure; stable isotopes</t>
  </si>
  <si>
    <t>HYDROGEN; CONSERVATION; FEATHERS; BIRDS</t>
  </si>
  <si>
    <t>Quantifying connectivity between breeding, stopover, and wintering locations is critical to the management and conservation of migratory animals. Mark-recapture approaches to establishing connectivity are limited due to marking location bias and poor recovery. Alternatively, endogenous markers like stable isotopes can augment extrinsic markers and help to overcome their limitations. We used a stable hydrogen isotope (delta D) isoscape for Europe and delta D analysis of feathers from harvested woodpigeons Columba palumbus in France, the Iberian Peninsula, and Corsica to estimate their natal origins. We propagated error associated with the relationship between deuterium in feathers (delta D-f) and mean growing-season precipitation (delta D-p) for woodpigeons in Europe. For every delta D-f value, we estimated a range of possible delta D-p values and used this to map the probability of origin. We estimated that similar to 50% of the woodpigeon harvest in France was comprised of residents or from nearby countries to the east. About 30% of the take were medium-distance migrants, and about 10% were long-distance migrants from Scandinavia, northwest Russia and the Baltic. A greater proportion of the long-distance migrants were taken in Spain. In Corsica, birds primarily originated from northern Italy to the Ukraine. The proportion of northern migrants harvested decreased with latitude, suggesting a leapfrog migration pattern. Birds harvested at lower latitudes showed an inverse relationship between wing length and delta D-f, which suggested that longer-distance migrants had longer wings. Synthesis and applications. This is the first application of stable isotope methodology to quantify population structure and migratory connectivity for a European game species. In addition, we used statistical approaches accounting for potential geospatial assignment errors. Most of the French woodpigeons harvested are resident birds, which suggests that local management of the hunt in France may be most effective. However, southwestern France appeared to take a somewhat greater proportion of migrant woodpigeons, and thus, conservation and management of woodpigeons in France should recognize regional differences. Our approach provided a methodological template that can be applied to questions of migratory connectivity for numerous species of game and non-game migrant birds.</t>
  </si>
  <si>
    <t>10.1111/j.1365-2664.2009.01651.x</t>
  </si>
  <si>
    <t>Vasas, V; Lancelot, C; Rousseau, V; Jordan, F</t>
  </si>
  <si>
    <t>Eutrophication and overfishing in temperate nearshore pelagic food webs: a network perspective</t>
  </si>
  <si>
    <t>food web; eutrophication; overfishing; network analysis; coastal ecosystem; indirect effects; harmful algal blooms; gelatinous plankton</t>
  </si>
  <si>
    <t>NOCTILUCA-SCINTILLANS; NUTRIENT REGENERATION; PHYTOPLANKTON BLOOMS; MNEMIOPSIS-LEIDYI; COASTAL ECOSYSTEM; TROPHIC CASCADES; FECAL PELLETS; BLACK-SEA; GROWTH; RATES</t>
  </si>
  <si>
    <t>We investigated the effects of human activities on the pelagic food web structure of nearshore marine ecosystems. Their generic structure was established on the basis of literature review and analyzed by qualitative structural network analysis. Two main issues were addressed: (1) the role of species capable of forming harmful algal blooms (HABs) and red tides (Noctiluca spp.), as well as the role of jellyfish, in eutrophicated systems; (2) the contribution of human influences on food webs, focusing on bottom-up (increased nutrient loading) and top-down (overfishing) effects. Results suggest that HAB-forming species and Noctiluca stimulate the microbial network, but reduce higher trophic levels such as commercially important fish species. Jellyfish act as a buffer in eutrophicated and overfished systems, as they retain nutrients from the water column, but their blooms lead to a massive accumulation of large phytoplankton organisms. Anthropogenic nutrient enrichment favors undesirable species because of their specific position in the food web, and this crucial position may explain their far-reaching effects. Finally, while it appears that overfishing of piscivorous fishes inhibited HABs and supported blooms of diatoms and other large algae in the past, the present-dal loss of planktivorous fishes acts synergistically with nutrient enrichment in promoting HAB species, Noctiluca and jellyfish. These fundamental constraints, which are inherent in the generic structure of pelagic food webs, thus largely determine community dynamics in marine coastal ecosystems.</t>
  </si>
  <si>
    <t>10.3354/meps336001</t>
  </si>
  <si>
    <t>Crumsey, JM; Searle, JB; Sparks, JP</t>
  </si>
  <si>
    <t>Isotope values of California vole (Microtus californicus) hair relate to historical drought and land use patterns in California, USA</t>
  </si>
  <si>
    <t>Microtus californicus; Grassland; Stable isotope analysis; Physiology; Drought</t>
  </si>
  <si>
    <t>STABLE-ISOTOPES; CARBON-ISOTOPE; NITROGEN ISOTOPES; NATURAL-ABUNDANCE; NUTRIENT DYNAMICS; DIETARY-PROTEIN; SULFUR ISOTOPES; BODY-WATER; USE ALTERS; DEER MICE</t>
  </si>
  <si>
    <t>Increased drought frequency and intensity and agricultural intensification have been key stressors to ecological systems over the past century. Biological proxies (e.g., pollen, tree rings) have been used to track this environmental change; however, linking these changes to the ecology of organisms remains challenging. Here, we link historical drought records to conditions of high water-stress in grassland habitats through the stable isotope analysis of California vole museum specimens (Microtus californicus). Using museum collections spanning 118-years (1891-2009), isotope values of dated hair tissues were associated with statewide drought metrics on the Palmer Drought Severity Index. We observed a positive correlation between delta N-15 and delta O-18 values and drought severity. The range in delta N-15 values (similar to 18 parts per thousand) is greater than what would be expected as a result of dietary shifts across the landscape (similar to 3 parts per thousand), and is likely attributed to the combined effects of physiological responses of M. californicus and isotopic shifts in plant resources with increased water-stress. Geospatial patterns in delta S-34 values of hair tissues reflect higher baseline isotope values in coastal habitats. However, comparably high delta S-34 values in the southern-most inland localities suggest sulfur fertilization of croplands and subsequent transfer to surrounding grassland habitats in S-34 enriched forms. A broad delta C-13 range (- 28.7 to - 14.3 parts per thousand) further suggests the consumption of C-3 and C-4 plant-based dietary proteins. As shown here, stable isotope analysis of museum collections can provide a climate and land use record based on the physiological performance and ecology of a study species in a region affected intensely by anthropogenic activities.</t>
  </si>
  <si>
    <t>10.1007/s00442-019-04457-2</t>
  </si>
  <si>
    <t>Matthews, CJD; Ruiz-Cooley, RI; Pomerleau, C; Ferguson, SH</t>
  </si>
  <si>
    <t>Amino acid delta N-15 underestimation of cetacean trophic positions highlights limited understanding of isotopic fractionation in higher marine consumers</t>
  </si>
  <si>
    <t>amino acids; compound-specific stable isotope analysis; CSIA-AA; glutamic acid; nitrogen; phenylalanine; source; trophic discrimination factor</t>
  </si>
  <si>
    <t>COMPOUND-SPECIFIC DELTA-N-15; BOTTLE-NOSED DOLPHINS; STABLE-ISOTOPES; ENRICHMENT FACTORS; NORTH-ATLANTIC; DIET QUALITY; HABITAT USE; FOOD WEBS; NITROGEN; RATIOS</t>
  </si>
  <si>
    <t>Compound-specific stable isotope analysis (CSIA) of amino acids (AAs) has been rapidly incorporated in ecological studies to resolve consumer trophic position (TP). Differential N-15 fractionation of trophic AAs, which undergo trophic N-15 enrichment, and source AAs, which undergo minimal trophic N-15 enrichment and serve as a proxy for primary producer delta N-15 values, allows for internal calibration of TP. Recent studies, however, have shown the difference between source and trophic AA delta N-15 values in higher marine consumers is less than predicted from empirical studies of invertebrates and fish. To evaluate CSIA-AA for estimating TP of cetaceans, we compared source and trophic AA delta N-15 values of multiple tissues (skin, baleen, and dentine collagen) from five species representing a range of TPs: bowhead whales, beluga whales, short-beaked common dolphins, sperm whales, and fish-eating (FE) and marine mammal-eating (MME) killer whale ecotypes. TP estimates (TPCSIA) using several empirically derived equations and trophic discrimination factors (TDFs) were 1-2.5 trophic steps lower than stomach content-derived estimates (TPSC) for all species. Although TPCSIA estimates using dual TDF equations were in better agreement with TPSC estimates, our data do not support the application of universal or currently available dual TDFs to estimate cetacean TPs. Discrepancies were not simply due to inaccurate TDFs, however, because the difference between consumer glutamic acid/glutamine (Glx) and phenylalanine (Phe) delta N-15 values (delta N-15(Glx-Phe)) did not follow expected TP order. In contrast to pioneering studies on invertebrates and fish, our data suggest trophic N-15 enrichment of Phe is not negligible and should be examined among the potential mechanisms driving compressed and variable delta N-15(Glx-Phe) values at high TPs. We emphasize the need for controlled diet studies to understand mechanisms driving AA-specific isotopic fractionation before widespread application of CSIA-AA in ecological studies of cetaceans and other marine consumers.</t>
  </si>
  <si>
    <t>10.1002/ece3.6142</t>
  </si>
  <si>
    <t>Waltham, NJ; Connolly, RM</t>
  </si>
  <si>
    <t>Food webs supporting fisheries production in estuaries with expanding coastal urbanisation</t>
  </si>
  <si>
    <t>Urbanisation; Seagrass; Giant mud crab; Stable isotopes; Mangroves</t>
  </si>
  <si>
    <t>STABLE-ISOTOPE RATIOS; SPATIAL VARIABILITY; FISH ASSEMBLAGES; SCYLLA-SERRATA; ARRHAMPHUS-SCLEROLEPIS; CANAL DEVELOPMENTS; WATER-QUALITY; GOLD-COAST; CARBON; NITROGEN</t>
  </si>
  <si>
    <t>The prospects that coastal urbanisation propagates in more fish production remains untested and thereby a fundamental question for managers challenged with approving urban expansion while also protecting and conserving habitat resources important for fish production. We tested this by collecting giant mud crabs (Scylla serrata) from highly urbanised waterways in south-east Queensland, Australia, and report that this crab not only occupy urban coastal waterways, but using a Bayesian stable isotope mixing model (MixSIAR) of the potential individual autotrophic sources, the range of feasible contributions for autotrophs was very broad, limiting the conclusions that could be made directly from the modelling. Patterns of contributions from pooled categories of autotrophs were clearer; at the site closest to seagrass, the pooled enriched autotroph sources contributed 69 to 87% of crab isotope signatures, while at all other sites (beyond approximately 500 m distance) it appears that crabs utilise a generalised pool of sources, either local or perhaps a mix of local transported sources. Using spatial analysis we reveal that the crab isotope values were not significantly related to the distance from any of the vegetated habitats (mangroves, seagrass and saltmarsh). The exception was two sites very close to seagrass (&lt; 500 m distance), and not saltmarsh grass which has been reported elsewhere, where crabs had the most enriched C value. At all other sites (beyond approximately 500 m distance) it appears crabs utilise a generalised organic producer pool, either local or perhaps a mix of transported sources. Overall, this study provides evidence that in an era of coastal urbanisation expansion and loss of natural coastal vegetated areas, some fisheries species may have remarkable trophic plasticity to the new, engineered, habitat settings.</t>
  </si>
  <si>
    <t>e00259</t>
  </si>
  <si>
    <t>10.1016/j.fooweb.2022.e00259</t>
  </si>
  <si>
    <t>Winfield, IJ; Fletcher, JM; Ben James, J</t>
  </si>
  <si>
    <t>Long-term changes in the diet of pike (Esox lucius), the top aquatic predator in a changing Windermere</t>
  </si>
  <si>
    <t>climate change; eutrophication; lake; predator diet; species introductions</t>
  </si>
  <si>
    <t>CHARR SALVELINUS-ALPINUS; NORTHERN PIKE; POPULATION TRENDS; CLIMATE-CHANGE; FISH; LAKE; UK; EUTROPHICATION; PRESSURE; GROWTH</t>
  </si>
  <si>
    <t>1. Pike (Esox lucius) is a key and flexible piscivore in many fresh waters of the northern temperate zone, but no previous studies have provided a continuous long-term perspective on its diet in response to changing environmental conditions. Here, we describe its winter diet from 1976 to 2009 in the North and South Basins of the lake of Windermere, U.K., where climate change, eutrophication and species introductions have combined to induce fundamental changes in the fish community. 2. A total of 6637 adult pike (fork length 390 to 1090 mm) was examined and found to have consumed a total of 4436 fish prey of which 98% of individuals identifiable to species comprised native Arctic charr (Salvelinus alpinus), brown trout (Salmo trutta), perch (Perca fluviatilis) and pike and non-native roach (Rutilus rutilus). Over the 34-year study period, the dietary importance of the salmonids Arctic charr and brown trout decreased, while that of the percid perch, the esocid pike and particularly the cyprinid roach increased. These changes were particularly marked in the more eutrophicated South Basin of the lake. 3. The above chronological trends in species-specific contributions to the diet composition of pike had considerable overall impacts. In the 1970s, pike diet composition was dominated by Arctic charr and brown trout which together comprised 94% of the diet. In contrast, in the 2000s, these two species accounted for just 55% of the diet, with perch and roach now comprising 41%. 4. Recent changes observed in the Windermere fish community of a decrease in native salmonids and an increase in cyprinids are consistent with the generally expected effects of climate change in the northern temperature zone. Here, we have shown that they have led to corresponding changes in the diet composition of pike. In turn, this may have implications for lake's food web structure through shortening food chain length from the primary producers to the top aquatic predator.</t>
  </si>
  <si>
    <t>10.1111/j.1365-2427.2011.02607.x</t>
  </si>
  <si>
    <t>Collatz, GJ; Berry, JA; Clark, JS</t>
  </si>
  <si>
    <t>Effects of climate and atmospheric CO2 partial pressure on the global distribution of C-4 grasses: present, past, and future</t>
  </si>
  <si>
    <t>photosynthesis; C-4; climate change; CO2; grassland</t>
  </si>
  <si>
    <t>CARBON ISOTOPE DISCRIMINATION; SURFACE PARAMETERIZATION SIB2; VOSTOK ICE CORE; STOMATAL CONDUCTANCE; C4 GRASSES; WATER-USE; PHOTOSYNTHESIS; PLANTS; MODEL; LEAVES</t>
  </si>
  <si>
    <t>C-4 photosynthetic physiologies exhibit fundamentally different responses to temperature and atmospheric CO2 partial pressures (pCO(2)) compared to the evolutionarily more primitive C-3 type. All else being equal, C-4 plants tend to be favored over C-3 plants in warm humid climates and, conversely, C-3 plants tend to be favored over C-4 plants in cool climates. Empirical observations supported by a photosynthesis model predict the existence of a climatological crossover temperature above which C-4 species have a carbon gain advantage and below which C-3 species are favored. Model calculations and analysis of current plant distribution suggest that this pCO(2)-dependent crossover temperature is approximated by a mean temperature of 22 degrees C for the warmest month at the current pCO(2) (35 Pa). In addition to favorable temperatures, C-4 plants require sufficient precipitation during the warm growing season. C-4 plants which are predominantly graminoids of short stature can be competitively excluded by trees (nearly all C-3 plants) - regardless of the photosynthetic superiority of the C-4 pathway - in regions otherwise favorable for C-4. To construct global maps of the distribution of C-4 grasses for current, past and future climate scenarios, we make use of climatological data sets which provide estimates of the mean monthly temperature to classify the globe into areas which should favor C-4 photosynthesis during at least 1 month of the year. This area is further screened by excluding areas where precipitation is &lt;25 mm per month during the warm season and by selecting areas classified as grasslands (i.e., excluding areas dominated by woody vegetation) according to a global vegetation map. Using this approach, grasslands of the world are designated as C-3, C-4, and mixed under current climate and (pCO(2) Published floristic studies were used to test the accuracy of these predictions in many legions of the world, and agreement with observations was generally good. We then make use of this protocol to examine changes in the global abundance of C-4 grasses in the past and the future using plausible estimates for the climates and pCO(2). When pCO(2) is lowered to pre-industrial levels, C-4 grasses expanded their range into large areas now classified as C-3 grasslands, especially in North America and Eurasia. During the last glacial maximum (similar to 18 ka BP) when the climate was cooler and pCO(2) was about 20 Pa, our analysis predicts substantial expansion of C-4 vegetation - particularly in Asia, despite cooler temperatures. Continued use of fossil fuels is expected to result in double the current pCO(2) by sometime in the next century, with some associated climate warming. Our analysis predicts a substantial reduction in the area of C-4 grasses under these conditions. These reductions from the past and into the future are based on greater stimulation of C-3 photosynthetic efficiency by higher pCO(2) than inhibition by higher temperatures. The predictions are testable through large-scale controlled growth studies and analysis of stable isotopes and other data from regions where large changes are predicted to have occurred.</t>
  </si>
  <si>
    <t>10.1007/s004420050468</t>
  </si>
  <si>
    <t>Nordt, B; Hensen, I; Bucher, SF; Freiberg, M; Primack, RB; Stevens, AD; Bonn, A; Wirth, C; Jakubka, D; Plos, C; Sporbert, M; Romermann, C</t>
  </si>
  <si>
    <t>The PhenObs initiative: A standardised protocol for monitoring phenological responses to climate change using herbaceous plant species in botanical gardens</t>
  </si>
  <si>
    <t>first flowering day; flowering phenology; fruiting phenology; functional traits; growing season length; leaf out; senescence; vegetative phenology</t>
  </si>
  <si>
    <t>FLOWERING PHENOLOGY; LEAF PHENOLOGY; GREEN-UP; GROWTH; SEASON; TEMPERATURE; DRIVERS; SHIFTS; TIMES; PHYLOGENY</t>
  </si>
  <si>
    <t>Changes in phenology induced by climate change occur across the globe with important implications for ecosystem functioning and services, species performance and trophic interactions. Much of the work on phenology, especially leaf out and flowering, has been conducted on woody plant species. Less is known about the responses in phenology of herbaceous species induced by global change even though they represent a large and important part of biodiversity worldwide. A globally coordinated research effort is needed to understand the drivers and implications of such changes and to predict effects of global change on plant species phenology and related ecosystem processes. Here, we present the rationale of the PhenObs initiative-botanical gardens as a global phenological observation network. The initiative aims to collect data on plant phenology in botanical gardens which will be used alongside information on plant traits and site conditions to answer questions related to the consequences of global change: What is the variation in plant phenology in herbaceous species across the growing season and in response to changes in climate? How can plant phenology be predicted from species' trait composition, provenance, position and extent of the distribution range and species' phylogeny? What are the implications of this variation with respect to species performance and assembly, biotic interactions (e.g. plant-pollinator interactions) as well as ecosystem processes and services under changing land use and climate? Here, we lay out the development of a straightforward protocol that is appropriate for monitoring phenology across a vast diversity of growth forms of herbaceous species from various habitats and geographical regions. To focus on a key number of stages necessary to capture all aspects of plant species phenology, we analysed associations between 14 phenological stages. These data were derived from a 2-year study on 199 species in four German botanical gardens. Based on the relationships of the phenological stages, we propose to monitor three vegetative stages ('initial growth', 'leaves unfolding' and 'senescence') and two reproductive stages ('flowers open' and 'ripe fruits') to fully capture herbaceous species phenology. A free Plain Language Summary can be found within the Supporting Information of this article.</t>
  </si>
  <si>
    <t>10.1111/1365-2435.13747</t>
  </si>
  <si>
    <t>Wing, SR; Leichter, JJ; Wing, LC; Stokes, D; Genovese, SJ; McMullin, RM; Shatova, OA</t>
  </si>
  <si>
    <t>Contribution of sea ice microbial production to Antarctic benthic communities is driven by sea ice dynamics and composition of functional guilds</t>
  </si>
  <si>
    <t>Antarctica; climate change; food web; organic matter; sea ice; sea ice algae</t>
  </si>
  <si>
    <t>PARTICULATE ORGANIC-MATTER; MCMURDO SOUND; ROSS SEA; FOOD-WEB; INORGANIC CARBON; TROPHIC POSITION; OCEAN ECOSYSTEM; STABLE-ISOTOPES; ROCK WALLS; DELTA-C-13</t>
  </si>
  <si>
    <t>Organic matter produced by the sea ice microbial community (SIMCo) is an important link between sea ice dynamics and secondary production in near-shore food webs of Antarctica. Sea ice conditions in McMurdo Sound were quantified from time series of MODIS satellite images for Sept. 1 through Feb. 28 of 2007-2015. A predictable sea ice persistence gradient along the length of the Sound and evidence for a distinct change in sea ice dynamics in 2011 were observed. We used stable isotope analysis (delta C-13 and delta N-15) of SIMCo, suspended particulate organic matter (SPOM) and shallow water (10-20m) macroinvertebrates to reveal patterns in trophic structure of, and incorporation of organic matter from SIMCo into, benthic communities at eight sites distributed along the sea ice persistence gradient. Mass-balance analysis revealed distinct trophic architecture among communities and large fluxes of SIMCo into the near-shore food web, with the estimates ranging from 2 to 84% of organic matter derived from SIMCo for individual species. Analysis of patterns in density, and biomass of macroinvertebrate communities among sites allowed us to model net incorporation of organic matter from SIMCo, in terms of biomass per unit area (g/m(2)), into benthic communities. Here, organic matter derived from SIMCo supported 39 to 71 per cent of total biomass. Furthermore, for six species, we observed declines in contribution of SIMCo between years with persistent sea ice (2008-2009) and years with extensive sea ice breakout (2012-2015). Our data demonstrate the vital role of SIMCo in ecosystem function in Antarctica and strong linkages between sea ice dynamics and near-shore secondary productivity. These results have important implications for our understanding of how benthic communities will respond to changes in sea ice dynamics associated with climate change and highlight the important role of shallow water macroinvertebrate communities as sentinels of change for the Antarctic marine ecosystem.</t>
  </si>
  <si>
    <t>10.1111/gcb.14291</t>
  </si>
  <si>
    <t>Freistetter, NC; Simmons, GS; Wu, YK; Finger, DC; Hood-Nowotny, R</t>
  </si>
  <si>
    <t>Tracking global invasion pathways of the spongy moth (Lepidoptera: Erebidae) to the United States using stable isotopes as endogenous biomarkers</t>
  </si>
  <si>
    <t>alien species; biogeochemistry; economic entomology; entomology and pathology; isoscapes</t>
  </si>
  <si>
    <t>LYMANTRIA-DISPAR-ASIATICA; GYPSY-MOTH; HYDROGEN; SPREAD; IDENTIFICATION; DELTA-O-18; DELTA-H-2; MIGRATION; PATTERNS; ORIGINS</t>
  </si>
  <si>
    <t>The spread of invasive insect species causes enormous ecological damage and economic losses worldwide. A reliable method that tracks back an invaded insect's origin would be of great use to entomologists, phytopathologists, and pest managers. The spongy moth (Lymantria dispar, Linnaeus 1758) is a persistent invasive pest in the Northeastern United States and periodically causes major defoliations in temperate forests. We analyzed field-captured (Europe, Asia, United States) and laboratory-reared L. dispar specimens for their natal isotopic hydrogen and nitrogen signatures imprinted in their biological tissues (delta H-2 and delta N-15) and compared these values to the long-term mean delta H-2 of regional precipitation (Global Network of Isotopes in Precipitation) and delta N-15 of regional plants at the capture site. We established the percentage of hydrogen-deuterium exchange for L. dispar tissue (P-ex = 8.2%) using the comparative equilibration method and two-source mixing models, which allowed the extraction of the moth's natal delta H-2 value. We confirmed that the natal delta H-2 and delta N-15 values of our specimens are related to the environmental signatures at their geographic origins. With our regression models, we were able to isolate potentially invasive individuals and give estimations of their geographic origin. To enable the application of these methods on eggs, we established an egg-to-adult fraction factor for L. dispar (Delta egg-adult = 16.3 +/- 4.3 parts per thousand). Our models suggested that around 25% of the field-captured spongy moths worldwide were not native in the investigated capture sites. East Asia was the most frequently identified location of probable origin. Furthermore, our data suggested that eggs found on cargo ships in the United States harbors in Alaska, California, and Louisiana most probably originated from Asian L. dispar in East Russia. These findings show that stable isotope biomarkers give a unique insight into invasive insect species pathways, and thus, can be an effective tool to monitor the spread of insect pest epidemics.</t>
  </si>
  <si>
    <t>e9092</t>
  </si>
  <si>
    <t>10.1002/ece3.9092</t>
  </si>
  <si>
    <t>Pomerleau, C; Lesage, V; Ferguson, SH; Winkler, G; Petersen, SD; Higdon, JW</t>
  </si>
  <si>
    <t>Prey assemblage isotopic variability as a tool for assessing diet and the spatial distribution of bowhead whale Balaena mysticetus foraging in the Canadian eastern Arctic</t>
  </si>
  <si>
    <t>Canadian Arctic; Bowhead whale; Diet; Foraging behaviour; Marine mammal; Zooplankton; Stable isotopes; Bayesian mixing model; SIAR; Trophic ecology</t>
  </si>
  <si>
    <t>STABLE-CARBON DELTA-C-13; ICE ALGAL PRODUCTION; NORTHERN FOXE BASIN; TROPHIC RELATIONSHIPS; CLASS SEGREGATION; HUDSON-BAY; SIZE-CLASS; SEA-ICE; DELTA-N-15; CLIMATE</t>
  </si>
  <si>
    <t>The eastern Canada-West Greenland (EC-WG) bowhead whale Balaena mysticetus population is slowly recovering from the intensive commercial whaling of the 18th and 20th centuries. However, climate change, through effects on ice conditions and prey availability, is one of several threats that might affect bowhead whale recovery. In this study, we exploited the variability observed in isotopic signatures of prey assemblages across the eastern Arctic to examine variability in diet among bowhead whales (n = 202) and identify their potential foraging areas. We compared delta C-13 and delta N-15 isotope ratios of biopsied skin samples with those of potential zooplankton prey species collected across the Canadian eastern Arctic, and calculated the proportional contributions of various sources (zooplankton) to the diet of bowhead whales using a Bayesian stable isotope mixing model. A cluster analysis indicated some variability in isotopic composition among groups of individuals, but not between males and females or age classes. The isotopic model discounted Davis Strait and Disko Bay as potential foraging areas for bowhead whales, at least in spring and summer. Lancaster Sound, Baffin Bay and the Gulf of Boothia were the 3 main areas likely used for summer feeding, where bowhead whales fed primarily on large Arctic calanoid copepods (Calanus hyperboreus, C. glacialis, Metridia longa, and Paraeuchaeta spp.), mysids and euphausiids. While some inter-individual variability in diet was observed, the strong dependence of this endemic Arctic species on Arctic zooplankton may make them vulnerable to the predicted latitudinal shift in prey species composition caused by ongoing warming.</t>
  </si>
  <si>
    <t>10.3354/meps10004</t>
  </si>
  <si>
    <t>Duprey, NN; Wang, TX; Kim, T; Cybulski, JD; Vonhof, HB; Crutzen, PJ; Haug, GH; Sigman, DM; Martinez-Garcia, A; Baker, DM</t>
  </si>
  <si>
    <t>Megacity development and the demise of coastal coral communities: Evidence from coral skeleton delta N-15 records in the Pearl River estuary</t>
  </si>
  <si>
    <t>corals; eutrophication; megacities; stable nitrogen isotopes; urbanization</t>
  </si>
  <si>
    <t>HONG-KONG; ISOTOPIC EVIDENCE; ECOSYSTEM APPROPRIATION; PHYTOPLANKTON BIOMASS; MISSISSIPPI RIVER; GLOBAL PATTERNS; NITRATE SOURCES; DUAL ISOTOPES; NITROGEN; REEF</t>
  </si>
  <si>
    <t>Historical coral skeleton (CS) delta O-18 and delta N-15 records were produced from samples recovered from sedimentary deposits, held in natural history museum collections, and cored into modern coral heads. These records were used to assess the influence of global warming and regional eutrophication, respectively, on the decline of coastal coral communities following the development of the Pearl River Delta (PRD) megacity, China. We find that, until 2007, ocean warming was not a major threat to coral communities in the Pearl River estuary; instead, nitrogen (N) inputs dominated impacts. The high but stable CS-delta N-15 values (9 parts per thousand-12 parts per thousand vs. air) observed from the mid-Holocene until 1980 indicate that soil and stream denitrification reduced and modulated the hydrologic inputs of N, blunting the rise in coastal N sources during the early phase of the Pearl River estuary urbanization. However, an unprecedented CS-delta N-15 peak was observed from 1987 to 1993 (&gt;13 parts per thousand vs. air), concomitant to an increase of NH4+ concentration, consistent with the rapid Pearl River estuary urbanization as the main cause for this eutrophication event. We suggest that widespread discharge of domestic sewage entered directly into the estuary, preventing removal by natural denitrification hotspots. We argue that this event caused the dramatic decline of the Pearl River estuary coral communities reported from 1980 to 2000. Subsequently, the coral record shows that the implementation of improved wastewater management policies succeeded in bringing down both CS-delta N-15 and NH4+ concentrations in the early 2000s. This study points to the potential importance of eutrophication over ocean warming in coral decline along urbanized coastlines and in particular in the vicinity of megacities.</t>
  </si>
  <si>
    <t>10.1111/gcb.14923</t>
  </si>
  <si>
    <t>Phillips, DL; Gregg, JW</t>
  </si>
  <si>
    <t>Source partitioning using stable isotopes: coping with too many sources</t>
  </si>
  <si>
    <t>stable isotope; mixing model; source partitioning</t>
  </si>
  <si>
    <t>MIXING MODELS; LEAD; DELTA-C-13; AEROSOLS; COASTAL; TRACERS; RATIOS; FLOW; DIET</t>
  </si>
  <si>
    <t>Stable isotopes are increasingly being used as tracers in environmental studies. One application is to use isotopic ratios to quantitatively determine the proportional contribution of several sources to a mixture, such as the proportion of various pollution sources in a waste stream. In general, the proportional contributions of n+1 different sources can be uniquely determined by the use of n different isotope system tracers (e.g., delta(13)C, delta(15)N, delta(18)O) with linear mixing models based on mass balance equations. Often, however, the number of potential sources exceeds n+1, which prevents finding a unique solution of source proportions. What can be done in these situations? While no definitive solution exists, we propose a method that is informative in determining bounds for the contributions of each source. In this method, all possible combinations of each source contribution (0-100%) are examined in small increments (e.g., 1%). Combinations that sum to the observed mixture isotopic signatures within a small tolerance (e.g., +/-0.1parts per thousand) are considered to be feasible solutions, from which the frequency and range of potential source contributions can be determined. To avoid misrepresenting the results, users of this procedure should report the distribution of feasible solutions rather than focusing on a single value such as the mean. We applied this method to a variety of environmental studies in which stable isotope tracers were used to quantify the relative magnitude of multiple sources, including (1) plant water use, (2) geochemistry, (3) air pollution, and (4) dietary analysis. This method gives the range of isotopically determined source contributions; additional non-isotopic constraints specific to each study may be used to further restrict this range. The breadth of the isotopically determined ranges depends on the geometry of the mixing space and the similarity of source and mixture isotopic signatures. A sensitivity analysis indicated that the estimated ranges vary only modestly with different choices of source increment and mass balance tolerance parameter values. A computer program (IsoSource) to perform these calculations for user-specified data is available at http://www.epa.gov/wed/pages/models.htm.</t>
  </si>
  <si>
    <t>10.1007/s00442-003-1218-3</t>
  </si>
  <si>
    <t>Bosley, KL; Witting, DA; Chambers, RC; Wainright, SC</t>
  </si>
  <si>
    <t>Estimating turnover rates of carbon and nitrogen in recently metamorphosed winter flounder Pseudopleuronectes americanus with stable isotopes</t>
  </si>
  <si>
    <t>stable isotopes; diet shifts; Pseudopleuronectes americanus; winter-flounder habitat; temperature</t>
  </si>
  <si>
    <t>FOOD-WEB STRUCTURE; TROPHIC LEVEL; GEORGES BANK; FRACTIONATION; LARVAE; DIET; DELTA-C-13; GROWTH; ZOOPLANKTON; SETTLEMENT</t>
  </si>
  <si>
    <t>Stable-isotope ratios of carbon (C-13/C-12) and nitrogen (N-15/N-14) are widely used in the analysis of animal diets. However, using these stable-isotope ratios to infer dietary changes depends on precise knowledge of turnover rates of carbon and nitrogen. In the present study, carbon and nitrogen turnover rates were determined for recently settled juvenile winter flounder Pseudopleuronectes americanus in the laboratory using naturally occurring stable isotopes as dietary tracers. Flounder were reared at 13degreesC on a diet of rotifers Brachionus plicatilis of known isotopic composition from the time that the larvae began feeding until they reached metamorphosis and began to settle to the benthic habitat. At settlement, the fish were assigned to 1 of 2 temperature treatments (13 and 18degreesC). A subset of fish at each temperature was maintained on rotifers to serve as controls. The remaining fish were switched to a diet of brine shrimp Artemia sp. (known to be isotopically distinct from rotifers) and then sampled systematically over a 16 d period. Temperature had a significant effect on both carbon and nitrogen turnover rates. At 13degreesC, the half-life of carbon was 4.1 d (+/-0.6), and of nitrogen, 3.9 d (+/-0.7). At 18degreesC, the half-life of carbon was 2.2 d (+/-0.3), and of nitrogen, 3.1 d (+/-0.3). The change in isotopic composition closely followed predictions based entirely on the production of new tissue.</t>
  </si>
  <si>
    <t>10.3354/meps236233</t>
  </si>
  <si>
    <t>Corbin, JD; Thomsen, MA; Dawson, TE; D'Antonio, CM</t>
  </si>
  <si>
    <t>Summer water use by California coastal prairie grasses: fog, drought, and community composition</t>
  </si>
  <si>
    <t>evaporation; native perennial grass; plant-water relations; stable isotopes</t>
  </si>
  <si>
    <t>POINT-REYES PENINSULA; ISOTOPIC COMPOSITION; STABLE ISOTOPES; FOREST; PLANTS; PRECIPITATION; COMPETITION; DEUTERIUM; GROWTH; CHILE</t>
  </si>
  <si>
    <t>Plants in the Mediterranean climate region of California typically experience summer drought conditions, but correlations between zones of frequent coastal fog inundation and certain species' distributions suggest that water inputs from fog may influence species composition in coastal habitats. We sampled the stable H and O isotope ratios of water in non-photosynthetic plant tissue from a variety of perennial grass species and soil in four sites in northern California in order to determine the proportion of water deriving from winter rains and fog during the summer. The relationship between H and O stable isotopes from our sample sites fell to the right of the local meteoric water line (LMWL) during the summer drought, providing evidence that evaporation of water from the soil had taken place prior to the uptake of water by vegetation. We developed a novel method to infer the isotope values of water before it was subjected to evaporation in which we used experimental data to calculate the slope of the delta H versus delta O line versus the LMWL. After accounting for evaporation, we then used a two-source mixing model to evaluate plant usage of fog water. The model indicated that 28-66% of the water taken up by plants via roots during the summer drought came from fog rather than residual soil water from winter rain. Fog use decreased as distance from the coast increased, and there were significant differences among species in the use of fog. Rather than consistent differences in fog use by species whose distributions are limited to the coast versus those with broader distributions, species responded individualistically to summer fog. We conclude that fogwater inputs can mitigate the summer drought in coastal California for many species, likely giving an advantage to species that can use it over species that cannot.</t>
  </si>
  <si>
    <t>10.1007/s00442-005-0152-y</t>
  </si>
  <si>
    <t>Westrelin, S; Balzani, P; Haubrock, PJ; Santoul, F</t>
  </si>
  <si>
    <t>Interannual variability in the trophic niche of young-of-year fish belonging to four piscivorous species coexisting in a natural lake</t>
  </si>
  <si>
    <t>Esox lucius; Perca fluviatilis; Sander lucioperca; Silurus glanis; stable isotopes</t>
  </si>
  <si>
    <t>PERCH PERCA-FLUVIATILIS; PIKE ESOX-LUCIUS; JUVENILE EUROPEAN CATFISH; PELAGIC FOOD WEBS; STABLE-ISOTOPE; INDIVIDUAL SPECIALIZATION; PREDATOR DIVERSITY; DIET COMPOSITION; EURASIAN PERCH; SILURUS-GLANIS</t>
  </si>
  <si>
    <t>Predatory fish species play a key role in aquatic ecosystems by exerting top-down control on the food web. Also, their intra-guild trophic interactions (i.e. competition) are crucial for the stability of the community. However, most studies focus on adult stages, while juveniles remain poorly studied, although their recruitment is the basis for the maintenance of predator populations. We analysed carbon and nitrogen stable isotopes ratios of the young-of-year of four coexisting widespread predatory fish species (northern pike Esox lucius, European perch Perca fluviatilis, pikeperch Sander lucioperca, and European catfish Silurus glanis), sampled over 3 years in a shallow natural lake. We found that the hierarchy in trophic position between species was consistent across years and similar to that known for adults, but with large variations around a general pattern: pike and pikeperch tended to occupy the highest trophic positions while perch occupied the lowest, and catfish had very varying positions. Species partitioned their niches to decrease interspecific competition, but with some occasional overlaps, contributing to preserving their body condition. Depending on density, which was particularly impacted by harsh environmental conditions, niche overlap fluctuated across years, leading to niche enlargement of densely populated species, except for catfish. These mechanisms enabled species coexistence, allowing the co-occurrence of alien and native predators within the same ecosystem. This work advocates for time-integrated studies of trophic webs because they capture the variability of their dynamics better than a static picture. This is particularly true for juveniles whose survival strongly depends on their capacity to cope with competition. Information from trophic mid-term studies of juveniles provides valuable guidance for optimised management of species.</t>
  </si>
  <si>
    <t>10.1111/fwb.14041</t>
  </si>
  <si>
    <t>Yamada, T; Katahira, H; Miura, K; Nakamura, F</t>
  </si>
  <si>
    <t>Relationship between salmon egg subsidy and the distribution of an avian predator</t>
  </si>
  <si>
    <t>behavioral ecology; marine-derived nutrients; Pacific salmon; resource subsidy; Salmonidae; stream ecology</t>
  </si>
  <si>
    <t>DIPPERS CINCLUS-CINCLUS; PACIFIC SALMON; BROWN DIPPER; ONCORHYNCHUS-GORBUSCHA; STREAM PRODUCTIVITY; AMERICAN DIPPER; SOCKEYE-SALMON; DOLLY VARDEN; RIVER WYE; TERRESTRIAL</t>
  </si>
  <si>
    <t>As a spatial subsidy, which is the phenomenon of transferring resources from a donor system to a recipient system, anadromous salmonids contribute to the supply of marine-derived nutrients to freshwater and terrestrial systems. Live salmon and salmon carcasses and eggs are utilized by various organisms and affect their abundance and distribution. However, the evaluation of the effect of salmon subsidies on the abundance and distribution of terrestrial animals is biased toward predators or scavengers that utilize spawning adults and carcasses, and few studies have focused on the effect of salmon eggs as a subsidy. To avoid underestimating the function of salmon subsidies, the response to the availability of salmon eggs in various systems should be investigated. Here, we investigated the abundance and feeding behavior of the brown dipper Cinclus pallasii, as a consumer of salmon eggs, based on the hypothesis that the availability of salmon eggs affects the diet composition and stream distribution of this small predator. In addition, to test whether changes in the abundance of brown dippers are determined by salmon spawning, their abundance was compared upstream and downstream of the check dams in three streams during the peak spawning period. Brown dippers used salmon eggs during the spawning season (53.7% of diet composition), and their abundance increased as the number of spawning redds increased. In contrast, this pattern was not observed upstream of the check dam. These results suggested that the abundance and stream distribution of brown dippers vary according to the variation in the spatiotemporal availability of salmon eggs.</t>
  </si>
  <si>
    <t>e9696</t>
  </si>
  <si>
    <t>10.1002/ece3.9696</t>
  </si>
  <si>
    <t>van de Wolfshaar, KE; HilleRisLambers, R; Gardmark, A</t>
  </si>
  <si>
    <t>Effect of habitat productivity and exploitation on populations with complex life cycles</t>
  </si>
  <si>
    <t>Alternative stable state; Density dependence; Habitat shift; Harvesting; Mortality; Productivity; Fisheries management</t>
  </si>
  <si>
    <t>MARINE RESERVES; CONCENTRATION HYPOTHESIS; SIZE; FISH; RECRUITMENT; DYNAMICS; OVERCOMPENSATION; ECOSYSTEMS; MANAGEMENT; DEPENDENCE</t>
  </si>
  <si>
    <t>In this paper we study the consequences of habitat switching and the corresponding ontogenetic diet shifts between adult and juvenile life stages for harvesting and management of exploited populations using a consumer-resource model with stage-specific mortality. Specifically, we study how differences in stage-specific habitat productivity regulate exploited populations and affect yield. We show that the ratio of adult to juvenile habitat productivity determines whether the population is regulated by processes in the juvenile or adult stage and that population responses to changes in mortality (e. g. fishing) or habitat productivity (e. g. eutrophication or physical destruction) depend critically on the mechanism regulating the population. This result has important consequences for the management of marine fish. For example, in fisheries where the exploited population is regulated by processes in the juvenile stage, management measures aimed at protecting the juvenile habitat may be much more effective than regulating fishing effort on the adults. We find also that intermediate differences in habitat productivity lead to alternative stable states between a population regulated by processes in the juvenile or the adult stage. These alternative stable states may lead to counterintuitive population responses to harvesting.</t>
  </si>
  <si>
    <t>10.3354/meps09304</t>
  </si>
  <si>
    <t>Yurkowski, DJ; Hussey, NE; Fisk, AT; Imrie, KL; Tallman, RF; Ferguson, SH</t>
  </si>
  <si>
    <t>Temporal shifts in intraguild predation pressure between beluga whales and Greenland halibut in a changing Arctic</t>
  </si>
  <si>
    <t>climate change; interspecific interactions; predator-prey dynamics; stable isotopes</t>
  </si>
  <si>
    <t>DIET; FISH; ISOTOPES; CLIMATE</t>
  </si>
  <si>
    <t>Asymmetrical intraguild predation (AIGP), which combines both predation and competition between predator species, is pervasive in nature with relative strengths varying by prey availability. But with species redistributions associated with climate change, the response by endemic predators within an AIGP context to changing biotic-abiotic conditions over time (i.e. seasonal and decadal) has yet to be quantified. Furthermore, little is known on AIGP dynamics in ecosystems undergoing rapid directional change such as the Arctic. Here, we investigate the flexibility of AIGP among two predators in the same trophic guild: beluga (Delphinapterus leucas) and Greenland halibut (Reinhardtius hippoglossoides), by season and over 30 years in Cumberland Sound-a system where forage fish capelin (Mallotus villosus) have recently become more available. Using stable isotopes, we illustrate different predator responses to temporal shifts in forage fish availability. On a seasonal cycle, beluga consumed less Greenland halibut and increased consumption of forage fish during summer, contrasting a constant consumption rate of forage fish by Greenland halibut year-round leading to decreased AIGP pressure between predators. Over a decadal scale (1982-2012), annual consumption of forage fish by beluga increased with a concomitant decline in the consumption of Greenland halibut, thereby indicating decreased AIGP pressure between predators in concordance with increased forage fish availability. The long-term changes of AIGP pressure between endemic predators illustrated here highlights climate-driven environmental alterations to interspecific intraguild interactions in the Arctic.</t>
  </si>
  <si>
    <t>10.1098/rsbl.2017.0433</t>
  </si>
  <si>
    <t>Storch, D; Simova, I; Smycka, J; Bohdalkova, E; Toszogyova, A; Okie, JG</t>
  </si>
  <si>
    <t>Biodiversity dynamics in the Anthropocene: how human activities change equilibria of species richness</t>
  </si>
  <si>
    <t>Anthropocene; biodiversity conservation; biodiversity-ecosystem functioning relationship; biological invasions; ecological restoration; equilibrium theory of biodiversity dynamics; extinction; multiple equilibria; speciation; stable states</t>
  </si>
  <si>
    <t>NET PRIMARY PRODUCTION; GLOBAL HUMAN APPROPRIATION; LAND-USE; COMMUNITY STRUCTURE; DIVERSITY; DIVERSIFICATION; EXTINCTION; CONSERVATION; SPECIATION; BIRDS</t>
  </si>
  <si>
    <t>We are living in a time of rapid environmental changes caused by anthropogenic pressures. Besides direct human exploitation of plant and animal populations and habitat transformation, biodiversity changes in the Anthropocene are affected by less trivial processes including rapid spreading of non-native species, emergence of novel communities and modifications of ecosystem functioning due to changing nutrient cycles and climate changes. These processes are so complex that confident predictions and effective biodiversity conservation cannot be obtained without a suitable theory of biodiversity dynamics. We argue that such dynamics have particular attractors, i.e. stable equilibria, that are determined by environmental conditions. These stable equilibria set biodiversity limits, i.e. carrying capacities for biodiversity, from local to global scales. We point out the evidence of such limits at various spatiotemporal scales and show, using the new equilibrium theory of biodiversity dynamics (ETBD), how dynamics of diversity depend on non-linear relationships between number of species, community abundance and population size-dependent processes of species extinction and origination (speciation or colonization). We show that non-linear effects of biodiversity on ecosystem functioning can lead to multiple biodiversity equilibria and tipping points. Various human activities, including species introductions, human appropriation of primary production and trophic downgrading, can change local, regional and global diversity equilibria by affecting processes that set equilibrium diversity levels. The existence of equilibrium and out-of-equilibrium states has important implications for conservation, restoration and reconciliation ecology. It highlights the need to more effectively and intentionally balance the historical focus on the preservation of natural habitats with management specifically directed towards the processes responsible for long-term maintenance of biodiversity equilibria. The Anthropocene represents a unique situation in which people make decisions concerning the dynamics of the natural world, and we argue that ecological restoration requires wisely deciding which of the alternative equilibria are worth maintaining.</t>
  </si>
  <si>
    <t>10.1111/ecog.05778</t>
  </si>
  <si>
    <t>MARTINEZ, ND; LAWTON, JH</t>
  </si>
  <si>
    <t>SCALE AND FOOD-WEB STRUCTURE - FROM LOCAL TO GLOBAL</t>
  </si>
  <si>
    <t>TEMPORAL VARIATION; CHAIN LENGTH; CONNECTANCE; RESOLUTION; PATTERNS</t>
  </si>
  <si>
    <t>A central question in food-web research focuses on the relation between species at different trophic levels and ''scale'' or, in more specific terms, the number of species in food webs. We show that recently advanced scale-dependence hypotheses are consistent with independent data and assumptions connecting properties of the smallest food webs with those of the largest. Consistent with scale dependence, these data and assumptions suggest that mean chain length and the fractions of species at top, intermediate, and basal trophic levels depend on the number of species within ''local'' (i.e., small-scaled) webs with 2 to 10(2) species. Our analysis also suggests that the fractions of species in different trophic levels become asymptotically stable for regionally to globally scaled food webs with 10(4) to 10(7) species, respectively. A new hypothesis for the behavior of mean chain length in regional to global webs is also advanced. Our analyses specify for the first time specific functional forms for the effects of scare on food-web structure that take into account recently demonstrated scale dependencies at the local scale as well as estimates of biodiversity at regional and global scales. Rates of change over specific ranges are described as well as numerical estimates of asymptotes.</t>
  </si>
  <si>
    <t>10.2307/3545903</t>
  </si>
  <si>
    <t>Geffen, E; Roemer, GW; Unnsteinsdottir, ER; Van Valkenburgh, B</t>
  </si>
  <si>
    <t>Sub-zero temperatures and large-scale weather patterns induce tooth damage in Icelandic arctic foxes</t>
  </si>
  <si>
    <t>animal condition; climate change; climate extremes; dentition; tooth breakage; tooth wear</t>
  </si>
  <si>
    <t>CLIMATE-CHANGE IMPACTS; ALOPEX-LAGOPUS; SUBPOLAR GYRE; LA-BREA; MOVEMENTS; FRACTURE; AVAILABILITY; VARIABILITY; POPULATION; LIMITATION</t>
  </si>
  <si>
    <t>Tooth damage in carnivores can reflect shifts in both diet and feeding habits, and in large carnivores, it is associated with increased bone consumption. Variation in tooth condition in Icelandic arctic foxes, a mesocarnivore, was recorded from 854 individual foxes spanning 29 years. We hypothesized that annual climatic variations, which can influence food abundance and accessibility, will influence tooth condition by causing dietary shifts toward less edible prey. We examined tooth condition in relation to four climatic predictors: mean annual winter temperature, indices of both the El Nino anomaly and North Atlantic subpolar gyre (SPG), and the number of rain-on-snow days (ROS). We found unequivocal evidence for a strong effect of annual climate on tooth condition. Teeth of Icelandic foxes were in better condition when winter temperatures were higher, when the SPG was more positive, and when the number of ROS was low. We also found a substantial subregional effect with foxes from northeastern Iceland having lower tooth damage than those from two western sites. Contradicting our original hypothesis that foxes from northeastern Iceland, where foxes are known to scavenge on large mammal remains (e.g., sheep and horses), would show the highest tooth damage, we suggest that western coastal sites exhibited greater tooth damage because cold winter temperatures lowered the availability of seabirds, causing a shift in diet toward abrasive marine subsidies (e.g., bivalves) and frozen beach wrack. Our study shows that monitoring tooth breakage and wear can be a useful tool for evaluating the impact of climate on carnivore populations and that climate change may influence the condition and fitness of carnivores in complex and potentially conflicting ways.</t>
  </si>
  <si>
    <t>10.1111/gcb.16835</t>
  </si>
  <si>
    <t>Gormezano, LJ; Rockwell, RF</t>
  </si>
  <si>
    <t>What to eat now? Shifts in polar bear diet during the ice-free season in western Hudson Bay</t>
  </si>
  <si>
    <t>Climate change; diet; feces; polar bears; scat; terrestrial; Ursus maritimus; western Hudson Bay</t>
  </si>
  <si>
    <t>LESSER SNOW GEESE; URSUS-MARITIMUS; RINGED SEALS; FOOD-HABITS; FREE PERIOD; ADIPOSE-TISSUE; JAMES BAY; CLIMATE; PREDATION; CANNIBALISM</t>
  </si>
  <si>
    <t>Under current climate trends, spring ice breakup in Hudson Bay is advancing rapidly, leaving polar bears (Ursus maritimus) less time to hunt seals during the spring when they accumulate the majority of their annual fat reserves. For this reason, foods that polar bears consume during the ice-free season may become increasingly important in alleviating nutritional stress from lost seal hunting opportunities. Defining how the terrestrial diet might have changed since the onset of rapid climate change is an important step in understanding how polar bears may be reacting to climate change. We characterized the current terrestrial diet of polar bears in western Hudson Bay by evaluating the contents of passively sampled scat and comparing it to a similar study conducted 40years ago. While the two terrestrial diets broadly overlap, polar bears currently appear to be exploiting increasingly abundant resources such as caribou (Rangifer tarandus) and snow geese (Chen caerulescens caerulescens) and newly available resources such as eggs. This opportunistic shift is similar to the diet mixing strategy common among other Arctic predators and bear species. We discuss whether the observed diet shift is solely a response to a nutritional stress or is an expression of plastic foraging behavior.</t>
  </si>
  <si>
    <t>10.1002/ece3.740</t>
  </si>
  <si>
    <t>Hallworth, MT; Marra, PP; McFarland, KP; Zahendra, S; Studds, CE</t>
  </si>
  <si>
    <t>Tracking dragons: stable isotopes reveal the annual cycle of a long-distance migratory insect</t>
  </si>
  <si>
    <t>Anax; common green darner; stable-hydrogen isotopes; migration phenology</t>
  </si>
  <si>
    <t>NOCTURNAL MIGRATION; NATAL ORIGINS; PATTERNS; ODONATA</t>
  </si>
  <si>
    <t>Insect migration is globally ubiquitous and can involve continental-scale movements and complex life histories. Apart from select species of migratory moths and butterflies, little is known about the structure of the annual cycle for migratory insects. Using stable-hydrogen isotope analysis of 852 wing samples from eight countries spanning 140 years, combined with 21 years of citizen science data, we determined the full annual cycle of a large migratory dragonfly, the common green darner (Anax junius). We demonstrate that darners undertake complex long-distance annual migrations governed largely by temperature that involve at least three generations. In spring, the first generation makes a long-distance northbound movement (further than 650 km) from southern to northern range limits, lays eggs and dies. A second generation emerges and returns south (further than 680 km), where they lay eggs and die. Finally, a third resident generation emerges, reproducing locally and giving rise to the cohort that migrates north the following spring. Since migration timing and nymph development are highly dependent on temperature, continued climate change could lead to fundamental changes in the biology for this and similar migratory insects.</t>
  </si>
  <si>
    <t>10.1098/rsbl.2018.0741</t>
  </si>
  <si>
    <t>Hata, A; Nakashita, R; Fukasawa, K; Minami, M; Fukue, Y; Higuchi, N; Uno, H; Nakajima, Y; Saeki, M; Kozakai, C; Takada, M</t>
  </si>
  <si>
    <t>Occurrence patterns of crop-foraging sika deer distribution in an agriculture-forest landscape revealed by nitrogen stable isotopes</t>
  </si>
  <si>
    <t>agricultural crops; Cervus nippon; incidence function model; large ungulate; nitrogen stable isotopes; spatial distribution</t>
  </si>
  <si>
    <t>WHITE-TAILED DEER; SEASONAL MIGRATION; ANTHROPOGENIC RESOURCES; EASTERN HOKKAIDO; CERVUS-NIPPON; MOVEMENTS; BEHAVIOR; HABITAT; DAMAGE; BIRDS</t>
  </si>
  <si>
    <t>Conflicts arising from the consumption of anthropogenic foods by wildlife are increasing worldwide. Conventional tools for evaluating the spatial distribution pattern of large terrestrial mammals that consume anthropogenic foods have various limitations, despite their importance in management to mitigate conflicts. In this study, we examined the spatial distribution pattern of crop-foraging sika deer by performing nitrogen stable isotope analyses of bone collagen. We evaluated whether crop-foraging deer lived closer to agricultural crop fields during the winter and spring, when crop production decreases. We found that female deer in proximity to agricultural crop fields during the winter and spring were more likely to be crop-foraging individuals. Furthermore, the likelihood of crop consumption by females decreased by half as the distance to agricultural crop fields increased to 5-10 km. We did not detect a significant trend in the spatial distribution of crop-foraging male deer. The findings of spatial distribution patterns of crop-foraging female deer will be useful for the establishment of management areas, such as zonation, for efficient removal of them.</t>
  </si>
  <si>
    <t>10.1002/ece3.8216</t>
  </si>
  <si>
    <t>Nagata, RM; Moreira, MZ; Pimentel, CR; Morandini, AC</t>
  </si>
  <si>
    <t>Food web characterization based on delta N-15 and delta C-13 reveals isotopic niche partitioning between fish and jellyfish in a relatively pristine ecosystem</t>
  </si>
  <si>
    <t>Gelatinous zooplankton; Trophic position; Forage fish; Dietary overlap; Stable isotopes</t>
  </si>
  <si>
    <t>LAGOON ESTUARINE SYSTEM; STABLE-ISOTOPES; AURELIA-AURITA; SAO-PAULO; PELAGIC CNIDARIANS; DIETARY OVERLAP; PREY SELECTION; INLAND SEA; PREDATION; CANANEIA</t>
  </si>
  <si>
    <t>Human-induced stresses on the marine environment seem to favor some jellyfish species to the detriment of other competitors such as planktivorous fishes. In pristine ecosystems, trophic relationships among these consumers are poorly understood. We determined stable carbon and nitrogen isotope signatures of representative consumers in the relatively pristine ecosystem of the Cananeia Estuary, Brazil, in order to understand the food web structure. We described isotopic niche breadth, position, and overlaps between fish and jellyfish (including comb jelly) species. Most of the delta C-13 values suggest that phytoplankton is the major carbon source, especially for pelagic consumers. Sessile benthic invertebrates had enriched delta C-13 values, suggesting a contribution of microphytobenthic algae. Seasonal variation of values was significant only for C-13, with different patterns for pelagic and benthic organisms. Isotopic niche breadth of some jellyfishes was wider than those of fish species of the same trophic group, possibly as a consequence of their broad diets. Isotopic niche overlaps of fish and jellyfish species were related to: (1) trophic diversity, since planktivorous species occupied niches distinct from macroinvertebrate/ fish feeders; and (2) life stages, since isotopic niche partitioning pattern can change during species ontogeny. Replacement of declining populations of fish by jellyfish competitors probably depends on the pool of other compensatory species, as well as on reproductive, growth, and feeding performance of other consumers. Description of isotopic niches provides a general picture of trophic roles, interactions and the degree of functional redundancy among species, allowing an evaluation of possible directions of community shifts resulting from the removal or proliferation of keystone consumers.</t>
  </si>
  <si>
    <t>10.3354/meps11071</t>
  </si>
  <si>
    <t>Connan, M; Dilley, B; Whitehead, TO; Davies, D; McQuaid, CD; Ryan, PG</t>
  </si>
  <si>
    <t>Multidimensional stable isotope analysis illuminates resource partitioning in a sub-Antarctic island bird community</t>
  </si>
  <si>
    <t>carbon; nitrogen and oxygen stable isotopes; egg membranes; egg shells; Prince Edward Islands; Southern Ocean</t>
  </si>
  <si>
    <t>PETRELS-HALOBAENA-CAERULEA; BLUE-PETRELS; BROWN SKUAS; DISCRIMINATION FACTORS; TROPHIC RELATIONSHIPS; LESSER SHEATHBILLS; FORAGING BEHAVIOR; BREEDING BIOLOGY; MARION ISLAND; EGG FORMATION</t>
  </si>
  <si>
    <t>A central theme in community ecology is understanding how similar species co-exist and how their interactions may evolve in the context of climate change. Most studies of resource partitioning among central place foragers, particularly birds, focus on the offspring-rearing period, when they are accessible, but breeding success may be determined earlier and little is known about how such species partition resources at the onset of breeding. We used a non-invasive approach to evaluate resource partitioning in co-existing females at a sub-Antarctic island during their pre-laying periods. Three hypotheses were tested using carbon, nitrogen and oxygen stable isotope ratios measured in shells and membranes of hatched eggs as ecological tracers: 1) resource partitioning by geographic location and trophic level will exist among the 12 bird species and will be enhanced within taxonomic groups; 2) given the absence of strong oxygen gradients in the Southern Ocean we will not detect spatial structuring based on oxygen isotopes, but differences will exist between resident and oceanic species as the former may use meteoric water; 3) capital and income breeder strategies can be differentiated using stable isotopes of egg remains. Two and three dimensional isotopic data showed resource partitioning among species. As predicted, segregation was evident within the four main taxonomic groups: penguins, albatrosses, burrowing petrels and giant petrels. Unexpectedly, oxygen isotopes revealed widespread use of meteoric water among a suite of sub-Antarctic birds. Stable isotopes allowed us to identify females of most species as income breeders at the onset of breeding, with the exception of the females of the two crested penguin exhibiting a mix of income and capital resources use. Multidimensional isotopic analyses revealed that resource partitioning exists at multiple stages of the annual cycle in ways likely to be important under global change, exhibiting wide potential for ecosystem analysis.</t>
  </si>
  <si>
    <t>10.1111/ecog.04560</t>
  </si>
  <si>
    <t>Castejon-Silvo, I; Terrados, J; Nguyen, T; Jutfelt, F; Infantes, E</t>
  </si>
  <si>
    <t>Increased energy expenditure is an indirect effect of habitat structural complexity loss</t>
  </si>
  <si>
    <t>Entelurus; habitat degradation; metabolic rate; Nerophis; oxygen consumption; syngnathid conservation; Syngnathus; ventilation rates</t>
  </si>
  <si>
    <t>VENTILATION FREQUENCY; METABOLIC-RATE; SYNGNATHIDAE PIPEFISHES; ASSEMBLAGE STRUCTURE; EXTINCTION RISK; CLIMATE-CHANGE; FISH; FLOW; HYDRODYNAMICS; SEAHORSES</t>
  </si>
  <si>
    <t>The deterioration of coastal habitats cascades to the decline of associated fauna by reducing trophic resource availability, shelter from predators and nursery grounds. The decline of biogenic habitat structure, such as in kelp forests, coral reefs, mangroves or seagrass beds, often causes a local increase in water flow velocity and wave exposure. The impact of this change in hydrodynamics on the energy expenditure of animals is largely unknown. Here we demonstrate that loss of seagrass beds increases water current velocity, which impacts associated pipefishes through increased energy expenditure. We correlated ventilation frequency with metabolic rate in four pipefish species, to be able to estimate metabolic rates in free-swimming fish. Using a hydrodynamic flume, we then experimentally tested the effect of current velocity and substrate (seagrass or sand) on ventilation frequency and behaviour. Ventilation frequency was consistently higher when they swam on sand substratum compared to seagrass substratum for all species, and this was especially noticeable for the species with prehensile tails (i.e. Nerophis ophidion). Seagrass canopies reduced flow velocities by 7%-44%, which increased the overall current exposure that pipefish tolerated. N. ophidion, Syngnathus rostellatus and Syngnathus typhle showed two behavioural responses to currents: holding on to the seagrass canopy, and moving to areas where the current was lower (i.e. bottom) in trials without seagrass. Most of the individuals of all species were unable to maintain position in velocities of 15-18 cm/s on sand substratum. In this work, we demonstrate the reliance on seagrass hydrodynamic shelter of four species of pipefish. Among them, N. ophidion showed the highest seagrass shelter dependence and vulnerability, while S. rostellatus and S. typhle are potentially more resilient to vegetation changes. Increased energy expenditure is thus another impact on fishes as seagrass beds and other structural habitats continue to decline in coastal areas. A free Plain Language Summary can be found within the Supporting Information of this article.</t>
  </si>
  <si>
    <t>10.1111/1365-2435.13876</t>
  </si>
  <si>
    <t>Soreide, JE; Nygard, H</t>
  </si>
  <si>
    <t>Challenges using stable isotopes for estimating trophic levels in marine amphipods</t>
  </si>
  <si>
    <t>Anonyx nugax; Gammarus wilkitzkii; Themisto libellula; Exoskeleton; Isotopes; Trophic levels</t>
  </si>
  <si>
    <t>FOOD-WEB STRUCTURE; MARGINAL ICE-ZONE; BARENTS SEA; CARBON ISOTOPES; AMINO-ACIDS; DELTA-C-13; FRACTIONATION; CONTAMINANTS; ZOOPLANKTON; SUMMER</t>
  </si>
  <si>
    <t>In marine food web studies, stable isotopes of nitrogen (delta N-15) and carbon (delta C-13) are widely used to estimate organisms' trophic levels (TL) and carbon sources, respectively. For smaller organisms, whole specimens are commonly analyzed. However, this bulk method involves several pitfalls since different tissues may fractionate stable isotopes differently. We compared the delta N-15 and delta C-13 values of exoskeleton versus soft tissue, in relation to whole specimens, of three common Arctic amphipods in Svalbard waters: the benthic Anonyx nugax, the sympagic (ice-associated) Gammarus wilkitzkii and the pelagic Themisto libellula. The delta N-15 values of the exo-skeletons were significantly lower than those of the soft tissues for A. nugax (10.5 +/- 0.7 parts per thousand vs. 15.7 +/- 0.7 parts per thousand), G. wilkitzkii (3.3 +/- 0.3 parts per thousand vs. 8.3 +/- 0.4 parts per thousand) and T. libellula (8.6 +/- 0.3 parts per thousand vs. 10.8 +/- 0.3 parts per thousand). The differences in delta C-13 values between exoskeletons and soft tissues were insignificant, except for A. nugax (-21.2 +/- 0.2 parts per thousand vs. -20.3 +/- 0.2 parts per thousand, respectively). The delta N-15 values of whole organisms were between those of the exoskeletons and the soft tissues, being similarly enriched in N-15 as the exoskeletons (except G. wilkitzkii) and depleted in N-15 by 1.2-3.7 parts per thousand compared to the soft tissues. The delta N-15-derived TLs of the soft tissues agreed best with the known feeding preferences of the three amphipods, which suggest a potential underestimation of 0.5-1.0 TL when stable isotope analyses are performed on whole crustaceans with thick exoskeletons. The insignificant or small differences in delta C-13 values among exoskeletons, soft tissues and whole specimens, however, suggest low probability for misinterpretations of crustaceans' primary carbon source in marine ecosystems with distinctly different delta C-13-carbon sources.</t>
  </si>
  <si>
    <t>10.1007/s00300-011-1073-3</t>
  </si>
  <si>
    <t>Lavergne, A; Sandoval, D; Hare, VJ; Graven, H; Prentice, IC</t>
  </si>
  <si>
    <t>Impacts of soil water stress on the acclimated stomatal limitation of photosynthesis: Insights from stable carbon isotope data</t>
  </si>
  <si>
    <t>drought; leaf-internal CO2; least-cost hypothesis; leaves; optimality; stable carbon isotopes; tree rings; water use strategies</t>
  </si>
  <si>
    <t>USE EFFICIENCY; MESOPHYLL CONDUCTANCE; INTERNAL CONDUCTANCE; TEMPERATURE RESPONSE; LAND EVAPORATION; ELEVATED CO2; MODELS; DROUGHT; LEAF; GAIN</t>
  </si>
  <si>
    <t>Atmospheric aridity and drought both influence physiological function in plant leaves, but their relative contributions to changes in the ratio of leaf internal to ambient partial pressure of CO2(chi) - an index of adjustments in both stomatal conductance and photosynthetic rate to environmental conditions - are difficult to disentangle. Many stomatal models predicting chi include the influence of only one of these drivers. In particular, the least-cost optimality hypothesis considers the effect of atmospheric demand for water on chi but does not predict how soils with reduced water further influence chi, potentially leading to an overestimation of chi under dry conditions. Here, we use a large network of stable carbon isotope measurements in C(3)woody plants to examine the acclimated response of chi to soil water stress. We estimate the ratio of cost factors for carboxylation and transpiration (beta) expected from the theory to explain the variance in the data, and investigate the responses of beta(and thus chi) to soil water content and suction across seed plant groups, leaf phenological types and regions. Overall,beta decreases linearly with soil drying, implying that the cost of water transport along the soil-plant-atmosphere continuum increases as water available in the soil decreases. However, despite contrasting hydraulic strategies, the stomatal responses of angiosperms and gymnosperms to soil water tend to converge, consistent with the optimality theory. The prediction of beta as a simple, empirical function of soil water significantly improves chi predictions by up to 6.3 +/- 2.3% (mean +/- SDof adjusted-R-2) over 1980-2018 and results in a reduction of around 2% of mean chi values across the globe. Our results highlight the importance of soil water status on stomatal functions and plant water-use efficiency, and suggest the implementation of trait-based hydraulic functions into the model to account for soil water stress.</t>
  </si>
  <si>
    <t>10.1111/gcb.15364</t>
  </si>
  <si>
    <t>Boyle, MJW; Bishop, TR; Luke, SH; van Breugel, M; Evans, TA; Pfeifer, M; Fayle, TM; Hardwick, SR; Lane-Shaw, RI; Yusah, KM; Ashford, ICR; Ashford, OS; Garnett, E; Turner, EC; Wilkinson, CL; Chung, AYC; Ewers, RM</t>
  </si>
  <si>
    <t>Localised climate change defines ant communities in human-modified tropical landscapes</t>
  </si>
  <si>
    <t>climate change; fragmentation; insects; land-use change; logging; microclimate; oil palm; tropical forests</t>
  </si>
  <si>
    <t>OIL PALM PLANTATION; RAIN-FOREST; HEAT TOLERANCE; HYMENOPTERA-FORMICIDAE; THERMAL TOLERANCE; SPECIES RESPONSES; TRADE-OFF; BIODIVERSITY; DISTURBANCE; ECOLOGY</t>
  </si>
  <si>
    <t>Logging and habitat conversion create hotter microclimates in tropical forest landscapes, representing a powerful form of localised anthropogenic climate change. It is widely believed that these emergent conditions are responsible for driving changes in communities of organisms found in modified tropical forests, although the empirical evidence base for this is lacking. Here we investigated how interactions between the physiological traits of genera and the environmental temperatures they experience lead to functional and compositional changes in communities of ants, a key organism in tropical forest ecosystems. We found that the abundance and activity of ant genera along a gradient of forest disturbance in Sabah, Malaysian Borneo, was defined by an interaction between their thermal tolerance (CTmax) and environmental temperature. In more disturbed, warmer habitats, genera with high CTmax had increased relative abundance and functional activity, and those with low CTmax had decreased relative abundance and functional activity. This interaction determined abundance changes between primary and logged forest that differed in daily maximum temperature by a modest 1.1 degrees C, and strengthened as the change in microclimate increased with disturbance. Between habitats that differed by 5.6 degrees C (primary forest to oil palm) and 4.5 degrees C (logged forest to oil palm), a 1 degrees C difference in CTmax among genera led to a 23% and 16% change in relative abundance, and a 22% and 17% difference in functional activity. CTmax was negatively correlated with body size and trophic position, with ants becoming significantly smaller and less predatory as microclimate temperatures increased. Our results provide evidence to support the widely held, but never directly tested, assumption that physiological tolerances underpin the influence of disturbance-induced microclimate change on the abundance and function of invertebrates in tropical landscapes. A free Plain Language Summary can be found within the Supporting Information of this article.</t>
  </si>
  <si>
    <t>10.1111/1365-2435.13737</t>
  </si>
  <si>
    <t>Moore, G; Li, F; Kui, L; West, J</t>
  </si>
  <si>
    <t>Flood water legacy as a persistent source for riparian vegetation during prolonged drought: an isotopic study of Arundo donax on the Rio Grande</t>
  </si>
  <si>
    <t>floodplain hydrology; Hurricane Alex; drought; stable isotopes; deuterium; water source partitioning; plant uptake; invasive species</t>
  </si>
  <si>
    <t>MOJAVE DESERT FLOODPLAIN; LOWER COLORADO RIVER; TAMARIX-RAMOSISSIMA; STABLE-ISOTOPE; CONTROLLED ECOSYSTEMS; HYDROLOGIC PROCESSES; DRYLAND RIVER; ACTIVE-ROLE; PLANTS; TREES</t>
  </si>
  <si>
    <t>Invasive riparian plants along arid and semi-arid rivers are thought to accelerate stream flow recession rates during drought. However, the fraction of river water used directly by plants is unknown. Riparian water sources for plants may also include shallow groundwater, which may differ from the river itself, or water from the unsaturated zone originating from localized rain events or prior floods. Floods that saturate the soil may persist as a lasting legacy to sustain plants over longer time scales. In this study, we examined potential sources of water used by Giant Reed (Arundo donax L.) following a flood and subsequent prolonged drought using natural-abundance stable isotopes of oxygen (delta O-18) and hydrogen (delta H-2). River and rain water, groundwater, soil, and rhizome samples were collected along four approximately 100-m transects perpendicular to the Rio Grande River in southwest Texas. Our observations coincided with a major flood that saturated soils in July of 2010 followed by extreme drought through fall of 2011. Our results showed that the isotope ratio of rhizome water was consistent with prolonged utilization of flood water, which persisted within flood-recharged surface soils throughout the following summer. Apparently, groundwater was not the dominant source for A. donax when soil moisture was sufficient for plant uptake following a flood. While hydrogeology of rivers vary, this finding highlights the potential for floodwater to sustain riparian vegetation for prolonged periods without rainfall and demonstrates that this may be an important alternative source of water that is not currently accounted for in hydrologic models. Copyright (C) 2015 John Wiley &amp; Sons, Ltd.</t>
  </si>
  <si>
    <t>10.1002/eco.1698</t>
  </si>
  <si>
    <t>Cote, D; Dempson, JB; Piersiak, M; Layton, K; Roul, S; Laing, R; Angnatok, J; Bradbury, I</t>
  </si>
  <si>
    <t>Using movement, diet, and genetic analyses to understand Arctic charr responses to ecosystem change</t>
  </si>
  <si>
    <t>Diet; Telemetry; Effective population size; Long-term monitoring; Labrador; Nunatsiavut</t>
  </si>
  <si>
    <t>TROUT SALMO-TRUTTA; CAPELIN MALLOTUS-VILLOSUS; SALVELINUS-ALPINUS L.; NORTHWEST ATLANTIC; TEMPORAL VARIABILITY; MARINE TEMPERATURE; PREY AVAILABILITY; CLIMATE-CHANGE; FRESH-WATER; FORAGE FISH</t>
  </si>
  <si>
    <t>Arctic charr Salvelinus alpinus are a commercially and culturally valued species for northern Indigenous peoples. Climate shifts could have important implications for charr and those that rely on them, but studies that evaluate responses to ecosystem change and the spatial scales at which they occur are rare. We compare marine-phase habitat use, long-term diet patterns, and trends in effective population size of Arctic charr from 2 areas (Nain and Saglek) of Nunatsiavut, Labrador, Canada. Tagged charr in both areas frequently occupied estuaries but some also used other habitats that extended to the headland environments outside of their natal fjords. Despite the relatively small distances separating these study areas (&lt; 200 km), we observed differences in habitat use and diet. Northern stocks (including Saglek) were more reliant on invertebrates than southern stocks (e.g. Nain), for which capelin and sand lance were important prey. The use of coastal headlands also varied, with Saglek charr occupying these environments more frequently than those from Nain, which only used these habitats in 1 year of the study. Long-term commercial catches also indicate that the tendency for Nain charr to stay within fjords varies annually and relates to capelin availability. Despite the demonstrated capacity to alter diet and habitat use to changing environmental conditions, notable declines in effective population size were associated with the regime shift of the 1990s in the northwest Atlantic. Collectively, these results demonstrate that behavioral plasticity of Arctic charr may be insufficient to deal with the large environmental perturbations expected to arise from a changing climate.</t>
  </si>
  <si>
    <t>10.3354/meps13775</t>
  </si>
  <si>
    <t>Perez-Barros, P; Guzman, NV; Confalonieri, VA; Lovrich, GA</t>
  </si>
  <si>
    <t>Molecular identification by polymerase chain reaction-restriction fragment length polymorphism of commercially important lithodid species (Crustacea: Anomura) from southern South America</t>
  </si>
  <si>
    <t>Centolla; Centollon; Fisheries management; Food fraud; Southern king crab; Namuncura MPA/ Burdwood Bank</t>
  </si>
  <si>
    <t>CYTOCHROME-B GENE; DECAPODA; SARDINE</t>
  </si>
  <si>
    <t>King crab fisheries constitute a highly profitable marine business in southern South America, where five fisheries for lithodids currently exist, two in Chile and three in Argentina. These fisheries mainly target Lithodes santolla, however in some localities the harvested morphospecies is Lithodes confundens, and in some others it constitutes a mixed fishery since it also captures Paralomis granulosa. Fishery products can be commercialized as frozen shredded or canned minced meat, making specific identification unfeasible since the morphological characters used in the identification are on the carapace, and consequently, not available in these processed products. Therefore, a potential for food fraud exists, since southern king crab meat (L. santolla/ L. confundens) could be replaced by the less expensive false southern king crab, i.e. P. granulosa. Furthermore, incongruence between morphological and genetic characters rendered the taxonomic status of both morphospecies of commercial Lithodes questionable, and stressed the need of implementing molecular methods to monitor the abundance and distribution, as well as the landings, of each genetic Glade of L. santolla/ L. confundens. In the present study, we developed rapid and cost-efficient Polymerase Chain Reaction-Restriction Fragment Length Polymorphism (PCR-RFLP) tests that can aid in the identification of commercially important lithodids that inhabit waters off southern South America in cases where identification is not possible using morphological characters. (C) 2020 Elsevier B.V. All rights reserved.</t>
  </si>
  <si>
    <t>10.1016/j.rsma.2019.101027</t>
  </si>
  <si>
    <t>Norris, DR; Marra, PP; Kyser, TK; Sherry, TW; Ratcliffe, LM</t>
  </si>
  <si>
    <t>Tropical winter habitat limits reproductive success on the temperate breeding grounds in a migratory bird</t>
  </si>
  <si>
    <t>migratory birds; carry-over effects; stable isotopes; population dynamics</t>
  </si>
  <si>
    <t>AMERICAN REDSTARTS; POPULATION LIMITATION; STABLE-CARBON; ARRIVAL DATE; MATE CHOICE; MIGRANT; QUALITY; CONSEQUENCES; EVOLUTION; DOMINANCE</t>
  </si>
  <si>
    <t>Identifying the factors that control population dynamics in migratory animals has been constrained by our inability to track individuals throughout the annual cycle. Using stable carbon isotopes, we show that the reproductive success of a long-distance migratory bird is influenced by the quality of habitat located thousands of kilometres away on tropical wintering grounds. For male American redstarts (Setophaga ruticilla), winter habitat quality influenced arrival date on the breeding grounds, which in turn affected key variables associated with reproduction, including the number of young fledged. Based on a winter-habitat model, females occupying high-quality winter habitat were predicted to produce more than two additional young and to fledge offspring up to a month earlier compared with females wintering in poor-quality habitat. Differences of this magnitude are highly important considering redstarts are single brooded, lay clutches of only three to five eggs and spend only two-and-a-half months on the breeding grounds. Results from this study indicate the importance of understanding how periods of the annual cycle interact for migratory animals. Continued loss of tropical wintering habitat could have negative effects on migratory populations in the following breeding season, minimizing density-dependent effects on the breeding grounds and leading to further population declines. If conservation efforts are to be successful, strategies must incorporate measures to protect all the habitats used during the entire annual cycle of migratory animals.</t>
  </si>
  <si>
    <t>10.1098/rspb.2003.2569</t>
  </si>
  <si>
    <t>Hebert, CE; Burgess, NM; Elliott, JE</t>
  </si>
  <si>
    <t>Temporal trends of essential omega-3 fatty acids in Atlantic and Pacific food webs as measured in eggs of Leach's storm-petrel Oceanodroma leucorhoa</t>
  </si>
  <si>
    <t>Leach's storm-petrel; Oceanodroma leucorhoa; Essential fatty acids; Eicosapentaenoic acid; Docosahexaenoic acid; Stable isotopes; Global warming; Climate change</t>
  </si>
  <si>
    <t>POLYUNSATURATED FATTY-ACIDS; STABLE-ISOTOPES; LONG-CHAIN; ORGANOCHLORINE CONTAMINANTS; MERCURY TRENDS; SEABIRD EGGS; SULFUR; OMEGA-3; CANADA; POPULATIONS</t>
  </si>
  <si>
    <t>Leach's storm-petrel Oceanodroma leucorhoa populations in the North Atlantic have declined in recent decades. The cause of those declines is not clear but one potential contributing factor could be reductions in the availability of essential nutrients due to changing marine ecology resulting from global warming. One group of particular concern is the omega-3 highly unsaturated fatty acids (n-3 HUFAs), in particular, eicosapentaenoic (EPA) and docosahexaenoic (DHA) acids. Dietary sources of EPA and DHA are required for normal growth and development in higher consumers, including birds. However, previous work has predicted increases in sea surface temperatures may cause declines in their availability. Here, we investigate this possibility by examining temporal trends (1992-2015) in EPA and DHA concentrations in Leach's storm-petrel eggs from 5 Canadian colonies: 2 on the Atlantic coast (Gull, Kent Islands) and 3 on the Pacific coast (Hippa, Storm, Cleland Islands). Neither EPA nor DHA concentrations in eggs decreased with time on either coast; rather, on the Atlantic coast, both EPA and DHA increased over the period of study. Carbon stable isotopes in the same eggs indicated that storm-petrels foraging in offshore, pelagic waters may have had increased access to n-3 HUFA. The data generated here provide a baseline for future comparisons. Ongoing regular monitoring of fatty acids in seabird eggs would be prudent given the likelihood of further increases in ocean temperatures.</t>
  </si>
  <si>
    <t>10.3354/meps13955</t>
  </si>
  <si>
    <t>Hempel, M; Neukamm, R; Thiel, R</t>
  </si>
  <si>
    <t>Effects of introduced round goby (Neogobius melanostomus) on diet composition and growth of zander (Sander lucioperca), a main predator in European brackish waters</t>
  </si>
  <si>
    <t>Gobiidae; invasive species; diet shift; predator-prey relationships; Kiel Canal</t>
  </si>
  <si>
    <t>SMALLMOUTH BASS; LAKE-MICHIGAN; BALTIC SEA; DREISSENA-POLYMORPHA; CALCIFIED STRUCTURES; FISH; POPULATION; INVASION; PREY; PIKEPERCH</t>
  </si>
  <si>
    <t>We inspected diet and growth of zander Sander lucioperca, a main predator in North European brackish waters, from the Kiel Canal, northern Germany, to analyse effects of the introduced round goby Neogobius melanostomus as possible prey. Round goby represented the most important fish prey taxon in the zander diet in 2011-2013 with 21.8% of relative importance index (RI) over all inspected specimens. In particular zander of total length &gt;= 200 mm fed heavily on round goby, at least in the warmer quarters (2nd and 3rd) of the years under study. RI for these quarters was ranging from 10.4% to 52.1% for predator specimens of 200-399 mm and from 45.6% to 79.7% of RI for specimens of = 400 mm. In the colder quarters of the inspected years (1st and 4th), zander &gt;= 400 mm showed a high amount of cannibalism, with RI of young-of-the-year zander as prey ranging from 23.9% to 38.9%. The asymptotic total length (L-infinity) of the zander, calculated by the von Bertalanffy growth equation, was 937 mm. In comparison with data from 1995/1996, before the round goby invasion in 2006, zander from our study showed considerable differences in diet composition. RI of the prey organisms herring and Pomatoschistus spp. decreased from 26% to 13.4% and 14.2% to 4.4%, respectively. RI of young-of-the-year zander as prey for larger zander increased from 1.2% to 7.7% and round goby occurred as newly established prey taxon. Zander also showed faster growth and a better condition factor. We assume that this development has the potential to enhance the situation of the local fisheries that are strongly related to the catch of zander. In addition, abundance control of round goby seems to result from the high predator abundance.</t>
  </si>
  <si>
    <t>10.3391/ai.2016.11.2.06</t>
  </si>
  <si>
    <t>Passy, P; Le Gendre, R; Garnier, J; Cugier, P; Callens, J; Paris, F; Billen, G; Riou, P; Romero, E</t>
  </si>
  <si>
    <t>Eutrophication modelling chain for improved management strategies to prevent algal blooms in the Bay of Seine</t>
  </si>
  <si>
    <t>Eutrophication; Harmful algal blooms; Nutrient load; Modelling; Water quality; Seine</t>
  </si>
  <si>
    <t>PHAEOCYSTIS COLONY BLOOMS; SOUTHERN NORTH-SEA; RIVER-BASIN; RIVERSTRAHLER MODEL; NUTRIENT TRANSFER; DRAINAGE NETWORK; WATER-QUALITY; ESTUARY; NITROGEN; PHOSPHORUS</t>
  </si>
  <si>
    <t>Eutrophication of the Seine estuary and the Bay of Seine is a crucial environmental issue for the management of ecosystems and economic activities related to fisheries and tourism in the region. A large quantity of nutrients, especially nitrogen, is brought to the coastal zone by the Seine River, the main input into that area, but also by smaller rivers along the Normandy coast. This large delivery of nitrogen leads to an imbalance between nitrogen (N), phosphorus (P) and silica (Si), which affects the growth of planktonic organisms and can exacerbate the occurrence of harmful algal blooms (HABs). These events can be damaging for shellfish fisheries, an important economic resource for the region. The study describes a new modelling chain coupling a riverine and a marine model (the Seneque/Riverstrahler and the ECO-MARS3D, respectively), which allows us to explore the effects on the coast of 2 scenarios of watershed management. The first one, focused on an upgrade of wastewater treatment plants, decreases the P fluxes by 5 to 35 kg P km(-2) yr(-1) on average over the 2000 to 2006 period, depending on the watershed, and would reduce about 3-fold the concentration of dinoflagellates in the adjacent coastal zone. The second one explores a hypothetical scenario of generalisation of organic farming in all agricultural areas of the basin. Although this is not realistic, it shows the best theoretical results we can achieve. With this scenario, the N fluxes decrease by almost 50%, and the dinoflagellate blooms and thus possibly the Dinophysis spp. blooms are drastically reduced by a factor of 20 to 40. Nevertheless, diatoms, which are the main primary producers in the bay and sustain the marine food web, are not significantly affected by this drastic scenario.</t>
  </si>
  <si>
    <t>10.3354/meps11533</t>
  </si>
  <si>
    <t>Watt, CA; Heide-Jorgensen, MP; Ferguson, SH</t>
  </si>
  <si>
    <t>How adaptable are narwhal? A comparison of foraging patterns among the world's three narwhal populations</t>
  </si>
  <si>
    <t>adaptability; Arctic; climate change; diet; isotopic niche; mixing models; Monodon monoceros; stable isotopes</t>
  </si>
  <si>
    <t>WHALES DELPHINAPTERUS-LEUCAS; FATTY-ACID-COMPOSITION; MONODON-MONOCEROS; STABLE-ISOTOPES; BELUGA WHALES; NICHE WIDTH; PHENOTYPIC PLASTICITY; TROPHIC RELATIONSHIPS; MARINE MAMMALS; WEST GREENLAND</t>
  </si>
  <si>
    <t>How organisms will fare in the face of climate change depends on their behavioral adaptability to changing conditions. Adaptability in foraging behavior will be particularly critical as food web changes are already occurring in Arctic regions. Stomach contents from narwhals (Monodon monoceros) in the Baffin Bay (BB) population have suggested that narwhals are dietary specialists with little behavioral flexibility, but there are two other narwhal populations in the world, the Northern Hudson Bay (NHB) and East Greenland (EG) populations, of which very little is known about diet. We investigated whether plasticity in foraging behaviors existed among the world's narwhal populations and between sexes by comparing their stable isotope values and niches, and running stable isotope mixing models to determine primary prey. Stable isotope analysis was conducted on skin collected by Inuit hunters during their subsistent narwhal hunt in Canada and Greenland. Stable isotope analysis on carbon(delta C-13) and nitrogen (delta(15) N) revealed the three populations have distinct stable isotope values that are not expected based on geographic differences and that males in all populations had significantly higher delta C-13. Stable isotope mixing models revealed narwhals in EG forage more on pelagic prey, particularly capelin, while those in NHB typically forage in the benthos. Males, probably because of their size and enhanced diving ability, likely feed more intensively on benthic organisms, resulting in their higher delta C-13. Stable isotopic niches were similar between males and females in each population, and between NHB and BB, but EG narwhals had a significantly larger niche, suggesting they either forage across a larger geographical expanse, or whales within the population employ individual dietary specialization. This is the first study to use stable isotopes to evaluate and compare diet in all three narwhal populations, which is vital for understanding how they will fare in the face of changing climate. We discuss how narwhal are adaptable in their preferred prey and how there is potential for narwhal to adjust foraging behavior in the face of the dramatic ecosystem shifts occurring with climate warming.</t>
  </si>
  <si>
    <t>10.1890/ES13-00137.1</t>
  </si>
  <si>
    <t>Campbell, JL; Socci, AM; Templer, PH</t>
  </si>
  <si>
    <t>Increased nitrogen leaching following soil freezing is due to decreased root uptake in a northern hardwood forest</t>
  </si>
  <si>
    <t>climate change; root uptake; snow; soil frost; soil solution; stable isotopes</t>
  </si>
  <si>
    <t>NORTHEASTERN UNITED-STATES; BROOK-EXPERIMENTAL-FOREST; NUTRIENT-UPTAKE CAPACITY; SNOW DEPTH; CATSKILL MOUNTAINS; FUTURE CHANGES; NITRATE UPTAKE; CLIMATE-CHANGE; NEW-HAMPSHIRE; INTACT ROOTS</t>
  </si>
  <si>
    <t>The depth and duration of snow pack is declining in the northeastern United States as a result of warming air temperatures. Since snow insulates soil, a decreased snow pack can increase the frequency of soil freezing, which has been shown to have important biogeochemical implications. One of the most notable effects of soil freezing is increased inorganic nitrogen losses from soil during the following growing season. Decreased nitrogen retention is thought to be due to reduced root uptake, but has not yet been measured directly. We conducted a 2-year snow-removal experiment at Hubbard Brook Experimental Forest in New Hampshire, USA to determine the effects of soil freezing on root uptake and leaching of inorganic nitrogen simultaneously. Snow removal significantly increased the depth of maximal soil frost by 37.2 and 39.5 cm in the first and second winters, respectively (P &lt; 0.001 in 2008/2009 and 2009/2010). As a consequence of soil freezing, root uptake of ammonium declined significantly during the first and second growing seasons after snow removal (P = 0.023 for 2009 and P = 0.005 for 2010). These observed reductions in root nitrogen uptake coincided with significant increases in soil solution concentrations of ammonium in the Oa horizon (P = 0.001 for 2009 and 2010) and nitrate in the B horizon (P &lt; 0.001 and P = 0.003 for 2009 and 2010, respectively). The excess flux of dissolved inorganic nitrogen from the Oa horizon that was attributable to soil freezing was 7.0 and 2.8 kg N ha(-1) in 2009 and 2010, respectively. The excess flux of dissolved inorganic nitrogen from the B horizon was lower, amounting to 1.7 and 0.7 kg N ha(-1) in 2009 and 2010, respectively. Results of this study provide direct evidence that soil freezing reduces root nitrogen uptake, demonstrating that the effects of winter climate change on root function has significant consequences for nitrogen retention and loss in forest ecosystems.</t>
  </si>
  <si>
    <t>10.1111/gcb.12532</t>
  </si>
  <si>
    <t>De Santis, V; Quadroni, S; Britton, RJ; Carosi, A; Roberts, CG; Lorenzoni, M; Crosa, G; Zaccara, S</t>
  </si>
  <si>
    <t>Biological and trophic consequences of genetic introgression between endemic and invasive Barbus fishes</t>
  </si>
  <si>
    <t>Trophic impacts; B; plebejus; B; tyberinus; B; barbus; Interspecific hybridization; Hybrid vigour</t>
  </si>
  <si>
    <t>STABLE-ISOTOPE ANALYSES; FRESH-WATER ORGANISMS; STOMACH CONTENTS; ANALYSES INDICATE; FEEDING STRATEGY; SHAPE VARIATION; GUT CONTENT; HYBRIDIZATION; HYBRID; DIET</t>
  </si>
  <si>
    <t>Genetic introgression with native species is recognized as a detrimental impact resulting from biological invasions involving taxonomically similar invaders. Whilst the underlying genetic mechanisms are increasingly understood, the ecological consequences of introgression are relatively less studied, despite their utility for increasing knowledge on how invasion impacts can manifest. Here, the ecological consequences of genetic introgression from an invasive congener were tested using the endemic barbel populations of central Italy, where the invader was the European barbel Barbus barbus. Four populations of native Barbus species (B. plebejus and B. tyberinus) were studied: two purebred and two completely introgressed with alien B. barbus. Across the four populations, differences in their biological traits (growth, body condition and population demographic structure) and trophic ecology (gut content analysis and stable isotope analysis) were tested. While all populations had similar body condition and were dominated by fish up to 2 years of age, the introgressed fish had substantially greater lengths at the same age, with maximum lengths 410-460 mm in hybrids versus 340-360 mm in native purebred barbel. The population characterized by the highest number of introgressed B. barbus alleles (81 %) had the largest trophic niche and a substantially lower trophic position than the other populations through its exploitation of a wider range of resources (e.g. small fishes and plants). These results attest that the genetic introgression of an invasive congener with native species can result in substantial ecological consequences, including the potential for cascading effects.</t>
  </si>
  <si>
    <t>10.1007/s10530-021-02577-6</t>
  </si>
  <si>
    <t>Becker, BH; Beissinger, SR</t>
  </si>
  <si>
    <t>Centennial decline in the trophic level of an endangered seabird after fisheries decline</t>
  </si>
  <si>
    <t>endangered species; Marbled Murrelet; marine food web; seabird diet; stable isotopes</t>
  </si>
  <si>
    <t>LONG-TERM CHANGES; STABLE-ISOTOPES; CLIMATE VARIABILITY; DIETARY SHIFTS; MIXING MODELS; OCEAN CLIMATE; PACIFIC-OCEAN; MARINE BIRD; BERING-SEA; FOOD-WEB</t>
  </si>
  <si>
    <t>Coastal marine ecosystems worldwide have undergone such profound transformations from overfishing that trophic interactions observed today might be artifacts of these changes. We determined whether the trophic level of an endangered seabird, the Marbled Murrelet (Brachyramphus marmoratus), has declined over the past 100 years after the collapse of Pacific sardine (Sardinops sadax) fisheries in the late 1940s and the recent declines of similar fisheries in central California. We compared stable-isotope signatures of delta N-15 and delta C-13 in feathers of museum specimens collected before fisheries decline with values in murrelet feathers collected recently. Values of delta N-15 in prebreeding diets declined significantly, 1.4 parts per thousand or 38% of a trophic level, over the past century during cool ocean conditions and by 0.5 parts per thousand during warm conditions, whereas postbreeding values of delta N-15 were nearly constant. The delta C-13 values in prebreeding diets declined by 0.8 parts per thousand, suggesting an increased importance of krill in modern compared with historic prebreeding diets, but postbreeding diets did not change. Stable-isotope mixing models indicated that the proportion of energetically superior, high-trophic-level prey declined strongly whereas energetically poor, low-trophic-level and midtrophic-level prey increased in the prebreeding diet in cool years when murrelet reproduction was likely to be high. Decreased prey resources have caused murrelets to fish further down on the food web, appear partly responsible for poor murrelet reproduction, and may have contributed to its listing under the U.S. Endangered Species Act.</t>
  </si>
  <si>
    <t>10.1111/j.1523-1739.2006.00379.x</t>
  </si>
  <si>
    <t>Gao, XD; Liu, ZP; Zhao, XN; Ling, Q; Huo, GP; Wu, PT</t>
  </si>
  <si>
    <t>Extreme natural drought enhances interspecific facilitation in semiarid agroforestry systems</t>
  </si>
  <si>
    <t>Intercropping; Water use; Soil water; Stable isotopes; Interaction; Bayesian mixing model</t>
  </si>
  <si>
    <t>LOESS PLATEAU; SOIL-MOISTURE; COCOA AGROFORESTRY; CLIMATE-CHANGE; WATER SOURCES; COMPETITION; CHINA; EVAPOTRANSPIRATION; REVEGETATION; BIODIVERSITY</t>
  </si>
  <si>
    <t>Agroforestry is a widely advocated adaptation strategy for enhancing agricultural resilience to extreme climates. However, it is somewhat controversial and there is limited evidence regarding its efficacy in semiarid regions. Here we describe studies on jujube agroforestry regimes using two different cash crops: the annual fodder species rape (Brassica napus) and the perennial daylily (Hemerocallis fulva). The jujube agroforestry systems were characterized with respect to their interspecific water interactions and their responses to extreme natural drought using stable isotopic techniques and in situ soil water observations in China's semiarid Loess Plateau region. We found that agroforestry altered the jujube trees' water sources but its impact depended on soil wetness: compared to monocultures, jujube trees in agroforestry systems generally shifted to deeper water under dry conditions but to shallower water under wet conditions. Complementary water use between jujube trees and crops was observed on most sampling dates, but there was clear evidence of water competition in the shallow layer under relatively wet conditions. Furthermore, a simple index, Relative Difference in Soil Water content (RDSW), was developed to indicate interspecific water interactions under various wetness conditions. It was found that facilitative interspecific interactions were clearly enhanced in both agroforestry systems during extreme drought. In addition, jujube yields in agroforestry systems were clearly higher than in monoculture. These findings demonstrate that agroforestry is a climate-smart agricultural system and can increase the resilience of semiarid jujube plantations to extreme real-world drought.</t>
  </si>
  <si>
    <t>10.1016/j.agee.2018.07.001</t>
  </si>
  <si>
    <t>Moorhouse, HL; McGowan, S; Jones, MD; Barker, P; Leavitt, PR; Brayshaw, SA; Haworth, EY</t>
  </si>
  <si>
    <t>Contrasting effects of nutrients and climate on algal communities in two lakes in the Windermere catchment since the late 19th century</t>
  </si>
  <si>
    <t>algal pigments; climate change; English Lake District; nutrients; palaeolimnology</t>
  </si>
  <si>
    <t>NORTH-ATLANTIC OSCILLATION; BLELHAM TARN; RECENT SEDIMENTS; WATER-QUALITY; FRESH-WATER; LOUGH-NEAGH; LAND-USE; PHYTOPLANKTON; PHOSPHORUS; EUTROPHICATION</t>
  </si>
  <si>
    <t>Disentangling the role of nutrient pollution and climate change on lake ecosystem functioning is paramount to protect water quality in lake catchments worldwide. For more effective management, however, we need to determine whether these two forcing factors interact at different spatial and temporal scales. This study compares centennial-scale archival data and lake sediment records of eutrophication from Blelham Tarn and previously published data from Lake Windermere's North Basin in the English Lake District. We aimed to quantify how lake morphometry, catchment characteristics and landscape position influence the relationship between climate, local land use and algal community change. Redundancy analysis revealed that increases in cyanobacterial pigments and stable isotopes of nitrogen and carbon in sediments of Blelham Tarn from the 1970s onwards correlate strongly with rising densities of sheep and cattle in the catchment. Concomitant installation of piped water and sewage processing facilities appeared to lead to the expansion of filamentous cyanobacteria. In contrast, elevated fossil pigments from siliceous algae after 1990 were related inversely to winter precipitation, suggesting seasonal changes in hydraulic flushing also influenced the algal community response to centennial-scale fertilisation. Abundance of vernal algae increased synchronously in Blelham Tarn and Lake Windermere's North Basin after regional agricultural intensification in the mid-nineteenth century. In contrast, differences in timing of wastewater disposal and treatment at each site led to asynchronous changes in summer taxa such as filamentous cyanobacteria. This study highlights that lake catchments can act as local filters to regional climate change, both due to differences in localised land-use and intrinsic hydrological features (e.g. catchment:lake area, flushing rate). Further, this paper highlights the ability of palaeolimnology to aid identification of significant nutrient sources over different spatial scales for effective catchment water management. 10.1111/(ISSN)1365-2427</t>
  </si>
  <si>
    <t>10.1111/fwb.12457</t>
  </si>
  <si>
    <t>Szpak, P; Buckley, M; Darwent, CM; Richards, MP</t>
  </si>
  <si>
    <t>Long-term ecological changes in marine mammals driven by recent warming in northwestern Alaska</t>
  </si>
  <si>
    <t>Arctic; climate change; marine mammals; paleoecology; sea ice; stable isotopes; western Alaska</t>
  </si>
  <si>
    <t>FOOD-WEB STRUCTURE; DINOCYST-BASED RECONSTRUCTIONS; ARCTIC CANADA IMPLICATIONS; STABLE-ISOTOPE ANALYSIS; N-15 NATURAL-ABUNDANCE; SEA-ICE; TROPHIC RELATIONSHIPS; BONE-COLLAGEN; CHUKCHI SEA; BERING-SEA</t>
  </si>
  <si>
    <t>Carbon and nitrogen isotopes analyses were performed on marine mammal bone collagen from three archaeological sites (AD 1170-1813) on Cape Espenberg (Kotzebue Sound, northwestern Alaska) as well as modern animals harvested from the same area to examine long-term trends in foraging ecology and sea ice productivity. We observed significant and dramatic changes in ringed seal stable isotope values between the early 19th and early 21st centuries, likely due to changing sea ice productivity and reduced delivery of organic matter to the benthos driven by recent warming in the Arctic. These data highlight the importance of the archaeological record for providing a long-term perspective on environmental variation and interpreting recent changes driven by anthropogenic processes.</t>
  </si>
  <si>
    <t>10.1111/gcb.13880</t>
  </si>
  <si>
    <t>Umezawa, Y; Tamaki, A; Suzuki, T; Takeuchi, S; Yoshimizu, C; Tayasu, I</t>
  </si>
  <si>
    <t>Phytoplankton as a principal diet for callianassid shrimp larvae in coastal waters, estimated from laboratory rearing and stable isotope analysis</t>
  </si>
  <si>
    <t>Nihonotrypaea harmandi; Zoea; Rearing; Diatom; Isotopic trophic enrichment factor; Amino-acid-delta N-15-based trophic position; Phytodetritus; Protists</t>
  </si>
  <si>
    <t>PARTICULATE ORGANIC-MATTER; MARINE INVERTEBRATE LARVAE; FOOD-WEB STRUCTURE; WESTERN KYUSHU; NIHONOTRYPAEA DECAPODA; CRUSTACEAN LARVAE; GHOST SHRIMP; ZOEAL STAGES; AMINO-ACIDS; CRAB</t>
  </si>
  <si>
    <t>The field diet of meroplanktonic decapod crustacean larvae is poorly known, despite standard use of microzooplankton as food in laboratory culture. Using callianassid shrimp Nihonotrypaea harmandi larvae collected from a 65 m deep inner-shelf location off mid-western Kyushu, Japan, between June and August 2012 and 2013 and mass-reared in the laboratory, a phytoplankton-based diet through larval development (zoeae I-VI to decapodid) was demonstrated. When the pure-cultured diatom Chaetoceros gracilis was fed to zoeae, survival rate to decapodids was 3.4 to 3.9% in 26 to 40 d at 22 degrees C, which was comparable to previous rearing results for zoeae fed microzooplankton. Trophic enrichment factors (TEFs) from stable isotope (SI) analysis of zoeal whole-body tissue in the laboratory were 2.0 parts per thousand for delta C-13 and 1.9 parts per thousand for delta N-15. In the field water column, diatoms dominated the nano-to micro-sized plankton, accounting for 38 to 81% of the biovolume, followed by heterotrophic protists. The trophic position (TP) estimated from amino acid-specific delta N-15 values for the field-collected zoeae VI was 2.1 (TPGlu/Phe) or 2.7 (TPAla/Phe), suggesting that those zoeae fed on mixtures of phytoplankton and heterotrophs including protists. Bulk SI analyses were performed for particulate organic matter (POM; proxy for phytoplankton), microzooplankton (mainly calanoid copepods), and shrimp zoeae to elucidate the diet of larvae in the water column. A shift in SI from fresh to degraded POM was determined through the incubation of field-collected POM. Based on this shift during degradation and larval TEFs, phytoplankton and their sinking detritus with heterotrophic protists were estimated to be the principal diet for those larvae residing mostly below the chlorophyll maximum layer.</t>
  </si>
  <si>
    <t>10.3354/meps12507</t>
  </si>
  <si>
    <t>Wunder, MB; Norris, DR</t>
  </si>
  <si>
    <t>Improved estimates of certainty in stable-isotope-based methods for tracking migratory animals</t>
  </si>
  <si>
    <t>American Redstarts; assignment; likelihood; migratory connectivity; stable-hydrogen isotopes; uncertainty</t>
  </si>
  <si>
    <t>HYDROGEN; BIRDS; PATTERNS; GROUNDS; TRACERS; ORIGINS; RATIOS</t>
  </si>
  <si>
    <t>The use of stable-hydrogen isotopes (delta D) has become a common tool for estimating geographic patterns of movement in migratory animals. This method relies on broad and relatively predictable geographic patterning in delta D values of precipitation, but these patterns are not estimated without error. In addition, delta D measurements are relatively imprecise, particularly for organic tissue. Most models for estimating geographic locations have ignored these sources of error. Common modeling approaches include regression, range-matching, and likelihood-based assignment tests (including discriminant analysis). Here, we show the benefits of a simple stochastic extension to likelihood-based assignment tests that incorporates two estimable sources of error and describe the resulting influence on the certainty of assigning breeding origins for wintering American Redstarts (Setophaga ruticilla), a small Nearctic-Neotropical migratory bird. Through simulation, we incorporated both spatial interpolation error associated with models of delta D in precipitation and analytical error associated with the measurement of delta D in tissue samples. In general, assignments that did not include these sources of error fell within the ranges of the stochastic results, but the difference in proportion of birds assigned to any one breeding region varied by as much as 54%. To explore how the distribution of assignments generated from error models influenced the application of these results, we developed a simple model of winter habitat loss. We removed the proportion of Redstarts wintering at a particular site from the global population and then used the isotope-based assignments to predict the resulting population declines for each breeding region. This gave distributions of change in population sizes, some of which included no change or even a population increase. The sources of error we modeled may challenge the degree of certainty in the use of stable-isotope-based data on connectivity to predict population dynamics of migratory animals. We suggest that stronger inference will result from incorporating these sources of error into future studies that use delta D or other stable isotopes to infer the geographic origin of individuals.</t>
  </si>
  <si>
    <t>10.1890/07-0058.1</t>
  </si>
  <si>
    <t>Pajuelo, M; Bjorndal, KA; Reich, KJ; Vander Zanden, HB; Hawkes, LA; Bolten, AB</t>
  </si>
  <si>
    <t>Assignment of nesting loggerhead turtles to their foraging areas in the Northwest Atlantic using stable isotopes</t>
  </si>
  <si>
    <t>Caretta caretta; delta N-15; delta C-13; foraging area; loggerhead turtles, Mid-Atlantic Bight; Northwest Atlantic; satellite telemetry; South Atlantic Bight; stable isotopes</t>
  </si>
  <si>
    <t>PERSISTENT ORGANIC POLLUTANTS; CARETTA-CARETTA; SEA-TURTLES; SATELLITE TRACKING; GEOGRAPHICAL VARIATION; N-15 INCORPORATION; CARBON ISOTOPES; CLIMATE-CHANGE; NITROGEN; POPULATION</t>
  </si>
  <si>
    <t>Differential foraging area use can affect population demographics of highly migratory fauna because of differential environmental changes and anthropogenic threats among those areas. Thus, identification of foraging areas is vital for the development of effective management strategies for endangered migratory species. In this study, we assigned 375 loggerhead turtles (Caretta caretta) nesting at six locations along the east coast of the United States to their foraging areas in the Northwest Atlantic (NWA) using carbon and nitrogen stable isotope values (delta C-13 and delta N-15). We first evaluated the epidermis delta C-13 and delta N-15 values from 60 adult loggerheads with known foraging grounds. Twenty-two females from 6 nesting beaches and 23 males from one breeding area were tracked with satellite transmitters to identify their foraging locations following breeding, and 15 adult turtles were sampled at one foraging ground. Significant trends were observed between both delta C-13 and delta N-15 values of satellite-tracked loggerheads and the latitude of the foraging grounds to which the turtles migrated, reflecting a geographic pattern in the stable isotope values. Both delta C-13 and delta N-15 values characterized three geographic areas-with distinct abiotic and biotic features-used by adult loggerheads in the NWA. Discriminant analysis assigned all 375 female loggerheads to one of the three foraging areas; 91% were assigned with probabilities of &gt;= 80%. The proportion of nesting turtles using each foraging ground varied geographically; most turtles nesting in northern beaches (72-80%) tend to forage at higher latitudes while most turtles nesting in southern beaches (46-81%) tend to forage at lower latitudes. Stable isotopes can reveal the foraging location of loggerhead turtles in the NWA, which will allow robust analyses of foraging ground effects on demography and improve the design of management strategies for the conservation of loggerhead populations. The conclusions and methods developed in this study are also relevant for other populations of sea turtles and for other highly migratory species.</t>
  </si>
  <si>
    <t>10.1890/ES12-00220.1</t>
  </si>
  <si>
    <t>Golubkov, S; Tiunov, A; Golubkov, M</t>
  </si>
  <si>
    <t>Food-web modification in the eastern Gulf of Finland after invasion of Marenzelleria arctia (Spionidae, Polychaeta)</t>
  </si>
  <si>
    <t>NIS; stable isotopes; bioturbation; detritivores; macroinvertebrates; zoobenthos; Neva Estuary</t>
  </si>
  <si>
    <t>The paucity of data on non-indigenous marine species is a particular challenge for understanding the ecology of invasions and prioritising conservation and research efforts in marine ecosystems. Marenzelleria spp. are amongst the most successful non-native benthic species in the Baltic Sea during recent decades. We used stable isotope analysis (SIA) to test the hypothesis that the dominance of polychaete worm Marenzelleria arctia in the zoobenthos of the Neva Estuary after its invasion in the late 2000s is related to the position of this species in the benthic food webs. The trend towards a gradual decrease in the biomass of Marenzelleria worms was observed during 2014-2020, probably due to significant negative relationships between the biomass of oligochaetes and polychaetes, both of which, according to SIA, primarily use allochthonous organic carbon for their production. The biomass of benthic crustaceans practically did not change and remained very low. The SIA showed that, in contrast to the native crustacean Monoporeia affinis, polychates are practically not consumed either by the main invertebrate predator Saduria entomon, which preys on M. affinis, oligochaetes and larvae of chironomids or by benthivorous fish that prefer native benthic crustaceans. A hypothetical model for the position and functional role of M. arctia in the bottom food web is presented and discussed. According the model, the invasion of M. arctia has created an offshoot food chain in the Estuary food webs. The former dominant food webs, associated with native crustaceans, are now poorly developed. The lack of top-down control obviously contributes to the significant development of the Marenzelleria food chain, which, unlike native food chains, does not provide energy transfer from autochthonous and allochthonous organic matter to the upper trophic levels. The study showed that an alien species, without displacing native species, can significantly change the structure of food webs, creating blind offshoots of the food chain.</t>
  </si>
  <si>
    <t>10.3897/neobiota.66.63847</t>
  </si>
  <si>
    <t>Borza, P; Huber, T; Leitner, P; Remund, N; Graf, W</t>
  </si>
  <si>
    <t>Niche differentiation among invasive Ponto-Caspian Chelicorophium species (Crustacea, Amphipoda, Corophiidae) by food particle size</t>
  </si>
  <si>
    <t>Benthic-pelagic coupling; Filter-feeding; Invasion impact; River Danube; Suspended matter</t>
  </si>
  <si>
    <t>DISTRIBUTIONAL PATTERNS; DREISSENA-POLYMORPHA; RANGE EXTENSION; FEEDERS; RHINE; MALACOSTRACA; COMPETITION; SELECTION; ECOSYSTEM; INVADER</t>
  </si>
  <si>
    <t>After Chelicorophium curvispinum, two other Ponto-Caspian tube-dwelling, filter-feeding amphipod species (Chelicorophium robustum and Chelicorophium sowinskyi) have colonized several catchments in Central and Western Europe in recent decades. To reveal the mechanism of niche differentiation among them, we measured the mesh sizes of their filtering apparatus and analyzed multi-habitat sampling data from the River Danube using RDA-based variance partitioning between environmental and spatial explanatory variables. Morphometric data showed a clear differentiation among the species by filter mesh size (C. curvispinum &gt; C. robustum &gt; C. sowinskyi). Field data also indicated the relevance of suspended matter; however, the mere quantity of suspended solids included in the analysis could not explain the abundance patterns effectively. Current velocity, substrate types, and total nitrogen content also had a non-negligible effect; however, their role in the niche differentiation of the species is not evident. In summary, differences in their filter mesh sizes indicate a niche differentiation by food particle size among the invasive Chelicorophium species, allowing their stable coexistence given sufficient size variability in their food source. Consequently, the two recent invaders increase the effectiveness of resource utilization, resulting in a more intensive benthic-pelagic coupling in the colonized ecosystems.</t>
  </si>
  <si>
    <t>10.1007/s10452-018-9653-8</t>
  </si>
  <si>
    <t>Rantala, MV; Luoto, TP; Weckstrom, J; Rautio, M; Nevalainen, L</t>
  </si>
  <si>
    <t>Climate drivers of diatom distribution in shallow subarctic lakes</t>
  </si>
  <si>
    <t>climate change; coloured dissolved organic carbon; diatoms; lake water pH; subarctic lakes</t>
  </si>
  <si>
    <t>DISSOLVED ORGANIC-CARBON; ICE COVER; BATHURST ISLAND; ASSEMBLAGES; TEMPERATURE; LIMITATION; TRENDS; COMMUNITIES; PERIPHYTON; VARIABLES</t>
  </si>
  <si>
    <t>1. Global warming can induce profound changes to the functioning of northern freshwater ecosystems. Diatom (Bacillariophyceae) communities often provide early warning signs of associated ecological regime shifts, responding sensitively to alterations in underwater light climate, nutrient regimes, habitat availability and lake water acid-base balance. The underlying mechanisms are manifold and may be mediated via direct climate impact on the physical and chemical properties of lakes or via changes in the terrestrial environment and catchment-lake coupling. 2. To address catchment-mediated climate effects on diatom community composition, spatial diatom distribution in the surface sediments of 31 subarctic treeline lakes displaying a broad gradient in terrestrial dissolved organic matter (tDOM) was contrasted with limnological indices of light climate, nutrient availability and lake water pH. To evaluate direct and indirect climate impacts on the long-term development of benthic phototrophic communities at the subarctic treeline, fossil diatom assemblages in the sediments of a shallow oligotrophic lake were examined against established temperature variability and inferences of terrestrial influence over the past 600 years. The regional lake set was used to test local calibration models for reconstructing dissolved organic carbon as well as lake water pH that is a fundamental environmental determinant for diatom distribution and may echo temperature variability in dilute lakes. 3. Across the treeline, lake water pH imposed primary control over the benthic-dominated surface sediment diatom communities. The pH influence was connected to catchment geomorphology, soils and vegetation cover and, together with habitat controls, largely superseded tDOM impact on underwater light attenuation and nutrient levels. Similarly, temporal changes in diatom distribution in the sediment core appeared to be relatively little affected by tDOM variability. The species shifts were subtle yet occurred in distinct synchrony with centennial temperature fluctuations, attributed to changing length of the ice cover period and associated effects on lake water chemistry, nutrient regimes and physical habitats. 4. Our results suggest that diatom flora in shallow lakes at the subarctic Fennoscandian treeline may be comparatively resilient towards climate-driven changes in terrestrial carbon and nutrient fluxes. Diatom communities in poorly buffered lakes may, however, be susceptible to catchment greening and changes in hydrology through effects on lake water acid-base balance. While diatom responses in the sediment sequence were subtle, the palaeolimnological record indicates that periphytic diatom communities in shallow oligotrophic subarctic lakes may be sensitive to the effects of global warming.</t>
  </si>
  <si>
    <t>10.1111/fwb.13042</t>
  </si>
  <si>
    <t>McMeans, BC; McCann, KS; Tunney, TD; Fisk, AT; Muir, AM; Lester, N; Shuter, B; Rooney, N</t>
  </si>
  <si>
    <t>The adaptive capacity of lake food webs: from individuals to ecosystems</t>
  </si>
  <si>
    <t>ECOLOGICAL MONOGRAPHS</t>
  </si>
  <si>
    <t>behavior; biomonitoring; climate change; ecosystems; environmental gradients; populations</t>
  </si>
  <si>
    <t>FRESH-WATER ECOSYSTEMS; STABLE-ISOTOPE ANALYSIS; TROPHIC INTERACTIONS; CLIMATE-CHANGE; BODY-SIZE; FISH; IMPACTS; TEMPERATURE; TROUT; ECOLOGY</t>
  </si>
  <si>
    <t>Aquatic ecosystems support size structured food webs, wherein predator-prey body sizes span orders of magnitude. As such, these food webs are replete with extremely generalized feeding strategies, especially among the larger bodied, higher trophic position taxa. The movement scale of aquatic organisms also generally increases with body size and trophic position. Together, these body size, mobility, and foraging relationships suggest that organisms lower in the food web generate relatively distinct energetic pathways by feeding over smaller spatial areas. Concurrently, the potential capacity for generalist foraging and spatial coupling of these pathways often increases, on average, moving up the food web toward higher trophic levels. We argue that these attributes make for a food web architecture that is inherently 'adaptive' in its response to environmental conditions. This is because variation in lower trophic level dynamics is dampened by the capacity of predators to flexibly alter their foraging behavior. We argue that empirical, theoretical, and applied research needs to embrace this inherently adaptive architecture if we are to understand the relationship between structure and function in the face of ongoing environmental change. Toward this goal, we discuss empirical patterns in the structure of lake food webs to suggest that ecosystems change consistently, from individual traits to the structure of whole food webs, under changing environmental conditions. We then explore an empirical example to reveal that explicitly unfolding the mechanisms that drive these adaptive responses offers insight into how human-driven impacts, such as climate change, invasive species, and fisheries harvest, ought to influence ecosystem structure and function (e.g., stability, secondary productivity, maintenance of major energy pathways). We end by arguing that such a directed food web research program promises a powerful across-scale framework for more effective ecosystem monitoring and management.</t>
  </si>
  <si>
    <t>10.1890/15-0288.1</t>
  </si>
  <si>
    <t>Cucherousset, J; Acou, A; Blanchet, S; Britton, JR; Beaumont, WRC; Gozlan, RE</t>
  </si>
  <si>
    <t>Fitness consequences of individual specialisation in resource use and trophic morphology in European eels</t>
  </si>
  <si>
    <t>Niche segregation; Disruptive selection; Resource polymorphism; Stable isotope analyses; Interindividual variability</t>
  </si>
  <si>
    <t>ANGUILLA-ANGUILLA L.; INTRASPECIFIC COMPETITION; DISRUPTIVE SELECTION; NATURAL-POPULATIONS; STABLE-ISOTOPES; POLYMORPHISM; POSITION; NICHE; FISH; VARIABILITY</t>
  </si>
  <si>
    <t>Individual specialisation can lead to the exploitation of different trophic and habitat resources and the production of morphological variability within a population. Although the ecological causes of this phenomenon are relatively well known, its consequences on individual fitness are less recognised. We have investigated the extent of individual specialisation in resource use and trophic morphology and its fitness consequences through a combination of tagging-recapture, stable isotope analyses and telemetry. The European eel (Anguilla anguilla) was the model species as it displays significant variability in head shape. Independent to their body length, individuals with broader heads displayed a significantly higher trophic position (delta N-15) than individuals with narrower heads. This corresponded with a significantly higher proportion of prey fish in their diet compared with invertebrates and was associated with the use of a habitat niche located further from the river bank. The European eel therefore provides a rare empirical example of individual specialisation in resource use and trophic morphology in a natural population occurring at a very small spatial scale. Individuals with intermediate head morphology displayed lower body condition (a proxy of fitness) than individuals with extreme head morphology (i.e. narrower and broader headed individuals), demonstrating the existence of disruptive selection associated with individual specialisation.</t>
  </si>
  <si>
    <t>10.1007/s00442-011-1974-4</t>
  </si>
  <si>
    <t>Comas, M; Escoriza, D; Moreno-Rueda, G</t>
  </si>
  <si>
    <t>Stable isotope analysis reveals variation in trophic niche depending on altitude in an endemic alpine gecko</t>
  </si>
  <si>
    <t>BASIC AND APPLIED ECOLOGY</t>
  </si>
  <si>
    <t>Competition; Climate change; Carbon isotopes; Niche breadth; Nitrogen isotopes; Quedenfeldtia trachyblepharus</t>
  </si>
  <si>
    <t>HIGH ATLAS MOUNTAINS; CLIMATE-CHANGE; SPECIES RICHNESS; LIZARDS; CARBON; COMPETITION; DIVERSITY; NITROGEN; OVERLAP; DIET</t>
  </si>
  <si>
    <t>Interspecific competition is considered a major determinant of ecological niche. It is hypothesized that increased competition should reduce niche breadth. However, there are scarce field tests on this hypothesis. Here, we test this central hypothesis in ecology by using the Atlas day gecko Quedenfeldtia trachyblepharus. This alpine gecko faces fewer competitors as altitude increases, and thereby, we predict that this species should increase niche breadth and relevant fitness parameters with altitude. We tested this prediction by analysing the isotopic signature of carbon (delta C-13) and nitrogen (delta N-15). Our results reveal that specimens from higher altitudes showed higher values for both carbon (delta C-13) and nitrogen (delta N-15) isotopes, had better body condition and a greater isotopic breadth when compared to specimens from lower altitudes. Altitudinal variation in carbon values was not explained by variation in isotopic concentration in the baseline of the trophic chain. Therefore, our findings support the prediction that relaxed interspecific competition favours increased trophic niche breadth. These results also suggest that global warming may represent an important threat for this species, as it may provoke the ascent in altitude of competitors, with negative consequences for the conservation of this endemism.</t>
  </si>
  <si>
    <t>10.1016/j.baae.2014.05.005</t>
  </si>
  <si>
    <t>Dehnhard, N; Eens, M; Sturaro, N; Lepoint, G; Demongin, L; Quillfeldt, P; Poisbleau, M</t>
  </si>
  <si>
    <t>Is individual consistency in body mass and reproductive decisions linked to individual specialization in foraging behavior in a long-lived seabird?</t>
  </si>
  <si>
    <t>Clutch mass; environmental variability; Eudyptes chrysocome; global climate change; phenology; sea surface temperature; Southern Annular Mode; Southern Oscillation Index; southern rockhopper penguin; stable isotopes</t>
  </si>
  <si>
    <t>STABLE-ISOTOPES; PHENOTYPIC PLASTICITY; ROCKHOPPER PENGUINS; BREEDING PHENOLOGY; SEASONAL-CHANGES; MARINE PREDATOR; TROPHIC NICHE; WESTERN GULLS; CLIMATE; WINTER</t>
  </si>
  <si>
    <t>Individual specialization in diet or foraging behavior within apparently generalist populations has been described for many species, especially in polar and temperate marine environments, where resource distribution is relatively predictable. It is unclear, however, whether and how increased environmental variability - and thus reduced predictability of resources - due to global climate change will affect individual specialization. We determined the within-and among-individual components of the trophic niche and the within-individual repeatability of delta C-13 and delta N-15 in feathers and red blood cells of individual female southern rockhopper penguins (Eudyptes chrysocome) across 7 years. We also investigated the effect of environmental variables (Southern Annular Mode, Southern Oscillation Index, and local sea surface temperature anomaly) on the isotopic values, as well as the link between stable isotopes and female body mass, clutch initiation dates, and total clutch mass. We observed consistent red blood cell delta C-13 and delta N-15 values within individuals among years, suggesting a moderate degree of within-individual specialization in C and N during the pre-breeding period. However, the total niche width was reduced and individual specialization not present during the premolt period. Despite significant inter-annual differences in isotope values of C and N and environmental conditions, none of the environmental variables were linked to stable isotope values and thus able to explain phenotypic plasticity. Furthermore, neither the within-individual nor among-individual effects of stable isotopes were found to be related to female body mass, clutch initiation date, or total clutch mass. In conclusion, our results emphasize that the degree of specialization within generalist populations can vary over the course of 1 year, even when being consistent within the same season across years. We were unable to confirm that environmental variability counteracts individual specialization in foraging behavior, as phenotypic plasticity in delta C-13 and delta N-15 was not linked to any of the environmental variables studied.</t>
  </si>
  <si>
    <t>10.1002/ece3.2213</t>
  </si>
  <si>
    <t>Eichhorn, G; Meijer, HAJ; Oosterbeek, K; Klaassen, M</t>
  </si>
  <si>
    <t>Does agricultural food provide a good alternative to a natural diet for body store deposition in geese?</t>
  </si>
  <si>
    <t>agriculture; amino acid profile; body composition; body stores; Branta leucopsis; global change; grassland; habitat shift; herbivore; migration; stable isotopes; Wadden Sea</t>
  </si>
  <si>
    <t>PINK-FOOTED GEESE; BARNACLE GEESE; BRANTA-LEUCOPSIS; SNOW GEESE; MIGRATORY CONNECTIVITY; ARCTIC GEESE; HABITAT USE; LAND-USE; GRASSLAND; BERNICLA</t>
  </si>
  <si>
    <t>Over the past decades most goose populations have become increasingly dependent on agricultural crops during wintering and migration periods. The suitability of agricultural crops to support all nutritional requirements of migratory geese for the deposition of body stores has been questioned; feeding on agricultural crops may yield higher rates of fat deposition at the cost of reduced protein accretion due to an unbalanced diet. We compared amino-acid composition of forage, and investigated food-habitat use and dynamics and composition of body stores deposited by barnacle geese feeding on agricultural pasture and in natural salt marsh during spring migratory preparation. Overall content and composition of amino acids was similar among forage from both habitats and appeared equally suitable for protein accretion. There was no relationship between body composition of geese and their preferred food habitat. Fat and wet protein contributed with 67% and 33%, respectively, to body stores gained at a rate of 11 g/d throughout the one-month study period. We found no evidence of impaired protein accretion in geese using agricultural grassland compared to natural salt marsh. Our study supports the hypothesis that the expansion of feeding habitat by including agricultural grassland has played an important role in the recent growth of the East Atlantic flyway population of barnacle geese and other herbivorous waterbirds. Feeding refuges of improved grassland provide geese with an adequate diet for the deposition of body stores crucial for spring migration and subsequent reproduction, thereby alleviating the conflict with agriculture.</t>
  </si>
  <si>
    <t>10.1890/ES11-00316.1</t>
  </si>
  <si>
    <t>van Denderen, PD; Petrik, CM; Stock, CA; Andersen, KH</t>
  </si>
  <si>
    <t>Emergent global biogeography of marine fish food webs</t>
  </si>
  <si>
    <t>benthic-pelagic coupling; energy chains; fish; mesopelagic; size-based models; trait-based ecology</t>
  </si>
  <si>
    <t>MESOPELAGIC FISHES; TROPHIC STRUCTURE; DEMERSAL FISH; SIZE; CATCHES; ASSEMBLAGES; COMMUNITY; ECOPATH; ECOLOGY; BIOMASS</t>
  </si>
  <si>
    <t>Aim Understanding how fish food webs emerge from planktonic and benthic energy pathways that sustain them is an important challenge for predicting fisheries production under climate change and quantifying the role of fish in carbon and nutrient cycling. We examine if a trait-based fish community model using the fish traits of maximum body weight and vertical habitat strategy can meet this challenge by globally representing fish food web diversity. Location Global oceans. Time period Predictions are representative of the early 1990s. Major taxa studied Marine teleost fish. Methods We present a size- and trait-based fish community model that explicitly resolves the dependence of fish on pelagic and benthic energy pathways to globally predict fish food web biogeography. The emergent food web structures are compared with regionally calibrated models in three different ecosystem types and used to estimate two fish ecosystem functions: potential fisheries production and benthic-pelagic coupling. Results Variations in pelagic-benthic energy pathways and seafloor depth drive the emergent biogeography of fish food webs from shelf systems to the open ocean, and across the global ocean. Most shelf regions have high benthic production, which favours demersal fish that feed on pelagic and benthic pathways. Continental slopes also show a coupling of benthic and pelagic pathways, sustained through vertically migrating and interacting mesopelagic and deep-sea demersal fish. Open ocean fish communities are primarily structured around the pelagic pathway. Global model results compare favourably with data-driven regional food web models, suggesting that maximum weight and vertical behaviour can capture large-scale variations in food web structure. Main conclusions Mechanistically linking ocean productivity with upper trophic levels using a size- and trait-based fish community model results in spatial variations in food web structure. Energy pathways vary with ocean productivity and seabed depth, thereby shaping the dominant traits and fish communities across ocean biomes.</t>
  </si>
  <si>
    <t>10.1111/geb.13348</t>
  </si>
  <si>
    <t>Sierszen, ME; Peterson, GS; Trebitz, AS; Brazner, JC; West, CW</t>
  </si>
  <si>
    <t>Hydrology and nutrient effects on food-web structure in ten lake superior coastal wetlands</t>
  </si>
  <si>
    <t>coastal wetlands; food webs; stable isotopes; hydrology; nutrients</t>
  </si>
  <si>
    <t>STABLE-ISOTOPE ANALYSIS; LAURENTIAN GREAT-LAKES; NORTH-ATLANTIC OCEAN; CARBON ISOTOPES; NITROGEN ISOTOPES; ZOOPLANKTON; DELTA-C-13; BIOMASS; MACROPHYTES; PERIPHYTON</t>
  </si>
  <si>
    <t>We examined the effects of hydrology and nutrients on the food webs of ten coastal wetlands on Lake Superior, using published stable isotope food web data for three wetlands and original data from seven additional systems in order to span regional hydrologic and nutrient enrichment gradients. We used a dual-source isotope mixing model to estimate the proportion of carbon in fish that originated from planktonic versus periphytic invertebrates, and we related carbon source to 1) nutrient enrichment, 2) hydraulic residence time, and 3) an index of nutrient loading that incorporates residence time and nutrient concentrations. There was no relationship between nutrient enrichment and the proportion of planktonic versus periphytic C in fish. Proportion of planktonic C in fish increased significantly with hydraulic residence time (F = 5.68, R-2 = 0.42, p = 0.044). Riverine wetlands generally had lowest proportions of planktonic C in fish, dendritic wetlands were intermediate, and lagoon wetlands had highest proportions. A regression between the loading index and planktonic C in fish was an improvement over the residence time regression (F = 11.7, R-2 = 0.59, p = 0.009). We conclude that coastal wetland food webs are strongly affected by hydrology and further by nutrient enrichment. This work has implications for the development of food web-based ecological indicators of nutrient enrichment and the use of hydrology as a classification factor in the prediction of nutrient effects on food webs.</t>
  </si>
  <si>
    <t>10.1672/0277-5212(2006)26[951:HANEOF]2.0.CO;2</t>
  </si>
  <si>
    <t>Becker, PH; Gonzalez-Solis, J; Behrends, B; Croxall, J</t>
  </si>
  <si>
    <t>Feather mercury levels in seabirds at South Georgia: influence of trophic position, sex and age</t>
  </si>
  <si>
    <t>interspecific variability; intraspecific variability; trophic position; krill diet; foraging; temporal trend; total mercury; body feathers</t>
  </si>
  <si>
    <t>HEAVY-METAL CONCENTRATIONS; GULLS LARUS-ARGENTATUS; GIANT PETRELS; ARCTOCEPHALUS-GAZELLA; MACRONECTES-HALLI; DOSE-RESPONSE; MOLT STRATEGY; BIRD ISLAND; URIA-AALGE; NORTH</t>
  </si>
  <si>
    <t>We studied the mercury contamination of 13 species of seabirds breeding on Bird Island, South Georgia, in 1998. Total mercury concentrations in body feather samples of birds caught at their breeding colonies were determined. Among the species, grey-headed albatross (8933 ng g(-1)) and southern giant petrel (7774 ng g(-1)) showed the highest, and gentoo penguin (948 ng g(-1)) the lowest body feather mercury concentrations. Mercury levels were negatively correlated with the proportion of crustaceans (mainly krill) in the species' diets, suggesting that the trophic level is the most important factor in explaining the variation of mercury concentrations in Antarctic seabirds. In 4 species studied for age effects among adult birds (grey-headed and black-browed albatross, northern and southern giant petrel), no age-dependent variation in mercury levels was found. Sex differences were also assessed: female gentoo penguins had lower mercury levels than males, which may be related to the elimination of part of the mercury body burden by females into eggs. In contrast, northern giant petrel males had lower levels than females, which may be related to a higher consumption by males of carrion from Antarctic fur seals. In grey-headed albatrosses, mercury levels were 113 % higher than in 1989, when this species was investigated at the same site, indicating a possible increase in mercury pollution of the Southern Ocean during the last decade.</t>
  </si>
  <si>
    <t>10.3354/meps243261</t>
  </si>
  <si>
    <t>Bowen, GJ; Liu, ZF; Vander Zanden, HB; Zhao, L; Takahashi, G</t>
  </si>
  <si>
    <t>Geographic assignment with stable isotopes in IsoMAP</t>
  </si>
  <si>
    <t>bioinformatics; IsoMAP.org; migration; stable isotopes; Bayesian statistics; Web-based analysis; geographic information systems; wildlife forensics; cyberinfrastructure</t>
  </si>
  <si>
    <t>HYDROGEN; ORIGINS; RATIOS; BIRDS; HAIR</t>
  </si>
  <si>
    <t>Stable isotope ratios of H and O (delta H-2 and delta O-18) are intrinsic properties of biological and geological materials, and can be used to constrain the geographic origin and movements of such materials. One of the most widespread uses of such data in ecology is to reconstruct geographic movements of animals by comparing isotope ratios of chemically inert tissues to predictive models ('isoscapes') of spatial isotopic variation in environmental water. Although data analysis for isotope-based geographic assignment is the subject of ongoing research, a basic framework for this work has emerged. Here, we introduce and document a set of data analysis tools, implemented within the IsoMAP (Isoscapes Modelling, Analysis, and Prediction; ) cyber-GIS system, that support basic analysis of sample data for geographic assignment applications. We highlight important considerations and potential pitfalls associated with use or misuse of the tools. In addition to increasing the accessibility of geographic assignment analysis, IsoMAP provides several unique capabilities related to the generation of space- and time-specific water isoscapes that may advance the field of isotope-based assignment. Functionality of the existing toolkit is limited in scope, and although the system will be actively developed in the future, it is intended to complement and not supplant more flexible and customizable analytical tools.</t>
  </si>
  <si>
    <t>10.1111/2041-210X.12147</t>
  </si>
  <si>
    <t>Teichberg, M; Fox, SE; Olsen, YS; Valiela, I; Martinetto, P; Iribarne, O; Muto, EY; Petti, MAV; Corbisier, TN; Soto-Jimenez, M; Paez-Osuna, F; Castro, P; Freitas, H; Zitelli, A; Cardinaletti, M; Tagliapietra, D</t>
  </si>
  <si>
    <t>Eutrophication and macroalgal blooms in temperate and tropical coastal waters: nutrient enrichment experiments with Ulva spp.</t>
  </si>
  <si>
    <t>eutrophication; macroalgal growth; N stable isotopes; nitrogen; nutrient limitation; phosphorus; Ulva; wastewater</t>
  </si>
  <si>
    <t>ENTEROMORPHA-INTESTINALIS; SEAGRASS ASSEMBLAGES; SPECIES COMPOSITION; DELTA-N-15 VALUES; NITROGEN STORAGE; TISSUE NITROGEN; WAQUOIT BAY; NAHANT BAY; MARINE; SHALLOW</t>
  </si>
  <si>
    <t>Receiving coastal waters and estuaries are among the most nutrient-enriched environments on earth, and one of the symptoms of the resulting eutrophication is the proliferation of opportunistic, fast-growing marine seaweeds. Here, we used a widespread macroalga often involved in blooms, Ulva spp., to investigate how supply of nitrogen (N) and phosphorus (P), the two main potential growth-limiting nutrients, influence macroalgal growth in temperate and tropical coastal waters ranging from low- to high-nutrient supplies. We carried out N and P enrichment field experiments on Ulva spp. in seven coastal systems, with one of these systems represented by three different subestuaries, for a total of nine sites. We showed that rate of growth of Ulva spp. was directly correlated to annual dissolved inorganic nitrogen (DIN) concentrations, where growth increased with increasing DIN concentration. Internal N pools of macroalgal fronds were also linked to increased DIN supply, and algal growth rates were tightly coupled to these internal N pools. The increases in DIN appeared to be related to greater inputs of wastewater to these coastal waters as indicated by high delta 15N signatures of the algae as DIN increased. N and P enrichment experiments showed that rate of macroalgal growth was controlled by supply of DIN where ambient DIN concentrations were low, and by P where DIN concentrations were higher, regardless of latitude or geographic setting. These results suggest that understanding the basis for macroalgal blooms, and management of these harmful phenomena, will require information as to nutrient sources, and actions to reduce supply of N and P in coastal waters concerned.</t>
  </si>
  <si>
    <t>10.1111/j.1365-2486.2009.02108.x</t>
  </si>
  <si>
    <t>Connolly, RM; Schlacher, TA; Gaston, TF</t>
  </si>
  <si>
    <t>Stable isotope evidence for trophic subsidy of coastal benthic fisheries by river discharge plumes off small estuaries</t>
  </si>
  <si>
    <t>Crabs; fish; Penaeus; stable isotope analysis; trophic subsidy</t>
  </si>
  <si>
    <t>PARTICULATE ORGANIC-MATTER; FOOD WEBS; FRESH-WATER; RHONE RIVER; FISH; CARBON; MARINE; HABITATS; BAY; ECOSYSTEMS</t>
  </si>
  <si>
    <t>Major rivers produce large plumes which subsidize benthic marine food webs. Because most plumes are smaller, we tested whether these also can link marine food webs with riverine discharges. We used stable isotopes to detect assimilation of terrestrial organic matter by fish, crustaceans and cephalopods harvested from plume areas off two small estuaries in eastern Australia, contrasted with values from marine reference sites. A terrestrial signal was evident in most marine consumers as shifts in carbon and nitrogen isotope ratios. The strongest signal for terrestrial carbon uptake was found in two species harvested commercially, the portunid crab, Portunus sanguinolentus, and the flounder, Pseudorhombus arsius, demonstrating a link between river discharge and fisheries productivity in coastal seas. Against a backdrop of the general presence of a trophic signal imparted by small plumes, absolute contributions of these subsidies were, however, smaller than in larger systems. Also, for the species occurring in both coastal and estuarine waters (sand whiting, Sillago ciliata), isotopic variation was considerably smaller in marine waters than across the estuarine gradient. Overall, small plumes can make contributions to the energy requirements of coastal fisheries species, but their ephemeral nature and small physical dimensions set limits to the degree of land-water ecotonal coupling.</t>
  </si>
  <si>
    <t>10.1080/17451000802266625</t>
  </si>
  <si>
    <t>Hartmann, H; Ziegler, W; Trumbore, S</t>
  </si>
  <si>
    <t>Lethal drought leads to reduction in nonstructural carbohydrates in Norway spruce tree roots but not in the canopy</t>
  </si>
  <si>
    <t>carbon assimilation; carbon balance; carbon reserves; drought-induced tree mortality; respiration; sapflow; stable carbon isotopes</t>
  </si>
  <si>
    <t>WATER-STRESS; CLIMATE-CHANGE; WOODY-PLANTS; RESPIRED CO2; VEGETATION MORTALITY; OSMOTIC ADJUSTMENT; CARBON-STARVATION; STOMATAL CONTROL; HYDRAULIC LIFT; FOREST TREES</t>
  </si>
  <si>
    <t>Heat waves and droughts are expected to increase in frequency and severity in many regions with future climate change, threatening the survival of a number of forest ecosystems. However, our understanding of the physiological processes and mechanisms underlying drought-induced tree mortality is incomplete. Here, we present results on the physiological response of young Norway spruce trees exposed to lethal drought stress. We applied three levels of drought treatment (control, dryingrewetting, complete drought) and monitored relevant physiological functions and processes of carbon and water relations at high temporal resolution until tree death occurred. Only trees subjected to continuous drought died in our experiment. Trees subjected to dryingrewetting cycles consistently recovered in their ability to transport water, indicating that these trees do not suffer permanent damage to the hydraulic system. In all cases, drought reduced carbon assimilation, caused changes in carbon allocation and appeared to have severely reduced phloem functioning and carbon translocation. Structural growth was sacrificed for carbon investment in maintenance respiration and osmoprotection. Severe drought caused trees to rely on stored carbon reserves but, in contrast to above-ground tissues, only root carbon pools were strongly reduced when trees died. Our results indicate that drought-induced changes in carbon allocation, use and transport differ between above- and below-ground tissues in trees. While root death may have been caused by carbon depletion, this was definitely not the case in above-ground tissues. Our findings indicate that mortality mechanisms are not defined at the organism level but rather within tree compartments.</t>
  </si>
  <si>
    <t>10.1111/1365-2435.12046</t>
  </si>
  <si>
    <t>Donald, PF; Buckingham, DL; Moorcroft, D; Muirhead, LB; Evans, AD; Kirby, WB</t>
  </si>
  <si>
    <t>Habitat use and diet of skylarks Alauda arvensis wintering on lowland farmland in southern Britain</t>
  </si>
  <si>
    <t>birds; ecology; habitat selection; seeds; set-aside; stubbles; weeds; winter</t>
  </si>
  <si>
    <t>FIELD USE; POPULATION DECLINES; GRANIVOROUS BIRDS; SURVIVAL RATES; SET-ASIDE; ABUNDANCE; SELECTION; ENGLAND; INVERTEBRATE; PREFERENCES</t>
  </si>
  <si>
    <t>1. The habitat use and diet of skylarks wintering on lowland farms were studied to assess whether changes in agricultural practice could have reduced their most favoured wintering habitats or foods. Faecal samples were collected and soil seed densities were estimated. Skylarks in 122 cereal stubble fields in Oxfordshire were counted monthly to examine habitat use. 2. Cereal stubble fields were more likely to be occupied than other crops, and densities of birds in occupied fields were high. Barley stubbles were significantly more likely to be occupied than wheat stubbles. Growing cereals were weakly selected. Sugar beet stubbles held high densities of birds. Rotational set-aside was occupied more frequently and held higher densities than non-rotational set-aside. 3. Field size affected field occupancy independently of crop type, with larger fields more likely to be occupied. Fields enclosed by hedges or trees tended to be avoided. Cereal and set-aside fields that were occupied by skylarks in at least 1 month held significantly higher soil seed densities than fields that were not occupied. 4. Differences in occupancy between crops could be explained by diet. Birds in cereal stubbles fed largely on cereal grain, whereas those in winter cereals fed largely on cereal leaves. Broad-leaved weed leaves were strongly selected as food in cereal crops and farmland grass fields. In grass fields, the proportion of the diet made up by broad-leaved weeds was positively correlated with their availability. Broad-leaved weed seeds did not make up a significant dietary component in any crop. 5. Our results show that the shift from spring to autumn sowing of cereals has led to a loss of the skylark's most strongly selected wintering habitat and best food source. In winter cereals and in grass there was a high selectivity for relatively scarce, and probably declining, food resources. Our results suggest that the retention of weed-rich cereal (particularly barley) and sugar beet stubbles through the winter, particularly in large open blocks, will improve conditions for skylarks in winter. Whole-field rotational set-aside, particularly as naturally regenerating cereal stubbles, provides good winter food resources for skylarks.</t>
  </si>
  <si>
    <t>10.1046/j.1365-2664.2001.00618.x</t>
  </si>
  <si>
    <t>Himics, M; Giannakis, E; Kushta, J; Hristov, J; Sahoo, A; Perez-Dominguez, I</t>
  </si>
  <si>
    <t>Co-benefits of a flexitarian diet for air quality and human health in Europe</t>
  </si>
  <si>
    <t>ECOLOGICAL ECONOMICS</t>
  </si>
  <si>
    <t>Agricultural air pollution; Flexitarian diet; Premature mortality; Ammonia emission</t>
  </si>
  <si>
    <t>FINE-PARTICULATE MATTER; PREMATURE MORTALITY; FOOD-CONSUMPTION; GLOBAL BURDEN; AEROSOL; MODEL; POLLUTION; EMISSIONS; REDUCTIONS; CHEMISTRY</t>
  </si>
  <si>
    <t>Agriculture is a major source of air pollution in Europe, with adverse impacts on human health. Having recognized the serious health outcomes, and in direct response to public demand for a cleaner environment, European public policies are aiming to reduce air pollution. This study proposes a shift to more plant-based human diets to help achieve bold reduction targets for air pollution from agriculture. To assess the potential reduction in agricultural air pollution, we combine a large-scale partial equilibrium model for agriculture (CAPRI) with an atmospheric chemistry model (WRF-Chem). The health impacts from improved air quality are summarized as premature mortality rates, which are estimated from simulated changes in annual mean PM2.5 concentrations. We find that a shift to plant-based (flexitarian) diets would reduce ammonia emissions by 33% in the European Union (EU), generating significant co-benefits for air quality and human health. The economic benefits from improved human health would also largely mitigate the economic losses in the agricultural sector (39% in the EU and 49% in Europe as a whole). Our results suggest that, by shifting to plant-based human diets, European agriculture could significantly contribute to the targets in the EU Zero Pollution Action Plan.</t>
  </si>
  <si>
    <t>10.1016/j.ecolecon.2021.107232</t>
  </si>
  <si>
    <t>Herzschuh, U; Birks, HJB; Liu, XQ; Kubatzki, C; Lohmann, G</t>
  </si>
  <si>
    <t>RETRACTED: What caused the mid-Holocene forest decline on the eastern Tibet-Qinghai Plateau? (Retracted article. See vol. 20, pg. 366, 2011)</t>
  </si>
  <si>
    <t>Climate change; forest decline; general circulation models; Holocene; human activity; oxygen isotopes; pollen; transfer functions; Tibet-Qinghai Plateau; vegetation</t>
  </si>
  <si>
    <t>OXYGEN-ISOTOPE RECORD; LAST 18,000 YEARS; SOUTHERN TIBET; LAKE QINGHAI; STABLE-ISOTOPES; PALEOENVIRONMENTAL IMPLICATIONS; NIANBAOYEZE MOUNTAINS; ENVIRONMENTAL-CHANGES; HOLOCENE VEGETATION; MOISTURE EVOLUTION</t>
  </si>
  <si>
    <t>Aim Atmospheric CO(2) concentrations depend, in part, on the amount of biomass locked up in terrestrial vegetation. Information on the causes of a broad-scale vegetation transition and associated loss of biomass is thus of critical interest for understanding global palaeoclimatic changes. Pollen records from the north-eastern Tibet-Qinghai Plateau reveal a dramatic and extensive forest decline beginning c. 6000 cal. yr bp. The aim of this study is to elucidate the causes of this regional-scale change from high-biomass forest to low-biomass steppe on the Tibet-Qinghai Plateau during the second half of the Holocene. Location Our study focuses on the north-eastern Tibet-Qinghai Plateau. Stratigraphical data used are from Qinghai Lake (3200 m a.s.l., 36 degrees 32'-37 degrees 15' N, 99 degrees 36'-100 degrees 47' E). Methods We apply a modern pollen-precipitation transfer function from the eastern and north-eastern Tibet-Qinghai Plateau to fossil pollen spectra from Qinghai Lake to reconstruct annual precipitation changes during the Holocene. The reconstructions are compared to a stable oxygen-isotope record from the same sediment core and to results from two transient climate model simulations. Results The pollen-based precipitation reconstruction covering the Holocene parallels moisture changes inferred from the stable oxygen-isotope record. Furthermore, these results are in close agreement with simulated model-based past annual precipitation changes. Main conclusions In the light of these data and the model results, we conclude that it is not necessary to attribute the broad-scale forest decline to human activity. Climate change as a result of changes in the intensity of the East Asian Summer Monsoon in the mid-Holocene is the most parsimonious explanation for the widespread forest decline on the Tibet-Qinghai Plateau. Moreover, climate feedback from a reduced forest cover accentuates increasingly drier conditions in the area, indicating complex vegetation-climate interactions during this major ecological change.</t>
  </si>
  <si>
    <t>10.1111/j.1466-8238.2009.00501.x</t>
  </si>
  <si>
    <t>Klarian, SA; Schultz, ET; Hernandez, MF; Valdes, JA; Fernandoy, F; Barros, ME; Neira, S; Arancibia, H</t>
  </si>
  <si>
    <t>Stomach contents and stable isotope analysis reveal ontogenetic shifts and spatial variability in Brama australis diet</t>
  </si>
  <si>
    <t>Trophic ecology; Brama australis; Stable isotopes; Bayesian analysis; Pacific Ocean</t>
  </si>
  <si>
    <t>MARINE BIOGEOGRAPHY; FEEDING-HABITS; SOUTHERN; DELTA-N-15; INSIGHTS; ECOLOGY</t>
  </si>
  <si>
    <t>Many marine fisheries rely on production and energy flow in the pelagic zone; thus, sustainable management of exploited pelagic fishes benefits from insight into temporal, spatial, and ontogenetic variability in the trophic ecology of these species. Here, we analyze stomach contents and stable isotopes to reveal spatial variability (focusing on two fishing grounds, north and south of an oceanographic barrier in the Pacific Ocean) and ontogenetic changes (contrasting immature and mature) in Southern Ray's Bream (Brama australis) diet composition in Chilean waters. Stomach contents analysis indicated that euphausiids were predominant components of the diet in both fishing grounds and ontogenetic stages. Patterns of prey long-term assimilation, revealed in Bayesian mixing models of predator and prey isotopic values of delta N-15 and delta C-13, differed from diet as indicated in stomach contents. Shrimps and crustacean larvae were more important than euphausiids in the northern and southern fishing ground, respectively. In both fishing grounds, diet shifted after maturity towards increased use of shrimps. Combining methods of stomach contents analysis and stable isotopes analysis is a powerful approach to determining predator-prey relationships and energy flow in pelagic fishes.</t>
  </si>
  <si>
    <t>10.1007/s10641-022-01365-y</t>
  </si>
  <si>
    <t>Tunney, TD; McCann, KS; Jarvis, L; Lester, NP; Shuter, BJ</t>
  </si>
  <si>
    <t>Blinded by the light? Nearshore energy pathway coupling and relative predator biomass increase with reduced water transparency across lakes</t>
  </si>
  <si>
    <t>Food webs; Trophic interactions; Environmental change; Stable isotopes; Water clarity; Sander vitreus</t>
  </si>
  <si>
    <t>STIZOSTEDION-VITREUM-VITREUM; DISSOLVED ORGANIC-CARBON; FOOD-WEB STABILITY; MODEL SELECTION; TOP PREDATOR; TERRESTRIAL; ECOSYSTEMS; DYNAMICS; WALLEYE; COMMUNITIES</t>
  </si>
  <si>
    <t>Habitat coupling is a concept that refers to consumer integration of resources derived from different habitats. This coupling unites fundamental food web pathways (e.g., cross-habitat trophic linkages) that mediate key ecological processes such as biomass flows, nutrient cycling, and stability. We consider the influence of water transparency, an important environmental driver in aquatic ecosystems, on habitat coupling by a light-sensitive predator, walleye (Sander vitreus), and its prey in 33 Canadian lakes. Our large-scale, across-lake study shows that the contribution of nearshore carbon (delta C-13) relative to offshore carbon (delta C-13) to walleye is higher in less transparent lakes. To a lesser degree, the contribution of nearshore carbon increased with a greater proportion of prey in nearshore compared to offshore habitats. Interestingly, water transparency and habitat coupling predict among-lake variation in walleye relative biomass. These findings support the idea that predator responses to changing conditions (e.g., water transparency) can fundamentally alter carbon pathways, and predator biomass, in aquatic ecosystems. Identifying environmental factors that influence habitat coupling is an important step toward understanding spatial food web structure in a changing world.</t>
  </si>
  <si>
    <t>10.1007/s00442-017-4049-3</t>
  </si>
  <si>
    <t>Cure, K; Hobbs, JPA; Langlois, TJ; Fairclough, DV; Thillainath, EC; Harvey, ES</t>
  </si>
  <si>
    <t>Spatiotemporal patterns of abundance and ecological requirements of a labrid's juveniles reveal conditions for establishment success and range shift capacity</t>
  </si>
  <si>
    <t>Endemic; Labridae; Range shift; Climate change; Raldchin groper; Recruitment</t>
  </si>
  <si>
    <t>WESTERN BLUE GROPER; CORAL-REEF FISHES; CLIMATE-CHANGE; CHOERODON-RUBESCENS; DIETARY COMPOSITIONS; STOMACH CONTENTS; MARINE FISH; HOME-RANGE; HABITAT; RECRUITMENT</t>
  </si>
  <si>
    <t>Distribution shifts of demersal fishes are important adaptive responses to warming oceans for species' persistence. Shifts are facilitated by factors such as adult movement and dispersal of pelagic larvae to normally cooler regions, where increasing ocean temperatures are now enhancing larval and juvenile survival. However, successful recruitment (i.e. larval settlement) at these new regions can be constrained by resource availability, specialisation (food, habitat) and ecological interactions (competition, predation). Evaluating the capacity or likelihood of a species to successfully shift or expand its range, provides information relevant to biodiversity conservation and fisheries management, and is particularly important for species with restricted ranges. Choerodon rubescens (Gunther, 1862) is an exploited labrid endemic to similar to 1400 km of the west Australian coastline, encompassing 13 degrees of latitude and a 6 degrees C temperature gradient. This region recently experienced a rapid warming event of similar to 3 degrees C, which lasted 3 months and mirrored ocean temperatures expected in the next 50 years. Following this event, high levels of recruitment of C. rubescens occurred towards its southern, cooler distribution limit. Juvenile abundances were surveyed in this study to evaluate: (1) the effect of elevated temperatures on recruitment success across shallow water habitats spanning the species' distribution, (2) temporal variation in recruitment success in the typically cooler, southern part of its range and (3) ecological characteristics important to recruit survival, including habitat preferences, diet and behaviour. Juvenile C. rubescens were significantly more abundant at the margin between reef and sand and towards the cooler southern range end. Reef margin habitat provides access to shelter from predators within the reef and to sand-associated invertebrate prey in adjacent soft sediments, where most feeding activity occurred. Juveniles were abundant (0.3 to 4 fish/40 m(2)) in reef margin habitats of the southern cooler region for three consecutive years, with individuals represented by multiple cohorts, indicating suitable environmental conditions for ongoing recruitment and survival. Juveniles at this habitat were able to compete effectively with other co-occurring labrids for invertebrate prey. As oceans warm, the number of recruits arriving and surviving beyond the existing cooler range limit will be dependent on factors such as successful spawning, larval delivery and survival, and availability of reef margin habitat with associated prey; these factors will determine the successful range shift or expansion of C. rubescens. We present an example of how range-wide spatiotemporal ecological studies of juvenile fish can identify range shift capacity and inform management adaptive to climate change.</t>
  </si>
  <si>
    <t>10.1016/j.jembe.2017.12.006</t>
  </si>
  <si>
    <t>Akamatsu, F; Suzuki, Y; Nakashita, R; Korenaga, T</t>
  </si>
  <si>
    <t>Responses of carbon and oxygen stable isotopes in rice grain (Oryza sativa L.) to an increase in air temperature during grain filling in the Japanese archipelago</t>
  </si>
  <si>
    <t>Carbohydrate; Climate change; Koshihikari rice; Minimum air temperature; Oxygen isotope discrimination</t>
  </si>
  <si>
    <t>WATER-USE EFFICIENCY; CLIMATE-CHANGE; GEOGRAPHICAL ORIGIN; NIGHT TEMPERATURE; ELEVATED CO2; DISCRIMINATION; PHOTOSYNTHESIS; DELTA-O-18; DELTA-C-13; CELLULOSE</t>
  </si>
  <si>
    <t>Stable isotopic compositions of carbon (delta C-13) and oxygen (delta O-18) in plants reflect growth conditions. Therefore, these isotopes might be good indicators of changes in environmental factors, such as variations in air temperature caused by climate change. It is predicted that climate change will lead to a greater increase in minimum air temperatures (primarily during the night) than in maximum air temperatures (primarily during the day) in many parts of Japan. In the present study, we investigated whether the delta C-13 and delta O-18 of the rice grain Koshihikari (Oryza sativa L.) from the northern latitudes (30.49A degrees-37.14A degrees) of Japan reflect variations in air temperature during grain filling and are related to the yield and proportion of first-grade rice (&lt; 15 % transparency, roundness, and cracking) as an indicator of quality. We revealed that rice delta C-13 was not correlated with mean maximum or minimum air temperatures for each prefecture. By contrast, rice delta O-18 was positively correlated with mean minimum air temperature, suggesting that rice delta O-18 reflects changes in night air temperature. We further showed that an increase in the mean minimum air temperature during grain filling had a negative effect on rice yield and quality. Our findings indicate that the delta O-18 of rice grain may be a good indicator of physiological changes in response to minimum air temperatures during grain filling.</t>
  </si>
  <si>
    <t>10.1007/s11284-013-1097-y</t>
  </si>
  <si>
    <t>Hoeinghaus, DJ; Davis, SE</t>
  </si>
  <si>
    <t>Size-based trophic shifts of saltmarsh dwelling blue crabs elucidated by dual stable C and N isotope analyses</t>
  </si>
  <si>
    <t>Callinectes sapidus; food webs; omnivory; benthic algae; Spartina alterniflora; whooping crane; conservation</t>
  </si>
  <si>
    <t>ESTUARINE FOOD WEBS; CALLINECTES-SAPIDUS RATHBUN; FEEDING-HABITS; SPARTINA-ALTERNIFLORA; BENTHIC MICROALGAE; COASTAL WETLANDS; ORGANIC-MATTER; DIET; TEXAS; VARIABILITY</t>
  </si>
  <si>
    <t>Analyses of stable C and N isotopes were used to examine trophic characteristics of blue crabs Callinectes sapidus in relation to body size (15 to 165 mm carapace width, CW) within saltmarsh habitats of the Aransas National Wildlife Refuge, Texas. Blue crab trophic position did not change with increasing body size, and all size classes appear to consume primary consumers and primary producers in relatively equal proportions. However, blue crab delta C-13 values increased significantly with increasing body size. As body size increased, blue crabs assimilated greater proportions of carbon ultimately derived from Spartina alterniflora. Individuals of approximately 35 mm CW assimilated carbon almost exclusively derived from C-3 plants and benthic algae, whereas larger individuals (125 mm CW) assimilated similar amounts of carbon derived from benthic algae and S. alterniflora-derived detritus. Given the complex nature of saltmarsh food webs and the omnivorous diet of blue crabs, the observed size-based trends have important management and conservation applications.</t>
  </si>
  <si>
    <t>10.3354/meps334199</t>
  </si>
  <si>
    <t>Macreadie, PI; Allen, K; Kelaher, BP; Ralph, PJ; Skilbeck, CG</t>
  </si>
  <si>
    <t>Paleoreconstruction of estuarine sediments reveal human-induced weakening of coastal carbon sinks</t>
  </si>
  <si>
    <t>biosequestration; blue carbon; carbon capture and storage; detritus; eutrophication; mangrove; microalgae; organic carbon; seagrass; stable isotopes</t>
  </si>
  <si>
    <t>SEAGRASS; ENRICHMENT; DELTA-C-13; MANGROVE; ALGAE; BAY</t>
  </si>
  <si>
    <t>Human activities in coastal areas frequently cause loss of benthic macrophytes (e.g. seagrasses) and concomitant increases in microalgal production through eutrophication. Whether such changes translate into shifts in the composition of sediment detritus is largely unknown, yet such changes could impact the role these ecosystems play in sequestrating CO2. We reconstructed the sedimentary records of cores taken from two sites within Botany Bay, Sydney the site of European settlement of Australia to look for human-induced changes in dominant sources of detritus in this estuary. Cores covered a period from the present day back to the middle Holocene (6000years) according to 210Pb profiles and radiocarbon (14C) dating. Depositional histories at both sites could not be characterized by a linear sedimentation rate; sedimentation rates in the last 3050years were considerably higher than during the rest of the Holocene. C:N ratios declined and began to exhibit a microalgal source signature from around the time of European settlement, which could be explained by increased nutrient flows into the Bay caused by anthropogenic activity. Analysis of stable isotopic ratios of 12C/13C showed that the relative contribution of seagrass and C3 terrestrial plants (mangroves, saltmarsh) to detritus declined around the time of rapid industrial expansion (1950s), coinciding with an increase in the contribution of microalgal sources. We conclude that the relative contribution of microalgae to detritus has increased within Botany Bay, and that this shift is the sign of increased industrialization and concomitant eutrophication. Given the lower carbon burial efficiencies of microalgae (0.1%) relative to seagrasses and C3 terrestrial plants (up to 10%), such changes represent a substantial weakening of the carbon sink potential of Botany Bay this occurrence is likely to be common to human-impacted estuaries, and has consequences for the role these systems play in helping to mitigate climate change.</t>
  </si>
  <si>
    <t>10.1111/j.1365-2486.2011.02582.x</t>
  </si>
  <si>
    <t>Hirst, AJ; Longmore, AR; Ball, D; Cook, PLM; Jenkins, GP</t>
  </si>
  <si>
    <t>Linking nitrogen sources utilised by seagrass in a temperate marine embayment to patterns of seagrass change during drought</t>
  </si>
  <si>
    <t>Zostera nigricaulis; Climate change; IsoSource model; Seagrass decline; Port Phillip Bay</t>
  </si>
  <si>
    <t>PORT PHILLIP BAY; POSIDONIA-OCEANICA; STABLE-ISOTOPES; EL-NINO; DELTA-N-15; EUTROPHICATION; NUTRIENTS; FRACTIONATION; SIGNATURE; TRANSPORT</t>
  </si>
  <si>
    <t>Reductions in the extent of seagrass Zostera nigricaulis coverage in Port Phillip Bay (PPB), Australia, between 2000 and 2011 coincided with a prolonged period of drought (1997 to 2009) characterized by decreases in freshwater and nutrient inputs. This led us to hypothesize that patterns of seagrass expansion and decline in PPB may be linked to nutrient availability. Seagrasses in PPB can make use of a range of different nitrogen (N) sources depending on their relative availability. Accordingly, there is a need to identify the origin of the N utilised by seagrasses in order to understand how changes in the availability of nutrients from various sources may influence seagrass growth. This study used stable isotope analysis to estimate the contribution of different sources of N to seagrass growth in different parts of PPB. Source modelling indicated that regional patterns of N source utilisation matched changes in seagrass extent from 2000 to 2011. Regions in which seagrass declined contained a similar array of sources, including significant contributions from the catchment area, whereas regions where seagrass areas remained unchanged were largely dependent on a single N source (either fixation/recycled or sewage-derived). We propose that reductions in N from the catchment during the drought may have contributed to the decline of seagrasses in regions where N from the catchment is an important source. This finding is likely to have implications for the growth, distribution and resilience of Z. nigricaulis seagrass in PPB as well as in other parts of its range in southern Australia.</t>
  </si>
  <si>
    <t>10.3354/meps11708</t>
  </si>
  <si>
    <t>Bramley-Alves, J; Wanek, W; French, K; Robinson, SA</t>
  </si>
  <si>
    <t>Moss delta C-13: an accurate proxy for past water environments in polar regions</t>
  </si>
  <si>
    <t>Antarctica; bioavailable water; cell wall thickness; cellulose; climate change; proxies; C-13</t>
  </si>
  <si>
    <t>CARBON-ISOTOPE DISCRIMINATION; STABLE CARBON; RADIOCARBON CALIBRATION; LEAF MORPHOLOGY; USE EFFICIENCY; CLIMATE-CHANGE; PLANTS; PHOTOSYNTHESIS; CELLULOSE; TRENDS</t>
  </si>
  <si>
    <t>Increased aridity is of global concern. Polar regions provide an opportunity to monitor changes in bioavailable water free of local anthropogenic influences. However, sophisticated proxy measures are needed. We explored the possibility of using stable carbon isotopes in segments of moss as a fine-scale proxy for past bioavailable water. Variation in C-13 with water availability was measured in three species across three peninsulas in the Windmill Islands, East Antarctica and verified using controlled chamber experiments. The C-13 from Antarctic mosses accurately recorded long-term variations in water availability in the field, regardless of location, but significant disparities in C-13 between species indicated some make more sensitive proxies. C-13(SUGAR) derived from living tissues can change significantly within the span of an Antarctic season (5weeks) in chambers, but under field conditions, slow growth means that this technique likely represents multiple seasons. C-13(CELLULOSE) provides a precise and direct proxy for bioavailable water, allowing reconstructions for coastal Antarctica and potentially other cold regions over past centuries.</t>
  </si>
  <si>
    <t>10.1111/gcb.12848</t>
  </si>
  <si>
    <t>Woodward, G; Hildrew, AG</t>
  </si>
  <si>
    <t>Invasion of a stream food web by a new top predator</t>
  </si>
  <si>
    <t>connectance; intraguild predation; niche overlap; omnivory; ontogenetic diet shifts</t>
  </si>
  <si>
    <t>CAPITA INTERACTION STRENGTH; FRESH-WATER INVERTEBRATES; IRON-RICH STREAM; COMMUNITY STRUCTURE; TEMPORAL VARIATION; TROPHIC INTERACTIONS; FIELD EXPERIMENTS; PREY COMMUNITIES; CONNECTANCE; COMPETITION</t>
  </si>
  <si>
    <t>1. A new top predator, the dragonfly Cordulegaster boltonii Donovan,'invaded' a stream with a well-described food web. 2. The pre-invasion web was species-poor but complex, with prevalent intraguild predation, cannibalism and omnivory. Such characteristics differ from expectations based upon the early food web literature, but are consistent with more recent empirical webs and theoretical developments. 3, Exhaustive sampling was necessary to describe web structure, with the gut contents of several hundred individuals being required to reach the asymptote of the total number of links for individual species. There was no single 'standard' sample size that was applicable for estimating the number of links: sampling 'x' guts gave a different fraction of the asymptotic value for different species. Smaller predators were more prone to underestimation of links than larger species higher in the web. 4, The number of feeding links, trophic status and the degree of omnivory increased progressively with predator body size, both within and among species. The diet of each predator species (or instar) was effectively a subset of the diet of the next largest predator. 5. The invader was extremely polyphagous and fed at all trophic levels. Mean chain length increased by half a link following the invasion. Web complexity, and omnivory in particular, also increased. Pre- and post-invasion webs displayed intervality and rigid circuitry. The resident predators were frequently eaten by the invader, but the only significant predators of C. boltonii were larger conspecifics. Although no species have yet been deleted, there has been a 21% increase in links for a 6% increase in species since the invasion, suggesting that the members of the web had become more tightly packed within niche space. Most prey species were eaten by every predator species (including C. boltonii), indicating the potential for strong apparent competition within the web.</t>
  </si>
  <si>
    <t>10.1046/j.1365-2656.2001.00497.x</t>
  </si>
  <si>
    <t>Gustafson, L; Showers, W; Kwak, T; Levine, J; Stoskopf, M</t>
  </si>
  <si>
    <t>Temporal and spatial variability in stable isotope compositions of a freshwater mussel: implications for biomonitoring and ecological studies</t>
  </si>
  <si>
    <t>Elliptio complanata; delta N-15; delta C-13; nutrient loading; tissue turnover; isotopic baseline</t>
  </si>
  <si>
    <t>FOOD WEBS; SOURCE IDENTIFICATION; ELLIPTIO-COMPLANATA; NITROGEN; CARBON; COASTAL; DELTA-N-15; NITRATE; EUTROPHICATION; COLLECTION</t>
  </si>
  <si>
    <t>Stable isotopes can be used to elucidate ecological relationships in community and trophic studies. Findings are calibrated against baselines, e. g. from a producer or primary consumer, assumed to act as a reference to the isotopic context created by spatio-temporal attributes such as geography, climate, nutrient, and energy sources. The ability of an organism to accurately represent a community base depends on how, and over what time-scale, it assimilates ambient materials. Freshwater mussels have served as references for trophic studies of freshwater communities and as indicators of change in nutrient pollution load or source. Their suitability as reference animals has not yet been fully explored, however. We conducted a series of studies examining the suitability of freshwater mussels as isotopic baselines, using their ability to reflect variation in ambient nutrient loads as a case scenario. (1) We analyzed bivalve foot tissue delta N-15 and delta C-13 from 22 stream reaches in the Piedmont region of North Carolina, USA to show that compositions varied substantially among locations. Site mean bivalve delta C-13 values correlated with site ambient particulate organic matter (POM) delta C-13 values, and site mean bivalve delta N-15 values correlated with site ambient water dissolved delta N-15-NO3 values. (2) Similarity of results among sample types demonstrated that the minimally invasive hemolymph sample is a suitable substitute for foot tissue in delta N-15 analyses, and that small sample sizes generate means representative of a larger population. Both findings can help minimize the impact of sampling on imperiled freshwater mussel populations. (3) In a bivalve transplantation study we showed that hemolymph delta N-15 compositions responded to a shift in ambient dissolved delta N-15-NO3, although slowly. The tissue turnover time for bivalve hemolymph was 113 days. We conclude that bivalves serve best as biomonitors of chronic, rather than acute, fluctuations in stream nutrient loads, and provide initial evidence of their suitability as time-integrated isotopic baselines for community studies.</t>
  </si>
  <si>
    <t>10.1007/s00442-006-0633-7</t>
  </si>
  <si>
    <t>Darnaude, AM; Salen-Picard, C; Harmelin-Vivien, ML</t>
  </si>
  <si>
    <t>Depth variation in terrestrial particulate organic matter exploitation by marine coastal benthic communities off the Rhone River delta (NW Mediterranean)</t>
  </si>
  <si>
    <t>river inputs; coastal ecosystems; macrobenthos; flatfishes; stable isotopes</t>
  </si>
  <si>
    <t>OYSTER CRASSOSTREA-GIGAS; STABLE-ISOTOPE DATA; FOOD-WEB; CARBON INPUTS; NITROGEN; BAY; ECOSYSTEM; FISH; FRACTIONATION; INVERTEBRATES</t>
  </si>
  <si>
    <t>Carbon and nitrogen stable isotopes were used to study depth variation in terrestrial particulate organic matter (POM) sedimentation off the mouth of the Rhone River delta, and its use by the main benthic invertebrates (polychaetes, crustaceans, molluscs and echinoderms) and flatfishes (Arnoglossus laterna, Buglossidium luteum and Solea solea). Coastal water POM and surface sediment exhibited low delta(13)C values, denoting dominance of terrestrial material in their carbon pools (25 to 80% and &gt;50%, respectively), but the importance of river input differed as a function of depth. Terrestrial organic matter contribution to the total POM was greatest at 30-50 m (72 to 99%), and least at 70-100 in depth (25 to 77%). Most of the invertebrate groups studied (delta(13)C = -24.5 to -17.5parts per thousand; delta(15)N = 4.3 to 9.7parts per thousand) mainly relied on marine primary production irrespective of depth. However, deposit-feeding polychaetes mainly exploited terrestrial POM, and carnivorous and suspension-feeding polychaetes, bivalves, brachyurans and shrimps (Caridea) showed a partial uptake of terrestrial POM, depending on its availability. Incorporation of terrestrial POM by flatfishes (delta(13)C = -22.4 to -16.8parts per thousand; delta(15)N = 9.7 to 11.2parts per thousand.) was species- and depth-dependent. It was related not only to the fishes' diets but also to the trophic adaptability of their prey. S. solea, the main consumer of deposit-feeding polychaetes, showed the lowest VC irrespective of depth, but flatfish exploitation of terrestrial POM peaked at 30-50 m, where both polychaete consumption by fishes and terrestrial POM use by the benthos were maximal. Unlike most estuarine systems, terrestrial inputs in deltaic areas can therefore peak at intermediate depths, where some of the marine macrobenthos, including flatfishes, efficiently exploit them. These results allow better assessment of the role of river input to marine coastal zones in increasing fish abundance, and will therefore be of major interest for demersal fisheries management off deltaic areas.</t>
  </si>
  <si>
    <t>10.3354/meps275047</t>
  </si>
  <si>
    <t>Spooner, DE; Vaughn, CC</t>
  </si>
  <si>
    <t>A trait-based approach to species' roles in stream ecosystems: climate change, community structure, and material cycling</t>
  </si>
  <si>
    <t>Unionidae; Ecosystem service; Community; Nutrient excretion; Biodiversity</t>
  </si>
  <si>
    <t>FRESH-WATER MUSSELS; UNIONID MUSSELS; UNITED-STATES; GREAT-PLAINS; BIODIVERSITY; DIVERSITY; COMPLEMENTARITY; PRODUCTIVITY; PERFORMANCE; RESPONSES</t>
  </si>
  <si>
    <t>The sustained decline in habitat quality and community integrity highlights the importance of understanding how communities and environmental variation interactively contribute to ecosystem services. We performed a laboratory experiment manipulating effects of acclimation temperature (5, 15, 25, and 35 degrees C) on resource acquisition, assimilation and subsequent ecosystem services provided by eight freshwater mussel species. Our results suggest that although freshwater mussels are broadly categorized as filter feeders, there are distinct nested functional guilds (thermally tolerant and sensitive) associated with their thermal performance. At 35 degrees C, thermally tolerant species have increased resource assimilation and higher rates of contributed ecosystem services (nutrient excretion, benthic-pelagic coupling). Conversely, thermally sensitive species have decreased assimilation rates and display an array of functional responses including increased/decreased benthic-pelagic coupling and nutrient excretion. Although thermally sensitive species may be in poorer physiological condition at warmer temperatures, their physiological responses can have positive effects on ecosystem services. We extrapolated these results to real mussel beds varying in species composition to address how shifts in community composition coupled with climate change may shift their contributed ecological services. Comparative field data indicate that two co-existing, abundant species with opposing thermal performance (Actinonaias ligamentina, Amblema plicata) differentially dominate community biomass. Additionally, communities varying in the relative proportion of these species differentially influence the magnitude (benthic-pelagic coupling) and quality (N:P excretion) of ecosystem services. As species are increasingly threatened by climate change, greater emphasis should be placed on understanding the contribution of physiological stress to the integrity and functioning of ecosystems.</t>
  </si>
  <si>
    <t>10.1007/s00442-008-1132-9</t>
  </si>
  <si>
    <t>Keller, RH; Xie, LT; Buchwalter, DB; Franzreb, KE; Simons, TR</t>
  </si>
  <si>
    <t>Mercury bioaccumulation in Southern Appalachian birds, assessed through feather concentrations</t>
  </si>
  <si>
    <t>Mercury; Songbirds; Appalachian Mountains; Nitrogen-15 stable isotope; Trophic position; Terrestrial</t>
  </si>
  <si>
    <t>TROPHIC POSITION; ENVIRONMENTAL MERCURY; REPRODUCTIVE SUCCESS; STABLE-ISOTOPES; AQUATIC MERCURY; FOOD WEBS; DEPOSITION; CONTAMINATION; EXPOSURE; NITROGEN</t>
  </si>
  <si>
    <t>Mercury contamination in wildlife has rarely been studied in the Southern Appalachians despite high deposition rates in the region. From 2006 to 2008 we sampled feathers from 458 birds representing 32 species in the Southern Appalachians for total mercury and stable isotope delta N-15. Mercury concentrations (mean +/- A SE) averaged 0.46 +/- A 0.02 mu g g(-1) (range 0.01-3.74 mu g g(-1)). Twelve of 32 species had individuals (7 % of all birds sampled) with mercury concentrations higher than 1 mu g g(-1). Mercury concentrations were 17 % higher in juveniles compared to adults (n = 454). In adults, invertivores has higher mercury levels compared to omnivores. Mercury was highest at low-elevation sites near water, however mercury was detected in all birds, including those in the high elevations (1,000-2,000 m). Relative trophic position, calculated from delta N-15, ranged from 2.13 to 4.87 across all birds. We fitted linear mixed-effects models to the data separately for juveniles and year-round resident adults. In adults, mercury concentrations were 2.4 times higher in invertivores compared to omnivores. Trophic position was the main effect explaining mercury levels in juveniles, with an estimated 0.18 +/- A 0.08 mu g g(-1) increase in feather mercury for each one unit rise in trophic position. Our research demonstrates that mercury is biomagnifying in birds within this terrestrial mountainous system, and further research is warranted for animals foraging at higher trophic levels, particularly those associated with aquatic environments downslope from montane areas receiving high mercury deposition.</t>
  </si>
  <si>
    <t>10.1007/s10646-013-1174-6</t>
  </si>
  <si>
    <t>Pilecky, M; Kammer, SK; Mathieu-Resuge, M; Wassenaar, LI; Taipale, SJ; Martin-Creuzburg, D; Kainz, MJ</t>
  </si>
  <si>
    <t>Hydrogen isotopes (delta H-2) of polyunsaturated fatty acids track bioconversion by zooplankton</t>
  </si>
  <si>
    <t>bioconversion; compound-specific stable isotopes; deuterium; ecophysiology; eutrophication; polyunsaturated fatty acids; trophic ecology; zooplankton</t>
  </si>
  <si>
    <t>FRESH-WATER; HERBIVOROUS ZOOPLANKTON; STABLE-ISOTOPES; DIET; PHYTOPLANKTON; FRACTIONATION; DESATURATION; ELONGATION; METABOLISM; EUTROPHICATION</t>
  </si>
  <si>
    <t>1. Organisms at the base of aquatic food webs synthesize essential nutrients, such as omega-3 polyunsaturated fatty acids (n-3 PUFA), which are transferred to consumers at higher trophic levels. Many consumers, requiring n-3 long-chain (LC) PUFA, such as eicosapentaenoic acid (EPA) and docosahexaenoic acid (DHA), have limited ability to biosynthesize them from the essential dietary precursor alpha-linolenic acid (ALA) and thus rely on dietary provision of LC-PUFA. 2. We investigated LC-PUFA metabolism in freshwater zooplankton using stable hydrogen isotopes (delta H-2) of fatty acids as tracers. We conducted feeding experiments with the freshwater keystone grazer Daphnia to quantify changes in the delta H-2 value of body FA in response to the FA composition of their food and the delta H-2 value of the ambient water. 3. The isotopic composition of LC-PUFA changed in Daphnia, depending on the integration of H-2 from ambient water during de novo synthesis or bioconversion from dietary precursors, allowing us to distinguish dietary from bioconverted EPA in body tissue. We tested the applicability of these laboratory findings in a field setting by analysing delta H-2 values of PUFA in primary producers and consumers in eutrophic ponds to track EPA sources of zooplankton. 4. Multilinear regression models that included conversion of ALA to EPA correlated better with zooplankton delta H-2 EpA than seston delta H-2(EPA) at low dietary EPA supply. 5. This study provides evidence that zooplankton can compensate for low dietary EPA supply by activating LC-PUFA biosynthesis and shows that herbivorous zooplankton play a crucial role in upgrading FA for higher trophic levels during low dietary EPA supply.</t>
  </si>
  <si>
    <t>10.1111/1365-2435.13981</t>
  </si>
  <si>
    <t>Granadeiro, JP; Brickle, P; Catry, P</t>
  </si>
  <si>
    <t>Do individual seabirds specialize in fisheries' waste? The case of black-browed albatrosses foraging over the Patagonian Shelf</t>
  </si>
  <si>
    <t>ANIMAL CONSERVATION</t>
  </si>
  <si>
    <t>discards; Falkland Islands; GPS; stable isotopes; Thalassarche melanophris; Vessel Monitoring System (VMS)</t>
  </si>
  <si>
    <t>PELAGIC LONGLINE FISHERY; STABLE-ISOTOPES; FALKLAND ISLANDS; DIET SPECIALIZATION; SEASONAL-CHANGES; MORTALITY; TRAWLERS; IMPACTS; NICHE; MELANOPHRIS</t>
  </si>
  <si>
    <t>Fisheries can have profound impacts on the structure and functioning of marine ecosystems and affect seabird populations. For seabirds, impacts can include direct mortality in fishing gear, but fisheries also represent an abundant source of food that may otherwise be inaccessible. Previous studies with seabirds have revealed the occurrence of individual foraging specializations, and therefore in scavenging species some individuals may have a higher propensity to feed on fisheries discharges than the rest of the population. Here we used recently developed techniques (spatio-temporal match of positions) to detect interactions between black-browed albatrosses Thalassarche melanophris and fishing vessels, and also stable isotope analysis of tissues with different turnovers, to investigate long-term individual specialization in fishery waste products. We combined global positioning system tracking data from 89 birds with vessel monitoring system data from the entire fleet operating around the Falklands Islands, in 2009 and 2011. Interactions with vessels (freezer/factory bottom trawlers) occurred in 15 out of 89 independent albatross trips. Among individuals tracked in both years, those that associated with fisheries in 2009 were not more likely to do so again in 2011. Carbon and nitrogen isotopic signatures in whole blood and feathers of albatrosses that interacted with trawlers were similar to those of individuals that did not. Also, we found no correlation between feather and blood isotopic ratios of carbon or nitrogen, indicating no long-term consistency in the isotopic niche of study birds. These results suggest no specialization of individual albatrosses with regard to fisheries. Studies of other albatrosses have also failed to show long-term trophic consistency, which may indicate that scavenging albatrosses, a group particularly threatened by fisheries activity, do not specialize in discards. Therefore, any management actions leading to a reduction of discards will be beneficial, decreasing the numbers of birds behind vessels and consequently the likelihood of incidental mortality.</t>
  </si>
  <si>
    <t>10.1111/acv.12050</t>
  </si>
  <si>
    <t>Forbes, BC</t>
  </si>
  <si>
    <t>Cultural Resilience of Social-ecological Systems in the Nenets and Yamal-Nenets Autonomous Okrugs, Russia: A Focus on Reindeer Nomads of the Tundra</t>
  </si>
  <si>
    <t>Climate change; Hydrocarbon extraction; Nomadism; Rangifer tarandus; Siberia; Stewardship; West Siberian Tundra</t>
  </si>
  <si>
    <t>ARCTIC ECOSYSTEMS; GLOBAL CHANGE; WEST; SUSTAINABILITY; VEGETATION; RESPONSES; DYNAMICS; CLIMATE; IMPACT; FIELD</t>
  </si>
  <si>
    <t>Empirical data on resilience in social-ecological systems (SESs) are reviewed from local and regional scale case studies among full-time nomads in the neighboring Nenets and Yamal-Nenets Autonomous Okrugs, Russia. The focus is on critical cultural factors contributing to SES resilience. In particular, this work presents an integrated view of people situated in specific tundra landscapes that face significantly different prospects for adaptation depending on existing or planned infrastructure associated with oil and gas development. Factors contributing to general resilience are compared to those that are adapted to certain spatial and temporal contexts. Environmental factors include ample space and an abundance of resources, such as fish and game (e. g., geese), to augment the diet of not only the migratory herders, but also residents from coastal settlements. In contrast to other regions, such as the Nenets Okrug, Yamal Nenets households consist of intact nuclear families with high retention among youth in the nomadic tundra population. Accepting attitudes toward exogenous drivers such as climate change and industrial development appear to play a significant role in how people react to both extreme weather events and piecemeal confiscation or degradation of territory. Consciousness of their role as responsible stewards of the territories they occupy has likely been a factor in maintaining viable wildlife populations over centuries. Institutions administering reindeer herding have remained flexible, especially on Yamal, and so accommodate decision-making that is sensitive to herders' needs and timetables. This affects factors such as herd demography, mobility and energetics. Resilience is further facilitated within the existing governance regimes by herders' own agency, most recently in the post-Soviet shift to smaller, privately managed herds that can better utilize available pastures in a highly dynamic environment experiencing rapid socio-economic, climate and land use change.</t>
  </si>
  <si>
    <t>10.5751/ES-05791-180436</t>
  </si>
  <si>
    <t>Reuss, NS; Hammarlund, D; Rundgren, M; Segerstrom, U; Eriksson, L; Rosen, P</t>
  </si>
  <si>
    <t>Lake Ecosystem Responses to Holocene Climate Change at the Subarctic Tree-Line in Northern Sweden</t>
  </si>
  <si>
    <t>paleoecology; aquatic ecosystems; multi-proxy; pigments; stable isotopes; NIRS; microfossils; northern tree-line; light; Holocene</t>
  </si>
  <si>
    <t>NEAR-INFRARED SPECTROSCOPY; ENVIRONMENTAL-CHANGE; ORGANIC-MATTER; ULTRAVIOLET-RADIATION; SCANDES MOUNTAINS; AIR-TEMPERATURE; TUNDRA LAKE; ABISKO AREA; DIATOM; PATTERNS</t>
  </si>
  <si>
    <t>A Holocene sediment sequence from Lake Seukokjaure, a subarctic lake at tree-line in northern Sweden, was analyzed to assess major changes in the structure and functioning of the aquatic ecosystem in response to climate change and tree-line dynamics. The compiled multi-proxy data, including sedimentary pigments, diatoms, chironomids, pollen, biogenic silica (BSi), carbon (C), nitrogen (N) elemental and stable-isotope records, and total lake-water organic carbon (TOC) concentration inferred from near-infrared spectroscopy (NIRS), suggest that the Holocene development of Lake Seukokjaure was closely coupled to changes in terrestrial vegetation with associated soil development of the catchment, input of allochthonous organic carbon, and changes in the light regime of the lake. A relatively productive state just after deglaciation around 9700 to 7800 cal years BP was followed by a slight long-term decrease in primary production. The onset of the local tree-line retreat around 3200 cal years BP was accompanied by more diverse and altered chironomid and diatom assemblages and indications of destabilized soils in the catchment by an increase in variability and absolute values of delta C-13. An abrupt drop in the C/N ratio around 1750 cal years BP was coupled to changes in the internal lake structure, in combination with changes in light and nutrient conditions, resulting in a shift in the phototrophic community from diatom dominance to increased influence of chlorophytes, likely dominated by an aquatic moss community. Thus, this study emphasizes the importance of indirect effects of climate change on tree-line lake ecosystems and complex interactions of in-lake processes during the Holocene.</t>
  </si>
  <si>
    <t>10.1007/s10021-010-9326-5</t>
  </si>
  <si>
    <t>Awada, T; Skolaut, K; Battipaglia, G; Saurer, M; Riveros-Iregui, DA; Schapaugh, A; Huddle, J; Zhou, XH; Martin, D; Cherubini, P</t>
  </si>
  <si>
    <t>Tree-ring stable isotopes show different ecophysiological strategies in native and invasive woody species of a semiarid riparian ecosystem in the Great Plains of the United States</t>
  </si>
  <si>
    <t>carbon isotopes; Elaeagnus angustifolia; Juniperus virginiana; oxygen isotope; Populus deltoides; tree rings; water use efficiency; woody species encroachment</t>
  </si>
  <si>
    <t>WATER-USE EFFICIENCY; SAN-PEDRO; GROWTH; VEGETATION; DROUGHT; RIVER; DELTA-O-18; DELTA-C-13; CARBON; OXYGEN</t>
  </si>
  <si>
    <t>Persistent shifts in riparian vegetation associated with the invasion of introduced Elaeagnus angustifolia and native nonriparian Juniperus virginiana have been reported in the U.S. Great Plains, with significant impacts on ecosystem services. In Nebraska, these species have been expanding into the native Populus deltoides riparian forests along the Republican River. Using dendrochronological data and stable isotope ratios, we examined the annual growth and acclimation strategies of these three species to climatic and streamflow variability. We hypothesized that the ability of invasive species to grow under a wide range of environmental conditions favour vegetation shifts at the expense of native species. Streamflow was the strongest predictor for performance. When accompanied with above-average annual precipitation, streamflow resulted in peak tree-ring widths in P. deltoides. J. virginiana showed less sensitivity, and E. angustifolia showed no response. delta O-18 values did not differ among species, which indicates that all species compete for the same water source. delta C-13 ratios and WUEi were higher in J. virginiana than in P. deltoides and E. angustifolia and increased in all species over time. E. angustifolia and P. deltoides exhibit a strong stomatal control and response to relative humidity relative to J. virginiana, which showed anisohydric stomatal behaviour. Our results show that once established, J. virginiana and E. angustifolia thrive in the understory of P. deltoides using different adaptive and acclimation strategies. Based on current water flow management, which prevents high-flood pulses through the riparian zone, these species will continue to establish and spread throughout the Republican River watershed.</t>
  </si>
  <si>
    <t>e2074</t>
  </si>
  <si>
    <t>10.1002/eco.2074</t>
  </si>
  <si>
    <t>Carrozzi, V; Di Lorenzo, M; Massi, D; Titone, A; Ardizzone, G; Colloca, F</t>
  </si>
  <si>
    <t>Prey preferences and ontogenetic diet shift of European hake Merluccius merluccius (Linnaeus, 1758) in the central Mediterranean Sea</t>
  </si>
  <si>
    <t>Merluccius merluccius; Mediterranean sea; Feeding behaviour; Hake diet</t>
  </si>
  <si>
    <t>FEEDING-HABITS; JUVENILE HAKE; STRAIT; AREAS; FISHERIES; WATER; GULF; VARIABILITY; GADIFORMES; PATTERN</t>
  </si>
  <si>
    <t>This study focuses on the ontogenetic diet change of European hake (Merluccius merluccius) in the north sector of the Strait of Sicily (SoS), central Mediterranean Sea. The species is one of the most important fish predators within the Mediterranean marine ecosystem and one of the main target species for local fisheries. A total of 2669 hake specimens between 7.5 and 67 cm of total length (TL) were collected in 2014-2015. The sample was divided into nine size classes and quantitative feeding indices were calculated for each size-class in order to analyse ontogenetic changes in prey preferences. Hierarchical cluster analysis and non-metric multidimensional scaling (nMDS) showed the occurrence of three main hake feeding guilds separated at 50% similarity. Euphausiids and mysids dominated the diet of hake smaller than 14 cm TL and crustacean decapods and fish were the main prey of hake between 14.5 cm to 17.5 cm TL. A shift toward pelagic and necto-benthic fish occurred over 18 cm TL: hake between 18 and 32 cm TL prey mostly upon Atlantic horse mackerel (Trachurus trachurus) whilst the silver scabbardfish (Lepidopus caudatus) was an important prey for hake over 32 cm TL. The study highlighted the key role played by the Atlantic horse mackerel for hake diet in the SoS, which is different to what has been previously observed in other Mediterranean areas where piscivorous hake feed substantially on small pelagic fish, such as anchovy and sardine. Information on hake diet composition, as provided in this study, can be integrated with data on consumption rate and population size to develop multispecies models leading to a quantitative understanding of the role of hake in the ecosystem. (C) 2018 Elsevier B.V. All rights reserved.</t>
  </si>
  <si>
    <t>10.1016/j.rsma.2018.100440</t>
  </si>
  <si>
    <t>Shen, YF; Gong, Y; Wu, F; Li, YK</t>
  </si>
  <si>
    <t>Retrospective stable isotopes of vertebrae reveal sexual ontogenetic patterns and trophic ecology in oceanic whitetip shark, Carcharhinus longimanus</t>
  </si>
  <si>
    <t>Carcharhinus longimanus; ontogeny; stable isotopes; vertebra</t>
  </si>
  <si>
    <t>FEEDING ECOLOGY; SHIFTS; MOVEMENTS; GROWTH; AGE</t>
  </si>
  <si>
    <t>There is a common phenomenon in nature whereby some animals have differences in their ontogenetic changes in dietary preferences between sexes, especially apex predators. These reflect changes in the needs of development during their lifetimes. Apex predators potentially have diverse dietary niches and a large impact on the trophic dynamics within ecosystems. However, the difference in life history between males and females often leads to increased difficulty in management and conservation. In this study, 25 oceanic whitetip sharks, Carcharhinus longimanus, were collected from the central and eastern tropical Pacific. Retrospective stable isotope analysis of vertebrae was used to evaluate the potential ontogenetic differences in feeding habits and niche width between sexes. Results showed that C. longimanus had a wide range of delta C-13 values (-18.1 to -12.3 parts per thousand) and delta N-15 values (8.9-14.8 parts per thousand). However, males and females had similar trophic positions with large niche overlap at similar growth stages. Both sexes had increasing delta C-13 values but relatively constant delta N-15 values along the vertebrae. These results indicated that male and female C. longimanus may share similar feeding strategies and movement patterns. The results presented in this study enhance our understanding of sexual ontogenetic patterns and ecological role of C. longimanus and highlighted the applicability of vertebrae for characterizing shark life-history traits.</t>
  </si>
  <si>
    <t>10.1002/ece3.8452</t>
  </si>
  <si>
    <t>Liao, JB; Bearup, D; Blasius, B</t>
  </si>
  <si>
    <t>Diverse responses of species to landscape fragmentation in a simple food chain</t>
  </si>
  <si>
    <t>food web; habitat fragmentation; habitat loss; species dispersal</t>
  </si>
  <si>
    <t>SPATIALLY STRUCTURED HETEROGENEITIES; HABITAT FRAGMENTATION; POPULATION; BIODIVERSITY; DYNAMICS; EXTINCTION; DISPERSAL; OMNIVORY; MODELS; CONSERVATION</t>
  </si>
  <si>
    <t>Habitat destruction, characterized by habitat loss and fragmentation, is a key driver of species extinction in spatial extended communities. Recently, there has been some progress in the theory of spatial food webs, however to date practically little is known about how habitat configurational fragmentation influences multi-trophic food web dynamics. To explore how habitat fragmentation affects species persistence in food webs, we introduce a modelling framework that describes the site occupancy of species in a tri-trophic system. We assume that species dispersal range increases with trophic level, exploiting pair-approximation techniques to describe the effect of habitat clustering. In accordance with the trophic rank hypothesis, both habitat loss and fragmentation generally cause species extinction, with stronger effects occurring at higher trophic levels. However, species display diverse responses (negative, neutral or positive) to habitat loss and fragmentation separately, depending on their dispersal range and trophic position. Counter-intuitively, prey species may benefit from habitat loss due to a release in top-down control. Similarly, habitat fragmentation has almost no influence on the site occupancy of the intermediate consumer in the tri-trophic system, though it decreases those of both basal species and top predator. Consequently, species' responses to habitat destruction vary as other species become extinct. Our results reiterate the importance of the interplay between bottom-up and topdown control in trophically linked communities, and highlight the complex responses occurring in even a simple food chain.</t>
  </si>
  <si>
    <t>10.1111/1365-2656.12702</t>
  </si>
  <si>
    <t>Panaino, W; Parrini, F; Phakoago, MV; Smith, D; van Dyk, G; Fuller, A</t>
  </si>
  <si>
    <t>Do seasonal dietary shifts by Temminck's pangolins compensate for winter resource scarcity in a semi-arid environment?</t>
  </si>
  <si>
    <t>Smutsia temminckii; Climate change; Kalahari; Diet</t>
  </si>
  <si>
    <t>FORAGING BEHAVIOR; HARVESTER TERMITE; MANIS-TEMMINCKII; ANT; ECOLOGY; HYMENOPTERA; FORMICIDAE; RESPONSES; PATTERNS; STEPPE</t>
  </si>
  <si>
    <t>In response to food scarcity, animals may increase foraging time or shift their diet by including more profitable prey items. Aardvarks (Orycteropus afer) in the semi-arid Kalahari region of southern Africa died, apparently of starvation, because they did not shift their diet when their primary food resource declined following a drought. Whether other myrmecophagous (ant- and termite-eating) mammals alter their diet in response to food scarcity is unclear. We investigated the feeding behaviour (through faecal analysis and direct observations) of six freeliving, myrmecophagous Temminck's pangolins (Smutsia temminckii), for two years in the Kalahari. We also collected data on climate and ant and termite availability. Winter was characterised by low prey abundance, but pangolins predominantly selected three insect genera, namely Crematogaster ants, Anoplolepis ants, and Trinervitermes termites, regardless of food availability. Pangolins responded to winter resource scarcity by increasing the proportion of consumed Trinervitermes termites, but the shift did not prevent low energy intake during that period. During the winter of the drier of the two years, pangolins increased foraging time and fed on energy-rich prey. Whether the relatively low dietary flexibility of pangolins will allow them to meet their energy demands as insect populations decline with climate change is not known.</t>
  </si>
  <si>
    <t>10.1016/j.jaridenv.2021.104676</t>
  </si>
  <si>
    <t>Munoz, RC; Currin, CA; Whitfield, PE</t>
  </si>
  <si>
    <t>Diet of invasive lionfish on hard bottom reefs of the Southeast USA: insights from stomach contents and stable isotopes</t>
  </si>
  <si>
    <t>Marine invasion; Rocky reef; Scorpaenidae; Warm temperate; Continental shelf; Piscivory; Diet; Prey</t>
  </si>
  <si>
    <t>INDO-PACIFIC LIONFISH; PTEROIS-VOLITANS/MILES COMPLEX; CONTINENTAL-SHELF; NORTH-CAROLINA; BIOLOGICAL INVASIONS; FORAGING BEHAVIOR; FISH ASSEMBLAGES; FEEDING ECOLOGY; ATLANTIC COAST; RED LIONFISH</t>
  </si>
  <si>
    <t>The Indo-Pacific lionfish (Pterois volitans and P. miles complex) has become widely established along the United States Southeast coast and continues to colonize the Caribbean, yet its biology and ecology is only beginning to be understood. We used stomach contents and stable isotope analyses to determine the diet of lionfish in the warm-temperate hard bottom reef community in the Southeast US Atlantic Ocean. During June to August 2004 and 2006, we collected lionfish with SCUBA from 18 different locations in Onslow Bay, North Carolina, at depths of 30 to 45 m. In 2006, we also conducted visual surveys of small benthic fishes to estimate the abundances of potential prey. Analyses of stomach contents (n = 183) and stable isotopes (n = 115) suggest a generalist carnivorous diet, and prey categories were predominately fish (similar to 99% of total volume) from 16 families. Major differences in the importance of prey occurred between years. Serranidae and Scaridae dominated the diet in 2004, while Haemulidae and Carangidae were important in 2006. Analyses of visual prey surveys did not reveal specialization on particular prey taxa but instead suggest that prey are consumed in relation to their local abundance. Given current theory pertaining to invasive species impacts, the expanding lionfish distribution, and observations that lionfish appear capable of settling to many different habitat types, the overall pattern of generalist piscivory emerging from these data indicates the potential for significant impacts to the invaded community.</t>
  </si>
  <si>
    <t>U494</t>
  </si>
  <si>
    <t>10.3354/meps09154</t>
  </si>
  <si>
    <t>Friberg, N; Dybkjaer, JB; Olafsson, JS; Gislason, GM; Larsen, SE; Lauridsen, TL</t>
  </si>
  <si>
    <t>Relationships between structure and function in streams contrasting in temperature</t>
  </si>
  <si>
    <t>climate change; geothermal; Iceland; leaf litter; nutrients; stable isotopes</t>
  </si>
  <si>
    <t>LEAF-LITTER DECOMPOSITION; FRESH-WATER; ASSEMBLAGE STRUCTURE; ECOSYSTEM; NITROGEN; PATTERNS; BREAKDOWN; ENRICHMENT; CATCHMENT; FRACTIONATION</t>
  </si>
  <si>
    <t>P&gt;1. We studied 10 first-order Icelandic streams differing in geothermal influence in separate catchments. Summer temperature (August-September) ranged between 6 and 23 degrees C. 2. Macroinvertebrate evenness and species overlap decreased significantly with temperature whereas taxon richness showed no response. In total, 35 macroinvertebrate species were found with Chironomidae the dominant taxonomic group. Macroinvertebrate density increased significantly with temperature. Dominant species in the warm streams were Lymnaea peregra and Simulium vittatum. Algal biomass, macrophyte cover and richness were unrelated to temperature. Densities of trout (Salmo trutta), the only fish species present, reflected habitat conditions and to a lesser degree temperature. 3. Density of filter-feeders increased significantly with temperature whereas scraper density, the other dominant functional feeding group, was unrelated to temperature. Stable isotope analysis revealed a positive relationship between delta&lt;SU15&lt;/SUN and temperature across several trophic levels. No pattern was found with regard to delta&lt;SU13&lt;/SUC and temperature. 4. Leaf litter decomposition in both fine and coarse mesh leaf bags were significantly correlated to temperature. In coarse mesh leaf packs breakdown rates were almost doubled compared with fine mesh, ranging between 0.5 and 1.3 g DW 28 days&lt;SU-1&lt;/SU. Nutrient diffusion substrates showed that the streams were primarily nitrogen limited across the temperature gradient while a significant additional effect of phosphorous was found with increasing temperature. 5. Structural and functional attributes gave complementary information which all indicated a change with temperature similar to what is found in moderately polluted streams. Our results therefore suggest that lotic ecosystems could be degraded by global warming.</t>
  </si>
  <si>
    <t>10.1111/j.1365-2427.2009.02234.x</t>
  </si>
  <si>
    <t>Morat, F; Blamart, D; Lecomte-Finiger, R; Planes, S; Galzin, R</t>
  </si>
  <si>
    <t>FROM THE GEOCHEMISTRY OF CORAL REEF FISH OTOLITHS TO CLIMATE: WHAT CAN WE LEARN FROM THE EXAMPLE OF TAIARO LAGOON?</t>
  </si>
  <si>
    <t>VIE ET MILIEU-LIFE AND ENVIRONMENT</t>
  </si>
  <si>
    <t>CORAL REEF FISH; OTOLITHS; STABLE ISOTOPES; TAIARO ATOLL</t>
  </si>
  <si>
    <t>ATOLL TUAMOTU ARCHIPELAGO; STABLE-ISOTOPES; FRENCH-POLYNESIA; ENCLOSED LAGOON; CARBON; TEMPERATURE; OXYGEN; FRACTIONATION; O-18; C-13</t>
  </si>
  <si>
    <t>The analysis of the C-O stable isotope composition of coral reef fish otoliths from Taiaro, a French Polynesian atoll normally isolated from the Pacific Ocean, has been performed to address two main questions. The first is to confirm previous results which suggest that a lagoonal coral reef fish population is able to achieve its ontogenetic cycle without any open ocean phase. If so, are O isotopic values of otoliths an indicator of temperature fluctuations in the tropical Pacific Ocean related to climate change and in particular temperature variations of water masses? delta O-18 and delta C-13 values on both lagoon and open ocean fish otoliths caught in 2006 indicated clearly that O-isotopes reached the isotopic equilibrium; in contrast, all delta C-13 values exhibited a strong isotopic disequilibrium related to metabolic activity. Stable isotope compositions revealed a clear differentiation between fish from lagoons and those from the open ocean (with a delta O-18 enrichment of 1 % in favour of the lagoon). This confirmed a lack of connectivity between habitats and that fish from lagoon lived their entire life cycle in the lagoon. Both delta O-18 and delta C-13 data indicated differences between nucleus and edge signatures with changes in fish behavior from the larval life to adulthood (habitat, diet, etc.), and a clear adaptation of dietary behavior of lagoon fish. The comparison of the 2006 data set with those of 1994 showed that environmental conditions were stable in the lagoon, leading to a very narrow range of variations in the delta O-18 values. delta O-18 of fish otoliths of the open ocean exhibited a wider variation (+0.25 %) between 1994 and 2006, suggesting a decrease in temperature linked to a change of SST, which can be interpreted in terms of climate change associated with El Nino Southern Oscilation (ENSO). These differences could also be due to a switch of habitats during the life cycle of fish from the open ocean.</t>
  </si>
  <si>
    <t>Gonzalez-Bergonzoni, I; Landkildehus, F; Meerhoff, M; Lauridsen, TL; Ozkan, K; Davidson, TA; Mazzeo, N; Jeppesen, E</t>
  </si>
  <si>
    <t>Fish determine macroinvertebrate food webs and assemblage structure in Greenland subarctic streams</t>
  </si>
  <si>
    <t>arctic streams; climate change; fish colonisation; Layman's community-wide metrics; top-down effect</t>
  </si>
  <si>
    <t>COMMUNITY-WIDE MEASURES; ISOTOPE RATIOS PROVIDE; FRESH-WATER MACROINVERTEBRATES; CLIMATE-CHANGE; TROPHIC STRUCTURE; TOP-DOWN; CONSEQUENCES; PREDATION; CARBON; MODEL</t>
  </si>
  <si>
    <t>1. Climate warming in (sub) arctic regions is expected to increase freshwater fish overwinter survival and dispersal, potentially with strong implications for macroinvertebrate assemblage composition and ecosystem processes. Several studies worldwide have shown large effects of top predators (usually fish) on macroinvertebrates in streams. However, the influence of top predators on trophic diversity, the range of food resources exploited and trophic niche redundancy is less well studied, particularly in cold regions. 2. Using stable isotopes (C-13 and N-15) and fish gut content analysis, we investigated the effect of top predators on macroinvertebrate food webs in streams in Greenland by comparing adjacent sites with and without fish (Gasterosteus aculeatus). 3. Food-web metrics estimated from stable isotope data showed that the presence of fish reduced the diversity of food sources exploited by macroinvertebrates as well as their trophic diversity. In addition, fish presence increased packing and trophic redundancy of macroinvertebrate taxa in the food web, possibly due to behavioural changes in foraging activity. Furthermore, predatory macroinvertebrate taxa were unable to attain the trophic position of fish so that food webs were one trophic level longer in streams with fish. Focusing on macroinvertebrate food webs alone, predatory macroinvertebrates did not change their trophic position in the presence of fish. 4. Filter feeders dominated the macroinvertebrate assemblage when fish were present, while the relative abundance of collector-gatherers was marginally higher in the fishless streams. This pattern was consistent with stronger selectivity for collector-gatherers by fish. 5. Climate-driven fish colonisation in currently fishless Greenland streams may induce a shift in macroinvertebrate food webs, with a reduction in both trophic diversity and the variety of food sources consumed. To some extent, this might counteract a change towards a broader use of food resources by macroinvertebrates that might otherwise be expected at higher temperatures. In addition, a shift in the macroinvertebrate assemblage towards dominance of filter feeders can be expected to promote an increase in periphyton biomass in streams with fish.</t>
  </si>
  <si>
    <t>10.1111/fwb.12386</t>
  </si>
  <si>
    <t>Hebert, CE; Wassenaar, LI</t>
  </si>
  <si>
    <t>Stable isotopes provide evidence for poor northern pintail production on the Canadian Prairies</t>
  </si>
  <si>
    <t>agriculture; Anas acuta; Anas platyrhynchos; cropland; geographic origin; landscapes; mallard; northern pintail; stable isotopes</t>
  </si>
  <si>
    <t>CONSERVATION RESERVE PROGRAM; BREEDING POPULATIONS; LAND-USE; ORIGINS; FEATHERS; CARBON; RATIOS</t>
  </si>
  <si>
    <t>Concerns have been raised regarding declines in western North American northern pintail (Anas acuta L.) populations over the past 30 years. Elucidating the natal origins of pintails and identifying production areas of pintails are important steps in determining the cause of the observed declines. Here, We used stable isotope (sulphur. hydrogen, carbon, nitrogen) featherprints to determine the geographic origins of northern pintail ducks Shot by hunters in southern Alberta and Saskatchewan, Canada. Based on the best data available for inferring the distribution of breeding pintails, the proportion of hatch-year pintails originating front Prairie regions was smaller than expected. Our results suggest that production of northern pintails on the Canadian Prairies may be significantly lower than predicted by the number of breeding birds and may be related to human induced reductions in nest success as a result of agricultural practices.</t>
  </si>
  <si>
    <t>10.2193/0022-541X(2005)069&lt;0101:SIPEFP&gt;2.0.CO;2</t>
  </si>
  <si>
    <t>Tuckett, QM; Simon, KS; Saros, JE; Halliwell, DB; Kinnison, MT</t>
  </si>
  <si>
    <t>Fish trophic divergence along a lake productivity gradient revealed by historic patterns of invasion and eutrophication</t>
  </si>
  <si>
    <t>eutrophication; lake productivity; Secchi depth; stable isotopes; trophic specialization</t>
  </si>
  <si>
    <t>WHITE PERCH; CHARACTER DISPLACEMENT; PHENOTYPIC PLASTICITY; PUMPKINSEED SUNFISH; MORONE-AMERICANA; RESOURCE USE; FOOD WEBS; PREDATOR; PREY; EVOLUTION</t>
  </si>
  <si>
    <t>Studies of trophic divergence in fishes and other organisms emphasise resource availability as a driving factor, but usually in terms of alternate resources within particular resource-limited systems. In contrast, the role of overall ecosystem productivity in shaping trophic diversity among systems has received less attention. Divergence along productivity gradients may be relevant because aquatic systems span a range of productivities, humans are accelerating the natural process of eutrophication, and productivity controls community and ecosystem processes that govern the availability and costs/benefits of alternative resources. Here, we study whether populations of white perch (Morone americana) differ in traits related to trophic divergence and how such variation might be predicted by landscape patterns of lake productivity. White perch populations differed in their body dimensions, fin lengths and gill raker structures. Each of these traits showed significant and often strong (r(2) up to 0.91) correlations with lake Secchi depth and other metrics of lake productivity, such that white perch from more eutrophic systems tended to be larger, have more gibbous bodies, longer fins, more subterminal mouths and gill rakers with greater spacing. Isotopic 15N was correlated with phenotypic divergence, and fish from eutrophic systems exhibited a trophic shift at smaller sizes. Our results suggest that productivity has surprising ability to predict trait variation at the landscape scale. The fact that a number of the study populations were established in the last century and that some lakes became eutrophic in that period, suggests fish trophic traits can respond quickly to lake conditions.</t>
  </si>
  <si>
    <t>10.1111/fwb.12229</t>
  </si>
  <si>
    <t>Mackintosh, TJ; Davis, JA; Thompson, RM</t>
  </si>
  <si>
    <t>The effects of urbanization on trophic relationships in constructed wetlands</t>
  </si>
  <si>
    <t>constructed wetlands; total imperviousness; macroinvertebrates; fish; food web; stable isotope analysis</t>
  </si>
  <si>
    <t>FOOD-WEB STRUCTURE; STABLE-ISOTOPES; BENTHIC MACROINVERTEBRATES; GAMBUSIA-HOLBROOKI; FISH PREDATION; STREAM; INVERTEBRATES; FLOODPLAIN; POLLUTION; RESPONSES</t>
  </si>
  <si>
    <t>Constructed stormwater wetlands are one strategy for mitigating the negative effects of urbanization on aquatic ecosystems. However, the biotic community in these wetlands generally is dominated by organisms able to tolerate poor water quality. Reduced macroinvertebrate diversity and abundance in comparison to natural wetlands, and prevalence of invasive species, such as Gambusia, can influence the flow of energy through food webs. We used stable -isotope analysis (813C and 8'5N) of food webs to assess whether the amount of catchment urbanization (total imperviousness [imperviousness] = % catchment covered in impervious surfaces) influenced basal resources and trophic relationships in constructed wetlands in Melbourne, Australia. As imperviousness increased, the abundance and diversity of macroinvertebrates decreased significantly and the values of 813C and 815N recorded for fishes and macroinvertebrates increased significantly. An increase in imperviousness was associated with a decrease in the mean trophic position of fishes and an increase in the mean trophic position of macroinvertebrates. Our results suggest that sources of C differed between sites of low and high imperviousness and that N sources increased with increasing imperviousness. Our study provides an understanding of the likely consequences of disturbance associated with urbanization on the foodweb structure of constructed wetlands.</t>
  </si>
  <si>
    <t>10.1086/690674</t>
  </si>
  <si>
    <t>Kohlbach, D; Ferguson, SH; Brown, TA; Michel, C</t>
  </si>
  <si>
    <t>Landfast sea ice-benthic coupling during spring and potential impacts of system changes on food web dynamics in Eclipse Sound, Canadian Arctic</t>
  </si>
  <si>
    <t>Sea ice; Ice algae; Carbon sources; Climate change; Fatty acids; Stable isotopes; Canadian; Arctic; Eclipse Sound; Pond Inlet</t>
  </si>
  <si>
    <t>ALGAE-PRODUCED CARBON; FATTY-ACID; CLIMATE-CHANGE; TROPHIC RELATIONSHIPS; MONODON-MONOCEROS; MACKENZIE SHELF; ORGANIC-CARBON; MARINE; PHYTOPLANKTON; WATER</t>
  </si>
  <si>
    <t>We investigated the role of sea ice-derived carbon in the food web of Eclipse Sound, Canadian Arctic during the spring ice-covered season to understand the potential ecological impact of changes to the sea-ice habitat. Chlorophyll a (chl a) concentrations in the bottom of sea ice (438.2 +/- 154.2 mu g l(-1), 19.8 +/- 6.6 mg m(-2)) were more than 2 orders of magnitude higher than in surface waters (0.9 +/- 0.7 mu g l(-1)). Fatty acid (FA) composition showed that algal communities in the bottom sea ice comprised higher abundances of diatoms compared to surface waters. Benthic invertebrates (ophiuroids, polychaetes) and sediments had high proportions of diatom-associated FAs in their lipid composition. H-Print estimates of the proportional contributions of sea icederived carbon to the carbon pool of the benthic community were substantial, ranging on average between 77 and 85%. High carbon stable isotope values (delta C-13) in benthic invertebrates and sediments (delta C-13: -19.6 to -11.6%) further suggests that a large portion of the benthic carbon pool was of sea-ice origin, while surface waters were significantly lower (delta C-13: -22.32 +/- 2.17%). In this ecosystem where landfast ice is present for most of the year, strong sea ice-benthic coupling emphasizes the dependency of the food web on ice productivity. As timing and magnitude of sea icederived carbon will change under alterations of climatic conditions and possibly with increased shipping activities in the study region, the adaptive capacity of sea ice-dependent species is anticipated to play a key role in determining future food webs.</t>
  </si>
  <si>
    <t>10.3354/meps13071</t>
  </si>
  <si>
    <t>Wold, A; Jaeger, I; Hop, H; Gabrielsen, GW; Falk-Petersen, S</t>
  </si>
  <si>
    <t>Arctic seabird food chains explored by fatty acid composition and stable isotopes in Kongsfjorden, Svalbard</t>
  </si>
  <si>
    <t>Seabirds; Zooplankton; Arctic fishes; Fatty acids; Stable isotopes; Foraging ecology; Kongsfjorden</t>
  </si>
  <si>
    <t>FULMARS FULMARUS-GLACIALIS; TROPHIC RELATIONSHIPS; WATER POLYNYA; FJORD SYSTEM; COMMON EIDER; BARENTS SEA; DIET; WEB; LIPIDS; INDICATORS</t>
  </si>
  <si>
    <t>Marine birds are important predators in the marine ecosystem, and dietary studies can give useful information about their feeding ecology, food webs and oceanographic variability. The aim of this study was to increase our understanding of the diet and trophic level of the seabirds breeding in Kongsfjorden, Svalbard. We have used fatty acids and stable isotopes, both of which integrate diet information over space and time, to determine trophic relationships in marine food webs. Fatty acid compositions of muscle from Little auk (Alle alle), Brunnich's guillemot (Uria lomvia), Black-legged kittiwake (Rissa tridactyla), Northern fulmar (Fulmarus glacialis) and Glaucous gull (Larus hyperboreus) were determined and compared with their prey species. Canonical analysis (CA) showed that fatty acid composition differed among the five seabird species. Little auk, Black-legged kittiwake and Northern fulmar had high levels of the Calanus markers 20:1n9 and 22:1, indicating that these seabirds are a part of the Calanus food chain. Brunnich's guillemot differed from the other species with much lower levels of 20:1n9 and 22:1. Brunnich's guillemot is a pursuit diver feeding on fish and amphipods deeper in the water column, below 30 m. Glaucous gull also differed from the other seabird species, with a larger variation in the fatty acid composition indicating a more diverse diet. Trophic level analysis placed Little auk at the lowest trophic level, Brunnich's guillemot and Black-legged kittiwake at intermediate levels and Glaucous gull and Northern fulmar at the highest trophic level.</t>
  </si>
  <si>
    <t>10.1007/s00300-011-0975-4</t>
  </si>
  <si>
    <t>Prechsl, UE; Burri, S; Gilgen, AK; Kahmen, A; Buchmann, N</t>
  </si>
  <si>
    <t>No shift to a deeper water uptake depth in response to summer drought of two lowland and sub-alpine C-3-grasslands in Switzerland</t>
  </si>
  <si>
    <t>Precipitation manipulation experiment; Plant-water relations; Stable water isotopes; Bayesian calibrated mixing model; Root distribution</t>
  </si>
  <si>
    <t>BELOW-GROUND PRODUCTION; ROOT DISTRIBUTION; RAINFALL VARIABILITY; PLANT-COMMUNITIES; GRASSLAND; PATTERNS; PRODUCTIVITY; DIVERSITY</t>
  </si>
  <si>
    <t>Temperate C-3-grasslands are of high agricultural and ecological importance in Central Europe. Plant growth and consequently grassland yields depend strongly on water supply during the growing season, which is projected to change in the future. We therefore investigated the effect of summer drought on the water uptake of an intensively managed lowland and an extensively managed sub-alpine grassland in Switzerland. Summer drought was simulated by using transparent shelters. Standing above- and belowground biomass was sampled during three growing seasons. Soil and plant xylem waters were analyzed for oxygen (and hydrogen) stable isotope ratios, and the depths of plant water uptake were estimated by two different approaches: (1) linear interpolation method and (2) Bayesian calibrated mixing model. Relative to the control, aboveground biomass was reduced under drought conditions. In contrast to our expectations, lowland grassland plants subjected to summer drought were more likely (43-68 %) to rely on water in the topsoil (0-10 cm), whereas control plants relied less on the topsoil (4-37 %) and shifted to deeper soil layers (20-35 cm) during the drought period (29-48 %). Sub-alpine grassland plants did not differ significantly in uptake depth between drought and control plots during the drought period. Both approaches yielded similar results and showed that the drought treatment in the two grasslands did not induce a shift to deeper uptake depths, but rather continued or shifted water uptake to even more shallower soil depths. These findings illustrate the importance of shallow soil depths for plant performance under drought conditions.</t>
  </si>
  <si>
    <t>10.1007/s00442-014-3092-6</t>
  </si>
  <si>
    <t>Eldridge, DJ</t>
  </si>
  <si>
    <t>The resource coupling role of animal foraging pits in semi-arid woodlands</t>
  </si>
  <si>
    <t>echidna; resource coupling; runoff; soil erosion; foraging pits; cryptogamic crust; seed dispersal; hydrochory; Tachyglossus</t>
  </si>
  <si>
    <t>ECHIDNA TACHYGLOSSUS-ACULEATUS; MICROPHYTIC CRUSTS; SEDIMENT YIELD; SOIL; DESERT; EROSION; VEGETATION; PATCHES; RUNOFF; LAND</t>
  </si>
  <si>
    <t>Water is a strong driver of ecosystem function and diversity in resource-limited drylands. Structures that alter the redistribution of water have the potential to affect vegetation pattern and productivity and the maintenance of spatial heterogeneity. We examined the role of surface foraging pits and mounds constructed by the short-beaked echidna (Tachyglossus aculeatus) on runoff generation, sediment detention and seed capture. We speculated that pits dug into biologically crusted interspace soils would reduce overland flow and act as sinks for seed, while mounds of ejected soil would increase sediment availability. Runoff and sediment yield were examined under simulated rainfall with five levels of disturbance representing the pits and mounds of echidnas. Increasing the level of disturbance up to 47% cover of mounds and pits had no effect on time to ponding, steady-state runoff or the coefficient of runoff. However, time to initiation of runoff, sediment removal rates and sediment concentration in runoff water increased with increasing disturbance. Pit-to-pit and surface-to-pit movements of Dodonaea viscosa seed tended to increase, while pit-to-surface movements tended to remain unchanged with increasing disturbance. Surface-resident seed generally moved shorter distances with increasing disturbance. The results highlight the importance of mounds and pits of soil foraging animals for generating and trapping eroded sediment. Runoff and erosion processes may therefore provide a mechanism for coupling critical resources such as seed, water and sediment in resource-rich patches that will contribute to the development of small-scale heterogeneity in woodlands. Copyright (C) 2010 New South Wales, Australia.</t>
  </si>
  <si>
    <t>10.1002/eco.145</t>
  </si>
  <si>
    <t>Yi, YJ; Wang, ZY; Yang, ZF</t>
  </si>
  <si>
    <t>Two-dimensional habitat modeling of Chinese sturgeon spawning sites</t>
  </si>
  <si>
    <t>Habitat suitability index model; Two-dimensional mathematic model; Chinese sturgeon; Three Gorges Project; Reservoir management; Yangtze River</t>
  </si>
  <si>
    <t>RIVER RESTORATION; FISH; STREAM; DAM</t>
  </si>
  <si>
    <t>Since the construction of the Gezhouba Dam in the 1980s, the number of Chinese sturgeon in the Yangtze River has been rapidly declining. The Gezhouba Dam has cutoff the migration path of these sturgeon, resulting in an overall reduction of suitable sturgeon habitat. This paper describes a habitat suitability index model that is used to evaluate the impacts of the Gezhouba Dam and Three Gorges Project on Chinese sturgeon spawning sites. Based on research concerning the reproduction characteristics of Chinese sturgeon, ten major ecological factors that influence reproduction were analyzed, including: water temperature, velocity, water depth, substrate, suspended sediment concentration, and the amount of egg predatory fish. The suitability index (SI) curves based on these ten ecological factors were obtained, and a habitat suitability function was developed. A two-dimensional mathematical model was also created to simulate and predict physical habitat situation (such as hydraulic, sediment, and substrate) of the Chinese sturgeon. By coupling the habitat suitability function and a two-dimensional mathematical model, a habitat suitability index model for Chinese sturgeon was established. The habitat suitability index model was validated by comparing measured data with predictions from the model. These comparisons showed that the computed results agreed well with the measured results, and the high calculated habitat suitability index (HSI) corresponded to high measured quantity of eggs per unit (1000 m(3)) discharge (CPUE(d)). The calculated habitat suitability index for Chinese sturgeon also showed that the habitat suitability index was better in 1999, before the impoundment of the Three Gorges Project, compared with the habitat suitability in 2003. Simulation results of different discharges from Gezhouba Dam predicted that flow discharges between 10,000 and 30,000 m(3)/s were most suitable for sturgeon spawning. (C) 2009 Elsevier B.V. All rights reserved.</t>
  </si>
  <si>
    <t>10.1016/j.ecolmodel.2009.11.018</t>
  </si>
  <si>
    <t>Ramirez, MD; Avens, L; Seminoff, JA; Goshe, LR; Heppell, SS</t>
  </si>
  <si>
    <t>Growth dynamics of juvenile loggerhead sea turtles undergoing an ontogenetic habitat shift</t>
  </si>
  <si>
    <t>Growth rates; Life history variation; Ontogenetic niche theory; Skeletochronology; Stable nitrogen isotopes</t>
  </si>
  <si>
    <t>CARETTA-CARETTA; AGE; MARKS; SIZE; REMIGRATION; VALIDATION; PREDATORS; ISOTOPES; DURATION; MODELS</t>
  </si>
  <si>
    <t>Ontogenetic niche theory predicts that individuals may undergo one or more changes in habitat or diet throughout their lifetime to maintain optimal growth rates, or to optimize trade-offs between mortality risk and growth. We combine skeletochronological and stable nitrogen isotope (delta N-15) analyses of sea turtle humeri (n = 61) to characterize the growth dynamics of juvenile loggerhead sea turtles (Caretta caretta) during an oceanic-to-neritic ontogenetic shift. The primary objective of this study was to determine how ontogenetic niche theory extends to sea turtles, and to individuals with different patterns of resource use (discrete shifters, n = 23; facultative shifters n = 14; non-shifters, n = 24). Mean growth rates peaked at the start of the ontogenetic shift (based on change in delta N-15 values), but returned to pre-shift levels within 2 years. Turtles generally only experienced 1 year of relatively high growth, but the timing of peak growth relative to the start of an ontogenetic shift varied among individuals (before, n = 14; during, n = 12; after, n = 8). Furthermore, no reduction in growth preceded the transition, as is predicted by ontogenetic niche theory. Annual growth rates were similar between non-transitioning turtles resident in oceanic and neritic habitats and turtles displaying alternative patterns of resource use. These results suggest that factors other than maximization of size-specific growth may more strongly influence the timing of ontogenetic shifts in loggerhead sea turtles, and that alternative patterns of resource use may have limited influence on somatic growth and age at maturation in this species.</t>
  </si>
  <si>
    <t>10.1007/s00442-017-3832-5</t>
  </si>
  <si>
    <t>Zeng, HH; Wu, JE; Singh, AK; Zhu, XA; Zhang, WJ; Hahn, P; Holscher, D; Liu, WJ</t>
  </si>
  <si>
    <t>Effect of intercrops complexity on water uptake patterns in rubber plantations: Evidence from stable isotopes (C-H-O) analysis</t>
  </si>
  <si>
    <t>Rubber agroforestry systems; Stable isotopes; Soil water content; Soil water partitioning; Water use efficiency</t>
  </si>
  <si>
    <t>USE EFFICIENCY; SOIL-WATER; PREFERENTIAL FLOW; HELP IMPROVE; XISHUANGBANNA; FOREST; COMPETITION; DELTA-C-13; PLANTS; DISCRIMINATION</t>
  </si>
  <si>
    <t>Rubber monoculture plantations are expanding but may cause environmental problems, and rubber-based agroforestry can provide ways of more environmentally friendly rubber cultivation. The general objective of this study was to investigate plant soil water uptake in different rubber agroforestry systems with water stable isotopes (delta H-2 and delta O-18), and water use efficiency with leaf delta C-13. We studied rubber trees in a monocultural plantation, and in three agroforestry systems which were mixed with (a) orange trees, (b) tea trees, and (c) both orange and tea trees, respectively. The results indicated that soil water content was enhanced in the agroforestry systems, especially for rubber-tea and rubber-orange-tea agroforesty systems. The soil water uptake of rubber trees varied seasonally, and exhibited significant different among the cultivation systems. Rubber trees in agroforestry systems seemingly absorb water from deeper soil horizons more than monocultural plantations. We also found that rubber trees adjusted their water source according to their growing stage: they increased their uptake of water from deeper soil horizons to meet water requirements during their leaf flushing stage. For the soil water uptake of intercrops, we found that they use a shallow soil horizon as their primary source of water uptake, with little seasonal variation in vertical water extraction patterns. Changes in leaf delta C-13 values indicate that rubber trees adjusted their water use efficiency seasonally, which helps to cope with seasonal drought and growth requirements. However, neither intercrops nor rubber trees' delta C-13 values differ with sites, indicating that intercropping has little influence on intercrops and rubber trees' water supply. In conclusion, rubber trees have a flexible water use strategy, as intercropping shaped the soil water uptake patterns of rubber trees without apparent consequences on water use efficiency. These findings provide valuable insights into agroforestry systems' interspecific water use patterns that can help intercrop selection for rubber agroforestry systems in this region.</t>
  </si>
  <si>
    <t>10.1016/j.agee.2022.108086</t>
  </si>
  <si>
    <t>Rayner, MJ; Dunphy, BJ; Lukies, K; Adams, NJ; Berg, M; Kozmian-Ledward, L; Pinkerton, MH; Bury, SJ</t>
  </si>
  <si>
    <t>Stable isotope record from a resident New Zealand seabird community suggests changes in distribution but not trophic position since 1878</t>
  </si>
  <si>
    <t>Carbon and nitrogen isotope; Feathers; Euphausiids; Salps; Forage fish; Museum collections; Hauraki Gulf</t>
  </si>
  <si>
    <t>PETREL PTERODROMA-COOKII; PHALACROCORAX-VARIUS; SPATIAL VARIATION; FORAGING ECOLOGY; EUDYPTULA-MINOR; BREEDING-SEASON; FEEDING ECOLOGY; FOOD; DELTA-N-15; DELTA-C-13</t>
  </si>
  <si>
    <t>Globally, human population growth, its associated pollution and the vast scale of industrialised fisheries are having negative impacts on oceanic food webs, affecting top predators such as seabirds. We used stable isotope (delta N-15 and delta C-13) analyses of feathers to investigate the contemporary structure and long-term changes in a near-shore community of 5 seabird species in northern Aotearoa New Zealand. Feathers were collected from museum specimens or live individuals (collected between 1878 and 2019) in Tikapa Moana, the Hauraki Gulf, a marine habitat increasingly threatened by overfishing and urbanisation. To tease out the effects of baseline ecosystem versus seabird distributional changes, we analysed muscle isotope values of forage fishes collected over 43 yr (1976-2019) and provide isotopic data from contemporary prey species sampled within the region. Contemporary delta N-15 and delta C-13 values were consistent with existing data on diet and foraging distribution of the 5 seabird species. Values of delta N-15 declined in only 1 of 5 species studied, suggesting little change in the trophic position of the other species over time. However, delta C-13 values declined in 3 species, and a lack of change in the delta N-15 and delta C-13 values of forage fish suggests that this change is reflective of a behavioural shift in the distribution of the birds. However, changes in isotopic baselines over the sampling period cannot be ruled out and require further investigation. Our results demonstrate the value of stable isotope analyses of contemporary and archived samples as a cost effective, non-invasive method for monitoring coastal seabirds in a changing world.</t>
  </si>
  <si>
    <t>10.3354/meps13877</t>
  </si>
  <si>
    <t>Arendt, M; Cairns, KM; Ballard, JWO; Savolainen, P; Axelsson, E</t>
  </si>
  <si>
    <t>Diet adaptation in dog reflects spread of prehistoric agriculture</t>
  </si>
  <si>
    <t>HEREDITY</t>
  </si>
  <si>
    <t>DROPLET DIGITAL PCR; GENETIC-STRUCTURE; DOMESTICATION; REVEALS; EVOLUTION; SUGGEST; POTTERY; GENOMES; HUMANS; ORIGIN</t>
  </si>
  <si>
    <t>Adaptations allowing dogs to thrive on a diet rich in starch, including a significant AMY2B copy number gain, constituted a crucial step in the evolution of the dog from the wolf. It is however not clear whether this change was associated with the initial domestication, or represents a secondary shift related to the subsequent development of agriculture. Previous efforts to study this process were based on geographically limited data sets and low-resolution methods, and it is therefore not known to what extent the diet adaptations are universal among dogs and whether there are regional differences associated with alternative human subsistence strategies. Here we use droplet PCR to investigate worldwide AMY2B copy number diversity among indigenous as well as breed dogs and wolves to elucidate how a change in dog diet was associated with the domestication process and subsequent shifts in human subsistence. We find that AMY2B copy numbers are bimodally distributed with high copy numbers (median 2n(AMY2B)=11) in a majority of dogs but no, or few, duplications (median 2n(AMY2B)=3) in a small group of dogs originating mostly in Australia and the Arctic. We show that this pattern correlates geographically to the spread of prehistoric agriculture and conclude that the diet change may not have been associated with initial domestication but rather the subsequent development and spread of agriculture to most, but not all regions of the globe.</t>
  </si>
  <si>
    <t>10.1038/hdy.2016.48</t>
  </si>
  <si>
    <t>Wen, ZX; Wu, Y; Ge, DY; Cheng, JL; Chang, YB; Yang, ZS; Xia, L; Yang, QS</t>
  </si>
  <si>
    <t>Heterogeneous distributional responses to climate warming: evidence from rodents along a subtropical elevational gradient</t>
  </si>
  <si>
    <t>BMC ECOLOGY</t>
  </si>
  <si>
    <t>Climate change; Heterogeneity; Range shift; Rodent; Species traits; Subtropical</t>
  </si>
  <si>
    <t>RANGE SHIFTS; SPECIES TRAITS; BOUNDARY SHIFTS; MAMMALS; 20TH-CENTURY; COMMUNITIES; IMPACTS; TROPICS; CONTEXT; BUFFER</t>
  </si>
  <si>
    <t>Background: Understanding whether species' elevational range is shifting in response to directional changes in climate and whether there is a predictable pattern in that response is one of the major challenges in ecology. However, so far very little is known about the distributional responses of subtropical species to climate change, especially for small mammals. In this study, we examined the elevational range shifts at three range points (upper and lower range limits and abundance-weighted range centre) of rodents over a 30-year period (1986 to 2014-2015), in a subtropical forest of Southwest China. We also examined the influences of four ecological traits (body mass, habitat breadth, diet and daily activity pattern) on the upslope shifts in species' abundance-weighted range centres. Results: Despite the warming trend between 1986 and 2015, the 11 rodent species in analysis displayed heterogeneous dynamics at each of the three range points. Species which have larger body sizes and narrower habitat breadths, show both diurnal and nocturnal activities and more specialized dietary requirements, are more likely to exhibit upslope shifts in abundance-weighted range centres. Conclusions: Species' distributional responses can be heterogeneous even though there are directional changes in climate. Our study indicates that climate-induced alleviation of competition and lag in response may potentially drive species' range shift, which may not conform to the expectation from climate change. Difference in traits can lead to different range dynamics. Our study also illustrates the merit of multi-faceted assessment in studying elevational range shifts.</t>
  </si>
  <si>
    <t>10.1186/s12898-017-0128-x</t>
  </si>
  <si>
    <t>Goncalves, J; Alves, P; Pocas, I; Marcos, B; Sousa-Silva, R; Lomba, A; Honrado, JP</t>
  </si>
  <si>
    <t>Exploring the spatiotemporal dynamics of habitat suitability to improve conservation management of a vulnerable plant species</t>
  </si>
  <si>
    <t>BIODIVERSITY AND CONSERVATION</t>
  </si>
  <si>
    <t>Species distribution models; Habitat suitability dynamics; Vulnerable species; Biodiversity monitoring; Remote sensing; MODIS NDVI time-series</t>
  </si>
  <si>
    <t>DISTRIBUTION MODELS; TIME-SERIES; LAND-COVER; MULTIMODEL INFERENCE; GLOBAL BIODIVERSITY; BEHAVIORAL ECOLOGY; ENERGY-BALANCE; REMOTE; RARE; EVAPOTRANSPIRATION</t>
  </si>
  <si>
    <t>Ongoing declines in biodiversity caused by global environmental changes call for adaptive conservation management, including the assessment of habitat suitability spatiotemporal dynamics potentially affecting species persistence. Remote sensing (RS) provides a wide-range of satellite-based environmental variables that can be fed into species distribution models (SDMs) to investigate species-environment relations and forecast responses to change. We address the spatiotemporal dynamics of species' habitat suitability at the landscape level by combining multi-temporal RS data with SDMs for analysing inter-annual habitat suitability dynamics. We implemented this framework with a vulnerable plant species (Veronica micrantha), by combining SDMs with a time-series of RS-based metrics of vegetation functioning related to primary productivity, seasonality, phenology and actual evapotranspiration. Besides RS variables, predictors related to landscape structure, soils and wildfires were ranked and combined through multi-model inference (MMI). To assess recent dynamics, a habitat suitability time-series was generated through model hindcasting. MMI highlighted the strong predictive ability of RS variables related to primary productivity and water availability for explaining the test-species distribution, along with soil, wildfire regime and landscape composition. The habitat suitability time-series revealed the effects of short-term land cover changes and inter-annual variability in climatic conditions. Multi-temporal SDMs further improved predictions, benefiting from RS time-series. Overall, results emphasize the integration of landscape attributes related to function, composition and spatial configuration for improving the explanation of ecological patterns. Moreover, coupling SDMs with RS functional metrics may provide early-warnings of future environmental changes potentially impacting habitat suitability. Applications discussed include the improvement of biodiversity monitoring and conservation strategies.</t>
  </si>
  <si>
    <t>10.1007/s10531-016-1206-7</t>
  </si>
  <si>
    <t>Cloyed, CS; Balmer, BC; Schwacke, LH; Wells, RS; McCabe, EBJ; Barleycorn, AA; Allen, JB; Rowles, TK; Smith, CR; Takeshita, R; Townsend, FI; Tumlin, MC; Zolman, ES; Carmichael, RH</t>
  </si>
  <si>
    <t>Interaction between dietary and habitat niche breadth influences cetacean vulnerability to environmental disturbance</t>
  </si>
  <si>
    <t>bottlenose dolphins; cetaceans; environmental disturbance; mixing models; movement ecology; satellite-linked telemetry; site fidelity; stable isotopes; trophic ecology; Tursiops truncatus</t>
  </si>
  <si>
    <t>BOTTLE-NOSED DOLPHINS; GULF-OF-MEXICO; PERSISTENT ORGANIC POLLUTANTS; SQUID OMMASTREPHES-BARTRAMII; ISOTOPE TURNOVER RATES; TURSIOPS-TRUNCATUS; SARASOTA BAY; BARATARIA BAY; INDIVIDUAL SPECIALIZATION; LIPID EXTRACTION</t>
  </si>
  <si>
    <t>Ecosystems are experiencing elevated levels of disturbance, and species with narrower niches are often more vulnerable to disturbances. Niche breadth is often measured in terms of either diet or habitat use but diet and spatial use are infrequently considered in tandem. These different aspects of niche breadth potentially expose species to different types of disturbances; species with narrow dietary niches may be more affected by disturbances that alter trophic relationships, while species with narrow habitat niches may be more vulnerable to habitat loss and point-source pollutants. We examined dietary and habitat niche breadth of common bottlenose dolphins, Tursiops truncatus truncatus, from three different nearshore sites in the Gulf of Mexico (GoM). Using stable isotopes, we determined proportional contributions of different prey groups to dolphin diets at each site and through time at one site. We used satellite-linked telemetry at two sites to determine habitat use and site fidelity. Additionally, we examined the literature on cetacean diet, habitat use, movement, and IUCN status to determine relationships between niche breadth and population status for different species. Dolphin diets varied among sites as available prey varied, but Perciformes fish were the most frequently consumed prey. At the site for which we had temporal data, dolphins consumed more cephalopods in 2015 and 2018 but otherwise consumed primarily Perciformes fish. Dolphins had small utilization distributions and exhibited high site fidelity. Data from 31 cetacean species revealed that most species with vulnerable, threatened, or endangered IUCN statuses not only have specialized diets but also exhibit high site fidelity. Dolphins had diet characteristic of flexible generalists but were habitat specialists with high site fidelity. Dolphin populations in the GoM may have altered their diets in response to environmental changes that have altered community composition and trophic dynamics. On the other hand, their high site fidelity has exposed them to point-source pollutants, such as oil spills, persistent organic pollutants, and freshwater. Our broader analysis of cetaceans confirmed that species with specialized diets and high site fidelity were the most vulnerable to disturbances, providing a framework to predict which nearshore dolphin populations, and cetaceans in general, are most vulnerable to environmental changes.</t>
  </si>
  <si>
    <t>e03759</t>
  </si>
  <si>
    <t>10.1002/ecs2.3759</t>
  </si>
  <si>
    <t>BENGTSSON, J</t>
  </si>
  <si>
    <t>CONFOUNDING VARIABLES AND INDEPENDENT OBSERVATIONS IN COMPARATIVE ANALYSES OF FOOD WEBS</t>
  </si>
  <si>
    <t>CHAIN LENGTH; COMPARATIVE COMMUNITY ECOLOGY; FOOD WEBS; HABITAT DIFFERENCES; INDEPENDENT DATA POINTS; LINKAGE DENSITY; RESIDUALS FROM REGRESSIONS; CONNECTANCE</t>
  </si>
  <si>
    <t>CHAIN LENGTH; TEMPORAL VARIATION; CONNECTANCE; COMPARTMENTATION; ECOSYSTEMS; PATTERNS; REAL</t>
  </si>
  <si>
    <t>Habitat differences in variables describing food web structure were examined using data from two food web compilations, taking into account differences between webs in species richness and using independent data points only. Log-log regressions of connectance, linkage density, and food chain length on species number were calculated. In most cases these relationships were significant. The residuals from the regression lines were used to analyze differences between habitats in connectance, linkage density, and food chain length. In one compilation of insect-dominated webs, aquatic habitats had comparatively high connectance and linkage density when species number had been accounted for. In the other compilation, marine pelagic webs had higher relative connectance, relative linkage density, and mean chain length. In addition, desert webs had higher relative connectance. Several of the results when taking species richness into account do not agree with previous studies. Therefore it is concluded that it is important in examinations of food web patterns to account for web species number and to use independent observations as far as possible.</t>
  </si>
  <si>
    <t>10.2307/1937453</t>
  </si>
  <si>
    <t>Bearhop, S; Thompson, DR; Waldron, S; Russell, IC; Alexander, G; Furness, RW</t>
  </si>
  <si>
    <t>Stable isotopes indicate the extent of freshwater feeding by cormorants Phalacrocorax carbo shot at inland fisheries in England</t>
  </si>
  <si>
    <t>carbon-13; feather; fractionation factor; mixing model; nitrogen-15</t>
  </si>
  <si>
    <t>ELEMENTS TRANSPORTED UPSTREAM; TROPHIC RELATIONSHIPS; TERRESTRIAL PROTEIN; DELTA-C-13 EVIDENCE; NORTHERN FULMARS; PACIFIC SALMON; FOOD WEBS; MARINE; NITROGEN; DELTA-N-15</t>
  </si>
  <si>
    <t>1. The numbers of cormorants Phalacrocorax carbo feeding at English freshwater fisheries during winter have increased rapidly over the last 20 years, causing concern among fishery managers and anglers. 2, In order to assess the extent of freshwater feeding, stable isotope ratios of carbon and nitrogen (delta(13)C and delta(15)N) in feathers of wild cormorants from inland freshwater fisheries were compared with those in the feathers of piscivorous birds with marine diets (captive 'marine-fed' cormorants, free-ranging shags Phalacrocorax aristotelis) and freshwater diets (juvenile goosanders Mergus merganser). 3. Isotope signatures of feathers represent the diet at the time of growth. Feathers grown at different times of the year were taken from wild cormorants; each feather type therefore represented the diet over a different temporal scale. 4, Isotopic analyses of feathers indicated that, when shot, nearly all of the cormorants had been feeding entirely on freshwater prey. The mean delta(13)C value of primary feathers growing when birds were shot was -22.2 parts per thousand, indicative of an entirely freshwater diet. 5. The move to freshwater habitats from coastal breeding grounds occurred over several months, but once established cormorants appear to have fed at freshwater sites throughout the autumn and winter. 6. The suitability of using a two-source isotopic mixing model in order to quantify the extent of freshwater feeding in piscivorous birds is discussed. 7, Although the results indicate long-term residency and feeding in freshwater systems, they do not indicate whether birds were feeding regularly at the sites at which they were shot, or the composition of the diet. It is recommended that further studies using telemetry and multiple isotope analyses be carried out in order to address these issues.</t>
  </si>
  <si>
    <t>10.1046/j.1365-2664.1999.00378.x</t>
  </si>
  <si>
    <t>Schmidt, O; Scrimgeour, CM; Curry, JP</t>
  </si>
  <si>
    <t>Carbon and nitrogen stable isotope ratios in body tissue and mucus of feeding and fasting earthworms (Lumbricus festivus)</t>
  </si>
  <si>
    <t>earthworms; stable isotopes; mucus; carbon turnover; diet</t>
  </si>
  <si>
    <t>NATURAL-ABUNDANCE; BROWN SHRIMP; TURNOVER; DIET; C-13; DELTA-C-13; GROWTH; SOIL; ASSIMILATION; OLIGOCHAETA</t>
  </si>
  <si>
    <t>We used natural abundance stable isotope techniques to estimate carbon and nitrogen turnover rates in body tissue and mucus of earthworms. Isotope ratios of carbon (delta(13)C) and nitrogen (delta(15)N) were monitored simultaneously in body tissue and mucus for up to 101 days in feeding or fasting Lumbricus festivus kept in an artificial substrate. When the diet of the earthworms was switched from clover (C-3 plant, legume) to maize (C-4, non-legume), the new dietary delta(13)C signature manifested itself much more rapidly in the mucus than in the body tissue of the animals, causing a delta(13)C shift of about 4 parts per thousand, in mucus and 1 parts per thousand, in tissue after 13.5 days. Turnover of earthworm body tissue carbon, unlike that of mucus carbon, was described adequately by an exponential, single-pool model. Nitrogen turnover could not be assessed because the delta(15)N difference between sources was too small. Fasting for 56 days did not result in the expected whole-body N-15 or C-13 enrichment, but it caused a significant decrease in mucus and tissue C:N ratios and in the ratio (mucus C:N ratio):(tissue C:N ratio). We conclude that the separate analysis of body tissue and mucus has great potential for studying the ecophysiology, feeding ecology and role in elemental cycling of earthworms and other invertebrates.</t>
  </si>
  <si>
    <t>10.1007/s004420050697</t>
  </si>
  <si>
    <t>Ruokonen, TJ; Karjalainen, J; Kiljunen, M; Pursiainen, M; Hamalainen, H</t>
  </si>
  <si>
    <t>Do introduced crayfish affect benthic fish in stony littoral habitats of large boreal lakes?</t>
  </si>
  <si>
    <t>Introduced species; Crayfish; Benthic fish; Stable isotopes</t>
  </si>
  <si>
    <t>NOEMACHEILUS-BARBATULUS L; BURBOT LOTA-LOTA; PACIFASTACUS-LENIUSCULUS; STABLE-ISOTOPES; SIGNAL CRAYFISH; NONNATIVE CRAYFISH; TROPHIC POSITION; LOACH BARBATULA; RUSTY CRAYFISH; NICHE WIDTH</t>
  </si>
  <si>
    <t>Invasive crayfish are spreading rapidly across Europe, where they are replacing the native crayfish species and impacting negatively on some other biota. Freshwater crayfish and many benthic fishes share similar habitat and food requirements and hence potentially compete for resources. In this study, we investigated impacts of the introduced signal crayfish (Pacifastacus leniusculus) on fish in stony littoral habitats of two large boreal lakes. We compared the littoral fish community composition and the densities of two common benthic fish species between sites with and without crayfish. To evaluate whether signal crayfish share the same food resources as benthic littoral fish or change their feeding habits, we used mixing models and trophic niche estimates based on analyses of stable isotopes of carbon and nitrogen. Both the community composition of littoral fish and the densities of benthic fish species were similar at sites with and without signal crayfish. Even though stable isotope signatures indicated strong dietary overlap between crayfish and benthic fish, the use of food sources and trophic niche widths of fish were not noticeably different between crayfish sites and non-crayfish sites. Our results suggest that, at current densities, the non-native signal crayfish does not have significant impacts on benthic fish in the stony littoral habitats of large boreal lakes.</t>
  </si>
  <si>
    <t>10.1007/s10530-011-0118-4</t>
  </si>
  <si>
    <t>Fryxell, DC; Diluzio, AR; Friedman, MA; Menge, NA; Palkovacs, EP</t>
  </si>
  <si>
    <t>Cross-habitat effects shape the ecosystem consequences of co-invasion by a pelagic and a benthic consumer</t>
  </si>
  <si>
    <t>Indirect effects; Benthic-pelagic coupling; Gambusia; Procambarus; Biological invasions</t>
  </si>
  <si>
    <t>RED SWAMP CRAYFISH; MOSQUITOFISH GAMBUSIA-AFFINIS; PROCAMBARUS-CLARKII; VERTICAL MIGRATION; PREDATOR AVOIDANCE; FRESH-WATERS; LAKE; COMMUNITY; DECAPODA; BIOLOGY</t>
  </si>
  <si>
    <t>Invasive species can have major impacts on ecosystems, yet little work has addressed the combined effects of multiple invaders that exploit different habitats. Two common invaders in aquatic systems are pelagic fishes and crayfishes. Pelagic-oriented fish effects are typically strong on the pelagic food web, whereas crayfish effects are strong on the benthic food web. Thus, co-invasion may generate strong ecological responses in both habitats. We tested the effects of co-invasion on experimental pond ecosystems using two widespread invasive species, one pelagic (western mosquitofish) and one benthic (red swamp crayfish). As expected, mosquitofish had strong effects on the pelagic food web, reducing the abundance of Daphnia and causing a strong trophic cascade (increase in phytoplankton). Crayfish had strong effects on the benthic food web, reducing the abundance of benthic filamentous algae. Yet, we also found evidence for important cross-habitat effects. Mosquitofish treatments reduced the biomass of benthic filamentous algae, and crayfish treatments increased Daphnia and phytoplankton abundance. Combined effects of mosquitofish and crayfish were primarily positively or negatively additive, and completely offsetting for some responses, including gross primary production (GPP). Though co-invasion did not affect GPP, it strongly shifted primary production from the benthos into the water column. Effects on snail abundance revealed an interaction; snail abundance decreased only in the presence of both invaders. These results suggest that cross-habitat effects of co-invaders may lead to a variety of ecological outcomes; some of which may be unpredictable based on an understanding of each invader alone.</t>
  </si>
  <si>
    <t>10.1007/s00442-016-3663-9</t>
  </si>
  <si>
    <t>Hofman-Kaminska, E; Bocherens, H; Drucker, DG; Fyfe, RM; Guminski, W; Makowiecki, D; Pacher, M; Piliciauskiene, G; Samojlik, T; Woodbridge, J; Kowalczyk, R</t>
  </si>
  <si>
    <t>Adapt or die-Response of large herbivores to environmental changes in Europe during the Holocene</t>
  </si>
  <si>
    <t>Alces alces; aurochs; Bison bonasus; Bos primigenius; European bison; foraging ecology; moose; stable isotopes</t>
  </si>
  <si>
    <t>MOOSE ALCES-ALCES; STABLE-ISOTOPE ANALYSIS; RED DEER; MYCORRHIZAL FUNGI; NITROGEN ISOTOPES; GLOBAL PATTERNS; PLANT NITROGEN; BONE-COLLAGEN; HABITAT USE; CARBON</t>
  </si>
  <si>
    <t>Climate warming and human landscape transformation during the Holocene resulted in environmental changes for wild animals. The last remnants of the European Pleistocene megafauna that survived into the Holocene were particularly vulnerable to changes in habitat. To track the response of habitat use and foraging of large herbivores to natural and anthropogenic changes in environmental conditions during the Holocene, we investigated carbon (delta C-13) and nitrogen (delta N-15) stable isotope composition in bone collagen of moose (Alces alces), European bison (Bison bonasus) and aurochs (Bos primigenius) in Central and Eastern Europe. We found strong variations in isotope compositions in the studied species throughout the Holocene and diverse responses to changing environmental conditions. All three species showed significant changes in their delta C-13 values reflecting a shift of foraging habitats from more open in the Early and pre-Neolithic Holocene to more forest during the Neolithic and Late Holocene. This shift was strongest in European bison, suggesting higher plasticity, more limited in moose, and the least in aurochs. Significant increases of delta N-15 values in European bison and moose are evidence of a diet change towards more grazing, but may also reflect increased nitrogen in soils following deglaciation and global temperature increases. Among the factors explaining the observed isotope variations were time (age of samples), longitude and elevation in European bison, and time, longitude and forest cover in aurochs. None of the analysed factors explained isotope variations in moose. Our results demonstrate the strong influence of natural (forest expansion) and anthropogenic (deforestation and human pressure) changes on the foraging ecology of large herbivores, with forests playing a major role as a refugial habitat since the Neolithic, particularly for European bison and aurochs. We propose that high flexibility in foraging strategy was the key for survival of large herbivores in the changing environmental conditions of the Holocene.</t>
  </si>
  <si>
    <t>10.1111/gcb.14733</t>
  </si>
  <si>
    <t>Fancourt, BA; Hawkins, CE; Nicol, SC</t>
  </si>
  <si>
    <t>Mechanisms of climate-change-induced species decline: spatial, temporal and long-term variation in the diet of an endangered marsupial carnivore, the eastern quoll</t>
  </si>
  <si>
    <t>WILDLIFE RESEARCH</t>
  </si>
  <si>
    <t>corbie; Dasyurus viverrinus; insect; invertebrate; mammal; Oncopera intricata; weather; Tasmania</t>
  </si>
  <si>
    <t>DASYURUS-VIVERRINUS; POPULATION DECLINES; GEOGRAPHICAL RANGE; OVERLAP; DISEASE; ABUNDANCE; IMPACTS; WEATHER; INDEXES; BIAS</t>
  </si>
  <si>
    <t>Context Climate change is having significant impacts on species worldwide. The endangered eastern quoll (Dasyurus viverrinus) has recently undergone rapid and severe population decline, with no sign of recovery. Spatially and temporally-explicit weather modelling suggests a prolonged period of unfavourable weather conditions during 2001-03 as the proximate cause of decline. However, the mechanisms of this weather-induced decline are not currently understood. Aims The aim of this study was to investigate the hypothesis that changing weather conditions have altered the availability of key prey species, potentially contributing to the species' decline. Methods We analysed 229 scats collected from 125 individual wild quolls across four sites between July 2011 and May 2012. Variation in dietary composition and niche breadth was compared across sites and seasons. We also compared contemporary dietary composition and niche breadth to historic dietary studies performed before the species' decline, to identify any key changes in dietary composition over time. Key results Dietary composition and niche breadth were similar across sites but differed between seasons. Dietary niche contracted during winter (July) and early spring (September) when insect larvae formed the bulk of quoll diet, rendering the species vulnerable to weather-related fluctuations in food availability at that time. Large differences were also evident between current and historic dietary composition, with a marked shift from insect larvae to mammals, predominantly due to a reduction in corbie (Oncopera intricata) and southern armyworm (Persectania ewingii) moth larvae. Quoll abundance appears positively related to corbie larva abundance during winter, and both quoll and corbie larva abundance appear negatively related to winter rainfall. Conclusions The lower contribution of insects at sites with low quoll densities suggests that insects represent an important food item for eastern quolls during winter, when dietary niche is narrowest and energy demands are highest. Our findings suggest that weather-induced fluctuations in quoll abundance, including the significant statewide decline during 2001-03, are potentially driven by weather-induced fluctuations in corbie larva abundance. Implications Continued deterioration in climatic suitability with recent and predicted climate change could further threaten eastern quolls through reductions in the availability and stability of reliable food sources at critical life-history stages when dietary options are already limited.</t>
  </si>
  <si>
    <t>10.1071/WR18063</t>
  </si>
  <si>
    <t>Olnes, J; Breed, GA; Druckenmiller, ML; Citta, JJ; Crawford, JA; Von Duyke, AL; Quakenbush, L</t>
  </si>
  <si>
    <t>Juvenile bearded seal response to a decade of sea ice change in the Bering, Chukchi, and Beaufort seas</t>
  </si>
  <si>
    <t>Pacific Arctic; Erignathus barbatus; Satellite telemetry; Habitat selection; State-space models; Climate change</t>
  </si>
  <si>
    <t>ERIGNATHUS-BARBATUS; HABITAT LOSS; COVER; PINNIPEDS; MIGRATION; MOVEMENT; PERIODS; DIET</t>
  </si>
  <si>
    <t>Significant reductions in sea ice in the Pacific Arctic have occurred over the last 2 decades. Comparing the results of similarly conducted studies, but from different time periods, can increase our understanding of how marine mammals are responding to this change. We modeled the habitat selection and movement behavior of juvenile bearded seals Erignathus barbatus tagged with satellite transmitters in the Bering, Chukchi, and Beaufort seas during 2014-2018, a period of rapid decline in sea ice cover. We compared our results to an earlier study of juvenile bearded seals tagged in the Chukchi Sea during 2004-2009, a period of relatively stable sea ice coverage, and found differences. Seals in the earlier period strongly selected habitat near the ice edge and intermediate ice concentrations (50-60%) in both winter and spring. Seals in the later period strongly selected habitat away from the ice edge, showed no selection for any ice concentration in winter, and weakly selected low ice concentrations in spring (&lt; 50%). The likely explanation for these differences is changes in sea ice habitat because the shift away from the ice edge corresponds with a shift in the distribution of intermediate ice concentrations that seals prefer. During the later period, seals still used intermediate ice, which occurred farther from the ice edge and was now the average ice concentration available to them, masking any preference for intermediate ice in the habitat selection model. This change in sea ice conditions, although significant, may not currently be detrimental for juvenile bearded seals.</t>
  </si>
  <si>
    <t>10.3354/meps13609</t>
  </si>
  <si>
    <t>Antiqueira, PAP; Petchey, OL; Rezende, F; Velho, LFM; Rodrigues, LC; Romero, GQ</t>
  </si>
  <si>
    <t>Warming and top predator loss drive direct and indirect effects on multiple trophic groups within and across ecosystems</t>
  </si>
  <si>
    <t>cross ecosystem; food web; tank-bromeliad; top predator loss; warming</t>
  </si>
  <si>
    <t>FOOD-WEB STRUCTURE; FRESH-WATER ECOSYSTEMS; AQUATIC INSECTS; CLIMATE-CHANGE; FACILITATION; CASCADES; DYNAMICS; STRENGTH; SIZE; BIODIVERSITY</t>
  </si>
  <si>
    <t>The interspecific interactions within and between adjacent ecosystems strongly depend on the changes in their abiotic and biotic components. However, little is known about how climate change and biodiversity loss in a specific ecosystem can impact the multiple trophic interactions of different biological groups within and across ecosystems. We used natural microecosystems (tank-bromeliads) as a model system to investigate the main and interactive effects of aquatic warming and aquatic top predator loss (i.e. trophic downgrading) on trophic relationships in three integrated food web compartments: (a) aquatic micro-organisms, (b) aquatic macro-organisms and (c) terrestrial predators (i.e. via cross-ecosystem effects). The aquatic top predator loss substantially impacted the three food web compartments. In the aquatic macrofauna compartment, trophic downgrading increased the filter feeder richness and abundance directly and indirectly via an increase in detritivore richness, likely through a facilitative interaction. For the microbiota compartment, aquatic top predator loss had a negative effect on algae richness, probably via decreasing the input of nutrients from predator biological activities. Furthermore, the more active terrestrial predators responded more to aquatic top predator loss, via an increase in some components of aquatic macrofauna, than more stationary terrestrial predators. The aquatic trophic downgrading indirectly altered the richness and abundance of cursorial terrestrial predators, but these effects had different direction according to the aquatic functional group, filter feeder or other detritivores. The web-building predators were indirectly affected by aquatic trophic downgrading due to increased filter feeder richness. Aquatic warming did not affect the aquatic micro- or macro-organisms but did positively affect the abundance of web-building terrestrial predators. These results allow us to raise a predictive framework of how different anthropogenic changes predicted for the next decades, such as aquatic warming and top predator loss, could differentially affect multiple biological groups through interactions within and across ecosystems.</t>
  </si>
  <si>
    <t>10.1111/1365-2656.13640</t>
  </si>
  <si>
    <t>McNicholl, DG; Davoren, GK; Majewski, AR; Reist, JD</t>
  </si>
  <si>
    <t>Isotopic niche overlap between co-occurring capelin (Mallotus villosus) and polar cod (Boreogadus saida) and the effect of lipid extraction on stable isotope ratios</t>
  </si>
  <si>
    <t>Capelin; Polar cod; Stable isotopes; Diet overlap</t>
  </si>
  <si>
    <t>INDIVIDUAL AMINO-ACIDS; CANADIAN BEAUFORT SEA; ARCTIC COD; CARBON ISOTOPES; CLIMATE-CHANGE; FOOD WEBS; LOW-TEMPERATURES; GADUS-MORHUA; FISH-TISSUES; BARENTS SEA</t>
  </si>
  <si>
    <t>Climate change is expected to drive shifts in abundance and distribution of marine forage fishes and possibly result in dietary overlap among sub-Arctic and Arctic species. Stable isotopes of carbon and nitrogen (delta C-13, delta N-15) were used as a proxy of dietary niche breadth and overlap between co-occurring, immature capelin (Mallotus villosus) and polar cod (Boreogadus saida) collected in the western Canadian Arctic, Darnley Bay, NT, during August 2013. Stable isotope ratios were determined from muscle tissue to quantify the range of delta C-13 and delta N-15, along with dietary niche breadth metrics (standard area ellipses and total area) and niche overlap between lipid-extracted and nonextracted muscle tissues of capelin and polar cod. Lipid extraction influenced the values of delta C-13, delta N-15, and C:N ratio in polar cod, but only delta C-13 in capelin tissue. Lipid extraction influenced the interpretation of dietary niche breadth and extent of overlap between co-occurring species, such that overlap of capelin within the niche of polar cod increased (from 53.0 to 89.7%) when lipids were extracted. We recommend the use of lipid extraction to standardize delta C-13 values when assessing dietary niches and extent of overlap between co-occurring fishes that differ in lipid content. Species-specific lipid normalization equations for delta C-13 ratios provided in this study can be used to correct delta C-13 ratios from nonextracted tissues of polar cod in future research. Overall, the high degree of dietary niche overlap between immature capelin and polar cod in the western Arctic suggests there is a high potential for competition between these fishes while immature.</t>
  </si>
  <si>
    <t>10.1007/s00300-017-2199-8</t>
  </si>
  <si>
    <t>Wong, MHG; Li, RQ; Xu, M; Long, YC</t>
  </si>
  <si>
    <t>An integrative approach to assessing the potential impacts of climate change on the Yunnan snub-nosed monkey</t>
  </si>
  <si>
    <t>Climate change; Endangered species; Habitat quality; MaxEnt; Niche model; Rhinopithecus bieti</t>
  </si>
  <si>
    <t>BAIMA SNOW MOUNTAIN; RHINOPITHECUS-BIETI; HABITAT SUITABILITY; SLEEPING SITES; SAMAGE FOREST; CONSERVATION; DIET; LANDSCAPE; MODELS; NORTHWEST</t>
  </si>
  <si>
    <t>Species with distributions severely restricted and isolated by human-related factors are of a challenge to niche modelers. And for those species that have high dietary plasticity and tolerance to different climatic conditions, such as Yunnan snub-nosed monkey, Rhinopithecus bieti, possible impacts of climate change can be assessed by the species' ecology and the presence of migration barriers surrounding the current ranges. This study demonstrates an integrative approach for assessing the potential impacts of climate change on the distribution of a species not suitable for common niche models and its implications on species conservation. We first developed vegetation models using regional vegetation cover, and a combination of climatic, geographic and disturbance-related variables. The vegetation cover was simulated referring to the A1B climate change scenario for year 2050 and 2100. We then analyzed migration pressure faced by R. bieti based on simulated vegetation changes and the species' habitat preferences, and evaluated feasibility of range shift/expansion based on the presence of migration barriers around current group ranges. The results show that while the coverage of the most suitable habitat type (mixed forest) is expanding, regional forest cover is becoming increasingly fragmented. Four out of fifteen groups (G8-10, 12) of R. bieti are particularly vulnerable to climate change where habitat quality is reducing rapidly, while five of the groups (G8-12) have low adaptability to habitat change due to genetic isolation and limitations to range shift. This integrative approach offers a new and an important tool for evaluating potential impacts of climate change on highly adaptable but range-restricted species and is useful in guiding conservation practices. (C) 2012 Elsevier Ltd. All rights reserved.</t>
  </si>
  <si>
    <t>10.1016/j.biocon.2012.08.030</t>
  </si>
  <si>
    <t>Siebers, AR; Paillex, A; Robinson, CT</t>
  </si>
  <si>
    <t>Flow intermittency influences the trophic base, but not the overall diversity of alpine stream food webs</t>
  </si>
  <si>
    <t>allochthonous; glacier; high altitude ecosystem; macroinvertebrates; organic matter; stable isotopes</t>
  </si>
  <si>
    <t>CLIMATE-CHANGE; CHAIN LENGTH; LEAF-LITTER; DROUGHT; VARIABILITY; FLOODPLAIN; RESPONSES; DYNAMICS; LONG; COMMUNITIES</t>
  </si>
  <si>
    <t>Alpine streams can exhibit naturally high levels of flow intermittency. However, how flow intermittency in alpine streams affects ecosystem functions such as food web trophic structure is virtually unknown. Here, we characterized the trophic diversity of aquatic food webs in 28 headwater streams of the Val Roseg, a glacierized alpine catchment. We compared stable isotope (delta C-13 and delta N-15) trophic indices to high temporal resolution data on flow intermittency. Overall trophic diversity, food chain length and diversity of basal resource use did not differ to a large extent across streams. In contrast, gradient and mixing model analysis indicated that primary consumers assimilated proportionally more periphyton and less allochthonous organic matter in more intermittent streams. Higher coarse particulate organic matter (CPOM) C:N ratios were an additional driver of changes in macroinvertebrate diets. These results indicate that the trophic base of stream food webs shifts away from terrestrial organic matter to autochthonous organic matter as flow intermittency increases, most likely due to reduced CPOM conditioning in dry streams. This study highlights the significant, yet gradual shifts in ecosystem function that occur as streamflow becomes more intermittent in alpine streams. As alpine streams become more intermittent, identifying which functional changes occur via gradual as opposed to threshold responses is likely to be vitally important to their management and conservation.</t>
  </si>
  <si>
    <t>10.1111/ecog.04597</t>
  </si>
  <si>
    <t>Kolodzey, S; Stroh, AK; Wing, SR</t>
  </si>
  <si>
    <t>Small-scale differences in blue cod length distribution, growth, and trophic ecology in New Zealand</t>
  </si>
  <si>
    <t>Parapercis colias; Marlborough Sounds; Tasman Bay; Stable isotopes; SIBER; 'simmr'; Isotopic niche; Stomach contents</t>
  </si>
  <si>
    <t>LOBSTER JASUS-EDWARDSII; PARAPERCIS-COLIAS; STABLE-ISOTOPES; FOVEAUX STRAIT; TEMPORAL VARIABILITY; HABITAT CONVERSION; MARLBOROUGH SOUNDS; MARINE ECOSYSTEMS; ORGANIC-MATTER; FISH</t>
  </si>
  <si>
    <t>Growth and reproduction in marine fish populations can be strongly influenced by local habitat quality and nutritional resources. Habitat degradation can alter prey composition and availability, and, consequently, trophic position and dietary niche breadth of marine fish. In the present study, we compared length-frequency distributions, growth, stomach contents, and isotopic values (delta 13C and delta 15N) of blue cod Parapercis colias subpopulations from biogenic reef habitats and habitats that were more strongly influenced by shellfish dredges and fine sediment in New Zealand. Blue cod inhabiting more degraded regions were significantly smaller and relied on different prey items than blue cod from biogenic reef habitats. Results indicated that the isotopic niche areas of blue cod occupying degraded habitats were smaller than those of blue cod inhabiting relatively undisturbed biogenic reefs. Isotope mixing models demonstrated that blue cod from one of the biogenic reef regions relied predominantly on suspended particulate organic matter, while blue cod from the other biogenic and degraded regions primarily relied on macroalgae as their organic matter source. Dietary niche overlap was likely higher for blue cod from degraded habitats, with potential consequences for growth and reproduction. Blue cod inhabiting biogenic reefs showed a high degree of individual specialisation. The present study demonstrated that differences in length distribution, growth, and trophic ecology among blue cod subpopulations coincided with differences in habitat degradation. Ecosystem-based management solutions can help regenerate high-quality biogenic habitats while reducing fisheries mortality within these critical habitats.</t>
  </si>
  <si>
    <t>10.3354/meps14275</t>
  </si>
  <si>
    <t>Royles, J; Amesbury, MJ; Roland, TP; Jones, GD; Convey, P; Griffiths, H; Hodgson, DA; Charman, DJ</t>
  </si>
  <si>
    <t>Moss stable isotopes (carbon-13, oxygen-18) and testate amoebae reflect environmental inputs and microclimate along a latitudinal gradient on the Antarctic Peninsula</t>
  </si>
  <si>
    <t>Climate change; Precipitation; Water line; Assemblage; Microtopography</t>
  </si>
  <si>
    <t>VERTICAL MICRODISTRIBUTION; SPHAGNUM PEATLANDS; PEAT ACCUMULATION; CO2 ASSIMILATION; MICROBIAL LOOP; CLIMATE-CHANGE; WATER-CONTENT; PROTOZOA; ECOLOGY; PLANT</t>
  </si>
  <si>
    <t>The stable isotope compositions of moss tissue water (delta H-2 and delta O-18) and cellulose (delta C-13 and delta O-18), and testate amoebae populations were sampled from 61 contemporary surface samples along a 600-km latitudinal gradient of the Antarctic Peninsula (AP) to provide a spatial record of environmental change. The isotopic composition of moss tissue water represented an annually integrated precipitation signal with the expected isotopic depletion with increasing latitude. There was a weak, but significant, relationship between cellulose delta O-18 and latitude, with predicted source water inputs isotopically enriched compared to measured precipitation. Cellulose delta C-13 values were dependent on moss species and water content, and may reflect site exposure to strong winds. Testate amoebae assemblages were characterised by low concentrations and taxonomic diversity, with Corythion dubium and Microcorycia radiata types the most cosmopolitan taxa. The similarity between the intra- and inter-site ranges measured in all proxies suggests that microclimate and micro-topographical conditions around the moss surface were important determinants of proxy values. Isotope and testate amoebae analyses have proven value as palaeoclimatic, temporal proxies of climate change, whereas this study demonstrates that variations in isotopic and amoeboid proxies between microsites can be beyond the bounds of the current spatial variability in AP climate.</t>
  </si>
  <si>
    <t>10.1007/s00442-016-3608-3</t>
  </si>
  <si>
    <t>Valverde, MP; Sharpe, DMT; Torchin, ME; Buck, DG; Chapman, LJ</t>
  </si>
  <si>
    <t>Trophic shifts in a native predator following the introduction of a top predator in a tropical lake</t>
  </si>
  <si>
    <t>Invasive species; Lake Gatun; Cichla monoculus; Competition; Facilitation; Human food subsidies</t>
  </si>
  <si>
    <t>STABLE-ISOTOPES; STOMACH CONTENTS; NICHE OVERLAP; COMPETITIVE-EXCLUSION; FISH; DIET; ECOLOGY; POSITION; PREY; CONSEQUENCES</t>
  </si>
  <si>
    <t>Some of the most dramatic and well-studied impacts of introduced predators involve their ecological effects on native prey communities. However, how native predators respond to introduced predators has received less attention. Here, we examined the potential impacts of an introduced predatory fish (Cichla monoculus, the peacock bass) on the diet and trophic ecology of a native predator (Hoplias microlepis) in Lake Gatun, Panama. We used stomach content analysis and stable isotope analysis to quantify the dietary niche of both species in sympatry, and of the native predator in the presence vs. absence of the peacock bass. We found that in the presence of the peacock bass, H. microlepis had a more diverse diet and a wider (five-fold) isotopic niche, relative to where it occurred alone. Specifically, H. microlepis, which were predominantly piscivorous in the absence of peacock bass, broadened their diet in the invaded Lake Gatun to include invertebrates and scavenged fish, the latter comprising 26% of its diet. Scavenged fish consisted of C. monoculus and Oreochromis niloticus (Nile tilapia) remains, both heavily harvested, non-native species in Lake Gatun, whose scraps are often thrown back into the lake by fishers. We suspect that these human-mediated food subsidies may lead to indirect facilitative interactions between introduced and native species in this system.</t>
  </si>
  <si>
    <t>10.1007/s10530-019-02119-1</t>
  </si>
  <si>
    <t>Vander Zanden, HB; Arthur, KE; Bolten, AB; Popp, BN; Lagueux, CJ; Harrison, E; Campbell, CL; Bjorndal, KA</t>
  </si>
  <si>
    <t>Trophic ecology of a green turtle breeding population</t>
  </si>
  <si>
    <t>Chelonia mydas; Thalassia testudinum; Compound-specific stable isotope analyses; Amino acids; Carbon; Nitrogen; Herbivory; Caribbean</t>
  </si>
  <si>
    <t>NITROGEN ISOTOPIC COMPOSITION; CHELONIA-MYDAS-AGASSIZII; STABLE-ISOTOPES; SEA-TURTLES; INDIVIDUAL VARIATION; SATELLITE TRACKING; MOVEMENT PATTERNS; CARETTA-CARETTA; CARBON ISOTOPES; FEEDING ECOLOGY</t>
  </si>
  <si>
    <t>While many migratory marine organisms converge at breeding areas, identifying foraging strategies away from these reproductive sites can be challenging. Adult female green turtles Chelonia mydas regularly migrate thousands of kilometers between nesting and foraging areas, making it difficult to identify foraging habitats that support nesting populations and to understand their feeding strategies. In this study, we use stable isotope analysis to investigate the trophic ecology and spatial distribution of foraging green turtles in the Greater Caribbean. Further, we explore the possibility that adult green turtles, originally considered to be herbivores, may, like their counterparts in the Pacific Ocean, display carnivorous feeding strategies. The wide range of carbon and nitrogen isotope values in bulk epidermis observed in the nesting population at Tortuguero, Costa Rica, could indicate that these turtles feed over several trophic levels. Isotopic niches-or the range of delta C-13 and delta N-15 values, which can be used as a proxy for ecological niche-varied among the 5 green turtle foraging aggregations sampled. Similarly, the isotopic composition of the primary producer Thalassia testudinum also varied substantially with geographic location. However, compound-specific stable isotope analysis of amino acids (AA-CSIA) indicated that individuals in the nesting population with different bulk delta N-15 values feed at the same trophic position. The combined results suggest that spatial differences in the isotopic composition of seagrass at the base of the food web, rather than differences in turtle foraging strategy, contribute to the isotopic variation in the nesting population. This study improves understanding of the foraging ecology of a highly dispersed and migratory species.</t>
  </si>
  <si>
    <t>10.3354/meps10185</t>
  </si>
  <si>
    <t>Brusati, ED; Grosholz, ED</t>
  </si>
  <si>
    <t>Does invasion of hybrid cordgrass change estuarine food webs?</t>
  </si>
  <si>
    <t>Food webs; Invertebrates; Ecosystem engineers; Stable isotopes; California; Salt marsh</t>
  </si>
  <si>
    <t>SAN-FRANCISCO BAY; SALT-MARSH; STABLE-ISOTOPES; SPARTINA-ALTERNIFLORA; PHRAGMITES-AUSTRALIS; BENTHIC MICROALGAE; COASTAL WETLANDS; TIDAL MARSHES; COMMON REED; CALIFORNIA</t>
  </si>
  <si>
    <t>Studies examining the impacts of introduced species on food webs often focus on the top-down effects of introduced predators. However, marine and estuarine systems have been invaded by plants that have the potential to alter carbon and nitrogen sources available to consumers. In San Francisco Bay, California, USA, hybridized cordgrass Spartina alterniflora x foliosa is adding C-4 carbon biomass to this system. We used natural abundances of stable isotopes of carbon and nitrogen to examine whether infaunal and epifaunal food webs reflected the large detrital input from hybrid Spartina. We compared stable isotope signatures among macrofaunal invertebrate consumers collected in hybrid Spartina, native S. foliosa, or unvegetated mudflats. We found no additional shift towards hybrid Spartina in hybrid areas. Structural changes brought about by an invasive ecosystem engineer, specifically increased biomass and detrital inputs, do not necessarily result in its increased incorporation into the food web.</t>
  </si>
  <si>
    <t>10.1007/s10530-008-9304-4</t>
  </si>
  <si>
    <t>Quillfeldt, P; McGill, RAR; Masello, JF; Weiss, F; Strange, IJ; Brickle, P; Furness, RW</t>
  </si>
  <si>
    <t>Stable isotope analysis reveals sexual and environmental variability and individual consistency in foraging of thin-billed prions</t>
  </si>
  <si>
    <t>Stable isotopes; Diet; Foraging area; Pachyptila belcheri; Southwest Atlantic</t>
  </si>
  <si>
    <t>SOUTHERN INDIAN-OCEAN; WILSONS STORM-PETREL; PACHYPTILA-BELCHERI; BREEDING SUCCESS; FOOD WEBS; SEABIRDS; FRACTIONATION; DELTA-N-15; FEATHERS; CARBON</t>
  </si>
  <si>
    <t>Based on growing knowledge on the distribution of stable isotopes in marine food webs, a powerful tool to study movements and trophic position of seabirds has been developed. Here we provide an updated review of isotope studies in the Southern Ocean and use delta C-13 and delta N-15 to evaluate diet and foraging areas of a small pelagic seabird, the thin-billed prion Pachyptila belcheri, breeding on the Falkland Islands. We found that close to egg laying, adults foraged in Falkland waters or northerly, but used more southerly foraging areas during courtship and chick rearing. Feathers grown during winter indicated that most individuals migrated south, although a small number of adults migrated north every year, consistent with regular winter observations of this species off Patagonia and southern Brazil. Thus, Antarctic waters are used regularly, but not exclusively, during the breeding and inter-breeding season. We document sex-specific segregation in foraging for the first time in this species. Males and females differed in delta C-13 and delta N-15 during courtship and chick feeding. On average, males foraged at a higher trophic level and further north than females. The isotopic signatures of blood sampled from individual chicks at different ages were correlated, indicating consistent behaviour of adult pairs over the chick-rearing period. Analysis of differences among years revealed more depleted isotope values during warmer years, suggesting more southerly foraging and a lower trophic level diet. This agrees with previous studies suggesting that warm sea surface waters depress local food availability, forcing prions to undertake longer foraging trips further south.</t>
  </si>
  <si>
    <t>10.3354/meps07751</t>
  </si>
  <si>
    <t>Bonin, M; Dussault, C; Taillon, J; Lecomte, N; Cote, SD</t>
  </si>
  <si>
    <t>Combining stable isotopes, morphological, and molecular analyses to reconstruct the diet of free-ranging consumers</t>
  </si>
  <si>
    <t>Canis lupus; carnivores; diet reconstruction; feeding strategies; molecular diet analyses; morphological diet analyses; omnivores; stable isotopes; trophic interactions; Ursus americanus</t>
  </si>
  <si>
    <t>BLACK BEARS; DNA; WOLVES; PROTOCOLS; PREDATOR; CARBON; SCATS; PREY</t>
  </si>
  <si>
    <t>Accurate estimates of animal diet composition are essential to untangle complex interactions in food webs. Biomarkers and molecular tools are increasingly used to estimate diet, sometimes alongside traditional dietary tracing methods. Yet only a few empirical studies have compared the outcomes and potential gains of using a combination of these methods, especially using free-ranging animals with distinct foraging preferences. We used stable isotopes, morphological, and molecular analyses to investigate the diet of free-ranging consumers with two distinct diet types, that is, carnivore and omnivore. By combining the three analytical methods to assess the diet of consumers during the same period, we aimed to identify the limits of each method and to assess the potential benefits of their combined use to derive diet estimates. Our results showed that the different methods led to a consistent diet description for carnivores, which have a relatively simple diet mixture, but their outcomes somewhat differed for omnivore, which have a more complex diet. Still, the combined use of morphological and molecular analyses enhanced the diversity of food sources detected compared to the use of a single method independently of diet types. Precision of diet estimates derived from stable isotope analyses was improved by the addition of priors obtained from morphological and molecular diet analyses of the same population. Although we used free-ranging animals without a known diet, our empirical testing of three of the most widely used methods of diet determination highlights the limits of relying over a single approach, especially in systems with few or no a priori information about the foraging habits of consumers. The choice of an appropriate approach of diet description should be a key step when planning dietary studies of free-ranging populations. We recommend using more than one dietary determination methods especially for species with complex diet mixtures.</t>
  </si>
  <si>
    <t>10.1002/ece3.6397</t>
  </si>
  <si>
    <t>Mohan, SD; Connelly, TL; Harris, CM; Dunton, KH; McClelland, JW</t>
  </si>
  <si>
    <t>Seasonal trophic linkages in Arctic marine invertebrates assessed via fatty acids and compound-specific stable isotopes</t>
  </si>
  <si>
    <t>Alaska; Arctic; Beaufort Sea; fatty acids; seasonal; Special Feature: Biomarkers in Trophic Ecology; stable isotopes; zooplankton</t>
  </si>
  <si>
    <t>BEAUFORT SEA SHELF; FOOD-WEB; ORGANIC-CARBON; POPULATION-DYNAMICS; SPATIAL-PATTERNS; SADURIA-ENTOMON; ALGAL PIGMENTS; LIPID-CONTENT; BERING-SEA; MATTER</t>
  </si>
  <si>
    <t>Climate change is having profound impacts on Arctic ecosystems with important implications for coastal productivity and food web dynamics. We investigated seasonal variations in resource use of 16 invertebrate taxa in lagoon ecosystems along the Alaska Beaufort Sea coast using a combination of fatty acid (FA) biomarkers, bulk stable carbon isotope measurements of whole animals, and compound-specific stable carbon isotope measurements of total lipid extracts and individual FAs. Invertebrates were collected during full-ice cover (April), ice breakup (June), and open water (August) periods. Amphipods (Onisimus glacialis) had higher proportions of 18: 2n-6 and 18: 3n-3 FAs in April than in the other months. These elevated markers were accompanied by relatively low bulk and 18: 2n-6 delta C-13 values, indicating proportionally higher contributions from terrestrial/freshwater sources in April. A wider range of invertebrates examined during June and August showed increases in algae-specific markers and higher proportions of essential FAs (e.g., 22: 6n-3 [docosahexaenoic acid] and 20: 5n-3 [eicosapentaenoic acid]) later in the summer. There were also marked differences in FA characteristics among invertebrates that highlighted differential feeding modes. For example, proportions of bacterial FAs were generally higher in deposit-feeding invertebrates than in suspension feeders. These results highlight the current role of diverse carbon sources to Arctic coastal food webs, which may change with future warming.</t>
  </si>
  <si>
    <t>e01429</t>
  </si>
  <si>
    <t>10.1002/ecs2.1429</t>
  </si>
  <si>
    <t>Dehnhard, N; Yohannes, E; Jenny, H; Segelbacher, G</t>
  </si>
  <si>
    <t>Stable isotope ratios in alpine rock ptarmigan and black grouse sampled along a precipitation gradient</t>
  </si>
  <si>
    <t>European Alps; Global climate change; Plant isotope; Precipitation; Stable isotope analysis</t>
  </si>
  <si>
    <t>TETRAO-TETRIX; HABITAT USE; CLIMATE-CHANGE; DIET; TEMPERATURE; DELTA-N-15; DELTA-C-13; NITROGEN; IMPACT; CARBON</t>
  </si>
  <si>
    <t>Rock ptarmigan (Lagopus mow) and black grouse (Tetrad tetrix) are two closely related alpine bird species that form relict populations in the European Alps. Besides manifold anthropogenic influences in this region, global climate change is forecast to lead to significant changes in temperatures and precipitation. We here analysed stable isotope ratios (delta C-13 and delta N-15) of feathers of both bird species and their potential dietary plants across a longitudinal precipitation gradient in south-east Switzerland. Plant delta C-13 was higher at higher altitudes and in drier areas (coinciding with higher longitudes) while plant delta N-15 did not differ geographically. Black grouse delta C-13 reflected the longitudinal pattern in precipitation and plant delta C-13, and there was no indication for a change in dietary composition with precipitation (i.e. no significant changes in delta N-15). In contrast, rock ptarmigan delta C-13 was independent of precipitation and plant delta C-13 values and showed a significant increase in delta N-15 towards drier areas, suggesting a potential dietary shift. In rock ptarmigan, we furthermore investigated intraspecific differences with age, between males and females and among years, and did not find any biologically meaningful intraspecific differences. Interspecifically, rock ptarmigan feathers had significantly higher delta C-13 and lower delta N-15 values than black grouse, reflecting a dietary segregation between both species. This may partly he due to the higher attitudinal distribution of rock ptarmigan in combination with an attitudinal gradient in plant delta C-13. In addition, however, species also segregated in delta N-15, most likely caused by a higher proportion of invertebrate diet in black grouse.</t>
  </si>
  <si>
    <t>10.1016/j.baae.2016.04.007</t>
  </si>
  <si>
    <t>Ramirez, F; Vicente-Sastre, D; Afan, I; Igual, JM; Oro, D; Forero, MG</t>
  </si>
  <si>
    <t>Stable isotopes in seabirds reflect changes in marine productivity patterns</t>
  </si>
  <si>
    <t>Biomarker; Biomonitoring; Chlorophyll a; Ocean warming; Remote sensing; Reproductive performance; Shearwater; Calonectris</t>
  </si>
  <si>
    <t>CLIMATE-CHANGE; REPRODUCTIVE-PERFORMANCE; FORAGING BEHAVIOR; FOOD AVAILABILITY; TROPHIC STRUCTURE; BREEDING SUCCESS; ECOSYSTEM; DYNAMICS; DIETS; PREY</t>
  </si>
  <si>
    <t>Seabirds have been proposed as suitable candidates for tracking and monitoring changes in marine systems (bioindicators). However, their suitability depends on our ability to link the large degree of environmental variability inherent to marine systems with a few, relevant, and accessible signals (biomarkers) informing on changes in their feeding behavior or reproductive performance. We combined satellite remote-sensing records with stable isotope data (delta N-15 and delta C-13) and breeding parameters (fledging success) spanning several years (2001-2014) to investigate the ecological responses to environmental variability by 2 sympatric seabirds inhabiting the western Mediterranean: Scopoli's shearwater Calonectris diomedea and Cory's shearwater C. borealis. Both species showed similar annual variations in their stable isotopic composition, likely as a response to the trophic consequences of changes in the magnitude and timing of the annual peak in marine productivity (as proxied by satellite imagery of chlorophyll a concentrations). In contrast, no relevant responses were observed in their breeding performance, suggesting that their life-history strategy has evolved to constancy in breeding success, which diminishes its value as a biomarker of changes in marine productivity patterns. Despite this limitation, combining remote sensing and stable isotopes in seabirds is a reliable and powerful tool for the early detection of fine-scale, climate-driven changes in marine productivity patterns and its cascading effects across communities and trophic levels, especially under the current scenario of ocean warming.</t>
  </si>
  <si>
    <t>10.3354/meps13615</t>
  </si>
  <si>
    <t>Hertz, E; Trudel, M; Carrasquilla-Henao, M; Eisner, L; Farley, EV; Moss, JH; Murphy, JM; Mazumder, A</t>
  </si>
  <si>
    <t>Oceanography and community structure drive zooplankton carbon and nitrogen dynamics in the eastern Bering Sea</t>
  </si>
  <si>
    <t>Stable isotope; Isoscape; Chlorophyll a; Nitrate; Climate change</t>
  </si>
  <si>
    <t>OSCILLATING CONTROL HYPOTHESIS; SCALE SPATIAL VARIATION; STABLE-ISOTOPES; MARINE ANIMALS; NORTHEAST PACIFIC; GROWTH-RATE; CLIMATE; DELTA-C-13; RATIOS; OCEAN</t>
  </si>
  <si>
    <t>Bottom-up changes in the abundance and composition of primary producers and primary consumers can cascade through ecosystems. Zooplankton stable isotopes (delta C-13 and delta N-15) can be used to determine the linkages between these bottom-up processes, as nutrients, community composition, and physical oceanographic variables can influence zooplankton stable isotopes. However, the expression and variability in zooplankton stable isotopes remain poorly constrained and understood in many systems. Here, we explored how environmental and community variability influences zooplankton stable isotope ratios in the eastern Bering Sea across a wide range of ocean conditions. We tested whether there were interannual, spatial, or climate-driven shifts in the delta N-15 and delta C-13 of zooplankton. We found considerable variability across the eastern Bering Sea, with significant differences in isotopes among years, regions, and depths. These patterns were driven by differences in zooplankton community and physical oceanographic variables such as sea surface temperature. Effects were consistent across isotopes, and reflect the shared influences of oceanographic parameters and nutrients on delta C-13 and delta N-15 at the base of the food web.</t>
  </si>
  <si>
    <t>10.3354/meps12647</t>
  </si>
  <si>
    <t>Cherel, Y; Bustamante, P; Richard, P</t>
  </si>
  <si>
    <t>Amino acid delta C-13 and delta N-15 from sclerotized beaks: a new tool to investigate the foraging ecology of cephalopods, including giant and colossal squids</t>
  </si>
  <si>
    <t>Arthropod; Carbon; Chitin; CSIA; Habitat; Nitrogen; Stable isotope; Trophic position</t>
  </si>
  <si>
    <t>RATIO MASS-SPECTROMETRY; FOOD-WEB STRUCTURE; STABLE-ISOTOPES; TROPHIC POSITION; ONTOGENIC CHANGES; NITROGEN; DIET; PREDATORS; PROTEIN; REVEAL</t>
  </si>
  <si>
    <t>Combining the use of predators as biological samplers together with measurements of the stable isotopic ratios (delta C-13(Bulk) and delta N-15(Bulk)) of their sclerotized beaks help investigate foraging ecology of poorly known oceanic cephalopods. However, high chitin content (an amino-sugar macromolecule) lowers beak delta N-15(Bulk) values, thus precluding direct isotopic comparison with other tissues and organisms. To overcome the chitin effect, compound-specific isotopic analysis of amino acids (CSIA-AA) was performed on squid beaks. The method was applied on beaks and muscle, and the resulting delta C-13(AA) and delta N-15(AA) values compared between tissues. The usefulness of CSIA was tested by defining the habitat and trophic position (TPCSIA) of squids using their delta C-13(AA) and delta N-15(AA) values. Beak delta C-13(AA) values were reliably measured on 12 AA that included 5 essential and 7 non-essential AA, and delta N-15(AA) values were quantified on at least 7 AA that included 2 source and 4 trophic AA. Importantly, delta C-13(AA) and delta N-15(AA) varied little between muscle and lower and upper beaks, and TPCSIA estimates were identical regardless of the tissue considered. Tissue delta C-13(AA) values of both essential and non-essential AA reflected the latitudinal baseline delta C-13 gradient that occurs in the Southern Indian Ocean, while beak delta N-15(AA) from source and trophic AA allowed the disentangling of the baseline effect from the trophic effect, and thus better calculations of squid TP estimates than from delta N-15(Bulk) values. Beak delta C-13(AA) and delta N-15(AA) defined isotopic niches of colossal and giant squids, the 2 largest living invertebrates. In subantarctic waters, they segregate by having species-specific foraging habitats (using delta C-13(Gly) or delta N-15(Phe)) and TPCSIA (using delta N-15(Glx) and delta N-15(Phe)). TPCSIA is higher in colossal (4.7) than giant (4.3) squids, and both values compare well with those of myctophid-eaters, suggesting very large squids prey primarily upon small zooplanktivorous fishes. As expected, CSIA-AA overcomes the chitin effect on beaks and it is a powerful tool to investigate trophic interactions of cephalopods. The method has a great potential with arthropods, because chitin is a main component of their exoskeleton but the deleterious effect of chitin is overlooked in isotopic studies focusing on crustaceans and insects.</t>
  </si>
  <si>
    <t>10.3354/meps13002</t>
  </si>
  <si>
    <t>Yi, YJ; Tang, CH; Yang, ZF; Chen, X</t>
  </si>
  <si>
    <t>Influence of Manwan Reservoir on fish habitat in the middle reach of the Lancang River</t>
  </si>
  <si>
    <t>Extinction risk; Habitat suitability index model; Tor sinensis; Trend analysis; Endemic fish; Lancang River</t>
  </si>
  <si>
    <t>BIOLOGICAL INTEGRITY; UNITED-STATES; SIMULATION; STREAM; MODEL; SUITABILITY; EXTINCTION; IMPACTS; TRENDS; DAMS</t>
  </si>
  <si>
    <t>The Lancang-Mekong River is the most important international river in Southeast Asia. Where the river flows through China, it is called the Lancang River. The Lancang River basin has become the most abundant species resource and the most bio-diverse region of China and has significant potential as a source of hydropower. The construction of cascade hydropower dams on the main river has brought great economic benefit, but has also changed the river as a physical habitat. Many fishes, especially endemic species and those with economic value in this area, have been affected by these changes. An ESHIPPO-PPm model was established to evaluate the extinction risk of fish species in this area. Four endemic fish were evaluated, two of which (Tor sinensis, and Cosmochilus cardinalis) are classified as critical extinction risk. The habitat quality of T. sinensis, an endemic and economically important fish, was simulated using a habitat suitability index model. The habitat suitability index (HSI) model was developed by coupling a one-dimensional (1-D) hydraulic model with habitat suitability curves. Considering the spawning characteristics of the fish, habitat suitability curves were established for key factors influencing adult fish and spawning behavior of T. sinensis. A hydraulic model was developed to simulate and predict parameter of the physical habitat. Based on the simulated result of the HSI model, Weighted Usable Areas for adult (WUA(d)) and spawning( WUA(s)) were obtained. A Mann-Kendall test was used to analyze the variation trend of WUA(s) and WUA(d) before and after the construction of the Manwan dam. Abrupt change in WUA(d) and WUA(s) occurred during the dam construction and operation period, respectively. According to the simulation and analysis, habitat suitability has been changed during the construction and operation of Manwan Reservoir. For the spawning of T. sinensis (WUA(s)), the dam has a visible influence on the minimal and medium level habitat, but little influence on the optimal habitat. For the adults habitat, the dam reduced the medium and optimal WUA(d). Optimal discharge for spawning is much greater than for adult. Different discharges for maintaining different degrees of habitat quality are suggested. (C) 2014 Elsevier B. V. All rights reserved.</t>
  </si>
  <si>
    <t>10.1016/j.ecoleng.2014.03.026</t>
  </si>
  <si>
    <t>Vander Zanden, MJ; Olden, JD; Thorne, JH; Mandrak, NE</t>
  </si>
  <si>
    <t>Predicting occurrences and impacts of smallmouth bass introductions in north temperate lakes</t>
  </si>
  <si>
    <t>artificial neural networks; exotic species; food webs; GIS; lake classification; lakes; Ontario, Canada; smallmouth bass; species introduction; stable isotopes</t>
  </si>
  <si>
    <t>TROUT SALVELINUS-NAMAYCUSH; FOOD-CHAIN STRUCTURE; FISH SPECIES RICHNESS; BIOLOGICAL INVASIONS; NITROGEN ISOTOPES; STABLE-ISOTOPE; UNITED-STATES; ONTARIO LAKES; GREAT-LAKES; CONTAMINANT BIOACCUMULATION</t>
  </si>
  <si>
    <t>Smallmouth bass and other warmwater littoral piscivores are presently expanding their geographic range northward into lakes across southern Canada. Smallmouth bass introduction can dramatically reduce minnow abundances, causing native lake trout to shift to low quality, invertebrate-based diets. Here we develop models to predict future occurrences and impacts of smallmouth bass in central Ontario, with the goal of identifying vulnerable lakes in order to better guide prevention efforts. Using local and regional environmental variables for 3046 central Ontario lakes, an artificial neural network was used to predict lakes that are likely to be invaded by bass. Smallmouth bass can significantly influence the occurrence and abundance of small-bodied fishes (mainly minnows), and stable isotope analysis of food webs in 18 lakes revealed that lake trout are buffered from impacts of bass on minnows in lakes containing pelagic prey fishes. In the absence of pelagic prey fishes, the trophic niche of lake trout depends on the presence of bass; lake trout feed primarily on zooplankton in the presence of bass, and minnows in the absence of bass. Of the 3046 lakes, the 788 take trout lakes in central Ontario were classified according to their vulnerability to bass invasion based on the predictability of bass occurrence and their subsequent impacts, and mapped in a Geographic Information System (GIS). Only 48 lake trout lakes (6%) were classified as high vulnerability-predicted to be invaded and impacted by bass. Another 301 lakes had a sensitive food web structure but were not predicted to support a bass population. Based on this information, efforts to prevent further impacts can be optimized by focusing on this vulnerable subset of lakes.</t>
  </si>
  <si>
    <t>Riehl, S</t>
  </si>
  <si>
    <t>Variability in ancient Near Eastern environmental and agricultural development</t>
  </si>
  <si>
    <t>Agriculture; Bronze Age; Climate change; Environmental archeology; Sustainability; Water stress</t>
  </si>
  <si>
    <t>CARBON-ISOTOPE DISCRIMINATION; CLIMATE-CHANGE; SOREQ CAVE; MEDITERRANEAN REGION; HOLOCENE CLIMATE; PRECIPITATION; PALEOCLIMATE; SPELEOTHEMS; EVOLUTION; RECORDS</t>
  </si>
  <si>
    <t>The dynamics of Early to Middle Bronze Age agriculture are investigated by means of archaeobotany and stable carbon isotope analysis and factors leading to variation from the general trend are discussed. Although a general trend of environmental stress through increasing aridity is indicated in the stable carbon isotopes of archaeobotanical barley remains of Middle Bronze Age sites (from ca. 2000 BC), archaeobotanical patterns indicate that this effect was insufficient to lead to an area-wide abandonment of settlements. Continuous change of environmental parameters such as climate variation, anthropogenic impact on the environment, population growth, cultural and ethical diversity in human groups, and the impossibility of finding a consensus on questions important to decision-making can lead to very diverse effects in economy and question the validity of sustainability concepts. (c) 2011 Elsevier Ltd. All rights reserved.</t>
  </si>
  <si>
    <t>10.1016/j.jaridenv.2011.09.014</t>
  </si>
  <si>
    <t>Saporiti, F; Bearhop, S; Vales, DG; Silva, L; Zenteno, L; Tavares, M; Crespo, EA; Cardona, L</t>
  </si>
  <si>
    <t>Latitudinal changes in the structure of marine food webs in the Southwestern Atlantic Ocean</t>
  </si>
  <si>
    <t>C-13; N-15; Species diversity; Trophic structure; Patagonian shelf</t>
  </si>
  <si>
    <t>STABLE-ISOTOPE RATIOS; SOUTHERN PATAGONIAN SHELF; AMERICAN SEA LION; CHAIN LENGTH; OTARIA-FLAVESCENS; TROPHIC STRUCTURE; FEEDING LEVEL; COMMUNITY; NITROGEN; VARIABILITY</t>
  </si>
  <si>
    <t>Food chain length is known to increase with primary productivity, species richness and environmental stability. Primary productivity and species richness decrease poleward at mid and high latitudes in the Southwestern Atlantic, and hence food chain length of coastal ecosystems is expected to decrease poleward, unless seasonal changes in water temperature destabilise food webs at mid latitude. We used stable isotopes of carbon and nitrogen and SIBER (Stable Isotope Bayesian Ellipses in R) to determine the food chain length and other patterns of interconnections (i.e. topology) of coastal food webs from 3 contrasting regions: the temperate estuarine zone associated with the Rio de la Plata plume, the tidal zone off northern and central Patagonia, and the cold estuarine zone off southern Patagonia. Results indicate that food chain length decreases and trophic redundancy increases as latitude increases in all of the compartments of the food web considered. This is in agreement with results emerging from reconstructions of marine food web length during the late Holocene in the same regions, thus suggesting that they are not artefacts caused by the intense exploitation of top predators in the region since European settlement. Furthermore, differences in primary productivity do not fully explain the observed patterns. Instead, we argue that the latitudinal reduction of species diversity reported for the Southwestern Atlantic may be the primary reason for the observed pattern. The reduction in the diversity of forage fishes and squids at high latitude is proposed to result into a wasp-waist ecosystem, characterised by a high trophic redundancy at high trophic levels.</t>
  </si>
  <si>
    <t>10.3354/meps11464</t>
  </si>
  <si>
    <t>Edmonds, JS; Fletcher, WJ</t>
  </si>
  <si>
    <t>Stock discrimination of pilchards Sardinops sagax by stable isotope ratio analysis of otolith carbonate</t>
  </si>
  <si>
    <t>stock discrimination; stable isotopes; otolith carbonate; Sardinops sagax; Western Australia</t>
  </si>
  <si>
    <t>FISH OTOLITHS; OXYGEN</t>
  </si>
  <si>
    <t>Measurement of the ratios of the stable isotopes O-18:O-16 and C-13:C-12, by standard mass spectrometric techniques, in the otolith carbonate of samples of pilchards Sardinops sagax from coastal waters adjacent to the 4 main fishing ports of southwestern Australia (Fremantle, Albany, Bremer Bay and Esperance) provided location-specific signatures which showed that Fremantle fish could be regarded as a separate stock from those taken at the other 3 locations, and fish from Esperance constituted a different stock from those fish taken al Albany and Bremer Bay. The isotope signatures for fish from the different locations persisted through time, and it could be concluded that they comprised separate stocks for most of the purposes of fisheries management. Values for ratios of stable oxygen isotopes in pilchard otolith carbonate indicated that they were probably deposited close to equilibrium and therefore reflected ambient water temperatures as governed by latitude and movements of the Leeuwin Current. This suggested that the measurement of ratios of stable oxygen isotopes can be a valuable method for the discrimination of management units of adult fish where the range of distribution of a species covers waters of different temperatures.</t>
  </si>
  <si>
    <t>1-3</t>
  </si>
  <si>
    <t>10.3354/meps152241</t>
  </si>
  <si>
    <t>Dang, C; Sauriau, PG; Savoye, N; Caill-Milly, N; Martinez, P; Millaret, C; Haure, J; de Montaudouin, X</t>
  </si>
  <si>
    <t>Determination of diet in Manila clams by spatial analysis of stable isotopes</t>
  </si>
  <si>
    <t>Ruditapes philippinarum; Muscle; C and N stable isotopes; Trophic sources; Mixing model; Spatial variability; Arcachon Bay; SW France</t>
  </si>
  <si>
    <t>TAPES-PHILIPPINARUM ADAMS; FOOD SOURCES; RUDITAPES-PHILIPPINARUM; ARCACHON BAY; CRASSOSTREA-GIGAS; CARBON ISOTOPES; MARENNES-OLERON; SW FRANCE; NITROGEN; DELTA-C-13</t>
  </si>
  <si>
    <t>Spatial changes in the dietary regime of Ruditapes philippinarum from intertidal sediments of Arcachon Bay were depicted by analyzing stable isotope ratios in both its adductor muscles and potential trophic sources. Manila clams were collected from 50 sites in May to June 2006. Dietary reconstruction was based on the IsoSource mixing model, considering trophic enrichments of 3.5%. for carbon and 3.0%. for nitrogen, which were determined experimentally. delta C-13 and delta N-15 values, respectively, averaged -28.2 and 5.2 parts per thousand for riverine particulate organic matter (POM), -20.6 and 4.7 parts per thousand for inner bay phytoplankton, -21.0 and 5.6%. for outer bay phytoplankton, -16.8 and 4.8 parts per thousand. for microphytobenthos, -18.4 and 3.9 parts per thousand. for sedimentary organic matter (SOM) and 11.8 and 4.0 parts per thousand. for Zostera noltii. Clam muscle delta C-13 and delta N-15 values ranged from -20.5 to -16.4 parts per thousand., and from 7.6 to 9.3 parts per thousand., respectively. delta N-15 significantly decreased from southern to northern parts of the bay, while delta C-13 values increased with tidal elevation. Outer bay phytoplankton was the major diet component of clams. Clams from the southeast mainly incorporated outer bay phytoplankton despite the proximity of the Leyre River, whereas clams from the northwest incorporated approximately equal parts of inner and outer bay phytoplankton, riverine POM, microphytobenthos and SOM. These patterns were consistent with spatial gradients driven by the dominant role of tidal hydrodynamics within the bay and land-use characteristics of the catchment.</t>
  </si>
  <si>
    <t>10.3354/meps08100</t>
  </si>
  <si>
    <t>Puche, E; Jordan, F; Rodrigo, MA; Rojo, C</t>
  </si>
  <si>
    <t>Non-trophic key players in aquatic ecosystems: a mesocosm experiment</t>
  </si>
  <si>
    <t>centrality; food web; global change; mesoscale indices; multi-interaction network; non-trophic effects</t>
  </si>
  <si>
    <t>FOOD-WEB; NETWORK; CENTRALITY; LAKE; RESTORATION; CHAROPHYTES; UNIQUENESS; OVERLAP; GROWTH; POND</t>
  </si>
  <si>
    <t>The trophic network (TN) has been well stablished, and recently knowledge concerning non-trophic relationships (NTRs) is receiving increasing attention. Although NTRs can influence trophic ones, network models, including both types of interactions (multi-interaction network, IN) and changes in the role of nodes when NTRs are added to TN, are scarce. To evaluate the role of NTRs in freshwater shallow ecosystems, where these interactions are relevant mainly in the benthic habitat, we constructed, from the same communities, the two mentioned networks and compared them focusing on the nodes' topological roles. Our approach is based on empirical data from a mesocosm experiment where aquatic communities inhabited coupled habitats (pelagic, within-meadow and benthic) under three environmental scenarios: warming, increased ultraviolet radiation, plus control conditions. The experiment allowed us to assess: the topological roles of the nodes from different habitats when NTRs were added to the TN, and the relative impact of adding NTRs according to environmental scenarios. We calculated a set of node indices by considering both direct and indirect connections up to an ecologically meaningful number of steps. Our results highlight significant differences in the nodes' roles between both network versions. When NTRs were added: i) pelagic nodes lost relevance in the network; ii) the number of within-meadow relevant nodes increased and iii) the large benthic consumers in TN were substituted by charophytes, plus a chain of small within-meadow predators/preys, as the most relevant to the IN. Furthermore, the scenarios modulated changes in the nodes' roles when including NTRs. The warming scenario promotes the central position of some nodes (e.g. charophytes) and harms others (e.g. benthic cladocerans), and UVR modulates changes in benthic filamentous primary producers' roles. Therefore, the inclusion of NTRs in ecological models seems crucial to better understand the functioning of complex communities and their response to environmental disturbances.</t>
  </si>
  <si>
    <t>10.1111/oik.07476</t>
  </si>
  <si>
    <t>Kendrick, MR; Huryn, AD; Bowden, WB; Deegan, LA; Findlay, RH; Hershey, AE; Peterson, BJ; Benes, JP; Schuett, EB</t>
  </si>
  <si>
    <t>Linking permafrost thaw to shifting biogeochemistry and food web resources in an arctic river</t>
  </si>
  <si>
    <t>biogeochemistry; carbon stable isotope; climate change; ecosystem</t>
  </si>
  <si>
    <t>UPPER KUPARUK RIVER; NORTH SLOPE; ORGANIC-MATTER; CONTRASTING RESPONSES; TUNDRA ECOSYSTEMS; METHANE OXIDATION; STABLE-ISOTOPES; WATER VELOCITY; CARBON BALANCE; CLIMATE-CHANGE</t>
  </si>
  <si>
    <t>Rapidly, increasing air temperatures across the Arctic are thawing permafrost and exposing vast quantities of organic carbon, nitrogen, and phosphorus to microbial processing. Shifts in the absolute and relative supplies of these elements will likely alter patterns of ecosystem productivity and change the way carbon and nutrients are delivered from upland areas to surface waters such as rivers and lakes. The ultra-oligotrophic nature of surface waters across the Arctic renders these ecosystems particularly susceptible to changes in productivity and food web dynamics as permafrost thaw alters terrestrial-aquatic linkages. The objectives of this study were to evaluate decadal-scale patterns in surface water chemistry and assess potential implications of changing water chemistry to benthic organic matter and aquatic food webs. Data were collected from the upper Kuparuk River on the North Slope of Alaska by the U.S. National Science Foundation's Long-Term Ecological Research program during 1978-2014. Analyses of these data show increases in stream water alkalinity and cation concentrations consistent with signatures of permafrost thaw. Changes are also documented for discharge-corrected nitrate concentrations (+), discharge-corrected dissolved organic carbon concentrations (-), total phosphorus concentrations (-), and delta C-13 isotope values of aquatic invertebrate consumers (-). These changes show that warming temperatures and thawing permafrost in the upland environment are leading to shifts in the supply of carbon and nutrients available to surface waters and consequently changing resources that support aquatic food webs. This demonstrates that physical, geochemical, and biological changes associated with warming permafrost are fundamentally altering linkages between upland and aquatic ecosystems in rapidly changing arctic environments.</t>
  </si>
  <si>
    <t>10.1111/gcb.14448</t>
  </si>
  <si>
    <t>Resano-Mayor, J; Bettega, C; Delgado, MD; Fernandez-Martin, A; Hernandez-Gomez, S; Toranzo, I; Espana, A; de Gabriel, M; Roa-Alvarez, I; Gil, JA; Strinella, E; Hobson, KA; Arlettaz, R</t>
  </si>
  <si>
    <t>Partial migration of White-winged snowfinches is correlated with winter weather conditions</t>
  </si>
  <si>
    <t>GLOBAL ECOLOGY AND CONSERVATION</t>
  </si>
  <si>
    <t>Alpine environments; Ambient temperature; Deuterium; Partial migration; Stable isotopes; Weather conditions</t>
  </si>
  <si>
    <t>STABLE-ISOTOPES; ANIMAL MOVEMENT; BIRD MIGRATION; POPULATION; EVOLUTION; CONSERVATION; STRATEGIES; DISPERSAL; SELECTION; PATTERNS</t>
  </si>
  <si>
    <t>Seasonal movements are a response to variability in resource availability and result from a complex interaction between the behavioral and physiological traits of a species and its prevailing environment. A widespread bird migration strategy is partial latitudinal migration, where some proportion of the population moves from breeding to winter grounds, while the remaining individuals stay year-round on the breeding grounds. Deciphering how and why some individuals migrate while others stay is essential to understanding population and community structure and dynamics. Little is known about the drivers of partial migration strategies of high-mountain birds that are subjected to strong seasonal environmental fluctuations and count among the species most threatened by climate change. In this study, we investigated the migratory pattern of an alpine songbird, the White-winged Snowfinch (Montifringilla nivalis nivalis), through the analysis of stable hydrogen isotopes of feathers (delta Hf-2), and how it relates to weather factors. First, values of delta Hf-2 were used to assess the probability that snowfinches wintering in the Spanish Pyrenees and Cantabrian Mountains have a breeding origin in the Alps. Second, we analysed whether winter weather conditions (ambient temperature and precipitation) in the Alps may play a role in migratory movements towards the southern wintering grounds. Overall, ca 98% and 86% of the individuals sampled in winter in the Spanish Pyrenees and Cantabrian Mountains, respectively, were likely to originate from breeding populations in the Alps. Snowfinches also had a higher propensity for large-scale movements to the South in winters where the average monthly temperature was particularly low in the Alps, typically &lt; -2 degrees C (i.e., in the 42% coldest winters). Our results suggest that snowfinches adopt a partial migratory strategy, with different patterns among and within populations that have important implications in terms of population connectivity, spatio-temporal dynamics and structuring. Considering the role of cold winter conditions in migration propensity of snowfinches, there is a risk of increased isolation of the southern populations under a scenario of global warming, insofar as the hypothetical settling of winter immigrants could no longer contribute to a demo-genetic rescue. Future research should decipher how these risks affect alpine species that are particularly exposed to climatic shifts, and how they adapt and evolve. (C) 2020 The Authors. Published by Elsevier B.V.</t>
  </si>
  <si>
    <t>e01346</t>
  </si>
  <si>
    <t>10.1016/j.gecco.2020.e01346</t>
  </si>
  <si>
    <t>Mehner, T; Attermeyer, K; Brauns, M; Brothers, S; Hilt, S; Scharnweber, K; Dorst, RM; Vanni, MJ; Gaedke, U</t>
  </si>
  <si>
    <t>Trophic Transfer Efficiency in Lakes</t>
  </si>
  <si>
    <t>stoichiometry; production rates; trophic position; fatty acids; land-water coupling; food-web models</t>
  </si>
  <si>
    <t>POLYUNSATURATED FATTY-ACIDS; BIOMASS SIZE DISTRIBUTIONS; FRESH-WATER; FOOD-WEB; SEASONAL-CHANGES; INTERACTION STRENGTHS; BACTERIAL PRODUCTION; SECONDARY PRODUCTION; PRIMARY PRODUCERS; PROTEIN-SYNTHESIS</t>
  </si>
  <si>
    <t>Trophic transfer efficiency (TTE) is usually calculated as the ratio of production rates between two consecutive trophic levels. Although seemingly simple, TTE estimates from lakes are rare. In our review, we explore the processes and structures that must be understood for a proper lake TTE estimate. We briefly discuss measurements of production rates and trophic positions and mention how ecological efficiencies, nutrients (N, P) and other compounds (fatty acids) affect energy transfer between trophic levels and hence TTE. Furthermore, we elucidate how TTE estimates are linked with size-based approaches according to the Metabolic Theory of Ecology, and how food-web models can be applied to study TTE in lakes. Subsequently, we explore temporal and spatial heterogeneity of production and TTE in lakes, with a particular focus on the links between benthic and pelagic habitats and between the lake and the terrestrial environment. We provide an overview of TTE estimates from lakes found in the published literature. Finally, we present two alternative approaches to estimating TTE. First, TTE can be seen as a mechanistic quantity informing about the energy and matter flow between producer and consumer groups. This approach is informative with respect to food-web structure, but requires enormous amounts of data. The greatest uncertainty comes from the proper consideration of basal production to estimate TTE of omnivorous organisms. An alternative approach is estimating food-chain and food-web efficiencies, by comparing the heterotrophic production of single consumer levels or the total sum of all heterotrophic production including that of heterotrophic bacteria to the total sum of primary production. We close the review by pointing to a few research questions that would benefit from more frequent and standardized estimates of TTE in lakes.</t>
  </si>
  <si>
    <t>10.1007/s10021-022-00776-3</t>
  </si>
  <si>
    <t>Fetcher, N; Agosta, SJ; Moore, JC; Stratford, JA; Steele, MA</t>
  </si>
  <si>
    <t>The food web of a severely contaminated site following reclamation with warm season grasses</t>
  </si>
  <si>
    <t>RESTORATION ECOLOGY</t>
  </si>
  <si>
    <t>C-4 grasses; grassland restoration; stable isotopes; Superfund site; trophic position; zinc pollution</t>
  </si>
  <si>
    <t>RESTORATION ECOLOGY; STABLE-ISOTOPES; STABILITY; COMMUNITIES; DISCRIMINATION; DELTA-N-15; ECOSYSTEMS; COMPLEXITY; DYNAMICS; VALUES</t>
  </si>
  <si>
    <t>We used the stable isotope C-13 to distinguish between food web components that depended on warm season grasses with the C-4 photosynthetic pathway and those that depended on plants with the C-3 pathway. The study site was contaminated by heavy metals from a zinc smelter that operated near Palmerton, Pennsylvania, U.S.A. C-3 plants only contributed 1.16% of aboveground primary productivity, whereas recently seeded (5-7 year old) warm season C-4 grasses contributed the remaining 98.84%. Analyses of tissue samples revealed that the carbon content of invertebrates and vertebrates did not reflect the composition of the vegetation. Of 135 samples, 48 (36%) had greater than 75% of their carbon from C-4-derived sources, while 32 (24%) of the samples had less than 25%. However, carbon from C-4 grasses passed through to higher trophic levels, as shown by the abundance of predators with a high proportion of C-4-derived carbon. We document three channels of carbon flux through the food web, one based on warm season grasses, now supporting a functioning ecosystem at all key trophic levels, one based on C-3 plants, and a third based on detritus. Theoretical and empirical studies have shown that relative configurations of such channels are important to ecosystem stability. Our results suggest that functional groupings of plants based on photosynthetic pathway or other plant traits likely form the basis for food web compartments. By using diverse functional groups of plants for reclamation or restoration, practitioners may be able to aid the development of channels and thereby promote desired ecosystem states.</t>
  </si>
  <si>
    <t>10.1111/rec.12202</t>
  </si>
  <si>
    <t>Morra, KE; Chikaraishi, Y; James, HF; Rossman, S; Wiley, AE; Ostrom, PH</t>
  </si>
  <si>
    <t>Seasonality of decadal-scale trophic declines and nutrient regime shifts in the Laysan albatross and Newell's shearwater</t>
  </si>
  <si>
    <t>Seabird; Foraging; Trophic decline; Amino acid; Stable isotope</t>
  </si>
  <si>
    <t>NITROGEN ISOTOPIC COMPOSITION; MARBLED MURRELET; FLIGHT FEATHERS; CLIMATE-CHANGE; AMINO-ACIDS; OCEAN; TURNOVER; SEABIRD; NITRATE; NICHE</t>
  </si>
  <si>
    <t>Stable isotope analyses of archival specimens have revealed trophic declines over the past 150 yr in a growing number of predatory pelagic seabirds that breed in the Hawaiian Islands. However, they have not examined whether isotopic shifts occurred primarily during a specific phase of the annual cycle, which could allow us to better identify the causes of trophic declines and potential consequences for affected populations. We evaluated seasonal (breeding versus nonbreeding season) foraging habits of 2 ecologically distinct species, Newell's shearwater Puffinus newelli and Laysan albatross Phoebastria immutabilis, and extended this analysis back 50 and 100 yr, respectively. Our assessment relied on amino acid delta N-15 proxies for nutrient regime use (delta N-15(Phe)) and trophic position (Delta delta N-15(Glu-Phe)) from 2 tissues (feather and bone collagen) reflecting different time scales. Both study species exhibited season-specific isotopic shifts resulting in more pronounced seasonality in modern populations. We also identified inter-species differences in nutrient regime use, regardless of season. Laysan albatross experienced a trophic decline exclusive to the breeding season, while their nonbreeding season foraging ecology has remained constant over the past century. In contrast, the nutrient regime at the base of the food chain for Newell's shearwaters during the nonbreeding season underwent a shift within the last 50 yr, and the trophic decline they experienced was heavily weighted toward the nonbreeding season. Efforts to mitigate potential fitness consequences of future trophic declines might benefit from focusing on fisheries management near the Hawaiian Islands, where susceptible seabirds forage during winter/spring, rather than the entire North Pacific.</t>
  </si>
  <si>
    <t>10.3354/meps13504</t>
  </si>
  <si>
    <t>Reum, JCP; Marshall, KN</t>
  </si>
  <si>
    <t>Evaluating delta N-15-body size relationships across taxonomic levels using hierarchical models</t>
  </si>
  <si>
    <t>Nitrogen stable isotopes; Mixed effects model; Multilevel models; Biomass spectra; Food web; Puget Sound</t>
  </si>
  <si>
    <t>BODY-SIZE; MULTILEVEL ANALYSIS; BAYESIAN MEASURES; TROPHIC POSITION; PUGET-SOUND; DISTRIBUTIONS; DETERMINANTS; PHYLOGENY; VARIANCE; MASS</t>
  </si>
  <si>
    <t>Ecologists routinely set out to estimate the trophic position of individuals, populations, and species composing food webs, and nitrogen stable isotopes (delta N-15) are a widely used proxy for trophic position. Although delta N-15 values are often sampled at the level of individuals, estimates and confidence intervals are frequently sought for aggregations of individuals. If individual delta N-15 values are correlated as an artifact of sampling design (e.g., clustering of samples in space or time) or due to intrinsic groupings (e.g., life history stages, social groups, taxonomy), such estimates may be biased and exhibit overly optimistic confidence intervals. However, these issues can be accommodated using hierarchical modeling methods. Here, we demonstrate how hierarchical models offer an additional quantitative tool for investigating delta N-15 variability and we explicitly evaluate how delta N-15 varies with body size at successively higher levels of taxonomic aggregation in a diverse fish assemblage. The models take advantage of all available data, better account for uncertainty in parameters estimates, may improve inferences on coefficients corresponding to groups with small to moderate sample sizes, and partition variation across model levels, which provides convenient summaries of the 'importance' of each level in terms of unexplained heterogeneity in the data. These methods can easily be applied to diet-based studies of trophic position. Although hierarchical models are well-understood and established tools, their benefits have yet to be fully reaped by stable isotope and food web ecologists. We suggest that hierarchical models can provide a robust framework for conceptualizing and statistically modeling trophic position at multiple levels of aggregation.</t>
  </si>
  <si>
    <t>10.1007/s00442-013-2715-7</t>
  </si>
  <si>
    <t>Britton, JR; Tran, TNQ; Ruiz-Navarro, A</t>
  </si>
  <si>
    <t>Synergistic effects of propagule pressure and trophic subsidies overcome biotic resistance to a non-native fish</t>
  </si>
  <si>
    <t>Invasion; Global change; Pseudorasbora parva; Propagule pressure</t>
  </si>
  <si>
    <t>PSEUDORASBORA-PARVA; INVASION; WATER; INVASIBILITY</t>
  </si>
  <si>
    <t>A central question in invasion ecology is how non-native species develop sustainable populations from small numbers of introduced founders. As biotic resistance, propagule pressure and trophic subsidises affect the outcomes of introductions of non-native fish, their individual and combined effects were tested in experimental mesocosms using the model species Pseudorasbora parva, a highly invasive fish in Europe. Their effects were measured as the number of 0+ P. parva present per treatment at the end of one reproductive season. The control started with 8 mature individuals (equal sex ratio). There were seven treatments, comprising propagule pressure (16 individuals), biotic resistance (presence of a coexisting fish) and trophic subsidies (daily release of fishmeal pellets), and their combinations. Compared to the control, biotic resistance resulted in significantly reduced 0+ fish numbers, with stable isotope analysis (delta C-13, delta N-15; SIA) suggesting this was due to facultative piscivory by the coexisting fish. There were significantly elevated 0+ fish numbers in the trophic subsidy, with SIA suggesting the diet of co-existing fish now primary comprised the subsidy. There was no significant difference in 0+ fish number between the control and propagule pressure treatment. Whilst the effect of biotic resistance on 0+ fish number was reduced slightly with propagule pressure and also when the trophic subsidy was available, there were significantly increased numbers of 0+ fish present in the treatment where they acted in combination. Thus, their effects appeared synergistic, overcoming the biotic resistance and enabling greater numbers of 0+ P. parva to survive until the end of the reproductive season.</t>
  </si>
  <si>
    <t>10.1007/s10530-015-0938-8</t>
  </si>
  <si>
    <t>Caputo, L; Naselli-Flores, L; Ordonez, J; Armengol, J</t>
  </si>
  <si>
    <t>Phytoplankton distribution along trophic gradients within and among reservoirs in Catalonia (Spain)</t>
  </si>
  <si>
    <t>canyon-shaped reservoirs; ecological gradients; eutrophication; phytoplankton structure; trophic state index</t>
  </si>
  <si>
    <t>MEDITERRANEAN RESERVOIR; BACTERIAL PRODUCTION; IN-VIVO; BIODIVERSITY; COMMUNITY; LAKES; ZOOPLANKTON; ASSEMBLAGES; COMPETITION; DOMINANCE</t>
  </si>
  <si>
    <t>1. Longitudinal gradients in the epilimnetic waters of stratified reservoirs provide a useful database to study changing environmental conditions. The spatial distribution, assemblage structure and specific adaptations of phytoplankton assemblages can be analysed along these gradients over short time scales. 2. Four reservoirs with a similar typology, located along an altitudinal gradient in the same eco-region, were sampled along their longitudinal axes. In total, 19 sampling stations provided a trophic spectrum, ranging from oligo-mesotrophy to hypertrophy, which was quantified by calculating the trophic state index of each sampling station in the four reservoirs. 3. Several patterns in phytoplankton assemblage structure were detected. Total chlorophyll-a (Chl-a), biovolume, abundance and the relative biomass contribution of the main algal groups (chlorophytes, cyanobacteria, cryptophytes and diatoms) were highly correlated with their location along the trophic gradient. 4. We also adopted the functional classification of Reynolds et al. (2002): this effectively summarized differences among phytoplankton assemblages under varying resource-limiting combinations, especially nutrients and underwater light climate. 5. In terms of relationships with the trophic gradient, diatoms and cyanobacteria exhibited significant opposing trends in both their relative chlorophyll contribution to total Chl-a and biovolume. Chlorophytes were more abundant at an intermediate position along the trophic spectrum. 6. The identified patterns are consistent with models of self-organization of phytoplankton assemblages. In particular, light availability was a strong determinant of size and shape diversity, especially in hypertrophic conditions, where 'R-strategist', needle shaped species, dominated the system. In contrast, under decreased availability of nutrients and higher light extinction coefficients (K-d), the system was co-dominated by C- and S-strategist species, having shapes with a higher surface/volume ratio.</t>
  </si>
  <si>
    <t>10.1111/j.1365-2427.2008.02082.x</t>
  </si>
  <si>
    <t>Medvinsky, AB; Gonik, MM; Berezovskaya, FS; Li, BL; Malchow, H</t>
  </si>
  <si>
    <t>Rotifer population dynamics in two coupled habitats: Invasion of chaos</t>
  </si>
  <si>
    <t>biological invasion; chaos; rotifer population dynamics</t>
  </si>
  <si>
    <t>SPATIALLY STRUCTURED MODELS; APPROPRIATE FORMULATIONS; FLUCTUATIONS; DISPERSAL; PLANKTON</t>
  </si>
  <si>
    <t>We study the role of interactions between habitats in rotifer dynamics. We use a simple discrete-time model to simulate the interactions between neighboring habitats with different intrinsic dynamics. Being uncoupled, one habitat shows periodical oscillations of the rotifer biomass while the other one demonstrates chaotic oscillations. As a result of the exchange of rotifer biomass, chaos replaces regular oscillations. As a result, the rotifer dynamics becomes chaotic in both habitats. We show that the invasion of chaos is followed by the synchronization of the chaotic regimes of both habitats, and this synchronization increases as coupling between the habitats is increased. We also demonstrate that the biological invasion of the rotifer species, which show chaotic dynamics, to a neighboring habitat with intrinsically regular plankton dynamics leads to the invasion of chaos and the synchronization of chaotic oscillations of the plankton biomass in both the habitats.</t>
  </si>
  <si>
    <t>10.1007/s10530-005-5212-z</t>
  </si>
  <si>
    <t>Nishimura, Y; Ohtsuka, T; Yoshiyama, K; Nakai, D; Shibahara, F; Maehata, M</t>
  </si>
  <si>
    <t>Cascading effects of larval Crucian carp introduction on phytoplankton and microbial communities in a paddy field: top-down and bottom-up controls</t>
  </si>
  <si>
    <t>Trophic cascades; Food chain; Microbial loop; HNF; Filamentous bacteria</t>
  </si>
  <si>
    <t>WHOLE-LAKE EXPERIMENTS; FOOD-WEB COMPONENTS; TROPHIC CASCADES; RICE FIELDS; NATURAL-POPULATIONS; MESOTROPHIC LAKE; CYPRINUS-CARPIO; FISH PREDATION; BODY-SIZE; WATER</t>
  </si>
  <si>
    <t>Effects of fish predation propagate through aquatic food webs, where the classical grazing food chain and microbial loop are interwoven by trophic interactions. The overall impact on aquatic food webs is further complicated because fish may also exert bottom-up controls through nutrient regeneration. Yet, we still have limited information about cascading effects among fish, zooplankton, phytoplankton, and microbes. In this study, we performed a mesocosm experiment to evaluate effects of fish introduction on plankton communities. Six plots were set in factorial combination with fish introduction and rice straw plowing in a paddy field, and the experiment was continued for 4 weeks. Introduction of fish significantly increased chlorophyll a concentrations in smaller size fractions (&lt; 15 mu m) and abundances of filamentous bacteria (&gt; 5 mu m in length) and heterotrophic nanoflagellates in 3-15 mu m fraction. Microbes in 0.8-3 mu m fraction showed increasing but not significant trends in response to fish introduction. These results indicate cascading effects of fish predation operating via two pathways, one through grazing food chain and the other through microbial food web. Phytoplankton community compositions shifted in similar fashion in all plots until 1 week after fish introduction, and then diverged between plots with and without fish thereafter. Bottom-up effects of fish introduction were suggested by increases of total chlorophyll a and inedible phytoplankton species in response to fish introduction. This study provides an example of how fish predation regulates biomass and structure of phytoplankton and microbial communities.</t>
  </si>
  <si>
    <t>10.1007/s11284-011-0820-9</t>
  </si>
  <si>
    <t>Freedman, JA; Stauffer, JR; Stauffer, JR</t>
  </si>
  <si>
    <t>Gravel dredging alters diversity and structure of riverine fish assemblages</t>
  </si>
  <si>
    <t>habitat alteration; nutrient pathways; reproductive guilds; sedimentation; stable isotope analysis</t>
  </si>
  <si>
    <t>WATER PROTECTED AREAS; MACROINVERTEBRATE ASSEMBLAGES; CULTURAL EUTROPHICATION; TROPHIC POSITION; ALLEGHENY RIVER; STABLE-ISOTOPES; INSTREAM SAND; BENTHIC TRAWL; CONSERVATION; SEDIMENT</t>
  </si>
  <si>
    <t>1. Human activities affect fish assemblages in a variety of ways. Large-scale and long-term disturbances such as in-stream dredging and mining alter habitat and hydrodynamic characteristics within rivers which can, in turn, alter fish distribution. Habitat heterogeneity is decreased as the natural rifflepoolrun sequences are lost to continuous pools and, as a consequence, lotic species are displaced by lentic species, while generalist and invasive species displace native habitat specialists. Sediment and organic detritus accumulate in deep, dredged reaches and behind dams, disrupting nutrient flow and destroying critical habitat for habitat specialist species. 2. We used standard ecological metrics such as species richness and diversity, as well as stable isotope analysis of d13C and d15N, to quantify the differences in fish assemblages sampled by benthic trawls among dredged and undredged sites in the Allegheny River, Pennsylvania, U.S.A. 3. Using mixed-effects models, we found that total catch, species richness and diversity were negatively correlated with depth (P &lt; 0.05), while species richness, diversity and proportion of species in lithophilic (rock-loving) reproductive guilds were lower at dredged than at undredged sites (P &lt; 0.05). 4. Principal components analysis and manova revealed that taxa such as darters in brood hider and substratum chooser reproductive guilds were predominantly associated with undredged sites along principal component axis 1 (PC1 and manovaP &lt; 0.05), while nest spawners such as catfish and open substratum spawners including suckers were more associated with dredged sites along PC2 (P &lt; 0.05). 5. Stable isotope analysis of d13C and d15N revealed shifts from reliance on shallow water and benthic-derived nutrients at undredged sites to reliance on phytoplankton and terrestrial detritus at deep-water dredged sites. Relative trophic positions were also lower at dredged sites for many species; loss of benthic nutrient pathways associated with depth and dredging history is hypothesised. 6. The combination of ecological metrics and stable isotope analysis thus shows how anthropogenic habitat loss caused by gravel dredging can decrease benthic fish abundance and diversity, and that species in substratum-specific reproductive guilds are at particular risk. The effects of dredging also manifest by altering resource use and nutrient pathways within food webs. Management and conservation decisions should therefore consider the protection of relatively shallow areas with suitable substratum for spawning for the protection of native fishes.</t>
  </si>
  <si>
    <t>10.1111/fwb.12056</t>
  </si>
  <si>
    <t>Carrasco, NK; Perissinotto, R; Nel, HA</t>
  </si>
  <si>
    <t>Diet of selected fish species in the freshwater-deprived St Lucia Estuary, South Africa, assessed using stable isotopes</t>
  </si>
  <si>
    <t>Drought; fish diet; iSimangaliso Wetland Park; stable isotopes; gut content analysis</t>
  </si>
  <si>
    <t>SAROTHERODON-MOSSAMBICUS; MESOPODOPSIS-AFRICANA; TILAPIA-MOSSAMBICA; CLIMATE EXTREMES; CICHLID FISH; LAKE; FOOD; NITROGEN; DELTA-C-13; DIGESTION</t>
  </si>
  <si>
    <t>The St Lucia Estuary, Africa's largest estuarine lake, is the most important juvenile fish nursery on the south-east African coastline and is currently experiencing an unprecedented crisis. Prolonged freshwater deprivation has resulted in hypersaline conditions in the northern regions of the lake, as well as low water levels. The mixed model SIAR (Stable Isotope Analysis in R) was used to determine the likely contribution of each of the available carbon sources to the diets of selected fish species. This was complemented with ad-hoc gut content analysis of representative specimens. Two diverse regions of the lake system were investigated: Charters Creek, which has been severely affected by the desiccation process, and the Mouth, which is somewhat protected due to the freshwater input from the Mfolozi and Mpate rivers. The mysid Mesopodopsis africana was found to be important in the diet of a number of fish species, namely, Leiognathus equula, Ambassis ambassis and Gerres acinaces. The copepod Pseudodiaptomus stuhlmanni and the mysid Rhopalophthalmus tropicalis were most important in the diet of Gilchristella aestuaria. Mozambique tilapia (Oreochromis mossambicus) exhibited the most variable diet, the flexibility of which may aid survival during harsh conditions and could explain its current dominance throughout the system.</t>
  </si>
  <si>
    <t>10.1080/17451000.2012.678855</t>
  </si>
  <si>
    <t>Wengeler, WR; Kelt, DA; Johnson, ML</t>
  </si>
  <si>
    <t>Ecological consequences of invasive lake trout on river otters in Yellowstone National Park</t>
  </si>
  <si>
    <t>Introduced species; Salvelinus namaycush; North American river otter; Stable isotope analysis; Scat analysis; Cutthroat trout</t>
  </si>
  <si>
    <t>ONCORHYNCHUS-CLARKI-BOUVIERI; NATIVE CUTTHROAT TROUT; STABLE-ISOTOPES; LUTRA-LUTRA; NITROGEN ISOTOPES; PACIFIC SALMON; MEDITERRANEAN HABITATS; ECOSYSTEM SERVICES; NEAREST-NEIGHBORS; TROPHIC POSITION</t>
  </si>
  <si>
    <t>The introduction of lake trout (Salvelinus namaycush) to Yellowstone Lake in Yellowstone National Park has contributed to a significant decline in the endangered Yellowstone cutthroat trout (Oncorhynchus clarki bouvieri), leading to concern over the persistence of this subspecies but also to piscivorous predators in this community. We assessed the impact of lake trout on a key piscivore, the river otter (Lontra canadensis) in two lakes in Yellowstone National Park. Yellowstone Lake continues to support a native cutthroat trout population, although the recent introduction of lake trout has dramatically impacted the cutthroat trout population. Nearby Lewis Lake has an entirely introduced fish fauna of lake trout, brown trout (Salmo trutta), and Utah chub (Gilia atraria) but lacks cutthroat trout. Analysis of otter scat from Yellowstone Lake implicated trout (lake or cutthroat trout) as a major prey item (57% of scat), whereas stable isotopes identified longnose suckers (Catostomus catostomus) as the primary prey there (58% of diet). By contrast, scat from Lewis Lake implicated minnows, presumably Utah chub, as the primary prey for otters occupying that lake (86%), while stable isotopes implicated brown trout (64%) over both lake trout and Utah chub (36% combined). Our data establish the importance of alternative prey to otters and suggest that lake trout-induced reductions in cutthroat trout may not be catastrophic for otter populations here. These data do not necessarily exonerate lake trout, as their impact on other species, most notably grizzly bears (Ursus arctos) and piscivorous birds, has been documented to be substantial, and further data on the nutritional value of alternate prey are required to confirm or refute a working hypothesis that otter populations will continue to thrive in the face of the lake trout invasion. (C) 2010 Elsevier Ltd. All rights reserved.</t>
  </si>
  <si>
    <t>10.1016/j.biocon.2010.02.012</t>
  </si>
  <si>
    <t>Xing, DC; Choi, B; Takizawa, Y; Fan, R; Sugaya, S; Tsuchiya, M; Ohkouchi, N; Chikaraishi, Y</t>
  </si>
  <si>
    <t>Trophic hierarchy of coastal marine fish communities viewed via compound-specific isotope analysis of amino acids</t>
  </si>
  <si>
    <t>Trophic position; Habitat; Food web; Nutrient input; Compound-specific isotope analysis; Amino acids; Nitrogen isotope</t>
  </si>
  <si>
    <t>STABLE-ISOTOPES; SAGAMI BAY; FOOD WEBS; LATEOLABRAX-JAPONICUS; DELTA N-15; NITROGEN; RATIOS; INDICATORS; POSITION; ECOLOGY</t>
  </si>
  <si>
    <t>Coastal marine ecosystems are very complex and composed of myriad organisms, including offshore, coastal, and migratory fish occupying diverse trophic positions (TPs) in food webs. The illustration of trophic hierarchy based on the TP and resource utilization of individual organisms remains challenging. In this study, we applied compound-specific isotope analysis of amino acids to estimate the TP and isotopic baseline (i.e. delta N-15 values of primary resources at the base of food webs) for 13 fish and 1 squid species in a coastal area of Sagami Bay, Japan, where a large diversity in the isotopic baseline is caused by an admixture of ocean currents and artificial nitrogen inputs. Our results indicate that the TP of fish and squid varies between 2.9 and 3.9 (i.e. omnivorous, carnivorous, and tertiary consumers), with low variation within individual species. Moreover, the delta N-15 values of phenylalanine revealed the diversity of isotopic baselines between and within species. Low values (7.8-10.3 parts per thousand) and high values (18.6-19.2 parts per thousand), with a small variation (1 sigma &lt; 1.0 parts per thousand), were found in 2 offshore species and 3 coastal species, respectively. In contrast, highly variable values (9.8-19.7 parts per thousand), with large variation within species (1 sigma &gt; 1.0 parts per thousand), were found for the remaining 9 migratory species. These results represent evidence of differential trophic exploitation of habitats between offshore and coastal species, particularly among individuals of migratory species, that were all collected in a single area of Sagami Bay.</t>
  </si>
  <si>
    <t>10.3354/meps13475</t>
  </si>
  <si>
    <t>Fukuda, S; Tanakura, T; Hiramatsu, K; Harada, M</t>
  </si>
  <si>
    <t>Assessment of spatial habitat heterogeneity by coupling data-driven habitat suitability models with a 2D hydrodynamic model in small-scale streams</t>
  </si>
  <si>
    <t>River2D; Machine learning; Habitat suitability; Instream habitat simulation; Spatial heterogeneity; Information entropy</t>
  </si>
  <si>
    <t>MEDAKA ORYZIAS-LATIPES; NEURAL-NETWORKS; PREDICTION; PREFERENCE; ABUNDANCE</t>
  </si>
  <si>
    <t>Habitat assessment considering habitat quality and quantity is a key approach in conservation and restoration works for biodiversity and ecosystems. In this regard, application of hydrodynamic model for modeling instream habitat conditions and machine learning (ML) methods for modeling habitat suitability of a target species can contribute to better modeling practices in ecohydraulics. Despite the importance of small streams for aquatic ecosystems, previous studies in ecohydraulics have been conducted mainly in medium to large rivers, often disregarding small-scale streams such as agricultural canals. The aim of this study is to demonstrate the applicability of a coupled use of ML and a two-dimensional (2D) hydrodynamic model for assessing spatial habitat heterogeneity in small-scale agricultural canals in Japan. Using abundance data of Japanese medaka (Oryzias latipes), four ML methods, namely artificial neural networks (ANNs), classification and regression trees (CARTs), random forests (RF) and support vector machines (SVMs), were applied to develop habitat suitability models considering water depth and flow velocity. A 2D hydrodynamic model was developed based on field surveys in two types of agricultural canals, namely earthen and concrete-lined canals. Information entropy was used for assessing the spatial heterogeneity of instream habitat conditions. As a result, the hydrodynamic models could model instream habitat conditions in a reasonable accuracy. Despite the differences in accuracies in habitat modeling, the four ML methods illustrated similar habitat suitability information for Japanese medaka. The coupled ecohydraulics modeling approach could quantify habitat quality and its spatial heterogeneity, based on which the differences between the earthen and concrete-lined canals were quantitatively assessed. This study demonstrated the applicability of ML-based habitat suitability evaluation and a 2D hydrodynamic model for modeling the spatial distribution of habitat suitability and assessing its spatial heterogeneity. Further study, assessing the spatial heterogeneity in various types of flows including natural/artificial and small/large streams, can contribute to establish quantitative criteria for an ecologically sound habitat and improved ecofriendly construction works in small-scale rivers and streams. (C) 2014 Elsevier B.V. All rights reserved.</t>
  </si>
  <si>
    <t>10.1016/j.ecoinf.2014.10.003</t>
  </si>
  <si>
    <t>Kauppila, P; Weckstrom, K; Vaalgamaa, S; Korhola, A; Pitkanen, H; Reuss, N; Drew, S</t>
  </si>
  <si>
    <t>Tracing pollution and recovery using sediments in an urban estuary, northern Baltic Sea: are we far from ecological reference conditions?</t>
  </si>
  <si>
    <t>pollution; recovery; reference conditions; palaeolimnological methods; urban estuary; Baltic Sea</t>
  </si>
  <si>
    <t>MARINE EUTROPHICATION; HEAVY-METAL; BAY; LAKE; HELSINKI; PIGMENTS; HISTORY; RECORDS; RECONSTRUCTION; SOUTHERN</t>
  </si>
  <si>
    <t>One of the primary challenges of the Water Framework Directive (WFD) of the European Union is to provide a guide for the recovery of surface waters from pollution. However, few studies deal with reference conditions according to the WFD in coastal waters. Using the urbanised Laajalahti Bay (Helsinki, Finland) as an example, reference conditions and pollution history were defined using the stratigraphy of diatoms, sediment geochemistry, stable isotopes, sedimentary pigments, long-term monitoring results of water quality, and nutrient-loading. Principal components analysis was used to generate a multidimensional index of water quality on the basis of the sediment data. We distinguished 5 phases: (1) a pre-industrial phase (before ca. 1815); (2) a phase of slight hum-in disturbance (ca. 1815 to 1900); (3) an onset of anthropogenic impact (ca. 1900 to 1955); (4) a severe pollution phase (ca. 1955 to 1975); (5) basin recovery and a phase of internal loading (from ca. 1975 onwards). Phase 2 was used to define reference conditions. Phase 1 was not used as it occurred before the formation of the semi-enclosed bay by post-glacial isostatic land-uplift. There was good agreement between the sedimentary record and the water-quality data during Phase 4. Despite an improvement in water quality after the local municipal treatment plant closed in 1986, Laajalahti Bay is still far from reference conditions due to internal loading.</t>
  </si>
  <si>
    <t>10.3354/meps290035</t>
  </si>
  <si>
    <t>Ehrich, D; Ims, RA; Yoccoz, NG; Lecomte, N; Killengreen, ST; Fuglei, E; Rodnikova, AY; Ebbinge, BS; Menyushina, IE; Nolet, BA; Pokrovsky, IG; Popov, IY; Schmidt, NM; Sokolov, AA; Sokolova, NA; Sokolov, VA</t>
  </si>
  <si>
    <t>What Can Stable Isotope Analysis of Top Predator Tissues Contribute to Monitoring of Tundra Ecosystems?</t>
  </si>
  <si>
    <t>ecological indicator; monitoring; stable isotopes; predator; diet; arctic tundra; food web; Vulpes lagopus</t>
  </si>
  <si>
    <t>FOXES ALOPEX-LAGOPUS; ARCTIC FOXES; LEMMING CYCLES; CLIMATE-CHANGE; ECOLOGICAL INDICATORS; PREY AVAILABILITY; CHANGING CLIMATE; RESPONSES; DYNAMICS; HABITAT</t>
  </si>
  <si>
    <t>Understanding how climate change and increasing human impacts may exert pressure on ecosystems and threaten biodiversity requires efficient monitoring programs. Indicator species have been proposed as useful tools, and predators and their diet may be particularly suitable. The vast and remote arctic tundra represents a good case study as shifts in ecosystem states are presently occurring, and monitoring is a major challenge. Here we assess what stable isotopes reflecting the diet of the arctic fox, a widespread and highly flexible top predator, can contribute to effective monitoring of the vertebrate prey basis of Arctic tundra. We used data collected over 2-5 years from six sites in the Eurasian Arctic and Greenland. Stable isotope signatures of arctic fox winter fur reflected both spatial and temporal variability in the composition of the vertebrate prey basis. Clear contrasts were apparent in the importance of marine resources, as well as of small rodents and their multiannual density fluctuations. Some important resources could however not be separated because of confounding isotopic signatures. Moreover, except for preferred prey, the proportions of prey in the diet may not necessarily reflect the relative importance of species in the community of available prey. Knowing these limitations, we suggest that the arctic fox diet as inferred from stable isotopes could serve as one of several key targets in ecosystem-based monitoring programs.</t>
  </si>
  <si>
    <t>10.1007/s10021-014-9834-9</t>
  </si>
  <si>
    <t>Riascos, JM; Solis, MA; Pacheco, AS; Ballesteros, M</t>
  </si>
  <si>
    <t>Breaking out of the comfort zone: El Nino-Southern Oscillation as a driver of trophic flows in a benthic consumer of the Humboldt Current ecosystem</t>
  </si>
  <si>
    <t>Argopecten purpuratus; climate change ecology; El Nino-Southern Oscillation; population blooms; P/B ratio; trophic ecology</t>
  </si>
  <si>
    <t>SCALLOP ARGOPECTEN-PURPURATUS; POPULATION-DYNAMICS; SECONDARY PRODUCTION; MESODESMA-DONACIUM; UPWELLING SYSTEM; NORTHERN; BAY; CHILE; PERU; INDEPENDENCIA</t>
  </si>
  <si>
    <t>The trophic flow of a species is considered a characteristic trait reflecting its trophic position and function in the ecosystem and its interaction with the environment. However, climate patterns are changing and we ignore how patterns of trophic flow are being affected. In the Humboldt Current ecosystem, arguably one of the most productive marine systems, El Nino-Southern Oscillation is the main source of interannual and longer-term variability. To assess the effect of this variability on trophic flow we built a 16-year series of mass-specific somatic production rate (P/B) of the Peruvian scallop (Argopecten purpuratus), a species belonging to a former tropical fauna that thrived in this cold ecosystem. A strong increase of the P/B ratio of this species was observed during nutrient-poor, warmer water conditions typical of El Nino, owing to the massive recruitment of fast-growing juvenile scallops. Trophic ecology theory predicts that when primary production is nutrient limited, the trophic flow of organisms occupying low trophic levels should be constrained (bottom-up control). For former tropical fauna thriving in cold, productive upwelling coastal zones, a short time of low food conditions but warm waters during El Nino could be sufficient to waken their ancestral biological features and display massive proliferations.</t>
  </si>
  <si>
    <t>10.1098/rspb.2017.0923</t>
  </si>
  <si>
    <t>Raynor, EJ; Joern, A; Skibbe, A; Sowers, M; Briggs, JM; Laws, AN; Goodin, D</t>
  </si>
  <si>
    <t>Temporal variability in large grazer space use in an experimental landscape</t>
  </si>
  <si>
    <t>behavioral shifts; climatic variability; drought; fire frequency; grazing systems; Konza Prairie Biological Station; primary production; resource gradient; resource utilization; spring-burn grazing</t>
  </si>
  <si>
    <t>BISON BISON-BISON; TALLGRASS PRAIRIE; HABITAT SELECTION; FORAGE QUANTITY; RESOURCE SELECTION; BURNED PATCHES; FIRE FREQUENCY; PLANT; PATTERNS; QUALITY</t>
  </si>
  <si>
    <t>Land use, climate change, and their interaction each have great potential to affect grazing systems. With anticipated more frequent and extensive future drought, a more complete understanding of the mechanisms that determine large grazer landscape-level distribution under varying climatic conditions is integral to ecosystem management. Using an experimental setting with contrasting fire treatments, we describe the inter-annual variability of the effect of landscape topography and disturbance from prescribed spring fire on large grazer space use in years of variable resource availability. Using GPS telemetry, we investigated space use of plains bison (Bison bison bison) as they moved among watersheds managed with variable experimental burn treatments (1-, 2-, 4-, and 20-year burn intervals) during a seven-year period spanning years of average-to-above average forage production and severe drought. At the landscape scale, bison more strongly favored high-elevation and recently burned watersheds with watersheds burned for the first time in 2 or 4 yr consistently showing higher use relative to annually burned watersheds. In particular, watersheds burned for the first time in 4 yr were avoided to lesser extent than other more frequently burned watersheds during the dormant season. This management type also maintained coupling between bison space use and post-fire regrowth across post-drought growing season months, whereas watersheds with more frequent fire-return intervals attracted bison in only the first month post-fire. Hence, fire frequency played a role in maintaining the coupling of grazer and post-fire regrowth, the fire-grazer interaction, in response to drought-induced reduction in fuel loads. Moreover, bison avoided upland habitat in poor forage production years, when forage regrowth is less likely to occur in upland than in lowland habitats. Such quantified responses of bison to landscape features can aid future conservation management efforts and planning to sustain fire-grazer interactions and resulting spatial heterogeneity in grassland ecosystems.</t>
  </si>
  <si>
    <t>e01674</t>
  </si>
  <si>
    <t>10.1002/ecs2.1674</t>
  </si>
  <si>
    <t>Paez-Rosas, D; Aurioles-Gamboa, D; Alava, JJ; Palacios, DM</t>
  </si>
  <si>
    <t>Stable isotopes indicate differing foraging strategies in two sympatric otariids of the Galapagos Islands</t>
  </si>
  <si>
    <t>Galapagos Islands; Otariids; Stable isotopes; Sympatry; Trophic niche</t>
  </si>
  <si>
    <t>SEA LIONS ZALOPHUS; GULF-OF-CALIFORNIA; FUR SEALS; TROPHIC RELATIONSHIPS; CARBON ISOTOPES; FOOD-WEB; DELTA-C-13 ANALYSIS; MARINE MAMMALS; DIET; DELTA-N-15</t>
  </si>
  <si>
    <t>The feeding behavior of marine predators varies with the level of competition to which they are exposed. Populations living in the same or overlapping geographic regions (sympatric) are generally subject to inter-specific competition, which can lead to the development of differing trophic strategies that maximize both nutritional and reproductive efficiency. The otariids of the islands in the western Galapagos Archipelago represent appropriate subjects for studying the response mechanisms of sympatric species exposed to strong competition, both trophic and spatial. The present study has focused on evaluating the possible differences in the trophic niches of the Galapagos sea lion (Zalophus wollebaeki) and the Galapagos fur seal (Arctocephalus galapagoensis) over time, based upon the analysis of stable isotope ratios of carbon and nitrogen (delta C-13 and delta N-15), and observation of both species at sea. A comparative analysis of the isotopic signal of skin samples from pups of both species was performed for rookeries on Fernandina Island between 2003 and 2009. Analyses of the isotopic signal present in prey covering the entire trophic range of these predators were also performed, in order to relate this information to otariid sighting records collected during offshore cruises in 1993-1994 and 2000. The delta C-13 and delta N-15 values defined differences in the feeding zones and in the trophic level of each species; which were related with the interannual variability of the ecosystem, i.e. El Nino and La Nina events. Whereas Z. wollebaeki showed a coastal (inshore) foraging strategy, relying on the consumption of small epipelagic fishes, A. galapagoensis turned out to be a more oceanic (offshore) predator, with a preference for small squid. These results are in good agreement with the distribution of these animals at sea, as indicated by the sighting data. The findings of this study provide new insights to our understanding of how sympatric species exposed to strong inter-specific competition can develop foraging strategies leading to a decreasing level of food competition and facilitate their survival in a stochastic environment that is highly demanding in terms of the availability of resources. (C) 2012 Elsevier B.V. All rights reserved.</t>
  </si>
  <si>
    <t>10.1016/j.jembe.2012.05.001</t>
  </si>
  <si>
    <t>Yonekura, Y; Ohta, S; Kiyono, Y; Aksa, D; Morisada, K; Tanaka, N; Tayasu, I</t>
  </si>
  <si>
    <t>Dynamics of soil carbon following destruction of tropical rainforest and the subsequent establishment of Imperata grassland in Indonesian Borneo using stable carbon isotopes</t>
  </si>
  <si>
    <t>Afforestation or Reforestation Clean Development Mechanism; alang-alang; carbon sequestration; cogon grass; land-use change; mathematical modelling; soil organic matter; Southeast Asia; stable carbon isotope; tropical deforestation</t>
  </si>
  <si>
    <t>ORGANIC-MATTER DYNAMICS; LAND-USE CHANGE; PASTURE INSTALLATION; CONVERSION; TURNOVER; STABILITY; NITROGEN</t>
  </si>
  <si>
    <t>Southeast Asia has the highest rate of tropical rainforest deforestation worldwide, and large deforested areas have been replaced ultimately by the highly invasive grass Imperata cylindrica. However, information on the carbon (C) budget with such land transition is very scarce. This study presents the dynamics of soil C following rainforest destruction and the subsequent establishment of Imperata grassland in the lowland humid tropics of Indonesian Borneo using stable C isotopes. To evaluate the relative contribution of organic matter originating from primary forest (C3) and grasslands (C4), we compared soil C stock and natural 13C abundance from six sites to a depth of 100 similar to cm using samples with a wide range of soil textures. Twelve years after the first soil sampling in the grasslands, we re-sampled to examine temporal changes in soil organic matter. The grassland topsoil (05 similar to cm) is an active layer with rapid decomposition and incorporation of fresh C (mean residence time: 7.5 similar to year) and a substantial proportion of the stable C pool (37%). The decline in forest-derived C was slight, even at 510 similar to cm depths, and subsoil (20100 similar to cm depth) forest-derived C did not change along the forest-to-grassland chronosequence. Grassland-derived C stock increased significantly in the subsurface and subsoils (5100 similar to cm). Simulation indicated that total soil C stock (0100 similar to cm) increased by 18.6 similar to Mg similar to ha-1 from initial primary forest (58.0 similar to Mg similar to ha-1) to a new equilibrium state of the grassland (76.6 similar to Mg similar to ha-1) after 3050 similar to years of grassland establishment. This research indicates that the soil did not function as a CO2 source when the deforested area was replaced by Imperata grassland on the Ultisols of the Asian humid tropics. Instead, increased soil C stocks offset CO2 emissions, with the C offset accounting for 6.67.4% of the loss of biomass C stock.</t>
  </si>
  <si>
    <t>10.1111/j.1365-2486.2012.02722.x</t>
  </si>
  <si>
    <t>Mortillaro, JM; Pouilly, M; Wach, M; Freitas, CEC; Abril, G; Meziane, T</t>
  </si>
  <si>
    <t>Trophic opportunism of central Amazon floodplain fish</t>
  </si>
  <si>
    <t>Amazon; fatty acids; fish; floodplains; stables isotopes</t>
  </si>
  <si>
    <t>ESSENTIAL FATTY-ACIDS; ORGANIC-MATTER; ENERGY-SOURCES; CARBON-SOURCES; MARINE FISH; RIVER; ECOSYSTEMS; BIOMARKERS; WETLAND; MARKERS</t>
  </si>
  <si>
    <t>The food web of the central Amazon basin displays one of the largest discrepancies in food source utilisation versus availability for consumers. While C-4 macrophytes dominate the primary producing biomass in floodplains, the food web is dominated by the use of C-3 carbon sources. Amazon fish species have wide-ranging diets and show feeding flexibility in response to spatial and temporal patterns in food source availability. Fish are therefore expected to use a range of available resources. Fatty acids and stable carbon and nitrogen isotopic compositions were studied to investigate their trophic behaviour and provide a better assessment of food source utilisation by nine fish species from two Amazon floodplains. Although nitrogen stable isotopes positioned detritivores at the base of the food chain, their large proportions of polyunsaturated fatty acids (FAs) suggest selection of a high-quality food source, such as microalgae. Omnivores and insectivores displayed a wide range of food source utilisation, indicating opportunist feeding behaviour. Piscivores displayed the most N-15-enriched signature (up to 10.6), concomitant with their predator position in the studied food web. C-3 carbon was the dominant source for most species, which is a finding consistent with current classical knowledge. However, consumption of C-4 macrophytes was detected for the herbivore Schizodon fasciatus, in line with the spatial availability of this food source in the floodplain system. Large amounts of polyunsaturated and essential FAs in these C-4 macrophytes indicate their high nutritive value. Our results suggest that this food source is rather neglected by fish due to low digestibility, with the exception of the herbivore that may possess modification of its digestive system that allows the use of C-4 plants.</t>
  </si>
  <si>
    <t>10.1111/fwb.12598</t>
  </si>
  <si>
    <t>Weise, MJ; Harvey, JT</t>
  </si>
  <si>
    <t>Temporal variability in ocean climate and California sea lion diet and biomass consumption: implications for fisheries management</t>
  </si>
  <si>
    <t>Zalophus californianus; El Nino; La Nina; Prey consumption; Bioenergetics model; Trophic interactions; Regime shift</t>
  </si>
  <si>
    <t>SQUID LOLIGO-OPALESCENS; ANTARCTIC FUR SEALS; ZALOPHUS-CALIFORNIANUS; NORTHERN CALIFORNIA; PREY; ISLAND; PREDATORS; DYNAMICS; EVENTS; STATE</t>
  </si>
  <si>
    <t>Key to understanding ecosystem structure and function in the California Current System is quantitative modeling of trophic interactions of California sea lions Zalophus californianus, one of the largest and most abundant predators in this system, and how these interactions are affected by climate variability. Because sea lions consume almost exclusively commercially important prey species, we hypothesized that the potential for competition for specific prey resources would vary with environmental conditions. We evaluated seasonal and annual variation in sea lion diet in Monterey Bay during the strong 1997-98 El Nino and subsequent 1999 La Nina through the examination and identification of prey hard parts found in fecal samples. Annual consumption was modeled using population size, dietary data, sea lion energetics, and prey energy content. Sea lions were plastic specialists, feeding on seasonally abundant aggregating prey, exploiting several species at. a time. Short-term seasonal changes in diet corresponded with prey movement and life history patterns, whereas long-term annual changes corresponded with large-scale ocean climate shifts, namely the large 1997-98 El Nino and 1999 La Nina. Annual sea lion consumption of specific prey varied as a function of ocean climate, with an estimated 17 154 t prey consumed in 1998 and 20 229 t in 1999, Sea lion consumption was similar in magnitude to fisheries landings for several prey species and has the potential to adversely impact specific prey resources and directly compete with these fisheries; however, the degree of competition depends on spatial and temporal overlap of fisheries and sea lion foraging efforts.</t>
  </si>
  <si>
    <t>10.3354/meps07737</t>
  </si>
  <si>
    <t>Araujo, MS; Bolnick, DI; Martinelli, LA; Giaretta, AA; dos Reis, SF</t>
  </si>
  <si>
    <t>Individual-level diet variation in four species of Brazilian frogs</t>
  </si>
  <si>
    <t>carbon stable isotopes; individual specialization; niche variation; Niche Variation Hypothesis</t>
  </si>
  <si>
    <t>STABLE CARBON ISOTOPES; NICHE WIDTH; INTRASPECIFIC COMPETITION; BLUEGILL SUNFISH; TRADE-OFFS; DEMOGRAPHIC STOCHASTICITY; RESOURCE POLYMORPHISMS; DISRUPTIVE SELECTION; SOUTHEASTERN BRAZIL; ANOLIS LIZARDS</t>
  </si>
  <si>
    <t>Many natural populations exploiting a wide range of resources are actually composed of relatively specialized individuals. This interindividual variation is thought to be a consequence of the invasion of 'empty' niches in depauperate communities, generally in temperate regions. If individual niches are constrained by functional trade-offs, the expansion of the population niche is only achieved by an increase in interindividual variation, consistent with the 'niche variation hypothesis'. According to this hypothesis, we should not expect interindividual variation in species belonging to highly diverse, packed communities. In the present study, we measured the degree of interindividual diet variation in four species of frogs of the highly diverse Brazilian Cerrado, using both gut contents and delta C-13 stable isotopes. We found evidence of significant diet variation in the four species, indicating that this phenomenon is not restricted to depauperate communities in temperate regions. The lack of correlations between the frogs' morphology and diet indicate that trade-offs do not depend on the morphological characters measured here and are probably not biomechanical. The nature of the trade-offs remains unknown, but are likely to be cognitive or physiological. Finally, we found a positive correlation between the population niche width and the degree of diet variation, but a null model showed that this correlation can be generated by individuals sampling randomly from a common set of resources. Therefore, albeit consistent with, our results cannot be taken as evidence in favour of the niche variation hypothesis.</t>
  </si>
  <si>
    <t>10.1111/j.1365-2656.2009.01546.x</t>
  </si>
  <si>
    <t>Grecian, WJ; Taylor, GA; Loh, G; McGill, RAR; Miskelly, CM; Phillips, RA; Thompson, DR; Furness, RW</t>
  </si>
  <si>
    <t>Contrasting migratory responses of two closely related seabirds to long-term climate change</t>
  </si>
  <si>
    <t>Biologging; Conservation; Migration; Moult; Movement; Non-breeding behaviour; Seamounts; Stable isotopes; Upwelling zones</t>
  </si>
  <si>
    <t>SUBTROPICAL FRONT; STABLE-ISOTOPES; RANGE SHIFTS; NEW-ZEALAND; SEA-ICE; MARINE; OCEAN; DELTA-C-13; PHENOLOGY; PREDATOR</t>
  </si>
  <si>
    <t>Many marine predators migrate between breeding and non-breeding areas to target resources that are seasonal but spatio-temporally predictable, and so are vulnerable to climate-induced changes in prey phenology and abundance. In the Southern Ocean, small petrels are major consumers, but perturbations in the ecosystem through ocean warming are altering food-web structure and have been linked to poleward shifts in the distribution of their cold-water zooplankton prey. In this study, we focused on 2 small congeneric petrels: the broad-billed prion Pachyptila vittata and the Antarctic prion P. desolata. Both are planktivorous, but the broad-billed prion specialises in feeding on large copepods. We investigated historical trends in non-breeding distribution by analysing feather stable isotope ratios from a time-series dating back to 1926, and examined contemporary non-breeding distributions of broad-billed prions tracked using miniaturised geolocation-immersion loggers. After controlling temporally for the Suess effect, we found that the delta C-13 signatures of Antarctic prions, but not broad-billed prions, declined during the study period. This suggests a southward shift in Antarctic prion non-breeding distribution over the last century. Both species exhibited significant declines in delta N-15 during the same period, indicative of long-term decreases in marine productivity in their moulting areas, or changes in the trophic structure of prey communities. Tracked broad-billed prions migrated ca. 1000 km to an area east of the breeding colony where the Louisville seamount chain bisects the subtropical front. Topographically driven upwellings are stable and predictable features and may be crucial in aggregating plankton. Targeting seamounts could therefore mitigate the impact of climate-induced prey shifts by providing refugia for the broad-billed prion.</t>
  </si>
  <si>
    <t>10.3354/meps11875</t>
  </si>
  <si>
    <t>Samplonius, JM; Kappers, EF; Brands, S; Both, C</t>
  </si>
  <si>
    <t>Phenological mismatch and ontogenetic diet shifts interactively affect offspring condition in a passerine</t>
  </si>
  <si>
    <t>asynchrony; climate; feeding constraint; foraging; nestling diet; ontogenetic shift; phenology; prey switching; timing; trophic levels</t>
  </si>
  <si>
    <t>TITS PARUS-MAJOR; CLIMATE-CHANGE; NESTLING DIET; PIED FLYCATCHERS; PROVISIONING BEHAVIOR; REPRODUCTIVE SUCCESS; BREEDING PHENOLOGY; FEEDING ECOLOGY; PREY SELECTION; WILD BIRD</t>
  </si>
  <si>
    <t>1. Climate change may cause phenological asynchrony between trophic levels, which can lead to mismatched reproduction in animals. Although indirect effects of mismatch on fitness are well described, direct effects on parental prey choice are not. Moreover, direct effects of prey variation on offspring condition throughout their early development are understudied. 2. Here, we used camera trap data collected over 2 years to study the effects of trophic mismatch and nestling age on prey choice in pied flycatchers (Ficedula hypoleuca). Furthermore, we studied the effect of mismatch and variation in nestling diet on offspring condition. 3. Both experimentally induced and natural mismatches with the caterpillar peak negatively affected absolute and relative numbers of caterpillars and offspring condition (mass, tarsus and wing length) and positively affected absolute and relative numbers of flying insects in the nestling diet. Feeding more flying insects was negatively correlated with nestling day 12 mass. 4. Both descriptive and experimental data showed preferential feeding of spiders when nestlings were &lt; 7 days old. Receiving more spiders during this phase was positively correlated with tarsus growth. 5. These results highlight the need for a more inclusive framework to study phenological mismatch in nature. The general focus on only one prey type, the rarity of studies that measure environmental abundance of prey, and the lack of timing experiments in dietary studies currently hamper understanding of the actual trophic interactions that affect fitness under climate change.</t>
  </si>
  <si>
    <t>10.1111/1365-2656.12554</t>
  </si>
  <si>
    <t>Hardison, AK; Canuel, EA; Anderson, IC; Veuger, B</t>
  </si>
  <si>
    <t>Fate of macroalgae in benthic systems: carbon and nitrogen cycling within the microbial community</t>
  </si>
  <si>
    <t>Stable isotopes; Macroalgae; Benthic microalgae; Bacteria; Biomarker; Coastal eutrophication</t>
  </si>
  <si>
    <t>TEMPERATE COASTAL LAGOON; GRACILARIA-VERMICULOPHYLLA RHODOPHYTA; MARINE-SEDIMENTS; ORGANIC-MATTER; LABELING EXPERIMENTS; INTERTIDAL SEDIMENT; CHAETOMORPHA LINUM; N-15 INCORPORATION; NUTRIENT FLUXES; D-ALANINE</t>
  </si>
  <si>
    <t>High nutrient loading to coastal bays is often accompanied by the presence of bloom-forming macroalgae, which take up and sequester large amounts of C and N while growing. This pool is temporary, however, as nuisance macroalgae exhibit a bloom and die-off cycle, influencing the biogeochemical functioning of these systems in unknown ways. The objective of this study was to trace the C and N from senescing macroalgae into relevant sediment pools. A macroalgal die-off event was simulated by the addition of freeze-dried macroalgae (Gracilaria spp.), pre-labeled with stable isotopes (C-13 and N-15), to sediment mesocosms. The isotopes were traced into bulk sediments and partitioned into benthic microalgal (BMA) and bacterial biomass using microbial biomarkers to quantify the uptake and retention of macroalgal C and N. Bulk sediments took up label immediately following the die-off, and macroalgal C and N were retained in the sediments for at least 2 wk. Approximately 6 to 50% and 2 to 9% of macroalgal N and C, respectively, were incorporated into the sediments. Label from the macroalgae appeared in both bacterial and BMA biomarkers, suggesting that efficient shuttling of macroalgal C and N between these communities may serve as a mechanism for retention of macroalgal nutrients within the sediments.</t>
  </si>
  <si>
    <t>10.3354/meps08720</t>
  </si>
  <si>
    <t>Nashima, FP; Strydom, NA; Connan, M; Lamberth, SJ</t>
  </si>
  <si>
    <t>Stable isotopes reveal trophic linkages among fish species utilizing the Orange River Estuary Continuum</t>
  </si>
  <si>
    <t>Estuary; Feeding patterns; Niche overlap; Ontogenetic shift; Resource partitioning; Southern Africa</t>
  </si>
  <si>
    <t>COMMUNITY-WIDE MEASURES; FOOD-WEB; FRESH-WATER; AFRICAN ESTUARIES; RATIOS PROVIDE; CARBON; DIET; NITROGEN; LAKE; DELTA-C-13</t>
  </si>
  <si>
    <t>The Orange River is one of the longest rivers in southern Africa and one of the most regulated rivers in the world. Its estuary supports diverse marine and freshwater life, yet, ecosystem structure and functioning within the estuary are poorly understood. This study investigated trophic linkages and interactions among dominant fishes through carbon (delta C-13) and nitrogen (delta N-15) stable isotope (SI) ratios along a salinity gradient. The five dominant species utilizing the Orange River Estuary Continuum (OREC) included marine Chelon richardsonii, estuarine Gilchristella aestuaria, and freshwater species Labeobarbus aeneus, Pseudocrenilabrus philander and Mesobola brevianalis. Variations in SI ratios were associated with changes in body size, seasonality and salinity. Variability in seasons and the salinity continuum influenced SI ratios. Chelon richardsonii, P. philander and L aeneus occupied the widest isotopic niche in the lower OREC, an indication of generalist feeding behaviour in these species. Mesobola brevianalis had the narrowest isotopic niche, perhaps suggesting more specialized feeding on zooplankton. Isotopic similarity was observed among the five co-occurring species, suggesting trophic overlap, particularly during the high-flow season when environmental variables, productivity and food availability are predominantly freshwater driven and uniform throughout the river estuary continuum. This study is the first to utilize delta C-13 and delta N-15 analyses to assess trophic dynamics of dominant species co-occurring in the estuary and estuarinefreshwater ecotone of the lower OREC. (C) 2020 Elsevier Inc. All rights reserved.</t>
  </si>
  <si>
    <t>e00145</t>
  </si>
  <si>
    <t>10.1016/j.fooweb.2020.e00145</t>
  </si>
  <si>
    <t>Barbeta, A; Penuelas, J</t>
  </si>
  <si>
    <t>Increasing carbon discrimination rates and depth of water uptake favor the growth of Mediterranean evergreen trees inthe ecotone with temperate deciduous forests</t>
  </si>
  <si>
    <t>climate change; dendroecology; ecophysiology; ecotones; mediterranean forests; temperate forests tree growth; tree water use; tree-ring isotopes</t>
  </si>
  <si>
    <t>FAGUS-SYLVATICA L.; OXYGEN-ISOTOPE SIGNALS; TERM EXPERIMENTAL DROUGHT; SOUTHERN RANGE-EDGE; USE EFFICIENCY; STABLE CARBON; MONTSENY MOUNTAINS; RING CELLULOSE; CLIMATE-CHANGE; QUERCUS-ILEX</t>
  </si>
  <si>
    <t>Tree populations at the low-altitudinal or -latitudinal limits of species' distributional ranges are predicted to retreat toward higher altitudes and latitudes to track the ongoing changes in climate. Studies have focused on the climatic sensitivity of the retreating species, whereas little is known about the potential replacements. Competition between tree species in forest ecotones will likely be strongly influenced by the ecophysiological responses to heat and drought. We used tree-ring widths and delta C-13 and delta O-18 chronologies to compare the growth rates and long-term ecophysiological responses to climate in the temperate-Mediterranean ecotone formed by the deciduous Fagus sylvatica and the evergreen Quercus ilex at the low altitudinal and southern latitudinal limit of F. sylvatica ( NE Iberian Peninsula). F. sylvatica growth rates were similar to those of other southern populations and were surprisingly not higher than those of Q. ilex, which were an order of magnitude higher than those in nearby drier sites. Higher Q. ilex growth rates were associated with high temperatures, which have increased carbon discrimination rates in the last 25 years. In contrast, stomatal regulation in F. sylvatica was proportional to the increase in atmospheric CO2. Tree-ring delta O-18 for both species were mostly correlated with delta O-18 in the source water. In contrast to many previous studies, relative humidity was not negatively correlated with tree-ring delta O-18 but had a positive effect on Q. ilex treering delta O-18. Furthermore, tree-ring delta O-18 decreased in Q. ilex over time. The sensitivity of Q. ilex to climate likely reflects the uptake of deep water that allowed it to benefit from the effect of CO2 fertilization, in contrast to the water-limited F. sylvatica. Consequently, Q. ilex is a strong competitor at sites currently dominated by F. sylvatica and could be favored by increasingly warmer conditions.</t>
  </si>
  <si>
    <t>10.1111/gcb.13770</t>
  </si>
  <si>
    <t>Begg, GA; Weidman, CR</t>
  </si>
  <si>
    <t>Stable delta C-13 and delta O-18 isotopes in otoliths of haddock Melanogrammus aeglefinus from the northwest Atlantic Ocean</t>
  </si>
  <si>
    <t>otolith isotopic composition; carbon; oxygen; Georges Bank; retrospective environmental regimes; stock identification; fisheries management</t>
  </si>
  <si>
    <t>COD GADUS-MORHUA; GEORGES BANK; FISH OTOLITHS; WESTERN-AUSTRALIA; CONTINENTAL-SHELF; STOCK STRUCTURE; RATIO ANALYSIS; FOOD WEB; CARBON; OXYGEN</t>
  </si>
  <si>
    <t>Analyzing stable isotopes deposited in fish otoliths can provide insights into the environmental variation that individual fish experience throughout their life history which, in turn, can indicate their home range, movements, and underlying stock structure, We investigated the use of stable delta C-13 and delta O-18 isotopes in haddock Melanogrammus aeglefinus otoliths as indicators of environmental variation and stock structure in the northwest Atlantic Ocean. Samples were collected between 1995 and 1998 from individual spawning components on Georges Bank, the Gulf of Maine, and along the Scotian Shelf. Samples from 1 yr- and 4 yr-old haddock were analyzed from an integrated and chronological life history perspective, respectively. Annual, seasonal, and ontogenetic variation in otolith isotopes indicated that haddock undergo shifts in distribution throughout their life history, possibly as a means of compensating for variable environmental conditions; this underlines the difficulty of temperature reconstructions from mobile organisms with optimal temperature ranges.</t>
  </si>
  <si>
    <t>10.3354/meps216223</t>
  </si>
  <si>
    <t>Hoekstra, NJ; Finn, JA; Hofer, D; Luscher, A</t>
  </si>
  <si>
    <t>The effect of drought and interspecific interactions on depth of water uptake in deep- and shallow-rooting grassland species as determined by delta O-18 natural abundance</t>
  </si>
  <si>
    <t>PLANT-COMMUNITIES; STABLE-ISOTOPES; CLIMATE; BIODIVERSITY; PRODUCTIVITY; DIVERSITY; PATTERNS; GROWTH; COMPLEMENTARITY; EXTRACTION</t>
  </si>
  <si>
    <t>Increased incidence of drought, as predicted under climate change, has the potential to negatively affect grassland production. Compared to monocultures, vertical below-ground niche complementarity between shallow-and deep-rooting species may be an important mechanism resulting in higher yields and higher resistance to drought in grassland mixtures. However, very little is known about the below-ground responses in grassland systems and increased insight into these processes may yield important information both to predict the effect of future climate change and better design agricultural systems to cope with this. This study assessed the effect of a 9-week experimental summer drought on the depth of water uptake of two shallow-rooting species (Lolium perenne L. and Trifolium repens L.) and two deep-rooting species (Cichorium intybus L. and Trifolium pratense L.) in grassland monocultures and four-species mixtures by using the natural abundance delta O-18 isotope method. We tested the following three hypotheses: (1) drought results in a shift of water uptake to deeper soil layers, (2) deep-rooting species take up a higher proportion of water from deeper soil layers relative to shallow-rooting species, and (3) as a result of interspecific interactions in mixtures, the water uptake of shallow-rooting species becomes shallower when grown together with deep-rooting species and vice versa, resulting in reduced niche overlap. The natural abundance delta O-18 technique provided novel insights into the depth of water uptake of deep-and shallow-rooting grassland species and revealed large shifts in depth of water uptake in response to drought and interspecific interactions. Compared to control conditions, drought reduced the proportional water uptake from 0-10 cm soil depth (PCWU0-10) of L. perenne, T. repens and C. intybus in monocultures by on average 54 %. In contrast, the PCWU0-10 of T. pratense in monoculture increased by 44 %, and only when grown in mixture did the PCWU0-10 of T. pratense decrease under drought conditions. In line with hypothesis (2), in monoculture, the PCWU0-10 of shallow-rooting species L. perenne and T. repens was 0.53 averaged over the two drought treatments, compared to 0.16 for the deep-rooting C. intybus. Surprisingly, in monoculture, water uptake by T. pratense was shallower than for the shallow-rooting species (PCWU0-10 = 0.68). Interspecific interactions in mixtures resulted in a shift in the depth of water uptake by the different species. As hypothesised, the shallow-rooting species L. perenne and T. repens tended to become shallower, and the deep-rooting T. pratense made a dramatic shift to deeper soil layers (reduction in PCWU0-10 of 58% on average) in mixture compared to monoculture. However, these shifts did not result in a reduction in the proportional similarity of the proportional water uptake from different soil depth intervals (niche overlap) in mixtures compared to monocultures. There was no clear link between interspecific differences in depth of water uptake and the reduction of biomass production under drought compared to control conditions (drought resistance). Cichorium intybus, the species with water uptake from the deepest soil layers was one of the species most affected by drought. Interestingly, T. pratense, which was least affected by drought, also had the greatest plasticity in depth of water uptake. This suggests that there may be an indirect effect of rooting depth on drought resistance, as it determines the potential plasticity in the depth of water uptake.</t>
  </si>
  <si>
    <t>10.5194/bg-11-4493-2014</t>
  </si>
  <si>
    <t>McMeans, BC; Rooney, N; Arts, MT; Fisk, AT</t>
  </si>
  <si>
    <t>Food web structure of a coastal Arctic marine ecosystem and implications for stability</t>
  </si>
  <si>
    <t>Resource coupling; Ecological patterns; Arctic marine ecology; Food web; Stable isotopes; Fatty acids; Macroalgae; Climate warming</t>
  </si>
  <si>
    <t>STABLE-ISOTOPE DELTA-C-13; FATTY-ACID-COMPOSITION; MARGINAL ICE-ZONE; TROPHIC RELATIONSHIPS; BAFFIN-ISLAND; DELTA-N-15 ANALYSIS; CUMBERLAND SOUND; FJORD ECOSYSTEM; ORGANIC-MATTER; BERING-SEA</t>
  </si>
  <si>
    <t>There is little doubt that Arctic ecosystems will continue to face unprecedented change in the coming decades. The identification of food web structures that confer stability to these systems is, therefore, a priority. Here, we use stable isotopes and fatty acids to resolve the food web structure of a seasonally ice-covered fjord (Cumberland Sound, Baffin Island, Canada) sampled in late summer. We show that the food web is structured such that upper trophic levels couple separate energy channels (based on phytoplankton or macroalgae), a previously documented food web structure that has been linked with stability in temperate ecosystems, but never established in a seasonally dynamic, ice-covered ecosystem. Herbivorous zooplankton (e.g. Calanus hyperboreus) relied exclusively on phytoplankton, whereas herbivorous benthos used either phytodetritus (e.g. Hiatella arctica) or macroalgae (e.g. Tectura testudinalis), supporting the existence of separate energy channels. Upper trophic level fishes and marine mammals relied more heavily on phytoplankton-than macroalgal-derived carbon (58 to 100% reliance on phytoplankton), but 6 out of 8 species sampled derived energy from both carbon sources. Since benthic invertebrate predators used both phytodetrital- and macrolgal-based resources, the coupling of separate energy channels was also iterated within the benthos. The temporally pulsed nature of phytoplankton production, characteristic of Arctic seas, indicates that Arctic consumers also act as couplers of resources in time because phytoplankton-and detrital-based carbon would likely reach upper trophic levels earlier and later in the season, respectively. Potential changes in the relative production of macroalgae and phytoplankton under climate change scenarios could impact the stability-promoting food web structure reported here.</t>
  </si>
  <si>
    <t>10.3354/meps10278</t>
  </si>
  <si>
    <t>Kruger, JP; Leifeld, J; Alewell, C</t>
  </si>
  <si>
    <t>Degradation changes stable carbon isotope depth profiles in palsa peatlands</t>
  </si>
  <si>
    <t>ORGANIC-MATTER; NORTHERN PEATLANDS; PEAT; DECOMPOSITION; NITROGEN; SOIL; INDICATORS; ABUNDANCES; VEGETATION; EXCHANGE</t>
  </si>
  <si>
    <t>Palsa peatlands are a significant carbon pool in the global carbon cycle and are projected to change by global warming due to accelerated permafrost thaw. Our aim was to use stable carbon isotopes as indicators of palsa degradation. Depth profiles of stable carbon isotopes generally reflect organic matter dynamics in soils with an increase of delta C-13 values during aerobic decomposition and stable or decreasing delta C-13 values with depth during anaerobic decomposition. Stable carbon isotope depth profiles of undisturbed and degraded sites of hummocks as well as hollows at three palsa peatlands in northern Sweden were used to investigate the degradation processes. The depth patterns of stable isotopes clearly differ between intact and degraded hummocks at all sites. Erosion and cryoturbation at the degraded sites significantly changes the stable carbon isotope depth profiles. At the intact hummocks the uplifting of peat material by permafrost is indicated by a turning in the delta C-13 depth trend, and this assessment is supported by a change in the C / N ratios. For hollows isotope patterns were less clear, but some hollows and degraded hollows in the palsa peatlands show differences in their stable carbon isotope depth profiles indicating enhanced degradation rates. We conclude that the degradation of palsa peatlands by accelerated permafrost thawing can be identified with stable carbon isotope depth profiles. At intact hummocks delta C-13 depth patterns display the uplifting of peat material by a change in peat decomposition processes.</t>
  </si>
  <si>
    <t>10.5194/bg-11-3369-2014</t>
  </si>
  <si>
    <t>Winemiller, KO; Akin, S; Zeug, SC</t>
  </si>
  <si>
    <t>Production sources and food web structure of a temperate tidal estuary: integration of dietary and stable isotope data</t>
  </si>
  <si>
    <t>carbon; cordgrass; detritivory; estuary; gulf of Mexico; nitrogen; predation; trophic structure</t>
  </si>
  <si>
    <t>SPARTINA-ALTERNIFLORA PRODUCTION; SALT-MARSH; ORGANIC-MATTER; TROPHIC POSITION; NITROGEN ISOTOPES; STOMACH CONTENTS; CARBON; DELTA-C-13; FISHES; TEXAS</t>
  </si>
  <si>
    <t>Food web structure and major sources of primary production consumed by metafauna of Mad Island Marsh, a coastal saltmarsh on the NW coast of the Gulf of Mexico, were compared using stable isotopes and dietary analysis. Carbon and nitrogen isotope data were entered into a mixing model containing 5 potential production sources. Results were inconclusive due to overlapping isotopic signatures of certain sources, but nonetheless indicated that most fishes and macroinvertebrates assimilated material derived mostly from variable mixtures of macrophytes and filamentous algae. Highest estimates of percentage of material assimilated directly or indirectly from C-4 marsh grasses (ranging from 30 to 82 %) were for spot Leiostomus xanthurus and Gulf killifish Fundulus grandis. Isotopic analysis could not reveal the detailed structure of predator-prey interactions at the species level; greater detail of trophic pathways was revealed by the dietary analysis. Estimates of vertical web structure (species trophic levels) by the 2 methods were largely concordant. The exceptions were 2 zooplanktivorous and detritivorous fish species and grass shrimp Palaemonetes pugio that had higher trophic levels according to nitrogen isotope ratios. For these taxa, the isotopic method more accurately indexed the number of trophic transfers than the dietary method, which depends on accurate dietary estimation for all food chain components leading to a consumer, and which assumes equal assimilation efficiencies for items found in stomach contents. The isotopic method underestimated trophic levels of several invertebrates, possibly due to inaccurate estimation of mean delta N-15 for production sources supporting these taxa and/or differential trophic fractionation. Together, stable isotope and dietary analyses provide a more accurate assessment of food web structure and dynamics of coastal marsh ecosystems than either method alone.</t>
  </si>
  <si>
    <t>10.3354/meps06884</t>
  </si>
  <si>
    <t>France, RL</t>
  </si>
  <si>
    <t>Omnivory, vertical food-web structure and system productivity: stable isotope analysis of freshwater planktonic food webs</t>
  </si>
  <si>
    <t>lake productivity; planktivore omnivory; d15N analysis</t>
  </si>
  <si>
    <t>TROPHIC INTERACTIONS; CHAIN LENGTH; TEMPORAL VARIATION; NITROGEN ISOTOPES; ECOSYSTEM SIZE; MYSIS-RELICTA; BOTTOM-UP; TOP-DOWN; LAKE; ZOOPLANKTON</t>
  </si>
  <si>
    <t>1. The energetic hypothesis proposes that the vertical structure of food webs should increase in height with increasing system productivity. I measured the trophic positions and extent of trophic separation between the invertebrate planktivores Mysis relicta and Chaoborus spp. and their putative zooplankton prey along a gradient of lake productivity with the use of stable nitrogen isotopes. 2. In lakes of low productivity, these planktivores were found to be herbivorous, becoming omnivorous at intermediate lake productivities, and only able to be truly zooplanktivorous as lakes approached mesotrophy. A subsequent secondary analysis of literature data revealed that the strength of top-down trophic cascades among these organisms increased with lake productivity as reflected by relationships between the abundance of planktivores and that of phytoplankton. 3. Increased omnivory under conditions of low productivity, effectively shortening the vertical structure of food webs as predicted by the energetic hypothesis, may produce increased community stability.</t>
  </si>
  <si>
    <t>10.1111/j.1365-2427.2012.02744.x</t>
  </si>
  <si>
    <t>Andriuzzi, WS; Schmidt, O</t>
  </si>
  <si>
    <t>Production of rabbit dung triple-labelled with C, N and S stable isotopes</t>
  </si>
  <si>
    <t>PEDOBIOLOGIA</t>
  </si>
  <si>
    <t>Animal dung; Faeces; Decomposition; Stable isotope tracers; Nutrient cycling; Mammalian herbivores</t>
  </si>
  <si>
    <t>NATURAL-ABUNDANCE; MICROBIAL BIOMASS; TRITICUM-AESTIVUM; ANIMAL MANURE; CATTLE DUNG; SOIL; NITROGEN; CARBON; N-15; C-13</t>
  </si>
  <si>
    <t>Animal dung is an important resource in natural, pastoral and agro-ecosystems. Labelling dung with stable isotopes offers a powerful technique to trace faeces-derived carbon and nutrients in soils and organisms, but the production of isotopically labelled animal excrements needs to be practicable and cost-effective. Here we present a simple method for producing solid rabbit faeces triple-labelled with C-13, N-15 and S-34 stable isotopes. The steps involved are: (1) fertilising cereal seedlings with isotopically enriched fertilizers (C-13-N-15 urea and S-34 sodium sulphate); (2) feeding these seedlings daily to a rabbit as supplementary forage for 6 days; and (3) collecting the accruing faeces and measuring the isotopic enrichment in bulk dung and the undigested fraction. The rabbit dung was clearly enriched in C-13, N-15 and S-34 compared to unlabelled start dung. The enrichments increased linearly with time and peaked on the last day of the labelling diet, but most were still detectable two days later, especially N-15. The undigested fraction (Neutral Detergent Fibre) had lower enrichments than the bulk material; this was especially marked for S-34. Data from a follow-up experiment, in which soil microcosms were fertilised with the dung, illustrated that the N-15 enrichments were sufficient to track N incorporation into grass. Our method is simple, rapid and suitable to the small-scale production of labelled faeces. We present tracer recovery estimates for the sequence total tracer used wheat biomass animal dung and discuss ways of increasing the proportions recovered and of obtaining higher enrichments if required. (C) 2014 Elsevier GmbH. All rights reserved.</t>
  </si>
  <si>
    <t>10.1016/j.pedobi.2014.02.001</t>
  </si>
  <si>
    <t>Hobson, KA; Kusack, JW; Mora-Alvarez, BX</t>
  </si>
  <si>
    <t>Origins of Six Species of Butterflies Migrating through Northeastern Mexico: New Insights from Stable Isotope (delta H-2) Analyses and a Call for Documenting Butterfly Migrations</t>
  </si>
  <si>
    <t>migratory connectivity; stable isotopes; deuterium; butterfly migration</t>
  </si>
  <si>
    <t>MONARCH BUTTERFLIES; TRACKING SYSTEM; NATAL ORIGINS; HYDROGEN; BIRDS; MECHANISMS; STRATEGIES; ISOSCAPES; DISTANCE</t>
  </si>
  <si>
    <t>Determining migratory connectivity within and among diverse taxa is crucial to their conservation. Insect migrations involve millions of individuals and are often spectacular. However, in general, virtually nothing is known about their structure. With anthropogenically induced global change, we risk losing most of these migrations before they are even described. We used stable hydrogen isotope (delta H-2) measurements of wings of seven species of butterflies (Libytheana carinenta, Danaus gilippus, Phoebis sennae, Asterocampa leilia, Euptoieta claudia, Euptoieta hegesia, and Zerene cesonia) salvaged as roadkill when migrating in fall through a narrow bottleneck in northeast Mexico. These data were used to depict the probabilistic origins in North America of six species, excluding the largely local E. hegesia. We determined evidence for long-distance migration in four species (L. carinenta, E. claudia, D. glippus, Z. cesonia) and present evidence for panmixia (Z. cesonia), chain (Libytheana carinenta), and leapfrog (Danaus gilippus) migrations in three species. Our investigation underlines the utility of the stable isotope approach to quickly establish migratory origins and connectivity in butterflies and other insect taxa, especially if they can be sampled at migratory bottlenecks. We make the case for a concerted effort to atlas butterfly migrations using the stable isotope approach.</t>
  </si>
  <si>
    <t>10.3390/d13030102</t>
  </si>
  <si>
    <t>Louca, M; Vogiatzakis, IN; Moustakas, A</t>
  </si>
  <si>
    <t>Modelling the combined effects of land use and climatic changes: Coupling bioclimatic modelling with Markov-chain Cellular Automata in a case study in Cyprus</t>
  </si>
  <si>
    <t>Spatio-temporal computation; Species distribution modelling; Habitat modification; Model coupling; Endemic species; Mediterranean ecosystems</t>
  </si>
  <si>
    <t>SPECIES DISTRIBUTION; PRESENCE-ABSENCE; PLANT DIVERSITY; GLOBAL CHANGE; TREE; IMPACTS; HABITAT; GENERALITY; PREDICTION; SCENARIOS</t>
  </si>
  <si>
    <t>Environmental change in terms of land use and climatic changes is posing a serious threat to species distributions and extinctions. Thus in order to predict and mitigate against the effects of environmental change both drivers should be accounted for. Two endemic plant species in the Mediterranean island of Cyprus, Crocus cyprius and Ophrys kotschyi, were used as a case study. We have coupled climate change scenarios, and land use change models with species distribution models. Future land use scenarios were modelled by initially calculating the rate of current land use changes between two time snapshots (2000 and 2006) on the island, and based on these transition probabilities Markov-chain Cellular Automata were used to generate future land use changes for 2050. Climate change scenarios A1B, A2, B1 and B2A were derived from the IPCC reports. Species' climatic preferences were derived from their current distributions using classification trees while habitat preferences were derived from the Red Data Book of the Flora of Cyprus. A bioclimatic model for Crocus cyprius was built using mean temperature of wettest quarter, max temperature of warmest month and precipitation seasonality, while for Ophrys kotschyi the bioclimatic model was built using precipitation of wettest month, mean temperature of warmest quarter, isothermality, precipitation of coldest quarter, and annual precipitation. Sequentially, simulation scenarios were performed regarding future species distributions by accounting climate alone and both climate and land use changes. The distribution of the two species resulting from the bioclimatic models was then filtered by future land use changes, providing the species' projected potential distribution. The species' projected potential distribution varies depending on the type and scenario used, but many of both species' current sites/locations are projected to be outside their future potential distribution. Our results demonstrate the importance of including both land use and climatic changes in predictive species modelling. (C) 2015 Elsevier B.V. All rights reserved.</t>
  </si>
  <si>
    <t>10.1016/j.ecoinf.2015.05.008</t>
  </si>
  <si>
    <t>Paterson, G; Rush, SA; Arts, MT; Drouillard, KG; Haffner, GD; Johnson, TB; Lantry, BF; Hebert, CE; McGoldrick, DJ; Backus, SM; Fisk, AT</t>
  </si>
  <si>
    <t>Ecological tracers reveal resource convergence among prey fish species in a large lake ecosystem</t>
  </si>
  <si>
    <t>Dreissena spp; fatty acids; nearshore; offshore; stable isotopes</t>
  </si>
  <si>
    <t>LAURENTIAN GREAT-LAKES; ESSENTIAL FATTY-ACIDS; MYSIS-RELICTA; RAINBOW SMELT; ROUND GOBY; AMPHIPOD DIPOREIA; STABLE-ISOTOPE; FOOD-WEB; BIOCHEMICAL TRACERS; DREISSENID MUSSELS</t>
  </si>
  <si>
    <t>We measured stable isotopes of carbon (C-13) and nitrogen (N-15) and fatty acid profiles in Lake Ontario alewife (Alosa pseudoharengus), rainbow smelt (Osmerus mordax), slimy sculpin (Cottus cognatus) and round goby (Neogobius melanostomus) collected from 1982 to 2008 to investigate how temporal variability in these ecological tracers can relate to ecosystem-level changes associated with the establishment of highly invasive dreissenid mussels. Prey fish N-15 values remained relatively constant, with only slimy sculpin exhibiting a temporal increase in N-15. In contrast, C-13 values for alewife, rainbow smelt and, especially, slimy sculpin became less negative over time and were consistent with the benthification of the Lake Ontario food web associated with dreissenids. Principal components analysis revealed higher contributions of 14:0 and 16:1n-7 fatty acids and increasingly negative C-13 values in older samples in agreement with the greater historical importance of pelagic production for alewife, rainbow smelt and slimy sculpin. Temporal declines in fatty acid unsaturation indices and sigma n-3/sigma n-6 ratios, and also increased 24:0/14:0 ratios for alewife, rainbow smelt and slimy sculpin, indicated the increasing importance of nearshore production pathways for more recently collected fish and resulted in values more similar to those for round goby. These results indicate a temporal convergence of the food niche, whereas food partitioning has historically supported the coexistence of prey fish species in Lake Ontario. This convergence is consistent with changes in food-web processes associated with the invasion of dreissenid mussels.</t>
  </si>
  <si>
    <t>10.1111/fwb.12418</t>
  </si>
  <si>
    <t>Vecchio, JL; Ostroff, JL; Peebles, EB</t>
  </si>
  <si>
    <t>Isotopic characterization of lifetime movement by two demersal fishes from the northeastern Gulf of Mexico</t>
  </si>
  <si>
    <t>Stable isotopes; Fish eye lenses; Fish movement; delta C-13; delta N-15; Trophic growth</t>
  </si>
  <si>
    <t>NITROGEN STABLE-ISOTOPES; RED GROUPER HOLES; LOPHOLATILUS-CHAMAELEONTICEPS; EPINEPHELUS-MORIO; DISCRIMINATION FACTORS; DELTA-N-15 VALUES; TROPHIC POSITION; TISSUE TURNOVER; SUMMER FLOUNDER; REEF FISH</t>
  </si>
  <si>
    <t>An understanding of lifetime trophic changes and ontogenetic habitat shifts is essential to the preservation of marine fish species. We used carbon and nitrogen stable isotope values (delta C-13 and delta N-15) recorded within the laminar structure of fish eye lenses, reflecting both diet and location over time, to compare the lifetime trends of 2 demersal mesopredators. Tilefish Lopholatilus chamaeleonticeps inhabit burrows on the outer continental shelf, which results in exceptional site fidelity. Red grouper Epinephelus mono are spawned on the middle to outer continental shelf, move to the inner shelf for the juvenile period, and return offshore upon sexual maturity. Both species inhabit the eastern Guff of Mexico, a region with a distinctive offshore-inshore gradient in background delta C-13 values. Within individual tilefish (n = 36), sequences of delta C-13 values and delta N-15 values had strong, positive correlations with eye-lens diameter, and strong correlations between the 2 isotopes (mean Spearman r = 0.86), reflecting an increase in trophic position with growth and little lifetime movement. In red grouper (n = 30), delta N-15 values positively correlated with eye-lens diameter, but correlations between delta N-15 and delta C-13 were weak (mean Spearman r = 0.29), suggesting cross-shelf ontogenetic movements. Linear mixed model results indicated strong relationships between delta N-15 and delta C-13 values in tilefish eye lenses but no convergence in the red grouper model. Collectively, these results are consistent with previously established differences in the life histories of the 2 species, demonstrating the potential utility of eye-lens isotope records, particularly for investigating the life histories of lesser-known species.</t>
  </si>
  <si>
    <t>10.3354/meps13525</t>
  </si>
  <si>
    <t>Jellyman, PG; McHugh, PA; McIntosh, AR</t>
  </si>
  <si>
    <t>Increases in disturbance and reductions in habitat size interact to suppress predator body size</t>
  </si>
  <si>
    <t>temperature; body size; habitat size; predator; disturbance; food web</t>
  </si>
  <si>
    <t>FOOD-CHAIN LENGTH; BOTTOM-UP CONTROL; CLIMATE-CHANGE; WEB STRUCTURE; WARMING ALTERS; TOP-DOWN; DYNAMICS; INVERTEBRATES; COMMUNITIES; TEMPERATURE</t>
  </si>
  <si>
    <t>Food webs are strongly size-structured so will be vulnerable to changes in environmental factors that affect large predators. However, mechanistic understanding of environmental controls of top predator size is poorly developed. We used streams to investigate how predator body size is altered by three fundamental climate change stressors: reductions in habitat size, increases in disturbance and warmer temperatures. Using new survey data from 74 streams, we showed that habitat size and disturbance were the most important stressors influencing predator body size. A synergistic interaction between that habitat size and disturbance due to flooding meant the sizes of predatory fishes peaked in large, benign habitats and their body size decreased as habitats became either smaller or harsher. These patterns were supported by experiments indicating that habitat-size reductions and increased flood disturbance decreased both the abundance and biomass of large predators. This research indicates that interacting climate change stressors can influence predator body size, resulting in smaller predators than would be predicted from examining an environmental factor in isolation. Thus, climate-induced changes to key interacting environmental factors are likely to have synergistic impacts on predator body size which, because of their influence on the strength of biological interactions, will have far-reaching effects on food-web responses to global environmental change.</t>
  </si>
  <si>
    <t>10.1111/gcb.12441</t>
  </si>
  <si>
    <t>Whiteman, JP; Harlow, HJ; Durner, GM; Regehr, EV; Amstrup, SC; Ben-David, M</t>
  </si>
  <si>
    <t>Phenotypic plasticity and climate change: can polar bears respond to longer Arctic summers with an adaptive fast?</t>
  </si>
  <si>
    <t>Albumin; Glucose; Non-esterified fatty acids; Protein conservation; Stable isotopes</t>
  </si>
  <si>
    <t>BLACK BEARS; BODY-COMPOSITION; URSUS-MARITIMUS; SERUM UREA; HIBERNATION; BEAUFORT; PROTEIN; SEA; CREATININE; SURVIVAL</t>
  </si>
  <si>
    <t>Plasticity in the physiological and behavioural responses of animals to prolonged food shortages may determine the persistence of species under climate warming. This is particularly applicable for species that can adaptively fast by conserving protein to protect organ function while catabolizing endogenous tissues. Some Ursids, including polar bears (Ursus maritimus), adaptively fast during winter hibernation-and it has been suggested that polar bears also employ this strategy during summer. We captured 57 adult female polar bears in the Southern Beaufort Sea (SBS) during summer 2008 and 2009 and measured blood variables that indicate feeding, regular fasting, and adaptive fasting. We also assessed tissue delta C-13 and delta N-15 to infer diet, and body condition via mass and length. We found that bears on shore maintained lipid and protein stores by scavenging on bowhead whale (Balaena mysticetus) carcasses from human harvest, while those that followed the retreating sea ice beyond the continental shelf were food deprived. They had low ratios of blood urea to creatinine (U:C), normally associated with adaptive fasting. However, they also exhibited low albumin and glucose (indicative of protein loss) and elevated alanine aminotransferase and ghrelin (which fall during adaptive fasting). Thus, the similar to 70% of the SBS subpopulation that spends summer on the ice experiences more of a regular, rather than adaptive, fast. This fast will lengthen as summer ice declines. The resulting protein loss prior to winter could be a mechanism driving the reported correlation between summer ice and polar bear reproduction and survival in the SBS.</t>
  </si>
  <si>
    <t>10.1007/s00442-017-4023-0</t>
  </si>
  <si>
    <t>Dorresteijn, I; Kitaysky, AS; Barger, C; Benowitz-Fredericks, ZM; Byrd, GV; Shultz, M; Young, R</t>
  </si>
  <si>
    <t>Climate affects food availability to planktivorous least auklets Aethia pusilla through physical processes in the southeastern Bering Sea</t>
  </si>
  <si>
    <t>Climate impacts; Nutritional stress; Oceanic shelf-system; Seabirds; Stable isotopes; Corticosterone</t>
  </si>
  <si>
    <t>STABLE-ISOTOPES; STRESS-RESPONSE; POPULATION PROCESSES; NUTRITIONAL STRESS; PRIBILOF ISLANDS; CORTICOSTERONE; ZOOPLANKTON; SEABIRDS; VARIABILITY; OCEAN</t>
  </si>
  <si>
    <t>Climate change might affect marine top predators by altering availability and nutritional quality of their prey. Climate effects vary on a regional basis, and our understanding of the relationships between fluctuations in climate and food resources in sub-arctic regions with seasonal ice cover is limited. We studied the effects of inter-annual climate variability (as reflected in the Pacific Decadal Oscillation, PDO, and the timing of the winter ice retreat) on zooplankton-planktivorous predator linkages in one of the most productive regions of the southeastern Bering Sea, the 'Green Belt'. We examined changes in diets (species composition of chick meals and stable isotope signatures of adult blood) and relative food availability (as reflected in blood plasma concentrations of the stress hormone corticosterone) of planktivorous least auklets Aethia pusilla breeding on St. George I. (shelf-break) and St. Paul I. (shelf) during 2003 to 2005 and 2008 to 2009. We found that isotopic signatures of blood and composition of chick meals differed between the colonies. The proportion of energy-rich oceanic copepods Neocalanus spp. in the diet declined during warm years (high PDO and early ice retreat) on St. Paul but not on St. George. However, inter-annual and seasonal dynamics of corticosterone were similar between the colonies, and auklets experienced higher nutritional stress during warm compared to cold years. Our results suggest that the influx of prey-bearing water masses from the ocean basin and the retention time of oceanic copepods on the shelf are the main factors affecting composition of prey and its availability to auklets. We conclude that anticipated climate warming will negatively affect food availability of planktivorous predators in the Green Belt region of the southeastern Bering Sea.</t>
  </si>
  <si>
    <t>10.3354/meps09372</t>
  </si>
  <si>
    <t>GUNN, A; CHERRETT, JM</t>
  </si>
  <si>
    <t>THE EXPLOITATION OF FOOD RESOURCES BY SOIL MESO-INVERTEBRATES AND MACRO-INVERTEBRATES</t>
  </si>
  <si>
    <t>RHIZOTRON; SOIL INVERTEBRATES; FOOD WEB; FEEDING BEHAVIOR</t>
  </si>
  <si>
    <t>CENTAUREA-VALLESIACA JORDAN; ECOLOGICAL COMMUNITIES; CHAIN LENGTH; WEB PATTERNS; MACULOSA LAM; DIFFUSA LAM; ROOTS; HERBIVORY; GUILDS; EUROPE</t>
  </si>
  <si>
    <t>A food web is presented for soil meso- and macroinvertebrates in grassland. It is based on field observations made using a large custom - built rhizotron which allows the soil ecosystem to be studied under natural conditions without disturbing the animals or their environment. The food web has many characteristics (e.g. number of trophic links, frequency distribution of food chain lengths, linkage density, connectance) in common with webs of similar size from other habitats but there are also important differences. There are unusually low proportions of trophic links between top and intermediate species and between intermediate species. The proportion of links with basal species is very high. We observed very few taxa specialized for catching and consuming live meso- or macroinvertebrates and those present were never abundant. Even top predators such as geophilomorph centipedes also exploited inanimate basal resources. Interactions between animal taxa may therefore be relatively rare and weak. There was a high degree of omnivory, no clear compartmentation, and separate herbivore and decomposer food webs could not be distinguished. Plant root systems were an important resource for many soil animals. There was evidence that certain taxa fed preferentially on different parts of the root system but there was no clear evidence for exclusive guilds or species packing.</t>
  </si>
  <si>
    <t>Tsimara, E; Vasilakopoulos, P; Koutsidi, M; Raitsos, DE; Lazaris, A; Tzanatos, E</t>
  </si>
  <si>
    <t>An Integrated Traits Resilience Assessment of Mediterranean fisheries landings</t>
  </si>
  <si>
    <t>climate change; functional ecology; Integrated Ecosystem Assessment; Mediterranean Sea; regime shifts; trait-based approaches</t>
  </si>
  <si>
    <t>BIOLOGICAL TRAITS; REGIME SHIFTS; CLIMATE-CHANGE; SEA; BIODIVERSITY; TEMPERATURE; INDICATOR; ECOLOGY; QUALITY; BENTHOS</t>
  </si>
  <si>
    <t>An increasing number of studies have been examining the functional configuration of biological communities or ecosystems using biological traits. Here, we investigated the temporal dynamics and resilience of the traits composition in Mediterranean fisheries landings over 31 years (1985-2015). We transcribed the FAO Mediterranean landings dataset for 101 marine species into a dataset of 23 traits related to the life cycle, distribution, ecology and behaviour. Mediterranean mean Sea Surface Temperature (SST) was evaluated as a potential driver of the traits composition. Trait dynamics were evaluated both individually and holistically by developing an Integrated Traits Resilience Assessment (ITRA). ITRA is a variation of the Integrated Resilience Assessment (IRA), a method to infer resilience dynamics and build stability landscapes of complex natural systems. Changes in landings trait dynamics were documented both for individual traits and for the entire traits 'system', and a relevant regime shift was detected in the second half of the 1990s. The traits system switched to higher optimal temperature, more summer spawning, shorter life span, smaller maximum size, shallower optimal depth and planktivorous diet. This shift was found to be a lagged discontinuous response to sea warming, which gradually eroded the resilience of the original state of the traits system, leading it into a new basin of attraction. The inclusion of ecological/response traits (related to environmental preferences) in our analyses indicates potential mechanisms that explain the observed shift, while changes in functional/effect traits indicate potential impacts on ecosystem functioning. Our findings suggest that changes in the Mediterranean ecosystems are evidently larger than previously thought, with profound implications for the management of this highly impacted sea.</t>
  </si>
  <si>
    <t>10.1111/1365-2656.13533</t>
  </si>
  <si>
    <t>Taipale, SJ; Kahilainen, KK; Holtgrieve, GW; Peltomaa, ET</t>
  </si>
  <si>
    <t>Simulated eutrophication and browning alters zooplankton nutritional quality and determines juvenile fish growth and survival</t>
  </si>
  <si>
    <t>amino acids; compound-specific stable isotopes; essential biomolecules; fatty acids; food web; nutritional quality</t>
  </si>
  <si>
    <t>POLYUNSATURATED FATTY-ACIDS; DOCOSAHEXAENOIC ACID; PRIMARY PRODUCERS; SOMATIC GROWTH; DAPHNIA; CARBON; PHYTOPLANKTON; REQUIREMENTS; TERRESTRIAL; MARINE</t>
  </si>
  <si>
    <t>The first few months of life is the most vulnerable period for fish and their optimal hatching time with zooplankton prey is favored by natural selection. Traditionally, however, prey abundance (i.e., zooplankton density) has been considered important, whereas prey nutritional composition has been largely neglected in natural settings. High-quality zooplankton, rich in both essential amino acids (EAAs) and fatty acids (FAs), are required as starting prey to initiate development and fast juvenile growth. Prey quality is dependent on environmental conditions, and, for example, eutrophication and browning are two major factors defining primary producer community structures that will directly determine the nutritional quality of the basal food sources (algae, bacteria, terrestrial matter) for zooplankton. We experimentally tested how eutrophication and browning affect the growth and survival of juvenile rainbow trout (Oncorhynchus mykiss) by changing the quality of basal resources. We fed the fish on herbivorous zooplankton (Daphnia) grown with foods of different nutritional quality (algae, bacteria, terrestrial matter), and used GC-MS, stable isotope labeling as well as bulk and compound-specific stable isotope analyses for detecting the effects of different diets on the nutritional status of fish. The content of EAAs and omega-3 (-3) polyunsaturated FAs (PUFAs) in basal foods and zooplankton decreased in both eutrophication and browning treatments. The decrease in -3 PUFA and especially docosahexaenoic acid (DHA) was reflected to fish juveniles, but they were able to compensate for low availability of EAAs in their food. Therefore, the reduced growth and survival of the juvenile fish was linked to the low availability of DHA. Fish showed very low ability to convert alpha-linolenic acid (ALA) to DHA. We conclude that eutrophication and browning decrease the availability of the originally phytoplankton-derived DHA for zooplankton and juvenile fish, suggesting bottom-up regulation of food web quality.</t>
  </si>
  <si>
    <t>10.1002/ece3.3832</t>
  </si>
  <si>
    <t>Artecona, F; De Maria, M; Bergamino, L; Szteren, D</t>
  </si>
  <si>
    <t>A historical perspective of niche differentiation between two top predators in the Uruguayan coastal area</t>
  </si>
  <si>
    <t>stable isotopes; Pontoporia blainvillei; Otaria flavescens; SIBER analysis</t>
  </si>
  <si>
    <t>DOLPHIN PONTOPORIA-BLAINVILLEI; LA-PLATA ESTUARY; STABLE-ISOTOPES; FRANCISCANA DOLPHIN; TROPHIC POSITION; DIET COMPOSITION; MARINE MAMMALS; ARGENTINA; OVERLAP; CARBON</t>
  </si>
  <si>
    <t>Context. As top predators, marine mammals play a key role consuming in different trophic levels and the trophic niche characterization may help to understand how species utilize and share resources. On the coast of the Rio de la Plata and the South-west Atlantic, the South American sea lion (Otaria flavescens) and the franciscana dolphin (Pontoporia blainvillei) are two important predators. Aims. The present study investigated potential trophic overlap of both species by measuring stable carbon (delta C-13) and nitrogen (delta N-15) isotopes over two periods: historical (1959-79) and recent (2002-15) on the Uruguayan coast. Methods. Bone samples of P. blainvillei and O. flavescens were used to determine the isotopic niche using the Stable Isotope Bayesian Ellipses in R (SIBER) analysis. Key results. The isotopic niche did not overlap between species in any period. d15N was higher in O. flavescens in both periods (20.29 parts per thousand +/- 0.73 in the historical and 19.95 parts per thousand +/- 1.0 in the recent period), indicating that it feeds at a higher trophic level than P. blainvillei. The d13C was also significantly higher in O. flavescens than in P. blainvillei during the two periods (O. flavescens: -11.43 +/- 0.6 parts per thousand historic, -12.72 +/- 0.4 parts per thousand recent, and P. blainvillei: -12.69 +/- 1.1 parts per thousand historic, -13.84 +/- 1.3 parts per thousand recent). The isotopic niche areas of P. blainvillei in recent and historic periods confirmed they forage in 2 distinct environments, marine and estuarine, with low isotopic overlap. This overlap was higher in the recent period. Conclusions and Implications. O. flavescens and both P. blainvillei groups were segregated in both periods, with a higher overlap in the recent. These species appear to reduce competition by using different resources in the same coastal habitat. O. flavescens preferentially feeds on benthic fish and showed wider trophic amplitude in both periods, whereas P. blainvillei has a more coastal-pelagic diet and included a greater variability of resources in its diet. The differences between species trophic niches can still be detected after both marine mammals species abundance has declined and after the development of fisheries.</t>
  </si>
  <si>
    <t>10.1071/WR17188</t>
  </si>
  <si>
    <t>Bugalho, MN; Barcia, P; Caldeira, MC; Cerdeira, JO</t>
  </si>
  <si>
    <t>Stable isotopes as ecological tracers: an efficient method for assessing the contribution of multiple sources to mixtures</t>
  </si>
  <si>
    <t>INFORMATION</t>
  </si>
  <si>
    <t>Stable isotopes are increasingly being used as tracers of ecological processes potentially providing relevant information to environmental management issues. An application of the methodology consists in relating the stable isotopic composition of a sample mixture to that of sources. The number of stable isotopes, however, is usually lower than that of potential sources existing in an ecosystem, which creates mathematical difficulties in correctly tracing sources. We discuss a linear programming model which efficiently derives information on the contribution of sources to mixtures for any number of stable isotopes and any number of sources by addressing multiple sources simultaneously. The model identifies which sources are present in all, present in a subset of the samples or absent from all samples simultaneously and calculates minimum and maximum values of each source in the mixtures. We illustrate the model using a data set consisting of the isotopic signatures of different plant sources ingested by primary consumers in tropical riverine habitat in Asia. The model discussed may contribute to extend the scope of stable isotopes methodology to a range of new problems dealing with multiple sources and multiple tracers. For instance, in food web studies, if particular organic matter sources disappear or decrease in availability (e.g. climate change scenarios) the model allows simulation of alternative diets of the consumers providing potentially relevant information for managers and decision makers.</t>
  </si>
  <si>
    <t>10.5194/bg-5-1351-2008</t>
  </si>
  <si>
    <t>Wu, LB; Liu, XD; Xu, LQ; Li, LJ; Fu, PP</t>
  </si>
  <si>
    <t>Compound-specific N-15 analysis of amino acids: A tool to estimate the trophic position of tropical seabirds in the South China Sea</t>
  </si>
  <si>
    <t>amino acids; compound-specific isotope analysis; multi-TDFGlu-Phe approach; South China Sea; trophic position; tropical seabirds</t>
  </si>
  <si>
    <t>NITROGEN ISOTOPIC COMPOSITION; STABLE-ISOTOPE; COLLAGEN EXTRACTION; XISHA ARCHIPELAGO; AVIAN-TISSUES; BONE-COLLAGEN; DELTA-N-15; DELTA-C-13; FRACTIONATION; RECORD</t>
  </si>
  <si>
    <t>Compound-specific N-15 analysis of amino acids (AAs) is a powerful tool to determine the trophic position (TP) of organisms. However, it has only been used in a few studies of avian ecology because the AA patterns in the consumer-diet nitrogen trophic discrimination factor (TDFGlu-Phe=N-15(Glu)-N-15(Phe)) were unknown in birds until recently, and tropical seabirds have never been investigated with this methodology. Here, we explore the application of this method to tropical seabirds. In this study, we recovered the fossilized bones of tropical seabirds from ornithogenic sediments on two coral islands in the Xisha Islands, South China Sea, as well as the bones and muscle of their predominant food source, flying fish (Exocoetus volitans). Compound-specific N-15 and C-13 analyses of AAs in both seabird and fish bone collagen were conducted. The TP of flying fish was calculated based on a widely used single TDFGlu-Phe approach. We then calculated the TP of tropical seabirds in three different ways: (a) according to the composition of their diet; (b) based on the single TDFGlu-Phe approach; and (c) using a multi-TDFGlu-Phe approach. The results of the multi-TDFGlu-Phe approach were much closer to the results based on the composition of the seabird diet than the results of the single TDFGlu-Phe approach, confirming its applicability for tropical seabirds. For seabird bone samples of different ages, TP determined from the multi-TDFGlu-Phe approach was most similar to that of bulk N-15 of bird collagen, with seabirds occupying higher TPs during the Little Ice Age, as previously shown. In addition, the C-13 Suess effect was reflected in the AAs C-13 in our samples. This study applied a compound-specific N-15 analysis of AAs to determine the TP of tropical seabirds that has potential to extend to all tropical seabirds many of which are widely distributed and play a key role in the evolution of coral island ecosystems.</t>
  </si>
  <si>
    <t>10.1002/ece3.4282</t>
  </si>
  <si>
    <t>Wu, HW; Li, XY; Li, J; Zhang, CC; He, B; Zhang, SY; Sun, W</t>
  </si>
  <si>
    <t>Age-related water uptake patterns of alpine plantation shrubs in reforestation region of Qinghai-Tibetan Plateau based on stable isotopes</t>
  </si>
  <si>
    <t>leaf water potential; Qinghai Lake watershed; reforestation management; root distribution; stable isotopes</t>
  </si>
  <si>
    <t>SYLVESTRIS VAR. MONGOLICA; HIPPOPHAE-RHAMNOIDES; TREE SIZE; DESERT; LEAF; GRASSLAND; ECOSYSTEM; DROUGHT; GROWTH; CARBON</t>
  </si>
  <si>
    <t>Sea buckthorn (Hippophae rhamnoides L.) plantations play crucial roles in the prevention of soil erosion and control of desertification on the Qinghai-Tibetan Plateau; however, the limited information on the age-related water uptake patterns of H. rhamnoides and their relationships with associated grasses species weakens our understanding of how these factors influence the management of H. rhamnoides plantations. Therefore, this study investigated the seasonal variations in water uptake patterns of different-aged H. rhamnoides and their associated species via stable isotopes and leaf water potential analyses. The model results showed that seedling (Hs) and juvenile (Hj) H. rhamnoides extracted water mainly from shallow and middle soil layers throughout the growing seasons, whereas mature H. rhamnoides (Hm) exhibited high plasticity, shifting water source between shallow soil water and groundwater when the former become less available. By contrast, the associated grasses (Taraxacum mongolicum, Thermopsis lanceolata, and Polygonum sibiricum) mainly absorbed shallow soil water across the whole growing seasons, suggesting that direct competition for shallow soil water occurred between grasses and H. rhamnoides. In addition, the obviously higher delta C-13 values of Hj with more negative predawn (mean psi(pd), -1.37 MPa) and midday (mean psi(md), -2.23 MPa) leaf water potential indicated the Hj experienced greater water stress relative to Hs and Hm. These results provide new understanding of the seasonal water use strategies of different-aged H. rhamnoides, which will be important for the successful management of plantations in this region.</t>
  </si>
  <si>
    <t>e2049</t>
  </si>
  <si>
    <t>10.1002/eco.2049</t>
  </si>
  <si>
    <t>Bjorkland, RH; Pearson, SF; Jeffries, SJ; Lance, MM; Acevedo-Gutierrez, A; Ward, EJ</t>
  </si>
  <si>
    <t>Stable isotope mixing models elucidate sex and size effects on the diet of a generalist marine predator</t>
  </si>
  <si>
    <t>Stable isotopes; Bayesian mixing model; Harbor seal; Phoca vitulina; Pinniped; Salish Sea</t>
  </si>
  <si>
    <t>TROPHIC RELATIONSHIPS; PRIOR INFORMATION; HABITAT USE; BODY-SIZE; NITROGEN; SEALS; SEGREGATION; CARBON; MASS; FRACTIONATION</t>
  </si>
  <si>
    <t>We applied a 2-step clustering algorithm and Bayesian stable isotope mixing model to examine intraspecific differences in the contribution of prey sources to the diet and foraging habitat of harbor seals Phoca vitulina in the Salish Sea, USA. We analyzed stable isotopes of carbon and nitrogen collected from 32 seals and 248 prey samples representing 18 of 25 of the most common seal prey items identified in seal scat. Stable isotope analyses identified significant harbor seal sex- and size-based differences in diet and foraging habitat use. In comparison to males, female harbor seals had a higher contribution of prey items that were more C-13-enriched. This result may indicate that females derived more of their delta C-13 value from nearshore versus offshore food webs, an explanation supported by movement data on this population. However, large seals of both sexes displayed a greater offshore signal in their diet, indicating that seal mass effects on foraging habitat use were somewhat independent of sex. Our work contributes to understanding trophic linkages between these generalist consumers and their prey. The foraging differences that we detected between male and female harbor seals present complex challenges for fisheries management and for the design of marine reserves. Many marine reserves in the Pacific Northwest are located in close proximity to seal haul-out sites. By lowering the energetic costs of foraging of females, these reserves may ultimately have the unintended effect of increasing individual fitness, population growth rate, and influencing future predator-induced mortality on endangered species.</t>
  </si>
  <si>
    <t>10.3354/meps11230</t>
  </si>
  <si>
    <t>Lopez-van Oosterom, MV; Casas-Ruiz, JP; Gampe, D; Lopez-Robles, MA; Ludwig, R; Nunez-Marce, A; Munoz, I</t>
  </si>
  <si>
    <t>Responses of a native and a recent invader snail to warming and dry conditions: the case of the lower Ebro River</t>
  </si>
  <si>
    <t>Pomacea maculata; Melanopsis tricarinata; Climate change; Apple snail; Stable isotopes; Temperature; River; Discharge management</t>
  </si>
  <si>
    <t>POMACEA-CANALICULATA GASTROPODA; INVASIVE APPLE SNAILS; CLIMATE-CHANGE; MULTIPLE STRESSORS; IMPACT; AMPULLARIIDAE; PROJECTIONS; NUTRIENTS; COMMUNITY; ENSEMBLE</t>
  </si>
  <si>
    <t>Aquatic habitats have been highly modified by human actions that reduce their native diversity and create conditions suitable for tolerant alien species. Pomacea maculata was detected in 2009 in both the alluvial plain and the final stretch of the Ebro River. Since then, a permanent population has stabilized in the littoral area of the river where the water level fluctuates according to the river discharge. Melanopsis tricarinata is an endemic snail species highly affected by the reduction in its natural habitat. Currently, the two species do not share the same reaches in the river, but the possibility exists, as the distribution of the P. maculata is constantly increasing. This study aims to analyse the diets and to assess the responses of both snails to global change. The diet of both species was analysed in the field and their responses to water warming and dryness compared under laboratory conditions. This study includes the calculation of future river water temperatures based on air temperature projections. In addition, based on water discharge management scenarios, the study estimated the increase in dry river bed area. The diet of both snail species was similar and based on Cladophora. P. maculata better resisted high temperatures and dry conditions than M. tricarinata. The projections of water temperatures showed an increase in daily temperatures, especially in summer. The hydraulic model suggested that a relevant increase in dry river bed areas will occur. Overall, these results provide insight into the global change factors that could favour P. maculata spread in the river and the reduction in suitable habitat for M. tricarinata and will be useful for future decisions of water discharge management.</t>
  </si>
  <si>
    <t>10.1007/s10452-019-09704-5</t>
  </si>
  <si>
    <t>Bae, S; Heidrich, L; Levick, SR; Gossner, MM; Seibold, S; Weisser, WW; Magdon, P; Serebryanyk, A; Bassler, C; Schafer, D; Schulze, ED; Doerfler, I; Muller, J; Jung, K; Heurich, M; Fischer, M; Roth, N; Schall, P; Boch, S; Wollauer, S; Renner, SC; Muller, J</t>
  </si>
  <si>
    <t>Dispersal ability, trophic position and body size mediate species turnover processes: Insights from a multi-taxa and multi-scale approach</t>
  </si>
  <si>
    <t>body size; dispersal ability; environmental filtering; forest physiognomy; neutral processes; plant composition; regional species pool; species turnover; trophic position; &amp;#946; &amp;#8208; diversity</t>
  </si>
  <si>
    <t>BETA-DIVERSITY; COMMUNITY COMPOSITION; FOREST MANAGEMENT; HABITAT; PATTERNS; CLIMATE; PHYSIOGNOMY; ASSEMBLAGES; EUROPE; BIRD</t>
  </si>
  <si>
    <t>Aim Despite increasing interest in beta-diversity, that is the spatial and temporal turnover of species, the mechanisms underlying species turnover at different spatial scales are not fully understood, although they likely differ among different functional groups. We investigated the relative importance of dispersal limitations and the environmental filtering caused by vegetation for local, multi-taxa forest communities differing in their dispersal ability, trophic position and body size. Location Temperate forests in five regions across Germany. Methods In the inter-region analysis, the independent and shared effects of the regional spatial structure (regional species pool), landscape spatial structure (dispersal limitation) and environmental factors on species turnover were quantified with a 1-ha grain across 11 functional groups in up to 495 plots by variation partitioning. In the intra-region analysis, the relative importance of three environmental factors related to vegetation (herb and tree layer composition and forest physiognomy) and spatial structure for species turnover was determined. Results In the inter-region analysis, over half of the explained variation in community composition (23% of the total explained 35%) was explained by the shared effects of several factors, indicative of spatially structured environmental filtering. Among the independent effects, environmental factors were the strongest on average over 11 groups, but the importance of landscape spatial structure increased for less dispersive functional groups. In the intra-region analysis, the independent effect of plant species composition had a stronger influence on species turnover than forest physiognomy, but the relative importance of the latter increased with increasing trophic position and body size. Main conclusions Our study revealed that the mechanisms structuring assemblage composition are associated with the traits of functional groups. Hence, conservation frameworks targeting biodiversity of multiple groups should cover both environmental and biogeographical gradients. Within regions, forest management can enhance beta-diversity particularly by diversifying tree species composition and forest physiognomy.</t>
  </si>
  <si>
    <t>10.1111/ddi.13204</t>
  </si>
  <si>
    <t>Calizza, E; Costantini, ML; Careddu, G; Rossi, L</t>
  </si>
  <si>
    <t>Effect of habitat degradation on competition, carrying capacity, and species assemblage stability</t>
  </si>
  <si>
    <t>habitat degradation; invertebrates; niche overlap; optimal foraging; population dynamics; seagrass; stable isotopes; trophic niche</t>
  </si>
  <si>
    <t>STABLE-ISOTOPE ANALYSIS; FOOD-WEB COMPLEXITY; NICHE OVERLAP; INTRASPECIFIC COMPETITION; INTERSPECIFIC COMPETITION; ECOSYSTEM FRAGMENTATION; SEAGRASS ECOSYSTEMS; DIET VARIATION; RESOURCE USE; COMMUNITY</t>
  </si>
  <si>
    <t>Changes in species' trophic niches due to habitat degradation can affect intra- and interspecific competition, with implications for biodiversity persistence. Difficulties of measuring species' interactions in the field limit our comprehension of competition outcomes along disturbance gradients. Thus, information on how habitat degradation can destabilize food webs is scarce, hindering predictions regarding responses of multispecies systems to environmental changes. Seagrass ecosystems are undergoing degradation. We address effects of Posidonia oceanica coverage reduction on the trophic organization of a macroinvertebrate community in the Tyrrhenian Sea (Italy), hypothesizing increased trophic generalism, niche overlap among species and thus competition and decreased community stability due to degraded conditions. Census data, isotopic analysis, and Bayesian mixing models were used to quantify the trophic niches of three abundant invertebrate species, and intra- and interspecific isotopic and resource-use similarity across locations differing in seagrass coverage. This allowed the computation of (1) competition strength, with respect to each other and remaining less abundant species and (2) habitat carrying capacity. To explore effects of the spatial scale on the interactions, we considered both individual locations and the entire study area (meadow scale). We observed that community stability and habitat carrying capacity decreased as P.oceanica coverage declined, whereas niche width, similarity of resource use and interspecific competition strength between species increased. Competition was stronger, and stability lower, at the meadow scale than at the location scale. Indirect effects of competition and the spatial compartmentalization of species interactions increased stability. Results emphasized the importance of trophic niche modifications for understanding effects of habitat loss on biodiversity persistence. Calculation of competition coefficients based on isotopic distances is a promising tool for describing competitive interactions in real communities, potentially extendible to any subset of ecological niche axes for which specimens' positions and pairwise distances can be obtained.</t>
  </si>
  <si>
    <t>10.1002/ece3.2977</t>
  </si>
  <si>
    <t>Dantas, RJD; Leite, TS; de Albuquerque, CQ</t>
  </si>
  <si>
    <t>The trophic interactions of Octopus insularis in the food web of a pristine tropical atoll: a baseline for management and monitoring under environmental changes</t>
  </si>
  <si>
    <t>Brazil reef octopus; Cephalopod; Food web; Trophic ecology</t>
  </si>
  <si>
    <t>STABLE-ISOTOPES; OCEANIC ISLAND; CLIMATE-CHANGE; BODY-SIZE; DAS ROCAS; NICHE; DIET; CEPHALOPODA; ATLANTIC; OCTOPODIDAE</t>
  </si>
  <si>
    <t>In the present study, we evaluated the trophic role of Octopus insularis Leite and Haimovici 2008 in the food web of Rocas Atoll, a preserved insular territory in the Southwest Atlantic. Using stable isotope analysis of C and N, we showed that the local trophic web comprises at least four trophic levels, where the octopus occupies a trophic position (TP) between the second and third trophic levels (mean +/- SD TPadditive = 3.08 +/- 0.36; TPBayesian = 3.12 +/- 0.17). Among other benthic/reef-associated consumers, this cephalopod stood out for its much wider isotopic niche, pointing to a diet diversified in carbon sources, but focussed on prey in lower TPs. This finding was in accordance with the time-minimizing feeding strategy described for the species, which seemed almost permanent throughout the life cycle of the octopus, given the great niche overlap between octopuses in different maturity stages and their very similar trophic positions. Also, as a prey, octopuses composed up to almost 23% of the diet of some benthic/demersal predators. Overall, O. insularis represented an important mesopredator for the local food web, principally for bottom-associated organisms, while also serving as a substantial energy input to the next trophic levels.</t>
  </si>
  <si>
    <t>10.1007/s10452-021-09917-7</t>
  </si>
  <si>
    <t>Wilson, LAB; Colombo, M; Hanel, R; Salzburger, W; Sanchez-Villagra, MR</t>
  </si>
  <si>
    <t>Ecomorphological disparity in an adaptive radiation: opercular bone shape and stable isotopes in Antarctic icefishes</t>
  </si>
  <si>
    <t>Craniofacial bone; ecology; geometric morphometrics; phylogeny; stable isotopes</t>
  </si>
  <si>
    <t>FISH NOTOTHENIA-CORIICEPS; PHARYNGEAL JAW APPARATUS; CICHLID FISH; FUNCTIONAL-MORPHOLOGY; EVOLUTIONARY DIVERSIFICATION; GEOMETRIC MORPHOMETRICS; CHARACTER DISPLACEMENT; FEEDING APPARATUS; MCMURDO SOUND; EARLY BURSTS</t>
  </si>
  <si>
    <t>To assess how ecological and morphological disparity is interrelated in the adaptive radiation of Antarctic notothenioid fish we used patterns of opercle bone evolution as a model to quantify shape disparity, phylogenetic patterns of shape evolution, and ecological correlates in the form of stable isotope values. Using a sample of 25 species including representatives from four major notothenioid clades, we show that opercle shape disparity is higher in the modern fauna than would be expected under the neutral evolution Brownian motion model. Phylogenetic comparative methods indicate that opercle shape data best fit a model of directional selection (Ornstein-Uhlenbeck) and are least supported by the early burst model of adaptive radiation. The main evolutionary axis of opercle shape change reflects movement from a broad and more symmetrically tapered opercle to one that narrows along the distal margin, but with only slight shape change on the proximal margin. We find a trend in opercle shape change along the benthic-pelagic axis, underlining the importance of this axis for diversification in the notothenioid radiation. A major impetus for the study of adaptive radiations is to uncover generalized patterns among different groups, and the evolutionary patterns in opercle shape among notothenioids are similar to those found among other adaptive radiations (three-spined sticklebacks) promoting the utility of this approach for assessing ecomorphological interactions on a broad scale.</t>
  </si>
  <si>
    <t>10.1002/ece3.708</t>
  </si>
  <si>
    <t>El-Hacen, EM; Bouma, TJ; Govers, LL; Piersma, T; Olff, H</t>
  </si>
  <si>
    <t>Seagrass Sensitivity to Collapse Along a Hydrodynamic Gradient: Evidence from a Pristine Subtropical Intertidal Ecosystem</t>
  </si>
  <si>
    <t>Banc d'Arguin-Mauritania; environmental gradient; eutrophication; fertilisation; hydrodynamic; nutrient limitation; pristine environment; Zostera noltii</t>
  </si>
  <si>
    <t>ZOSTERA-NOLTII HORNEM; EXTREME WEATHER EVENTS; BANC-DARGUIN; CYMODOCEA-NODOSA; THALASSIA-TESTUDINUM; NUTRIENT ENRICHMENT; POSIDONIA-OCEANICA; SEASONAL DYNAMICS; SEDIMENT NUTRIENT; STABLE-ISOTOPES</t>
  </si>
  <si>
    <t>Eutrophication causes tremendous losses to seagrass around the globe. The effects of nutrient loading vary along environmental gradients, and wave forces especially are expected to affect meadow stability, nutrient status, and responses to nutrient supply. Here, we surveyed the pristine subtropical intertidal seagrass system of Banc d'Arguin, Mauritania, to characterise Zostera noltii in terms of morphology (biomass allocation, leaf length and area, rhizome internode length), nutrient content (carbon: C, nitrogen: N, phosphorus: P, iron: Fe, aluminium: Al), and patterns in delta C-13 and delta N-15 across a wide gradient of hydrodynamic conditions. We subsequently assessed temporal variability in seagrass stability and nutrient fluxes, as well as responses to experimental fertilisation (pulses of + N, + P, + N + P) on three meadows representing different degrees of wave-force (exposed, intermediate and sheltered). The large-scale survey revealed a marked increase in N and P limitation with increasing wave energy. The overall low leaf %N (1.74 +/- 0.04; mean +/- se) and N:P ratio (8.67 +/- 0.14) suggests that the area is N-limited. Seasonal variation in seagrass cover and biomass showed the exposed site to be the most stable and the sheltered site the least. Variation in delta N-15 signatures indicates seasonal shifts in N sources at the exposed site only. Fertilisation with + N and + N + P induced seagrass mortality at the exposed site, while at the sheltered site it was + P that degraded seagrass. Collectively, our results indicate that with increasing wave forces, the degree of stability of seagrass beds increases, but nutrient limitation and vulnerability to eutrophication increase as well.</t>
  </si>
  <si>
    <t>10.1007/s10021-018-0319-0</t>
  </si>
  <si>
    <t>Huss, M; Persson, L; Borcherding, J; Heermann, L</t>
  </si>
  <si>
    <t>Timing of the diet shift from zooplankton to macroinvertebrates and size at maturity determine whether normally piscivorous fish can persist in otherwise fishless lakes</t>
  </si>
  <si>
    <t>density dependence; diet shifts; fish; invertebrates; persistence</t>
  </si>
  <si>
    <t>INTRAGUILD PREDATION SYSTEMS; CHARR SALVELINUS-ALPINUS; ONTOGENIC NICHE SHIFTS; LIFE-HISTORY; NORTHERN PIKE; STRUCTURED POPULATION; VERSATILE TECHNIQUE; ESOX-LUCIUS; HABITAT USE; GROWTH</t>
  </si>
  <si>
    <t>Using a size-structured population model, life-history information and records of piscivores in systems without prey fish, we analysed the role of the timing of shifting from small-to-large invertebrate prey types in regulating piscivore performance, especially under conditions of low availability of prey fish. Large invertebrate prey are generally absent or at low densities in pelagic habitats; consequently, pelagic piscivorous fish species with a poor ability to exploit zooplankton depend on prey fish in order to persist. In contrast, our model shows that abundant large invertebrate prey in the littoral habitat may allow littoral piscivores to persist in the absence of prey fish if they can shift diet from zooplankton to macroinvertebrates early in life. However, if the diet shift from zooplankton to macroinvertebrates is delayed, or density dependence reduces growth rate, the persistence of even littoral piscivorous fish species in the absence of other prey fish is severely constrained. Our results suggest that undergoing an early diet shift from zooplankton to macroinvertebrates may be necessary to reach sizes large enough to enable successful exploitation of the piscivorous niche. These insights can help to understand the persistence of piscivorous fish species, or their absence, in otherwise fishless lakes.</t>
  </si>
  <si>
    <t>10.1111/fwb.12138</t>
  </si>
  <si>
    <t>Mychajliw, AM; Almonte, JN; Martinez, PA; Hadly, EA</t>
  </si>
  <si>
    <t>Stable isotopes reveal seasonal dietary responses to agroforestry in a venomous mammal, the Hispaniolan solenodon (Solenodon paradoxus)</t>
  </si>
  <si>
    <t>agroforestry; Caribbean; insectivory; museum collections; small mammal; stable isotope analysis</t>
  </si>
  <si>
    <t>CARBON ISOTOPES; EXTINCTION; FOREST; PATTERNS; DELTA-N-15; CONSERVATION; BIODIVERSITY; DELTA-C-13; PROVIDE; FRACTIONATION</t>
  </si>
  <si>
    <t>While trends in tropical deforestation are alarming, conservation biologists are increasingly recognizing the potential for species survival in human-modified landscapes. Identifying the factors underlying such persistence, however, requires basic ecological knowledge of a species' resource use. Here, we generate such data to guide conservation of an understudied venomous mammal, the Hispaniolan solenodon (Solenodon paradoxus), that occupies a mosaic landscape of agriculture and forest fragments in the western Dominican Republic. Using feces collected in both wet and dry seasons, we found significant differences in the stable isotope values of carbon (delta C-13) between pasture (-24.63 +/- 2.31 parts per thousand, Las Mercedes) and agroforestry (-28.07 +/- 2.10 parts per thousand, Mencia). Solenodon populations in agricultural areas occupied wider isotopic niche spaces, which may be explained by more diverse resource within these patches or individuals combining resources across habitats. We detected elevated delta N-15 values in the dry season of pasture areas (8.22 +/- 2.30 parts per thousand) as compared to the wet season (5.26 +/- 2.44 parts per thousand) and overall narrower isotopic niche widths in the dry season, suggestive of the impacts of aridity on foraging behavior. Our work highlights the importance of considering a more nuanced view of variations in 'modified' or agricultural landscapes as compared with strictly protected national parks. We suggest that seasonal differences in foraging should be considered as they intersect with landscape modification by landowners for maintaining resources for focal consumers. This work adds to a growing body of literature highlighting that fecal stable isotopes are a non-invasive and cost-effective monitoring tool that is particularly well-suited for cryptic small mammal species, ensuring actionable and evidenced-based conservation practices in the tropic's rapidly changing landscapes.</t>
  </si>
  <si>
    <t>e8761</t>
  </si>
  <si>
    <t>10.1002/ece3.8761</t>
  </si>
  <si>
    <t>Schilder, J; van Hardenbroek, M; Bodelier, P; Kirilova, EP; Leuenberger, M; Lotter, AF; Heiri, O</t>
  </si>
  <si>
    <t>Trophic state changes can affect the importance of methane-derived carbon in aquatic food webs</t>
  </si>
  <si>
    <t>Chironomidae; Daphnia; methane; eutrophication; lakes; stable carbon isotopes</t>
  </si>
  <si>
    <t>STABLE CARBON; FRESH-WATER; ISOTOPE FRACTIONATION; DAPHNIA EPHIPPIA; LAKE; DELTA-C-13; NITROGEN; CYCLE; TEMPERATURE; PHOSPHORUS</t>
  </si>
  <si>
    <t>Methane-derived carbon, incorporated by methane-oxidizing bacteria, has been identified as a significant source of carbon in food webs of many lakes. By measuring the stable carbon isotopic composition (delta C-13 values) of particulate organic matter, Chironomidae and Daphnia spp. and their resting eggs (ephippia), we show that methane-derived carbon presently plays a relevant role in the food web of hypertrophic Lake De Waay, The Netherlands. Sediment geochemistry, diatom analyses and delta C-13 measurements of chironomid and Daphnia remains in the lake sediments indicate that oligotrophication and re-eutrophication of the lake during the twentieth century had a strong impact on in-lake oxygen availability. This, in turn, influenced the relevance of methane-derived carbon in the diet of aquatic invertebrates. Our results show that, contrary to expectations, methanederived relative to photosynthetically produced organic carbon became more relevant for at least some invertebrates during periods with higher nutrient availability for algal growth, indicating a proportionally higher use of methane-derived carbon in the lake's food web during peak eutrophication phases. Contributions of methane-derived carbon to the diet of the investigated invertebrates are estimated to have ranged from 0-11% during the phase with the lowest nutrient availability to 13-20% during the peak eutrophication phase.</t>
  </si>
  <si>
    <t>10.1098/rspb.2017.0278</t>
  </si>
  <si>
    <t>Provencher, JF; Gaston, AJ; O'Hara, PD; Gilchrist, HG</t>
  </si>
  <si>
    <t>Seabird diet indicates changing Arctic marine communities in eastern Canada</t>
  </si>
  <si>
    <t>Seabird; Arctic; Climate change; Diet shift; Fish community; Zooplankton; Thick-billed murre; Uria lomvia; Sea ice cover</t>
  </si>
  <si>
    <t>THICK-BILLED MURRES; CLIMATE-CHANGE; URIA-LOMVIA; ICE CONDITIONS; FOOD; REPRODUCTION; BIODIVERSITY; POPULATIONS; GUILLEMOTS; GLACIALIS</t>
  </si>
  <si>
    <t>Changing climatic conditions are affecting ecosystems worldwide, but polar ecosystems are experiencing the most rapid changes as the extent of summer sea ice has diminished over the last several decades. In the Canadian Arctic, thick-billed murres Uria lomvia can be used as samplers of the marine environment, and we examined changes in the diet of the birds between recent and historical studies from the 1970s and 1980s. In the low Arctic, the amount of Arctic cod, an ice-dependent species, declined in the murre diet; and capelin, a subarctic species, has now become the primary prey item. In the mid-Arctic, where summer sea ice is still present during the summer, Arctic cod persists as an important prey item, but capelin is now regularly observed, marking an apparent northward expansion of this species over the last 30 yr. In the high Arctic, summer sea ice continues to dominate the seascape in most years, and Arctic cod continues to dominate the diets of the murres. Changes in Arctic cod in the bird diet were found to be more related to sea ice conditions averaged over multiple years rather than single-year indices, indicating that long-term changes in sea ice do impact this prey species. The diversity of the prey sampled by the birds has decreased, signaling a potential change in the number of prey species available. Overall, the birds illustrate changes occurring in the marine environment in areas where little other information is available.</t>
  </si>
  <si>
    <t>10.3354/meps09299</t>
  </si>
  <si>
    <t>Capps, KA; Flecker, AS</t>
  </si>
  <si>
    <t>High impact of low-trophic-position invaders: nonnative grazers alter the quality and quantity of basal food resources</t>
  </si>
  <si>
    <t>invasive; grazer; Loricariidae; stoichiometry; phosphorus; benthic</t>
  </si>
  <si>
    <t>PTERYGOPLICHTHYS-PARDALIS CASTELNAU; SUCKERMOUTH ARMORED CATFISH; AMAZON SAILFIN CATFISH; BOTTOM-UP CONTROL; FRESH-WATER FISH; TROPICAL STREAM; TOP-DOWN; PERIPHYTON; STOICHIOMETRY; LORICARIIDAE</t>
  </si>
  <si>
    <t>Low-trophic-position animals, such as herbivorous and detritivorous fishes, mollusks, and crustaceans, have been introduced and become established in aquatic ecosystems throughout the globe. After introduction, they have the potential to change community structure and ecosystem processes fundamentally. Armored catfishes (Siluriformes:Loricariidae) are grazing fishes that have an extensive nonnative distribution. High population densities of nonnative loricariids have been linked to the decline of freshwater fisheries in invaded habitats, but the mechanisms underlying declines are poorly understood. We coupled the results of 2 loricariid exclosure experiments with a comparison of invaded and uninvaded sites to measure the effects of loricariids on the quantity and quality of food resources in a tropical stream. Loricariid grazing reduced the standing stock of benthic organic matter and algal biomass in experimental manipulations and in the site comparison. Moreover, grazing by loricariids significantly altered the stoichiometry and the total amount of C, N, and P stored in the epilithon. The effects on P were particularly strong. Our results indicate that high densities of low-trophic-position invaders can significantly reduce the quality and the quantity of food resources in invaded systems. In particular, our findings provide evidence that the invasion of a P-rich grazer in a P-limited system has the potential to reduce P availability for other consumers.</t>
  </si>
  <si>
    <t>10.1086/681527</t>
  </si>
  <si>
    <t>Jepsen, DB; Winemiller, KO</t>
  </si>
  <si>
    <t>Structure of tropical river food webs revealed by stable isotope ratios</t>
  </si>
  <si>
    <t>TROPHIC POSITION; DIET SHIFTS; FISH; DYNAMICS; LAKE; SYSTEM; SEASONALITY; FLOODPLAIN; DELTA-N-15</t>
  </si>
  <si>
    <t>Fish assemblages in tropical river food webs are characterized by high taxonomic diversity, diverse foraging modes, omnivory, and an abundance of detritivores. Feeding links are complex and modified by hydrologic seasonality and system productivity. These properties make it difficult to generalize about feeding relationships and to identify dominant linkages of energy flow. We analyzed the stable carbon and nitrogen isotope ratios of 276 fishes and other food web components living in four Venezuelan rivers that differed in basal food resources to determine 1) whether fish trophic guilds integrated food resources in a predictable fashion, thereby providing similar trophic resolution as individual species, 2) whether food chain length differed with system productivity, and 3) how omnivory and detritivory influenced trophic structure within these food webs. Fishes were grouped into four trophic guilds (herbivores, detritivores/algivores, omnivores, piscivores) based on literature reports and external morphological characteristics. Results of discriminant function analyses showed that isotope data were effective at reclassifying individual fish into their pre-identified trophic category. Nutrient-poor, black-water rivers showed greater compartmentalization in isotope values than more productive rivers, leading to greater reclassification success. In three out of four food webs, omnivores were more often misclassified than other trophic groups, reflecting the diverse food sources they assimilated. When fish delta(15)N values were used to estimate species position in the trophic hierarchy, top piscivores in nutrient-poor rivers had higher trophic positions than those in more productive rivers. This was in contrast to our expectation that productive systems would promote longer food chains. Although isotope ratios could not resolve species-level feeding pathways, they did reveal how top consumers integrate isotopic variability occurring lower in the food web. Top piscivores, regardless of species, had carbon and nitrogen profiles less variable than other trophic groups.</t>
  </si>
  <si>
    <t>10.1034/j.1600-0706.2002.960105.x</t>
  </si>
  <si>
    <t>Goldsmith, GR; Munoz-Villers, LE; Holwerda, F; McDonnell, JJ; Asbjornsen, H; Dawson, TE</t>
  </si>
  <si>
    <t>Stable isotopes reveal linkages among ecohydrological processes in a seasonally dry tropical montane cloud forest</t>
  </si>
  <si>
    <t>climate change; deuterium excess; land use; Mexico; rooting depth; seasonality; secondary forest; translatory flow</t>
  </si>
  <si>
    <t>SOIL-WATER MOVEMENT; CLIMATE-CHANGE; ROOT BIOMASS; RAIN-FOREST; PATTERNS; PLANTS; TREES; PRECIPITATION; AREA</t>
  </si>
  <si>
    <t>Despite their critical role as freshwater resources and their vulnerability to anthropogenic pressures, our knowledge of the ecohydrology of tropical montane cloud forests remains limited. Here, we use a dual stable isotope approach (delta 2H and delta 18O) to trace water inputs, fluxes, and pools through a seasonally dry tropical montane cloud forest in central Veracruz, Mexico. We found strong seasonal variation in the isotope composition of precipitation inputs (delta 2H similar to 130 parts per thousand and delta 18O similar to 18 parts per thousand), with significantly more depleted wet-season values as compared with dry-season values. These seasonal differences are subject to inter-annual variation, as reflected by shifts in the local meteoric water line. Even at the peak of the dry season, stable isotope values of plant xylem water from six different deciduous and evergreen species occurring in the understory and canopy of mature and secondary forests were all consistent with the use of shallow soil water (2060?cm). Alternative limiting factors, such as nutrient distribution along the soil profile, may be strongly contributing to plant rooting patterns. Stable isotope values of soil water were evaporatively enriched compared with precipitation inputs, whereas stream values plotted with precipitation on the local meteoric water line. In contrast to current hydrologic models, this indicates the presence of two distinct soil water pools, one highly mobile pool of precipitation that contributes to streams and a second less mobile pool of soil water that contributes to plant fluxes. This comprehensive perspective can provide the basis for generating process-based models of ecohydrology in the future. Copyright (c) 2011 John Wiley &amp; Sons, Ltd.</t>
  </si>
  <si>
    <t>10.1002/eco.268</t>
  </si>
  <si>
    <t>Eglite, E; Graeve, M; Dutz, J; Wodarg, D; Liskow, I; Schulz-Bull, D; Loick-Wilde, N</t>
  </si>
  <si>
    <t>Metabolism and foraging strategies of mid-latitude mesozooplankton during cyanobacterial blooms as revealed by fatty acids, amino acids, and their stable carbon isotopes</t>
  </si>
  <si>
    <t>amino acids; fatty acids; food webs; isoscapes; stable carbon isotopes; zooplankton</t>
  </si>
  <si>
    <t>RATIO MASS-SPECTROMETRY; LIFE-CYCLE STRATEGIES; COPEPOD TEMORA-LONGICORNIS; BALTIC SEA; CALANOID COPEPODS; ORGANIC-MATTER; CLIMATE-CHANGE; BIOCHEMICAL-COMPOSITION; TROPHIC RELATIONSHIPS; REPRODUCTIVE SUCCESS</t>
  </si>
  <si>
    <t>Increasing sea surface temperatures (SST) and blooms of lipid-poor, filamentous cyanobacteria can change mesozooplankton metabolism and foraging strategies in marine systems. Lipid shortage and imbalanced diet may challenge the build-up of energy pools of lipids and proteins, and access to essential fatty acids (FAs) and amino acids (AAs) by copepods. The impact of cyanobacterial blooms on individual energy pools was assessed for key species temperate Temora longicornis and boreal Pseudo-/Paracalanus spp. that dominated field mesozooplankton communities isolated by seasonal stratification in the central Baltic Sea during the hot and the cold summer. We looked at (a) total lipid and protein levels, (b) FA trophic markers and AA composition, and (c) compound-specific stable carbon isotopes (delta C-13) in bulk mesozooplankton and in a subset of parameters in particulate organic matter. Despite lipid-poor cyanobacterial blooms, the key species were largely able to cover both energy pools, yet a tendency of lipid reduction was observed in surface animals. Omni- and carnivory feeding modes, FA trophic makers, and delta C-13 patterns in essential compounds emphasized that cyanobacterial FAs and AAs have been incorporated into mesozooplankton mainly via feeding on mixo- and heterotrophic (dino-) flagellates and detrital complexes during summer. Foraging for essential highly unsaturated FAs from (dino-) flagellates may have caused night migration of Pseudo-/Paracalanus spp. from the deep subhalocline waters into the upper waters. Only in the hot summer (SST&gt;19.0 degrees C) was T. longicornis submerged in the colder subthermocline water (similar to 4 degrees C). Thus, the continuous warming trend and simultaneous feeding can eventually lead to competition on the preferred diet by key copepod species below the thermocline in stratified systems. A comparison of delta C-13 patterns of essential AAs in surface mesozooplankton across sub-basins of low and high cyanobacterial biomasses revealed the potential of delta C-13-AA isoscapes for studies of commercial fish feeding trails across the Baltic Sea food webs.</t>
  </si>
  <si>
    <t>10.1002/ece3.5533</t>
  </si>
  <si>
    <t>Pacioglu, O; Theissinger, K; Alexa, A; Samoila, C; Sirbu, OI; Schrimpf, A; Zubrod, JP; Schulz, R; Pirvu, M; Lele, SF; Jones, JI; Parvulescu, L</t>
  </si>
  <si>
    <t>Multifaceted implications of the competition between native and invasive crayfish: a glimmer of hope for the native's long-term survival</t>
  </si>
  <si>
    <t>Pontastacus leptodactylus; Faxonius limosus; Biological invasions; Invasive species; Populations genetics; Stable isotopes</t>
  </si>
  <si>
    <t>APHANOMYCES-ASTACI; SIGNAL CRAYFISH; NOBLE CRAYFISH; PACIFASTACUS-LENIUSCULUS; INTRODUCED CRAYFISH; SPECIES INVASIONS; GROWTH-RATE; TELL US; POPULATION; NICHE</t>
  </si>
  <si>
    <t>Biological invasions represent a complex phenomenon driven by multiple factors. In this study, a real-time invasion process between a native (Pontastacus leptodactylus) and an invasive (Faxonius limosus) crayfish species was investigated in the Lower Danube (South-East Europe) through an interdisciplinary approach, by measuring various ecological, genetic, physiological and biometric endpoints. The results revealed that the prolonged competition in old invaded sites of the river (at least a decade) either drove the native species to extinction, or, unexpectedly, allowed its survival as highly fragmented populations. However, for the latter situation, several biological and ecological traits differed in the remnant populations: increased trophic position and elemental imbalance for two major macronutrients (C:N molar ratio), low growth, as strongly contracted trophic niche widths and low overlap degree with the invasive crayfish. The data suggest that the prolonged competition induced potential resource partitioning between species, potentially driving their coexistence, as the development of larger and heavier claws within the native males' population. On the contrary, in more recently invaded sectors of the Lower Danube (3 years), the trophic niche of the native species was significantly larger compared to old invaded sites and characterised by high level of niche overlap, indicating almost identical diet with the invasive crayfish, but characterised by the lowest trophic position compared to other invasion sectors. The genetic diversity of the native crayfish populations was strongly reduced in the invaded sectors of the river, but without signs of genetic bottleneck, which may be explained by a drift-mutational equilibrium reached as a consequence of diminishing population size. Our findings suggest strong coexistence potential in the future for both species in the Lower Danube.</t>
  </si>
  <si>
    <t>10.1007/s10530-019-02136-0</t>
  </si>
  <si>
    <t>Negishi, JN; Hibino, A; Miura, K; Kawanishi, R; Watanabe, N; Toyoda, K</t>
  </si>
  <si>
    <t>Coupled benthic-hyporheic responses of macroinvertebrates to surface water pollution in a gravel-bed river</t>
  </si>
  <si>
    <t>braided-channel; dietary carbon sources; point-source pollution; stable isotopes; subsurface</t>
  </si>
  <si>
    <t>FOOD-CHAINS; PATTERNS; STREAMS; COMMUNITIES; GRADIENT; NITROGEN; ECOLOGY; ZONE; EUTROPHICATION; INVERTEBRATES</t>
  </si>
  <si>
    <t>Interactions between the hyporheic and benthic zones play a vital role in maintaining the integrity of river ecosystems, but simultaneous assessments of hyporheic and benthic macroinvertebrate responses to surface water pollution are limited. We examined how hyporheic (50 cm below surface) and benthic (surface) invertebrates responded to water pollution that originated from a point source (wastewater treatment plant) in a gravel-bed river in Hokkaido, Japan. Dissolved nutrient levels and algal biomass were significantly higher at sample sites down- than upstream of the point source. Furthermore, nitrate concentrations increased gradually from up- to downstream sites, which suggest the presence of diffuse pollution sources in the surrounding areas. Closely synchronized fluctuations of water temperature and similar water quality in the surface and hyporheic zones indicated that the hyporheic zone was highly hydrologically interactive with the surface water. Chloroperlidae (mostly Alloperla ishikariana) had a disproportionately high abundance in the hyporheic zone relative to the benthic zone, regardless of the surface water quality. Numerically dominant invertebrate taxa increased in abundance below the point source of pollution in both the benthic and hyporheic habitats. High N stable isotope ratios (SIR) of the invertebrates in both habitat types indicated that invertebrates assimilated anthropogenic N via the ingestion of pollution-contaminated food resources. End-member mixing analyses based on C SIR demonstrated that assimilation of anthropogenic N occurred because of the increase in available food resources originating from the biofilm. The trophic structure of invertebrates changed less markedly in the hyporheic zone than in the benthic zone, suggesting that the hyporheic assemblage was less sensitive than the benthic assemblage to the changes in surface water quality. Overall, our findings showed that the numeric responses of the invertebrate assemblage to anthropogenic changes in surface water quality were similar and coupled between the benthic and hyporheic zones.</t>
  </si>
  <si>
    <t>10.1086/705000</t>
  </si>
  <si>
    <t>Terry, RC; Guerre, ME; Taylor, DS</t>
  </si>
  <si>
    <t>How specialized is a diet specialist? Niche flexibility and local persistence through time of the Chisel-toothed kangaroo rat</t>
  </si>
  <si>
    <t>Great Basin; Holocene; paleoecology; small mammals; specialization; stable isotopes</t>
  </si>
  <si>
    <t>SMALL-MAMMAL RESPONSES; CARBON-ISOTOPE; GREAT-BASIN; STABLE-ISOTOPES; ENVIRONMENTAL-CHANGE; BONE-COLLAGEN; CLIMATE; NITROGEN; RODENTS; COMMUNITIES</t>
  </si>
  <si>
    <t>1. Rapid environmental changes are putting many species at risk, particularly niche specialists. In response, species can shift their ranges or remain in place by taking advantage of new resources. The potential for specialists to undergo insitu niche shifts is not well understood yet can buffer species from the effects of long-term environmental change over centuries and millennia. 2. In the Great Basin of western North America, the Chisel-toothed kangaroo rat, Dipodomys microps, is a folivore thought to be an obligate specialist on the desert shrub Atriplex confertifolia. Because of its association with A. confertifolia, D. microps is presumed to have tracked the shrub as it moved south during the last glacial maximum. However, recent phylogeographic evidence indicates that D. microps did not shift or contract its range into a southern refugium. 3. Here we evaluate the role that niche flexibility may have played in allowing this presumed dietary specialist to cope with a changing environment and resource base. We do so using carbon and nitrogen isotopes measured in D. microps bone collagen from modern and fossil specimens spanning the last 8000years at Two Ledges Chamber (TLC) in northwestern Nevada. 4.delta C-13 values indicate that, contrary to expectation, the population of D. microps at TLC consumes a variety of plants other than A. confertifolia, an isotopically distinct C4 shrub, and has done so for millennia. Mixing models suggest that the proportion of C4 in the diet was highest (similar to 35%) in the middle Holocene, and has declined towards the recent, especially over the last 30years. delta N-15 values are consistently elevated through time, suggesting that D.microps at TLC are potentially also consuming a high proportion of insects. 5. Our results indicate that this population of dietary specialists has greater niche flexibility than previously assumed. This implies that, at the species level, even presumed niche specialists may be capable of undergoing niche shifts over centennial to millennial time-scales in response to changing environmental conditions, and highlights the unique role that historical and paleontological data can play in establishing resource-use baselines of the past.</t>
  </si>
  <si>
    <t>10.1111/1365-2435.12892</t>
  </si>
  <si>
    <t>Bowen, JL; Ramstack, JM; Mazzilli, S; Valielai, I</t>
  </si>
  <si>
    <t>NLOAD: An interactive, web-based modeling tool for nitrogen management in estuaries</t>
  </si>
  <si>
    <t>Barnegat Bay; coastal planning; eutrophication; management tool; nitrogen loading; nitrogenmitigation; resource managers; watershed-esturay coupling</t>
  </si>
  <si>
    <t>MARINE EUTROPHICATION; NUTRIENT ENRICHMENT; SURFACE WATERS; WAQUOIT BAY; LAND-USE; COASTAL; EXPORT; LOADS; VERIFICATION; PRODUCERS</t>
  </si>
  <si>
    <t>Eutrophication of estuaries is an increasing global concern that requires development of new tools to identify causes, quantify conditions, and propose management options that address this environmental problem. Since eutrophication is often associated with increased inputs of land-derived nitrogen to estuaries, we developed NLOAD, a user-friendly, web-based tool that brings together six different published models that predict nitrogen loading to estuaries and two models that estimate nitrogen concentrations in coastal waters. Here we describe each of the models, demonstrate how NLOAD is designed to function, and then use the models in NLOAD to predict nitrogen loads to Barnegat Bay, New Jersey (USA). The four models that we used to estimate nitrogen loads to Barnegat Bay, when adjusted, all had similar results that matched well with measured values and indicated that Barnegat Bay receives roughly 26 kg N-ha(-1).yr(-1). Atmospheric deposition was the dominant source of nitrogen to Barnegat Bay, followed by fertilizer nitrogen. Wastewater in Barnegat Bay is diverted to an offshore outfall and contributes no nitrogen to the system. The NLOAD tool has an additional feature that allows managers to assess the effectiveness of a variety of management options to reduce nitrogen loads. We demonstrate this feature of NLOAD through simulations in which fertilizer inputs to the Barnegat Bay watershed are reduced. Even modest cutbacks in the use of fertilizers on agricultural fields and lawns can be shown to reduce the amount of N entering Barnegat Bay.</t>
  </si>
  <si>
    <t>S17</t>
  </si>
  <si>
    <t>S30</t>
  </si>
  <si>
    <t>10.1890/05-1460.1</t>
  </si>
  <si>
    <t>Tabares, X; Zimmermann, H; Dietze, E; Ratzmann, G; Belz, L; Vieth-Hillebrand, A; Dupont, L; Wilkes, H; Mapani, B; Herzschuh, U</t>
  </si>
  <si>
    <t>Vegetation state changes in the course of shrub encroachment in an African savanna since about 1850 CE and their potential drivers</t>
  </si>
  <si>
    <t>climate change; fossil pollen; land-use change; savanna ecology; sedimentary ancient DNA; state and transition; tree-grass interactions</t>
  </si>
  <si>
    <t>HYDROGEN-ISOTOPIC COMPOSITION; CYANOBACTERIAL SOIL CRUSTS; NON-POLLEN PALYNOMORPHS; BUSH ENCROACHMENT; D/H RATIOS; LEAF WAXES; WOODY ENCROACHMENT; HOLOCENE CLIMATE; TIBETAN PLATEAU; SOUTHERN AFRICA</t>
  </si>
  <si>
    <t>Shrub encroachment has far-reaching ecological and economic consequences in many ecosystems worldwide. Yet, compositional changes associated with shrub encroachment are often overlooked despite having important effects on ecosystem functioning. We document the compositional change and potential drivers for a northern Namibian Combretum woodland transitioning into a Terminalia shrubland. We use a multiproxy record (pollen, sedimentary ancient DNA, biomarkers, compound-specific carbon (delta C-13) and deuterium (delta D) isotopes, bulk carbon isotopes (delta(13)Corg), grain size, geochemical properties) from Lake Otjikoto at high taxonomical and temporal resolution. We provide evidence that state changes in semiarid environments may occur on a scale of one century and that transitions between stable states can span around 80 years and are characterized by a unique vegetation composition. We demonstrate that the current grass/woody ratio is exceptional for the last 170 years, as supported by n-alkane distributions and the delta C-13 and delta(13)Corg records. Comparing vegetation records to environmental proxy data and census data, we infer a complex network of global and local drivers of vegetation change. While our delta D record suggests physiological adaptations of woody species to higher atmospheric pCO(2) concentration and drought, our vegetation records reflect the impact of broad-scale logging for the mining industry, and the macrocharcoal record suggests a decrease in fire activity associated with the intensification of farming. Impact of selective grazing is reflected by changes in abundance and taxonomical composition of grasses and by an increase of nonpalatable and trampling-resistant taxa. In addition, grain-size and spore records suggest changes in the erodibility of soils because of reduced grass cover. Synthesis. We conclude that transitions to an encroached savanna state are supported by gradual environmental changes induced by management strategies, which affected the resilience of savanna ecosystems. In addition, feedback mechanisms that reflect the interplay between management legacies and climate change maintain the encroached state.</t>
  </si>
  <si>
    <t>10.1002/ece3.5955</t>
  </si>
  <si>
    <t>Ru, HJ; Zhong, LQ; Nian, W; Li, YF; Sheng, Q; Ni, ZH</t>
  </si>
  <si>
    <t>Variations of trophic structure and niche space in fish community along a highly regulated subtropical large river</t>
  </si>
  <si>
    <t>dam construction; energy flow; food webs; hydrogeomorphological condition; stable isotope niche</t>
  </si>
  <si>
    <t>FOOD-WEB STRUCTURE; STABLE-ISOTOPE RATIOS; TEMPORAL VARIATION; CARBON FLOW; PATTERNS; TEMPERATE; DIVERSITY; POSITION; METRICS; WIDTH</t>
  </si>
  <si>
    <t>The trophic interactions between consumers and resources play a vital role in the stability of communities. In river systems, fragmentation of natural habitats and environmental changes alters the energy basis and community composition, consequently leading to variations in the community's trophic structure and niche space. However, our understanding of how the trophic structure responds to environmental changes is still very limited. Here, based on stable isotope data, we explored and compared trophic positions (TPs), community-wide trophic metrics, and isotope niche space of fish communities in three reaches with different hydrogeomorphic conditions along a highly regulated subtropical river over three seasons. The community trophic structure and niche space showed notable spatiotemporal variations. Overall, the downstream reach had lower TPs, trophic diversity but higher trophic redundancy. The middle reach occupied a wider isotope niche space than other reaches, with the largest niche size during autumn. Furthermore, the niche overlap was relatively high in winter between reaches and in the downstream between seasons. The results implied a homogenization of feeding functional groups and energy flow pathways of species in the downstream community associated with the change of energy source and stability of hydrological conditions. The relationship between trophic structure and environmental factors suggested that the dam-induced alteration in hydrological-related aspects may drive the changes in the functional group composition, together with changes in energy basis, resulting in differences in the trophic structure of the community. The results of the present study deepen our understanding of how ecosystem functions respond to disturbance, thus contributing to improved ability to conserve river ecosystems.</t>
  </si>
  <si>
    <t>e9424</t>
  </si>
  <si>
    <t>10.1002/ece3.9424</t>
  </si>
  <si>
    <t>Sullins, DS; Conway, WC; Haukos, DA; Hobson, KA; Wassenaar, LI; Comer, CE; Hung, IK</t>
  </si>
  <si>
    <t>American Woodcock Migratory Connectivity as Indicated by Hydrogen Isotopes</t>
  </si>
  <si>
    <t>American woodcock; band recovery; deuterium; dispersal; harvest derivation; migratory connectivity; natal origins; Scolopax minor; stable isotopes</t>
  </si>
  <si>
    <t>POPULATION VIABILITY MODELS; STABLE HYDROGEN; FALL MIGRATION; SCOLOPAX RUSTICOLA; HARVESTED WOODCOCK; BAND-RECOVERY; HABITAT USE; ORIGINS; SYSTEM; SHOREBIRDS</t>
  </si>
  <si>
    <t>To identify factors contributing to the long-term decline of American woodcock, a holistic understanding of range-wide population connectivity throughout the annual cycle is needed. We used band recovery data and isotopic composition of primary (P1) and secondary (S13) feathers to estimate population sources and connectivity among natal, early fall, and winter ranges of hunter-harvested juvenile American woodcock. We used P1 feathers from known-origin pre-fledged woodcock (n = 43) to create a hydrogen delta H-2(f) isoscape by regressing delta H-2(f) against expected growing-season precipitation (d2Hp). Modeled delta H-2(p) values explained 79% of the variance in P1 delta H-2(f) values, indicating good model fit for estimating woodcock natal origins. However, a poor relationship (r(2) = 0.23) between known-origin, S13 delta H-2(f) values, and expected delta H-2(p) values precluded assignment of early fall origins. We applied the delta H-2(f) isoscape to assign natal origins using P1 feathers from 494 hunter-harvested juvenile woodcock in the United States and Canada during 2010-2011 and 2011-2012 hunting seasons. Overall, 64% of all woodcock origins were assigned to the northernmost (&gt;44 degrees N) portion of both the Central and Eastern Management Regions. In the Eastern Region, assignments were more uniformly distributed along the Atlantic coast, whereas in the Central Region, most woodcock were assigned to origins within and north of the Great Lakes region. We compared our origin assignments to spatial coverage of the annual American woodcock Singing Ground Survey (SGS) and evaluated whether the survey effectively encompasses the entire breeding range. When we removed the inadequately surveyed Softwood shield Bird Conservation Region (BCR) from the northern portion of the SGS area, only 48% of juvenile woodcock originated in areas currently surveyed by the SGS. Of the individuals assigned to the northernmost portions of the breeding range, several were harvested in the southern extent of the wintering range. Based upon this latitudinal winter stratification, we examined whether woodcock employed a leapfrog migration strategy. Using delta H-2(f) values and band-recovery data, we found some support for this migration strategy hypothesis but not as a singular explanation. The large harvest derivation of individuals from the northernmost portions of the breeding range, and the difference in breeding distributions within each Management Region should be considered in future range-wide conservation and harvest management planning for American woodcock. (C) 2016 The Wildlife Society.</t>
  </si>
  <si>
    <t>10.1002/jwmg.1035</t>
  </si>
  <si>
    <t>Cirino, LA</t>
  </si>
  <si>
    <t>Seasonal shift in diet affects female reproductive anatomy but not mating behavior</t>
  </si>
  <si>
    <t>Temporal; Trade-offs; Diet quality; Compensation; Catch-up</t>
  </si>
  <si>
    <t>LIFE-HISTORY; OVARIAN DEVELOPMENT; MATE CHOICE; STINK BUG; ADULT; AGE; HETEROPTERA; NUTRITION; FECUNDITY; HEMIPTERA</t>
  </si>
  <si>
    <t>Females experience considerable environmental variability when breeding seasons are long. Adverse nutritional conditions can result in a reduction in mating and reproduction. However, a return to good nutrition may help animals resume high reproductive investment. I tested the silver spoon hypothesis in which females raised under poor conditions are reproductively limited compared to those raised under good conditions regardless of their adult environment. I used a specialist herbivore, Narnia femorata (Hemiptera: Coreidae), that lives on seasonally changing cacti. I provided juveniles and adults with a cactus pad with fruit (good diet), without fruit (restricted diet), or an improved adult diet (no fruit as juveniles, fruit at adulthood) to simulate a seasonal change in their diets near the end of the breeding season. I found that both ovary size and egg presence were reduced for females fed the restricted diet compared to those fed the good diet. Females fed the improved diet grew large ovaries like those fed the good diet, but few produced any eggs. Interestingly, female mating behavior did not change but females were less attractive to males when fed restricted diets. My results support the silver spoon hypothesis for compensatory growth and suggest that tradeoffs may occur between early survival and future reproduction when females experience a poor early life diet.</t>
  </si>
  <si>
    <t>10.1007/s00442-023-05398-7</t>
  </si>
  <si>
    <t>Emery, NC; D'Antonio, CM; Still, CJ</t>
  </si>
  <si>
    <t>Fog and live fuel moisture in coastal California shrublands</t>
  </si>
  <si>
    <t>California; fire; fog; live fuel moisture; stable isotopes</t>
  </si>
  <si>
    <t>WATER RELATIONS; FOLIAR UPTAKE; SEASONAL-CHANGES; REDWOOD FOREST; CLIMATE-CHANGE; ROOT SYSTEMS; SAGE SCRUB; SUMMER FOG; FIRE; DROUGHT</t>
  </si>
  <si>
    <t>Across Mediterranean-type climate regions, seasonal drought desiccates plants, facilitating ignition and the spread of wildfires. Along the California coast, summertime fog has the potential to ameliorate drought conditions and thus reduce plant flammability during a critical time of elevated fire risk. This study investigated the uptake of dry season fog and how it affects live fuel moisture (LFM) in six dominant shrub species from chaparral and sage scrub plant associations. Fog water uptake was evaluated using stable isotopes of hydrogen and oxygen at several field sites in Santa Barbara County, California. Clear evidence of fog water uptake was identified only in Baccharis pilularis, from the sage scrub association. To determine the effects of fog on LFM, meteorological variables and indices including fog deposition were combined into principal components and the scores regressed against the LFM loss rate during the summer drought. Fog deposition slowed rates of LFM loss for all three sage scrub species tested, but it did not affect the chaparral species. Fog is a more regular occurrence in the sage scrub association, and thus, it is likely that fog ameliorates drought for species that experience consistent fog during the summer months. In coastal California, summer fog can be essential to plant water relations and reduce LFM loss rates during the summer drought. Understanding these effects is important in the context of changing climate in southern California and fire-prone regions around the world.</t>
  </si>
  <si>
    <t>e02167</t>
  </si>
  <si>
    <t>10.1002/ecs2.2167</t>
  </si>
  <si>
    <t>Driscoll, DA; Weir, T</t>
  </si>
  <si>
    <t>Beetle responses to habitat fragmentation depend on ecological traits, habitat condition, and remnant size</t>
  </si>
  <si>
    <t>Coleoptera; edge effects; land clearing; landscape ecology; livestock grazing; roads</t>
  </si>
  <si>
    <t>FOREST FRAGMENTATION; BIRDS; FAUNA; COMMUNITIES; ASSEMBLAGES; EXTINCTION; LANDSCAPES; DISPERSAL; AVIFAUNA; ISLANDS</t>
  </si>
  <si>
    <t>Under extreme (80%) levels of habitat loss and fragmentation, exponentially increasing risks of extinction have been predicted; however, the proportion of species that will decline is uncertain. Factors influencing species declines include patch characteristics, such as size and condition, and species' ecological traits, such as dispersal ability. In central New South Wales, Australia, 90% of the mallee woodland has been cleared for agriculture. At each of three 100-km(2) locations, we sampled beetles in 10 sites and asked: (1) How is the impact of habitat loss and fragmentation mediated by remnant condition and size? (2) What proportion of the beetle fauna is declining? (3) Are ecological traits based on body size, trophic group, flight, and position relative to the ground correlated with beetle responses to habitat loss and fragmentation? Seven of 34 beetle species (21%) occurred in fragmented and isolated populations in the agricultural landscape, implying that they may be at risk of local extinction. Most declining species depended on large remnants, but two species were confined to disturbed linear remnants, emphasizing the importance of diverse management regimes for invertebrate conservation. In contrast, approximately one-quarter of the beetle fauna survived in paddocks and so was not at risk of decline. Greatest species richness was observed in narrow linear remnants, not square reserves, because of the influx of species from the matrix and the presence of strip-specialist species. Flying ability and position explained most of the variation in species responses to fragmentation. Flightless species or species living underground were most vulnerable to decline in agricultural landscapes. Combinations of traits were also implicated in beetle responses, however, suggesting that causal mechanisms involve more than just the effects of flight or position. To identify species vulnerable to decline in fragmented landscapes, then, many traits need to be considered simultaneously.</t>
  </si>
  <si>
    <t>10.1111/j.1523-1739.2005.00586.x</t>
  </si>
  <si>
    <t>Soininen, J; Luoto, M</t>
  </si>
  <si>
    <t>Predictability in species distributions: a global analysis across organisms and ecosystems</t>
  </si>
  <si>
    <t>Body size; dispersal mode; distribution models; mixed model; species traits; trophic position</t>
  </si>
  <si>
    <t>BIOCLIMATE ENVELOPE MODELS; CLIMATE-CHANGE; GEOGRAPHICAL DISTRIBUTIONS; BIOTIC INTERACTIONS; AREA RELATIONSHIPS; SAMPLE-SIZE; IMPACTS; ASSEMBLAGES; DIVERSITY; ACCURACY</t>
  </si>
  <si>
    <t>AimWe explored the effects of multiple species traits, spatial extent and ecosystem type on predictability in species distributions. LocationGlobal. MethodsWe assembled over 4900 published AUC (area under the curve of a receiver operating characteristic plot) values from the species distribution modelling literature. Our data covered broad variation in species characteristics such as body size or trophic position for taxa ranging from bacteria to mammals. Data covered ecosystems from freshwater to forests and encompassed geographical areas from the tropics to polar regions. We used generalized linear mixed models and boosted regression trees to analyse the AUC data. ResultsWe found that most AUC values originated from large-sized terrestrial taxa while studies considering smaller taxa, especially from aquatic ecosystems, were rare. Predictability was highest in autotrophs and in active non-flying taxa and increased with body size and study extent. There were marginal differences in predictability between ectotherms and endotherms and between taxa originating from different ecosystems. Main conclusionsOur results suggest that predictability in species distributions is related to organismal variables such as body size, dispersal mode and trophic position as well as to study extent. We also identified a gap in species distribution modelling studies for aquatic species and for small taxa.</t>
  </si>
  <si>
    <t>10.1111/geb.12204</t>
  </si>
  <si>
    <t>Musseau, C; Vincenzi, S; Santoul, F; Bouletreau, S; Jesensek, D; Crivelli, AJ</t>
  </si>
  <si>
    <t>Within-individual trophic variability drives short-term intraspecific trait variation in natural populations</t>
  </si>
  <si>
    <t>between individual; individual trajectory; intraspecific trait variability; longitudinal survey; salmonid; stable isotope analysis; time-scales; within individual</t>
  </si>
  <si>
    <t>TROUT SALMO-MARMORATUS; BROWN TROUT; NICHE WIDTH; TEMPORAL CONSISTENCY; RESOURCE USE; EVOLUTION; ECOLOGY; FISH; SPECIALIZATION; COMPETITION</t>
  </si>
  <si>
    <t>Intraspecific trait variability (ITV) maintains functional diversity in populations and communities, and plays a crucial role in ecological and evolutionary processes such as trophic cascades or speciation. Furthermore, functional variation within a species and its populations can help buffer against harmful environmental changes. Trait variability within species can be observed from differences among populations, and between- and within individuals. In animals, ITV can be driven by ontogeny, the environment in which populations live and by within-individual specialization or variation unrelated to growth. However, we still know little about the relative strength of these drivers in determining ITV variation in natural populations. Here, we aimed to (a) measure the relative strength of between- and within-individual effects of body size on ITV over time, and (b) disentangle the trophic changes due to ontogeny from other sources of variability, such as the environment experienced by populations and individual preferences at varying temporal and spatial scales. We used as a model system the endangered marble trout Salmo marmoratus, a freshwater fish living in a restricted geographical area (&lt;900 km(2)) that shows marked changes in diet through ontogeny. We investigated two trophic traits, trophic position and resource use, with stable isotopes (delta N-15 and delta C-13), and followed over time 238 individually tagged marble trout from six populations to estimate the trophic changes between and within individuals through ontogeny at three different time-scales (short term: 3 months, medium term: 1 year and long term: 2 years). We found that the relative strength of between- and within-individual effects of body size on trophic position and resource use change strongly over time. Both effects played a similar role in ITV over medium- and long-term time-scales, but within-individual effects were significantly driving trophic variability over short-term scales. Apart from ontogenetic shifts, individuals showed variability in trophic traits as big as the variability estimated between populations. Overall, our results show how the relative strengths of ITV drivers change over time. This study evidences the crucial importance of considering effects of time-scales on functional variability at individual, population and species levels.</t>
  </si>
  <si>
    <t>10.1111/1365-2656.13149</t>
  </si>
  <si>
    <t>Hough, M; McCabe, S; Vining, SR; Pedersen, EP; Wilson, RM; Lawrence, R; Chang, KY; Bohrer, G; Coordinators, I; Riley, WJ; Crill, PM; Varner, RK; Blazewicz, SJ; Dorrepaal, E; Tfaily, MM; Saleska, SR; Rich, VI</t>
  </si>
  <si>
    <t>Coupling plant litter quantity to a novel metric for litter quality explains C storage changes in a thawing permafrost peatland</t>
  </si>
  <si>
    <t>C storage; decomposition; litter chemistry; NOSC; peat; permafrost thaw; plant community change; Stordalen Mire</t>
  </si>
  <si>
    <t>ORGANIC-MATTER; CLIMATE-CHANGE; CARBON; VEGETATION; SPHAGNUM; BIOMASS; GROWTH; SOIL; STOICHIOMETRY; PHOSPHORUS</t>
  </si>
  <si>
    <t>Permafrost thaw is a major potential feedback source to climate change as it can drive the increased release of greenhouse gases carbon dioxide (CO2) and methane (CH4). This carbon release from the decomposition of thawing soil organic material can be mitigated by increased net primary productivity (NPP) caused by warming, increasing atmospheric CO2, and plant community transition. However, the net effect on C storage also depends on how these plant community changes alter plant litter quantity, quality, and decomposition rates. Predicting decomposition rates based on litter quality remains challenging, but a promising new way forward is to incorporate measures of the energetic favorability to soil microbes of plant biomass decomposition. We asked how the variation in one such measure, the nominal oxidation state of carbon (NOSC), interacts with changing quantities of plant material inputs to influence the net C balance of a thawing permafrost peatland. We found: (1) Plant productivity (NPP) increased post-thaw, but instead of contributing to increased standing biomass, it increased plant biomass turnover via increased litter inputs to soil; (2) Plant litter thermodynamic favorability (NOSC) and decomposition rate both increased post-thaw, despite limited changes in bulk C:N ratios; (3) these increases caused the higher NPP to cycle more rapidly through both plants and soil, contributing to higher CO2 and CH4 fluxes from decomposition. Thus, the increased C-storage expected from higher productivity was limited and the high global warming potential of CH4 contributed a net positive warming effect. Although post-thaw peatlands are currently C sinks due to high NPP offsetting high CO2 release, this status is very sensitive to the plant community's litter input rate and quality. Integration of novel bioavailability metrics based on litter chemistry, including NOSC, into studies of ecosystem dynamics, is needed to improve the understanding of controls on arctic C stocks under continued ecosystem transition.</t>
  </si>
  <si>
    <t>10.1111/gcb.15970</t>
  </si>
  <si>
    <t>Gobel, N; Laufer, G; Gonzalez-Bergonzoni, I; Soutullo, A; Arim, M</t>
  </si>
  <si>
    <t>Invariant and vulnerable food web components after bullfrog invasion</t>
  </si>
  <si>
    <t>Aquatic community; Trophic path; Top predator; Food web stability; Stable isotope analysis; Paths coupling</t>
  </si>
  <si>
    <t>BODY-SIZE; TROPHIC POSITION; LITHOBATES-CATESBEIANUS; COMMUNITY ECOLOGY; AMERICAN BULLFROG; SPECIES RICHNESS; ISOTOPE RATIOS; NATIONAL-PARK; IMPACTS; FISH</t>
  </si>
  <si>
    <t>Alien species introductions produce strong impacts on invaded communities, altering their structure, diversity and functioning. These impacts are interrelated with changes in food web architecture. However, the reorganization or robustness of food webs in the face of invasion is a phenomenon poorly considered in ecology and conservation practices. In this article, we analyze the effects of the invasion of the American bullfrog, Lithobates catesbeianus, on the structure and function of invaded food webs. Specifically, we analyzed the integration of energetic channels by top predators, the relative use of alternative energetic paths by different functional groups and its dependence on body size among invaded and uninvaded communities in Uruguay, South America. The integration of energetic paths at high trophic positions by large body sized consumers was a pervasive feature of food webs among all studied ponds, in spite of turnover in top predator identity and large changes in community composition. Bullfrog post-metamorphs presented high trophic positions, integrating the primary producers and detritus paths, acting as apex predators in invaded food webs. The bullfrog tadpoles presented intermediate positions and were associated with the detritivorous pathway. On the other hand, the relative importance of the primary producers and detritus as carbon sources assimilated into the biomass of fish and invertebrates was altered in invaded systems. The robustness in the integration pattern of energy channels is congruent with its proposed central role in the stability of food webs. These results advance the understanding of the effect of invasions on key structural features of food webs, notably underrepresented in the invasion literature.</t>
  </si>
  <si>
    <t>10.1007/s10530-022-02956-7</t>
  </si>
  <si>
    <t>Zatkos, L; Arismendi, I; Johnson, SL; Penaluna, BE</t>
  </si>
  <si>
    <t>Geophysical templates modulate the structure of stream food webs dominated by omnivory</t>
  </si>
  <si>
    <t>community complexity; connectance; food web theory; headwater streams; network analysis; omnivory; stability; watershed</t>
  </si>
  <si>
    <t>CHAIN LENGTH; PREDATOR DIVERSITY; TROPHIC LEVELS; CONNECTANCE; STABILITY; IMPACTS; ECOLOGY; HETEROGENEITY; PRODUCTIVITY; ROBUSTNESS</t>
  </si>
  <si>
    <t>Food webs show the architecture of trophic relationships, revealing the biodiversity and species interactions in an ecosystem. Understanding which factors modulate the structure of food webs offers us the ability to predict how they will change when influential factors are altered. To date, most of the research about food webs has focused on species interactions whereas the influences of surrounding environments have been overlooked. Here, using network analysis, we identified how the structure of aquatic food webs varied across a range of geophysical conditions within a whole stream system. Within a headwater basin in the Cascade Mountain Range, Oregon, USA, macroinvertebrate and vertebrate composition was investigated at 18 sites. Predator-prey interactions were compiled based on existing literature and dietary analysis. Several structural network metrics were calculated for each food web. We show that the structure of food webs was predictable based on geophysical features at both local (i.e., slope) and broader (i.e., basin size) spatial extents. Increased omnivory, greater connectance, shorter path lengths, and ultimately greater complexity and resilience existed downstream compared to upstream in the stream network. Surprisingly, the variation in food web structure was not associated with geographic proximity. Structural metric values and abundance of omnivory suggest high levels of stability for these food webs. There is a predictable variation in the structure of food webs across the network that is influenced by both longitudinal position within streams and patchy discontinuities in habitat. Hence, findings illustrate that the slightly differing perspectives from the River Continuum Concept, Discontinuity Patch Dynamics, and Process Domains can be integrated and unified using food web networks. Our analyses extend ecologists' understanding of the stability of food webs and are a vital step toward predicting how webs and communities may respond to both natural disturbances and current global environmental change.</t>
  </si>
  <si>
    <t>e03444</t>
  </si>
  <si>
    <t>10.1002/ecs2.3444</t>
  </si>
  <si>
    <t>Tscharntke, T; Steffan-Dewenter, I; Kruess, A; Thies, C</t>
  </si>
  <si>
    <t>Characteristics of insect populations on habitat fragments: A mini review</t>
  </si>
  <si>
    <t>conservation; landscape structure; reserve design; scale dependence; trophic interactions</t>
  </si>
  <si>
    <t>SPECIES-AREA RELATIONSHIPS; TRAP-NESTING BEES; COMMUNITY STRUCTURE; BIOLOGICAL-CONTROL; PREDATORY INSECTS; LANDSCAPE; RESPONSES; EXTINCTION; DISPERSAL; DIVERSITY</t>
  </si>
  <si>
    <t>Modern human-dominated landscapes are typically characterized by intensive land-use and high levels of habitat destruction, often resulting in sharply contrasted habitat mosaics. Fragmentation of remaining habitat is a major threat to biodiversity. In the present paper, we focus on the different features of habitat fragmentation. First we discuss the importance of pure habitat loss, fragment size, fragment isolation and quality, edge effects, and the importance of landscape structure. Second, we characterize life-history features of fragmentation-sensitive species, showing that rare, specialized, little dispersing species are most affected, as well as species characterized by high population variability and a high trophic position, while the effect of body size is unclear. Third, we discuss the conservation value of habitat fragments. The question arises how to relate studies on population survival to those of community structure and studies on biodiversity to those on ecologicalal functions. Despite the general superiority of large to small reserves, only small or medium-sized reserves are available in many human-dominated landscapes. A great number of small habitats covering a wide range of geographic area should maximize beta diversity and spreading of risk and may be very important for the regional conservation of biodiversity, in contrast to the prevailing arguments in favor of large habitats. Finally, landscape context influences community structure of fragments, and communities are composed of species that experience the landscape on a broad range of spatial scales. Spatial arrangement of habitat fragments in a landscape appears to be important only in simple, not complex landscapes.</t>
  </si>
  <si>
    <t>10.1046/j.1440-1703.2002.00482.x</t>
  </si>
  <si>
    <t>Edelist, D; Rilov, G; Golani, D; Carlton, JT; Spanier, E</t>
  </si>
  <si>
    <t>Restructuring the Sea: profound shifts in the world's most invaded marine ecosystem</t>
  </si>
  <si>
    <t>Biological invasions; climate change; coastal; human impacts; invasive fish; Lessepsian; Mediterranean</t>
  </si>
  <si>
    <t>SANTA-CRUZ RIVER; BIOTIC HOMOGENIZATION; MEDITERRANEAN SEA; EXTINCTION RISK; INVASIONS; COAST; FISH; SUCCESS; INLAND; BASIN</t>
  </si>
  <si>
    <t>Aim We examine fish invasions in the south-eastern Mediterranean as a model system for the invasibility of open coasts and provide perspectives through a review of global marine fish invasions. Location South-eastern Mediterranean (Levant Sea). Methods We compare historical (19901994) and modern (20082011) trawl surveys from the Mediterranean continental shelf and upper slope of Israel to evaluate the relative abundance and biomass of Indo-Pacific fishes and their impact on diversity and trophic level (TrL). We examine resultant changes in community composition by both univariate and multivariate analyses, and compliment this study with a critical global review of open coast marine fish invasions. Results A staggering 55 Indo-Pacific fish species have established permanent populations in the Mediterranean in the last 142 years, more than any other marine ecosystem. This process is accelerating with 13 of 27 new arrivals having established in the 21st century alone. Invasive fish biomass and abundance proportions in the shallow open coast have doubled in just two decades and today the Levantine ecosystem is dominated by non-native species. This proliferation has resulted in significant declines of some indigenous species, some to near extirpation levels. Main conclusions Here, we show that non-estuarine ecosystems are much more susceptible to large-scale invasion pressures than previously thought. Our results place invasion in the same category with overexploitation, habitat destruction and pollution, processes normally considered as much more critical perturbations to coastal fish communities. We propose that despite these irreversible alterations, invasions have masked overall TrL changes and diversity declines by replacing native fish with invasives of similar ecological position. As species extirpations increase, we anticipate further declines in indigenous biomass, abundance and diversity in the Mediterranean Sea.</t>
  </si>
  <si>
    <t>10.1111/ddi.12002</t>
  </si>
  <si>
    <t>Goto, D; Roberts, JJ; Pothoven, SA; Ludsin, SA; Vanderploeg, HA; Brandt, SB; Hook, TO</t>
  </si>
  <si>
    <t>Size-mediated control of perch-midge coupling in Lake Erie transient dead zones</t>
  </si>
  <si>
    <t>Food web; Trait-mediated; Foraging; Body size; Great Lakes; Hierarchical modeling</t>
  </si>
  <si>
    <t>PREDATOR-PREY INTERACTIONS; FISH FUNDULUS-HETEROCLITUS; CRAB CALLINECTES-SAPIDUS; DIEL VERTICAL MIGRATION; ANCHOVIES ANCHOA SPP.; BODY-SIZE; TROPHIC INTERACTIONS; DISSOLVED-OXYGEN; HABITAT QUALITY; HYPOXIA</t>
  </si>
  <si>
    <t>Transient ecosystem-level disturbances such as oxygen depletion (hypoxia) in aquatic systems modulate species distributions and interactions. In highly eutrophic systems, hypoxic areas (dead zones) have expanded around the world, temporarily preventing many demersal predators from accessing their food resources. Here, we investigate how yellow perch (Perca flavescens), an exploited, cool-water mesopredator, interact with their dominant invertebrate prey in benthic habitat-non-biting midge (chironomid) larvae-as bottom-water hypoxia develops in central Lake Erie (United States-Canada) during summer. We apply linear mixed-effects models to individual-level data from basin-wide field surveys on size-based interactions between perch and midge larvae under varying habitat conditions and resource attributes. We test if 1) midge populations (larval body size and density) differ among habitat states (unstratified normoxia, stratified normoxia, and stratified hypoxia); and 2) size-based perch-midge interactions (predator-prey mass ratio or PPMR) differ among habitat states with varying temperature and midge density. Midge populations remained highly abundant after bottom-water oxygen depletion. Despite their high densities, midge larvae also maintained their body size in hypoxic water. In contrast, perch on average consumed relatively smaller (by up to similar to 64%) midges (higher PPMR) in warmer and hypoxic water, while prey size ingested by perch shrunk less in areas with higher midge density. Our analysis shows that hypoxia-tolerant midges largely allow perch to maintain their consumer-resource relationships in contracted habitats through modified size-mediated interactions in dead zones during summer, revealing plasticity of their trophic coupling in the chronically perturbed ecosystem.</t>
  </si>
  <si>
    <t>10.1007/s10641-017-0667-1</t>
  </si>
  <si>
    <t>Milano, S; Frahnert, S; Hallau, A; Topfer, T; Woog, F; Voigt, CC</t>
  </si>
  <si>
    <t>Isotope record tracks changes in historical wintering ranges of a passerine in sub-Saharan Africa</t>
  </si>
  <si>
    <t>African rainfall; bird migration; Eurasian Golden Oriole; historical feathers; Palaearctic passerines; triple stable isotope analysis</t>
  </si>
  <si>
    <t>STABLE-ISOTOPES; POPULATION DECLINES; MIGRATORY BIRD; CLIMATE-CHANGE; HYDROGEN; DELTA-C-13; ARRIVAL; DIETS; DESERTIFICATION; PRODUCTIVITY</t>
  </si>
  <si>
    <t>Billions of birds migrate from the Palaearctic to sub-Saharan Africa, yet we are unaware about where exactly they stay over winter and how consistent they have been using these wintering areas over historical times. Here, we inferred the historical wintering areas of Eurasian Golden Orioles (Oriolus oriolus) from stable isotope ratios of feathers. Over the past 200 years, Golden Orioles used two major wintering grounds. Between 1895 and 1971, the relative use of these areas depended on local rainfall intensities. Golden Orioles may depend strongly on humid wintering areas in sub-Saharan Africa, which may put this species at stake when the global climate continues to change.</t>
  </si>
  <si>
    <t>10.1111/gcb.15794</t>
  </si>
  <si>
    <t>Baudrot, V; Fritsch, C; Perasso, A; Banerjee, M; Raoul, F</t>
  </si>
  <si>
    <t>Effects of contaminants and trophic cascade regulation on food chain stability: Application to cadmium soil pollution on small mammals - Raptor systems</t>
  </si>
  <si>
    <t>Critical transitions; Contaminant transfer; Food chain; Ordinary differential equations</t>
  </si>
  <si>
    <t>FIELD DATA; TERRESTRIAL; METAL; EXPOSURE; MODEL; ACCUMULATION; ENRICHMENT; ECOSYSTEMS; RESPONSES; WILDLIFE</t>
  </si>
  <si>
    <t>Within the current context of global change, ecosystems face simultaneously multiple stressors such as environmental pollution, excessive enrichment, and additional disturbances affecting population dynamics. Numerous theoretical and empirical studies explored the transfer of contaminants by food ingestion between trophic levels, and how contaminant effects on survival and fecundity may change regime shifts of classical predator-prey dynamics. However, the extent to which those contaminants may influence the cascade effect of external stressors, as a change in resources (bottom-up cascade) or a variation in predator abundance (top down cascade) is still poorly understood. We develop a data-driven model to explore how soil contamination modulates the food chain stability and resilience to changes in prey nutrient and in the apex predator mortality rate. We particularly focus on the ecotoxicological impact of the trace metal, cadmium, on a widespread raptor, the barn owl (Tyto alba), feeding on several prey distinct by their trophic positions: herbivores (Microtus spp.), omnivores (wood mouse Apodemus sylvaticus and bank vole Myodes glareolus) and insectivores (shrews: Crocidura spp. and Sorex spp.). Our model reveals the alternative steady states in population dynamics and the occurrence and position of regime shifts where a subtle change in conditions causes a sudden shift in the ecological system. Based on mathematical modelling and bifurcation analysis, the results show for instance that under toxicity threshold, where no population decline is observed, the contaminant weakens food-chain resilience. Then at higher contamination, the toxic effects on predator releases the top-down control over prey that may increase. This range of chemical stress overturns the paradox of enrichment, a central concept in trophic cascade theory. The transition phase at the highest contamination, where the whole community collapse, exhibits multiple patterns, from smooth to abrupt, depending on external stressors and the prey population. Thus, this work provides a methodology to identify ecological traits of preys that are critical for transferring adverse effects of contaminants across the whole community.</t>
  </si>
  <si>
    <t>10.1016/j.ecolmodel.2018.05.002</t>
  </si>
  <si>
    <t>Xiong, D; Wei, CZ; Wang, XG; Lu, XT; Fang, S; Li, YB; Wang, XB; Liang, WJ; Han, XG; Bezemer, TM; Li, Q</t>
  </si>
  <si>
    <t>Spatial patterns and ecological drivers of soil nematode beta-diversity in natural grasslands vary among vegetation types and trophic position</t>
  </si>
  <si>
    <t>grassland ecosystem; soil community; spatial turnover; trophic position; vegetation type; &amp;#946; &amp;#8208; diversity</t>
  </si>
  <si>
    <t>DISTANCE-DECAY; DETERMINISTIC PROCESSES; NESTEDNESS COMPONENTS; GLOBAL PATTERNS; PLANT; HETEROGENEITY; BIODIVERSITY; NITROGEN; CARBON; DEPENDENCY</t>
  </si>
  <si>
    <t>Understanding biogeographic patterns of community assemblages is a core objective in ecology, but for soil communities these patterns are poorly understood. To understand the spatial patterns and underlying mechanisms of beta-diversity in soil communities, we investigated the beta-diversity of soil nematode communities along a 3,200-km transect across semi-arid and arid grasslands. Spatial turnover and nested-resultant are the two fundamental components of beta-diversity, which have been attributed to various processes of community assembly. We calculated the spatial turnover and nested-resultant components of soil nematode beta-diversity based on the beta-partitioning framework. Distance matrices for the dissimilarity of soil nematode communities were computed using the 'Sorensen' method. We fitted negative exponential models to compare the distance decay patterns in nematode community similarity with geographic distance and plant community distance in three vegetation types (desert, desert steppe and typical steppe) and along the whole transect. Variation partitioning was used to distinguish the contribution of geographic distance and environmental variables to beta-diversity and the partitioned components. Geographic distance and environmental filtering jointly drove the beta-diversity patterns of nematode community, but environmental filtering explained more of the variation in beta-diversity in the desert and typical steppe, whereas geographic distance was important in the desert steppe. Nematode community assembly was explained more by the spatial turnover component than by the nested-resultant component. For nematode feeding groups, the beta-diversity in different vegetation types increased with geographic distance and plant community distance, but the nested-resultant component of bacterial feeders in the desert ecosystem decreased with geographic distance and plant community distance. Our findings show that spatial variation in soil nematode communities is regulated by environmental processes at the vegetation type scale, while spatial processes mainly work on the regional scale, and emphasize that the spatial patterns and drivers of nematode beta-diversity differ among trophic levels. Our study provides insight into the ecological processes that maintain soil biodiversity and biogeographic patterns of soil community assemblage at large spatial scales.</t>
  </si>
  <si>
    <t>10.1111/1365-2656.13461</t>
  </si>
  <si>
    <t>Low, BW; Liew, JH; Tan, HH; Ahmad, A; Zeng, YW; Yeo, DCJ</t>
  </si>
  <si>
    <t>The invasion and impacts of the African sharptooth catfish (Clariidae: Clarias gariepinus) in the Malay Peninsula</t>
  </si>
  <si>
    <t>environmental filtering; interspecific competition; invasive species; niche displacement; propagule pressure</t>
  </si>
  <si>
    <t>FRESH-WATER FISHES; FOOD; CONSEQUENCES; DRIVERS; ECOLOGY; MODELS; DIET; FRACTIONATION; FRAMEWORK; ISOTOPES</t>
  </si>
  <si>
    <t>1. The African sharptooth catfish, Clarias gariepinus, is a globally invasive species with known severe impacts, including native species declines through ecological (e.g., competition, predation) and genetic interactions (e.g., hybridisation, introgression). The species was introduced to the Malay Peninsula in the late 1980s, and has since become widely established. 2. In this study, we used structural equation models (SEMs) (habitat analyses) and stable isotope analyses (dietary analyses) to elucidate the determinants of C. gariepinus invasion success in streams of the Malay Peninsula and investigate potential impacts on native counterparts. 3. Our SEMs indicate that C. gariepinus i nvasions w ere m ediated b y g reater a nthropogenic influences as well as environmental conditions associated with open streams (large channels, higher temperatures and lower canopy cover). Additionally, on the one hand, we find that invasions by C. gariepinus have led to substantial negative impacts on the native Asian walking catfish, Clarias batrachus, with the latter being displaced, or in some areas extirpated, from its characteristic open-stream habitats. On the other hand, C. gariepinus invasions did not appear to impact the native forest specialist, Clarias leiacanthus. Stable isotope analyses showed that all three Clarias species were opportunistic, generalist feeders. There was substantial overlap in the diets of C. gariepinus and C. batrachus. However, C. leiacanthus generally assimilated comparatively greater volumes of aquatic macroinvertebrate prey, therefore reducing dietary overlap with introduced C. gariepinus. 4. Our findings indicate that propagule pressure and exaptations probably have played a major role in facilitating C. gariepinus invasions in the Malay Peninsula. Furthermore, our results suggest that habitat competition may have acted synergistically with trophic competition to drive C. gariepinus impacts on native species, although this was mitigated by differentiation in ecological preferences. 5. Our results help shed light on the general characteristics of invasive species, the mechanisms facilitating their proliferation, and the potential outcomes of biological invasions. These highlight the urgent need to manage the introduction, spread and impacts of invasive C. gariepinus i n t he M alay P eninsula a nd e lsewhere in its invaded range.</t>
  </si>
  <si>
    <t>10.1111/fwb.13984</t>
  </si>
  <si>
    <t>Gratton, C; Denno, RF</t>
  </si>
  <si>
    <t>Arthropod food web restoration following removal of an invasive wetland plant</t>
  </si>
  <si>
    <t>Alloway Creek Watershed; New Jersey USA; phragmites; salt marsh; spartina; stable isotopes</t>
  </si>
  <si>
    <t>REED PHRAGMITES-AUSTRALIS; CORDGRASS SPARTINA-ALTERNIFLORA; MUMMICHOG FUNDULUS-HETEROCLITUS; ESSENTIAL FISH HABITAT; SALT-MARSH GRASSES; COMMON REED; STABLE-ISOTOPES; TIDAL MARSHES; TROPHIC POSITION; BRACKISH-MARSH</t>
  </si>
  <si>
    <t>Restoration of habitats impacted by invasive plants is becoming an increasingly important tool in the management of native biodiversity, though most studies do not go beyond monitoring the abundance of particular taxonomic groups, Such as the return of native vegetation. Yet, the reestablishment of trophic interactions among organisms in restored habitats is equally important if we are to monitor and understand how ecosystems recover. This study examined whether food web interactions among arthropods (as inferred by abundance of naturally occurring stable isotopes of C [delta C-13] and N [delta N-15]) were reestablished in the restoration of a coastal Spartina alterniflora salt marsh that had been invaded by Phragmites australis. From patterns of C and N stable isotopes we infer that trophic interactions among arthropods in the native salt marsh habitats are characterized by reliance on the dominant marsh plant Spartina as a basal resource. Herbivores such as delphacid planthoppers and mirid bugs have isotope signatures characteristic of Spartina, and predatory arthropods such as dolicopodid flies and spiders likewise have delta C-13 and delta N-15 signatures typical of Spartina-derived resources (approximately -13 parts per thousand and 10 parts per thousand, respectively). Stable isotope patterns also suggest that the invasion of Phragmites into salt marshes and displacement of Spartina significantly alter arthropod food web interactions. Arthropods in Phragmites-dominated sites have delta C-13 isotope values between -18 parts per thousand and -20 parts per thousand, suggesting reliance on detritus and/or benthic microalgae as basal resources and not on Phragmites, which has a 813 C approximately -26 parts per thousand. Since most Phragmites herbivores are either feeding internally or are rare transients from nearby Spartina, these resources do not provide significant prey resources for other arthropod consumers. Rather, predator isotope signatures in the invaded habitats indicate dependence on detritus/algae as basal resources instead of the dominant vegetation. The reestablishment of Spartina after removal of Phragmites, however, not only returned species assemblages typical of reference (uninvaded) Spartina, but stable isotope signatures suggest that the trophic interactions among the arthropods were also similar in reestablished habitats. Specifically, both herbivores and predators showed characteristic Spartina signatures, suggesting the return of the original grazer-based food web structure in the restored habitats.</t>
  </si>
  <si>
    <t>10.1890/1051-0761(2006)016[0622:AFWRFR]2.0.CO;2</t>
  </si>
  <si>
    <t>Frossard, V; Verneaux, V; Millet, L; Jenny, JP; Arnaud, F; Magny, M; Perga, ME</t>
  </si>
  <si>
    <t>Reconstructing long-term changes (150years) in the carbon cycle of a clear-water lake based on the stable carbon isotope composition (delta C-13) of chironomid and cladoceran subfossil remains</t>
  </si>
  <si>
    <t>methanogenesis; Chironomidae; eutrophication; lake functioning; carbon stable isotopes</t>
  </si>
  <si>
    <t>PLANKTONIC FOOD-WEB; ORGANIC-CARBON; R-PACKAGE; METHANE; ZOOPLANKTON; TERRESTRIAL; PATTERNS; IMPACT</t>
  </si>
  <si>
    <t>Long-term trends, spanning about 150years, in delta C-13 values in the head capsules (HCs) of three chironomid taxa and pelagic cladoceran exoskeletons are reported for a reoligotrophicated, deep, clear-water lake using a multidepth approach. The trends were taxon specific, and Bayesian change point analyses defined three homogenous temporal sequences of HC delta C-13. From the 1850s to the 1930s, the delta C-13 values were stable and similar in the littoral and deep zones, suggesting that littoral and deep chironomids relied on similar carbon sources; the HCs and cladoceran delta C-13 values were approximately -32 parts per thousand, providing no evidence of organic carbon reworking via microbial mineralisation. From the 1930s to the 1950s, the littoral HC and cladoceran delta C-13 values decreased by 2 parts per thousand. This decrease was probably related to an increase in respiration processes in the epilimnion following an increase in trophic state of the lake. The deep HC delta C-13 values remained stable during this period, suggesting that most of the additional primary production due to eutrophication was transferred to higher trophic levels. From the 1950s onward, the littoral HC and cladoceran delta C-13 values remained steady, whereas the deep HC values decreased substantially (-4 parts per thousand), despite the restoration of oligotrophic conditions in open water. This pattern suggests the existence of organic carbon accumulation and microbial mineralisation at the lake bottom as well as a possible increase in methane-derived carbon consumption by chironomids. These processes were attributed to a lower trophic efficiency within the pelagic food web, decreasing the functional efficiency of the lake. Our results suggest that the functioning of the lake was characterised by low heterotrophic activities prior to the 1930s and that since the 1990s, the increase in heterotrophic activities has been supported by autochthonous organic carbon recycling.</t>
  </si>
  <si>
    <t>10.1111/fwb.12304</t>
  </si>
  <si>
    <t>Milessi, AC; Danilo, C; Laura, RG; Daniel, C; Sellanes, J; Rodriguez-Gallego, L</t>
  </si>
  <si>
    <t>Trophic mass-balance model of a subtropical coastal lagoon, including a comparison with a stable isotope analysis of the food-web</t>
  </si>
  <si>
    <t>Uruguay; ECOPATH; Lagoons; Trophic structure; Stable isotopes</t>
  </si>
  <si>
    <t>SOUTH CATALAN SEA; FRESH-WATER; MICROPOGONIAS-FURNIERI; SECONDARY PRODUCTION; ECOSYSTEM STRUCTURE; FEEDING BIOLOGY; COMMON TERN; FISH; DELTA-N-15; ECOPATH</t>
  </si>
  <si>
    <t>Stable isotopes and mass-balance trophic models (e.g., ECOPATH) are well-known and widely used approximations to describe food-web structure, but their consistency is not properly established. Here we analyze the food-web structure of a subtropical-temperate coastal lagoon using two approaches: stable isotopic techniques and mass-balance modelling, exploring also the correspondence between the outputs of both methods. We compared trophic positions (TPs) derived by these two approaches for 14 consumers in Laguna de Rocha (LR).TPs based on stable isotopes were taken from a recent study. ECOPATH trophic levels were estimated by a model presented here constructed based on field data for the period 2003-2006 and literature data. The model incorporated over 50 species in 27 trophic groups, including primary producers, invertebrate and vertebrate consumers. The origin and quality of data (pedigree routine) indicated that 68% of the information was locally bound, although several unknowns were detected. Birds and mammals represented the highest trophic levels (4.2 and 3.98, respectively). Network analysis estimated a size of the system (fluxes and biomasses) of 451 t wet weight km(-2) year(-1), while transfer efficiency, primary production/respiration and production/biomass ratios, and several ecological indexes characterized LR as an underdeveloped system. TPs derived from isotopic analysis were highly correlated with trophic levels estimated by ECOPATH according to a linear regression model through the origin (r(2) = 0.82, n = 14, p &lt;&lt; 0.01). The slope of the linear model (0.88 +/- 0.019, estimate +/- SD) indicated that TPs derived from isotopic analyses were slightly higher (similar to 13.5% on average) than those derived from the mass-balance model. Current results support the overall consistency of the use of both stable isotopes and mass-balance modelling approaches as descriptors of this aquatic food-web. (C) 2010 Elsevier B.V. All rights reserved.</t>
  </si>
  <si>
    <t>10.1016/j.ecolmodel.2010.08.037</t>
  </si>
  <si>
    <t>Ansley, RJ; Cooper, C; Zhang, T</t>
  </si>
  <si>
    <t>Invasion promotes invasion: Facilitation of C-3 perennial grass dominance in mixed C-3/C-4 grassland by an invasive C-3 woody sprouter (Prosopis glandulosa)</t>
  </si>
  <si>
    <t>coppice; drought; grassland restoration; rangeland; resprouting; shrubs; state-and-transition; woody plant encroachment</t>
  </si>
  <si>
    <t>PLANT INVASION; GLOBAL DISTRIBUTION; HERBACEOUS BIOMASS; CHEMICAL CONTROL; SAVANNA; FIRE; MANAGEMENT; FORAGE; RESTORATION; ECOSYSTEMS</t>
  </si>
  <si>
    <t>In the Southern Great Plains (SGP) of the United States, encroachment of the native invasive woody legume, honey mesquite (Prosopis glandulosa Torr.), has caused a decline in C-4 mid-grass abundance. Prosopis glandulosa invasion has also facilitated growth of the C-3 mid-grass species, Texas wintergrass (Nassella leucotricha [Trin &amp; Rupr.] Pohl) initially beneath its canopy but extending to interspaces between P. glandulosa as stand density increases. Little is known about the stability of the Prosopis/Nassella association or C-4 grass recovery following P. glandulosa disturbance. We quantified C-3 and C-4 grass production in interspaces, and basal cover in interspaces and P. glandulosa subcanopy microsites for 9 years following P. glandulosa suppression (top-kill) and compared this to untreated P. glandulosa woodland (woodland). The Prosopis/Nassella association limited the window of C-4 mid-grass recovery to only a few years. Nassella leucotricha dominated grass production during the first 3 years after top-kill. C-4 mid-grass recovery began in year 4, but was interrupted by severe drought in years 5 through 7. Recovery resumed in year 8, due to above-average summer rainfall, but P. glandulosa regrowth was large enough by this time to limit C-4 mid-grass production to a third of its potential. Nassella leucotricha basal cover remained dominant and stable in woodland subcanopy microsites, even during drought, and only briefly declined in top-kill subcanopy microsites before returning to pretreatment levels by year 8 as P. glandulosa regrowth increased and provided shade. Synthesis and applications. A single suppression event had little impact on disrupting the Prosopis/Nassella association and allowing C-4 mid-grass recovery. The coupling of a deciduous, N-fixing C-3 woody species with this C-3 perennial grass may be a vegetative state that is resistant to multiple woody suppression disturbances and permanently limits the transition back to C-4 grassland.</t>
  </si>
  <si>
    <t>10.1002/ece3.5800</t>
  </si>
  <si>
    <t>Fry, B</t>
  </si>
  <si>
    <t>Stable isotopic indicators of habitat use by Mississippi River fish</t>
  </si>
  <si>
    <t>stable isotopes; diversity; floodplains; estuaries; restoration</t>
  </si>
  <si>
    <t>CARBON ISOTOPES; ORINOCO FLOODPLAIN; TROPHIC POSITION; ORGANIC-MATTER; ENERGY-SOURCES; FOOD-CHAINS; NITROGEN; REGIME; BASIN; ECOSYSTEMS</t>
  </si>
  <si>
    <t>The Mississippi River has been highly modified for much of its length, with dredging, channelization, and an extensive levee system disrupting historical connections to inland and coastal floodplains. There are currently many large- and small-scale efforts to restore these historical connections in the Mississippi River basin, often with particular emphasis on restoring fish spawning habitat and the high fisheries productivity of the floodplain systems. To investigate how stable isotopic indicators might be useful in showing fish use of restored floodplain habitats, 118 common, benthic-feeding fish were collected from the lower Mississippi River system in Louisiana. Chemical analyses of amounts and isotopic compositions of C, N, and S in fish tissues showed that fish living in different rivers and floodplain estuaries had distinctly different chemistries that reflected fish use of different habitat types. For example, inland swamp floodplains in the Atchafalaya Basin produced fish with lower delta(13)C than in the mainstem Mississippi River, and habitats in the coastal floodplain of upper Barataria Bay produced fish with higher delta(34)S than in the mainstem Mississippi River. In general, floodplain restoration should increase habitat diversity available to river fish, and a good indicator for determining increased habitat use and success of the restoration may be the increase in the C, N, and S chemical isotopic diversity in fish.</t>
  </si>
  <si>
    <t>10.2307/1468438</t>
  </si>
  <si>
    <t>Whitledge, GW; Knights, B; Vallazza, J; Larson, J; Weber, MJ; Lamer, JT; Phelps, QE; Norman, JD</t>
  </si>
  <si>
    <t>Identification of Bighead Carp and Silver Carp early-life environments and inferring Lock and Dam 19 passage in the Upper Mississippi River: insights from otolith chemistry</t>
  </si>
  <si>
    <t>Asian Carp; Hypophthalmichthys; Stable isotopes; Microchemistry; O-18; Sr:Ca; Ba:Ca</t>
  </si>
  <si>
    <t>ASIAN CARP; CRYSTAL-STRUCTURE; ILLINOIS RIVER; TRACE-ELEMENT; MOVEMENT; REPRODUCTION; RECRUITMENT; UPSTREAM; INVASION; FISHES</t>
  </si>
  <si>
    <t>Knowledge of environments used during early life history and movement patterns of Bighead Carp (Hypophthalmichthys nobilis) and Silver Carp (H. molitrix), collectively termed bigheaded carps, in the Upper Mississippi River (UMR) would be valuable for informing control measures to limit further population expansion and impacts of these species. Lock and Dam 19 (LD19) is a high-head dam on the UMR that delineates downriver areas where bigheaded carps are well established from upriver pools where these species are less abundant and evidence of reproduction and recruitment are limited. Principal natal environments supporting recruitment of emerging bigheaded carp populations in the UMR are unknown. The objectives of this study were to (1) infer environments occupied during early-life stages by bigheaded carps collected in UMR Pools 19-21 during 2013-2014 using otolith microchemistry and stable isotope analyses, and (2) use early-life environment assignments and capture location to identify individuals that passed through LD19. Differences in multivariate water chemistry signatures (Sr:Ca, Ba:Ca and O-18) among the UMR, its tributaries, and the Missouri and Middle Mississippi rivers enabled development of a classification model for inferring early-life environment of bigheaded carps. Multiple sources of recruits, including from tributaries, have contributed to upriver expansion of bigheaded carps in the UMR. Sustainable control of bigheaded carps upstream of LD19 will likely require efforts to control local recruitment and immigration from downriver. The frequency of bigheaded carps collected in Pool 19 that were downstream of LD19 during early life suggests that bigheaded carps upstream of LD19 still predominantly consisted of immigrants from downriver during 2013-2014. Otolith chemistry provides an approach for assessing the extent to which changes in abundance of bigheaded carps upstream of LD19 are associated with local recruitment or immigration from downriver.</t>
  </si>
  <si>
    <t>10.1007/s10530-018-1881-2</t>
  </si>
  <si>
    <t>Hasselquist, NJ; Allen, MF; Santiago, LS</t>
  </si>
  <si>
    <t>Water relations of evergreen and drought-deciduous trees along a seasonally dry tropical forest chronosequence</t>
  </si>
  <si>
    <t>Groundwater; Resource partitioning; Stable isotopes; Water-use efficiency; Yucatan Peninsula</t>
  </si>
  <si>
    <t>OXYGEN-ISOTOPE COMPOSITION; SOIL-WATER; STOMATAL CONDUCTANCE; CARBON ISOTOPES; STABLE OXYGEN; CANOPY TREES; KARST SOILS; PLANTS; DEPTH; DISCRIMINATION</t>
  </si>
  <si>
    <t>Seasonally dry tropical forests (SDTF) are characterized by pronounced seasonality in rainfall, and as a result trees in these forests must endure seasonal variation in soil water availability. Furthermore, SDTF on the northern Yucatan Peninsula, Mexico, have a legacy of disturbances, thereby creating a patchy mosaic of different seral stages undergoing secondary succession. We examined the water status of six canopy tree species, representing contrasting leaf phenology (evergreen vs. drought-deciduous) at three seral stages along a fire chronosequence in order to better understand strategies that trees use to overcome seasonal water limitations. The early-seral forest was characterized by high soil water evaporation and low soil moisture, and consequently early-seral trees exhibited lower midday bulk leaf water potentials (I-L) relative to late-seral trees (-1.01 +/- A 0.14 and -0.54 +/- A 0.07 MPa, respectively). Although I-L did not differ between evergreen and drought-deciduous trees, results from stable isotope analyses indicated different strategies to overcome seasonal water limitations. Differences were especially pronounced in the early-seral stage where evergreen trees had significantly lower xylem water delta O-18 values relative to drought-deciduous trees (-2.6 +/- A 0.5 and 0.3 +/- A 0.6aEuro degrees, respectively), indicating evergreen species used deeper sources of water. In contrast, drought-deciduous trees showed greater enrichment of foliar O-18 (a dagger O-18(l)) and C-13, suggesting lower stomatal conductance and greater water-use efficiency. Thus, the rapid development of deep roots appears to be an important strategy enabling evergreen species to overcome seasonal water limitation, whereas, in addition to losing a portion of their leaves, drought-deciduous trees minimize water loss from remaining leaves during the dry season.</t>
  </si>
  <si>
    <t>10.1007/s00442-010-1725-y</t>
  </si>
  <si>
    <t>Williams, J; Jenkins, GP; Hindell, JS; Swearer, SE</t>
  </si>
  <si>
    <t>Linking environmental flows with the distribution of black bream Acanthopagrus butcheri eggs, larvae and prey in a drought affected estuary</t>
  </si>
  <si>
    <t>Ichthyoplankton; Larvae; Prey; Copepod; Stratification; Zooplankton; Halocline</t>
  </si>
  <si>
    <t>FRESH-WATER-FLOW; PERCH MORONE-AMERICANA; EARLY-LIFE STAGES; WHITE PERCH; SALT-WEDGE; TURBIDITY MAXIMUM; CLIMATE-CHANGE; FISH; ZOOPLANKTON; RIVER</t>
  </si>
  <si>
    <t>Estuaries are under threat from changes in freshwater flows resulting from anthropogenic impacts and climate change, with unknown consequences for estuarine biota. In the past decade, significant rain deficits in south-eastern Australia have coincided with a decrease in commercial catches of black bream Acanthopagrus butcheri, an important commercial and re creational fish species that spawn in estuaries. We investigated the temporal and spatial distribution of black bream eggs and larvae, and copepods - preferred larval prey - in relation to the hydrology of the Mitchell River, a drought-stricken tributary of Australia's largest estuarine lagoon system. We collected eggs, larvae, zooplankton and water quality data at multiple depths from 8 sampling sites over 7 fieldtrips from August to December 2008. The hydrology of the Mitchell River during this study was highly complex and influenced by freshwater flow. Spatial coupling between black bream larvae, copepods and the halocline was observed in the upper estuary. Nauplii of the copepod Gladioferens pectinatus, an important prey species for larval fish, dominated the zooplankton assemblage (&gt;80%) and larval gut contents. This study demonstrates that freshwater flows and the generation of salinity stratification have a large influence on the size of suitable habitat for larval bream. Drought, water abstraction and climate change could potentially reduce flows to the point where salinity stratification in the estuary is diminished, resulting in declines in replenishment to populations of black bream and possibly other estuarine-dependent fish.</t>
  </si>
  <si>
    <t>10.3354/meps10280</t>
  </si>
  <si>
    <t>Browne, DR; Rasmussen, JB</t>
  </si>
  <si>
    <t>Rapid response of brook trout to removal of its intraguild prey, yellow perch</t>
  </si>
  <si>
    <t>Competition; Zooplanktivory; Benthivory; Stable isotopes; Trophic position</t>
  </si>
  <si>
    <t>STIZOSTEDION-VITREUM-VITREUM; WHOLE-LAKE; SALVELINUS-FONTINALIS; LONG-TERM; PREDATION; FLAVESCENS; FISH; COMMUNITY; DYNAMICS; RECOVERY</t>
  </si>
  <si>
    <t>Brook trout (BT) and yellow perch (YP) interact as intraguild predator and prey: while adult BT consume YP, juvenile BT and YP compete for food resources, i.e. zooplankton (mainly a pelagic resource) and zoobenthos (mainly littoral). YP appear to dominate the interaction, reducing BT abundance in lakes with YP present. We removed 90 % of YP from a 35 ha oligotrophic lake to test whether the removal of the dominant competitor would lead to an increase in growth and recruitment of juvenile BT. This manipulation shifted the YP:BT biomass ratio from 11:1 to 1.5:1. The food web response was evaluated using the pre-removal condition as the reference. The abundance of cladoceran zooplankton increased, especially large-bodied Dapnia catawba, and the body size of Daphnia dubia increased significantly, responses indicative of reduced zooplanktivory. Some benthic taxa (chironomid and Ephemeroptera larvae) also increased following YP removal. BT responded rapidly: mean length at age-1 increased from 11.6 cm to 12.8 cm (similar to 35 % weight increase), the condition of 15-25 cm trout improved, and stable isotopes indicated increased consumption of littoral-linked prey by 20 to 30 cm BT. YP, despite their reduced abundance, remained the primary prey of large BT (&gt; 25 cm). The suite of changes observed in response to YP removal support the view that although YP are the primary prey of large BT, they exert a strong competitive effect on juvenile BT. Further study would be required in order to assess whether piscivorous BT can establish persistent top-down control of YP due to enhanced juvenile BT recruitment.</t>
  </si>
  <si>
    <t>10.1007/s10641-012-0087-1</t>
  </si>
  <si>
    <t>Devlin, SP; Vander Zanden, MJ; Vadeboncoeur, Y</t>
  </si>
  <si>
    <t>Depth-specific variation in carbon isotopes demonstrates resource partitioning among the littoral zoobenthos</t>
  </si>
  <si>
    <t>food webs; invertebrates; littoral; periphyton; stable isotopes</t>
  </si>
  <si>
    <t>BENTHIC INVERTEBRATE PRODUCTION; DISSOLVED ORGANIC-MATTER; PLANKTONIC FOOD-WEB; CULTURAL EUTROPHICATION; RELATIVE IMPORTANCE; STABLE-ISOTOPES; SMALL LAKES; TERRESTRIAL; LIGHT; ZOOPLANKTON</t>
  </si>
  <si>
    <t>Benthic animals readily consume benthic algae, phytoplankton and terrestrial organic matter and are themselves a major component of fish diets. However, the effect of variation in resource availability on resource use by littoral macroinvertebrates remains poorly resolved. Using stable isotopes of carbon, we quantified depth-specific resource use by zoobenthic functional feeding groups in five lakes in northern Wisconsin. The littoral zoobenthos was collected from soft sediments at several depths in conjunction with samples of bulk periphyton (top 5mm of sediment and biofilm) and measurements of benthic algal primary productivity. Periphyton C-13 was positively correlated with depth-specific benthic algal primary productivity, but grazer C-13 was consistently higher than that of the periphyton. The C-13 of infaunal collectors and predators was tightly correlated with, and nearly identical to, bulk periphyton C-13 (collectors: R-2, 0.88; slope, 0.97; P&lt;0.0001; predators: R-2, 0.78; slope, 0.88; P&lt;0.0001). Reliance of collectors and predators on benthic algal carbon varied between 43 and 100%, depending on whether grazers or bulk periphyton was used as the benthic algal end-member. Despite the apparent homogeneity of the sediments, benthic grazers and collectors partitioned resources in a consistent way in our study lakes, indicating either selective ingestion or assimilation of different components of the biofilm.</t>
  </si>
  <si>
    <t>10.1111/fwb.12218</t>
  </si>
  <si>
    <t>Cascading Effects of Climate Change on Forest Ecosystems: Biogeochemical Links Between Trees and Moose in the Northeast USA</t>
  </si>
  <si>
    <t>climate change; snow pack depth; soil freezing; N cycling; herbivores; moose; N-15 stable isotopes</t>
  </si>
  <si>
    <t>SUGAR MAPLE; ISLE-ROYALE; NITROGEN MINERALIZATION; LITTER DECOMPOSITION; SOIL FROST; BALSAM FIR; SNOW DEPTH; PLANT; DYNAMICS; CARBON</t>
  </si>
  <si>
    <t>The relationship between herbivores, plants and nutrient dynamics, has been investigated in many systems; however, how these relationships are influenced by changing climate has had much less attention. In the northeastern USA, both moose populations and winter climate have been changing. Moose, once extirpated from the region, have made a comeback; while locally, snow depth and duration of snow cover have declined. There is considerable uncertainty in how these changes will interact to influence forested systems. We used small experimental plots and transects along with snow removal (to elicit soil freezing and expose potential forage plants), mechanical browsing, and fecal additions (labeled with N-15) to examine ecosystem responses. We found that snow removal changed moose browsing behavior, with balsam fir more heavily browsed than sugar maple or Viburnum under low snow conditions. Soil freezing alone did not significantly alter N dynamics or selected plant responses, but there were significant interactions with moose activity. The combined effects of moose fecal additions, mechanical browsing, and soil freezing resulted in higher levels of NO3 (-) leaching under fir and maple, whereas Viburnum had essentially no response to these multiple factors. Our results suggest that declines in snow depth can initiate a cascade of ecosystem responses, beginning with exposure of plants to increased browsing that then triggers a series of responses that can lead to higher N losses, precipitated by decreased N demand in plants compromised by soil freezing damage. Balsam fir may be particularly susceptible to this cascade of multiple stresses.</t>
  </si>
  <si>
    <t>10.1007/s10021-013-9733-5</t>
  </si>
  <si>
    <t>Yang, L; Liu, DF; Huang, YL; Yang, ZJ; Ji, DB; Song, LX</t>
  </si>
  <si>
    <t>Isotope analysis of the nutrient supply in Xiangxi Bay of the Three Gorges Reservoir</t>
  </si>
  <si>
    <t>Three Gorges Reservoir; Hydrogen and oxygen isotopes; Nutrient supply; Density flow; Eutrophication; Algal bloom</t>
  </si>
  <si>
    <t>TRITIUM ISOTOPES; STABLE-ISOTOPE; SOIL-WATER; OXYGEN; HYDROGEN; GROUNDWATER; EVAPORATION; DEUTERIUM; MOVEMENT; RIVER</t>
  </si>
  <si>
    <t>Nutrients are material basis of eutrophication and algal blooms in the water body. Xiangxi Bay (XXB), the largest tributary bay in the lower reach of the Three Gorges Reservoir (TGR), is subject to such eutrophication and algal blooms. In order to investigate the supply patterns of nutrients in XXB, stable isotopes of hydrogen (delta D) and oxygen (delta O-18), nutrients, and flow velocity were observed from September 2012 to December 2013. A two-compartment linear mixing model based on the tracer principle of dD and delta O-18 was employed to calculate the water and nutrients contributions to XXB from the mainstream of TGR and the upper tributaries of the XXB. The average nutrients concentrations of XXB were estimated and compared to the observed values in the field. The results suggested that there was obvious layered and bidirectional density current in XXB, which had a significant impact on nutrient supply pattern and spatial and temporal distribution of the isotopes and nutrients in XXB. The water contributions of the mainstream of TGR and the upper tributaries for XXB were 84% and 16%, respectively. Moreover, the nitrogen and phosphorus nutrients imported into XXB through the mainstream of TGR were over 80% and 60%, respectively, higher than those of the upper tributaries. The calibration of nutrients concentration in XXB showed that the error between the calculated and the observed was about within 20%, which confirmed further the reliability that the nutrients in XXB come mainly from the mainstream of TGR. The results address the attention that the pollution control should be implemented not only in the tributary watershed, but also the whole upstream region of the TGR for prevention of its tributaries algal blooms. (C) 2015 Elsevier B.V. All rights reserved.</t>
  </si>
  <si>
    <t>10.1016/j.ecoleng.2015.01.013</t>
  </si>
  <si>
    <t>Mehner, T; Rapp, T; Monk, CT; Beck, ME; Trudeau, A; Kiljunen, M; Hilt, S; Arlinghaus, R</t>
  </si>
  <si>
    <t>Feeding Aquatic Ecosystems: Whole-Lake Experimental Addition of Angler's Ground Bait Strongly Affects Omnivorous Fish Despite Low Contribution to Lake Carbon Budget</t>
  </si>
  <si>
    <t>subsidy; human-derived food; stable isotopes; fish behavior; fish growth</t>
  </si>
  <si>
    <t>CYPRINUS-CARPIO; FOOD WEBS; TERRESTRIAL SUPPORT; ORGANIC-CARBON; WATER-QUALITY; C-13 ADDITION; SUBSIDIES; RESOURCES; INSIGHTS; IMPACTS</t>
  </si>
  <si>
    <t>It is well documented that aquatic ecosystems may be subsidized by naturally derived terrestrial carbon sources. In contrast, the intentional or unintentional subsidy of animal populations by human-derived feed resources and their ecosystem effects are poorly studied. We added ground baits of the type, amount and temporal duration commonly applied by anglers targeting cyprinid fishes to a small lake, and studied behavior, diet composition and annual growth rate of the lake fish community in response to the bait addition. Based on recordings by a high-resolution ultrasonic telemetry array, common carp (Cyprinus carpio) as a model benthivore spend more time at the sites where ground baits were added, and they significantly reduced their home range relative to the period before bait addition. Furthermore, many omnivorous cyprinid fish species were regularly caught by angling at the feeding sites, indicating active ingestion of the artificially added food items. Stable isotope analyses of C-13 and N-15 showed that in particular larger specimens of common carp, bream (Abramis brama), white bream (Blicca bjoerkna), tench (Tinca tinca), roach (Rutilus rutilus) and rudd (Scardinius erythrophthalmus) included substantial amounts of angler baits into their diet. There was also a significant acceleration of growth in bream and white bream after bait addition, most likely attributable to the energetic benefits from bait addition. In contrast, there was no response in annual growth rate in top predators, suggesting they did not benefit from the subsidy. The amount of carbon introduced was very low (about 1%) relative to an estimate of in-lake C fixation by autotrophs. However, if the C added by bait was compared with the coarsely estimated secondary production of benthic macroinvertebrates in the lake, the C available to benthivorous and omnivorous fishes was comparable between natural resources and angler baits. We conclude that human-derived feed resources associated with recreational fishing may constitute a substantial subsidy to omnivorous fishes in lakes, in particular if the food is provided in form of particles, which are readily accessible and found at repeatable feeding places and over sufficiently long time periods during a year. The long-term consequences for the receiving ecosystems still have to be elucidated.</t>
  </si>
  <si>
    <t>10.1007/s10021-018-0273-x</t>
  </si>
  <si>
    <t>Coulter, AA; Swanson, HK; Goforth, RR</t>
  </si>
  <si>
    <t>Seasonal variation in resource overlap of invasive and native fishes revealed by stable isotopes</t>
  </si>
  <si>
    <t>Silver Carp; Stable isotopes; SIBER; Asian carp; Resource overlap; Bayesian ellipses</t>
  </si>
  <si>
    <t>ASIAN CARP; FOOD-WEB; NICHE; GROWTH; DYNAMICS</t>
  </si>
  <si>
    <t>Species invasions may disrupt resource partitioning in aquatic ecosystems, potentially resulting in competitive exclusion, or shifts in resource use by native species. Diet overlap between invasive Silver Carp (Hypophthalmichthys molitrix) and native planktivores has been linked to declines in condition and abundance of native planktivores. However, there is little information on how such diet overlap varies temporally. We used stable-isotope ratios to examine seasonal resource overlap among Silver Carp and two native planktivores, Gizzard Shad (Dorosoma cepedianum) and Bigmouth Buffalo (Ictiobus cyprinellus). Resource overlap between Bigmouth Buffalo and Silver Carp was minimal (&lt;1%) in all seasons, whereas overlap between Gizzard Shad and Silver Carp (7-36%) was larger and varied seasonally. The greatest resource overlap among species occurred in summer, while the smallest overlap occurred in spring. Resource use by Silver Carp appears to be highly specialized in the fall, as indicated by a narrow isotopic niche.Variation in niche size among seasons suggests that Silver Carp may be plastic in their resource use. Overall, the limited resource overlap among invasive and native species revealed in this study suggests potentially low invasive-native competition, although competition may have acted prior to our study to produce shifts in resource use by native fishes.</t>
  </si>
  <si>
    <t>10.1007/s10530-018-1832-y</t>
  </si>
  <si>
    <t>Baiser, B; Gravel, D; Cirtwill, AR; Dunne, JA; Fahimipour, AK; Gilarranz, LJ; Grochow, JA; Li, DJ; Martinez, ND; McGrew, A; Poisot, T; Romanuk, TN; Stouffer, DB; Trotta, LB; Valdovinos, FS; Williams, RJ; Wood, SA; Yeakel, JD</t>
  </si>
  <si>
    <t>Ecogeographical rules and the macroecology of food webs</t>
  </si>
  <si>
    <t>Bergmann's rule; ecogeographical rules; ecological networks; food webs; island rule; latitudinal diversity gradient; macroecology; Rapoport's rule</t>
  </si>
  <si>
    <t>LATITUDINAL DIVERSITY GRADIENT; BODY-SIZE VARIATION; BERGMANNS RULE; ISLAND RULE; NETWORK STRUCTURE; RAPOPORTS RULE; SPECIES-DIVERSITY; INTERACTION STRENGTHS; BIOTIC INTERACTIONS; GEOGRAPHICAL RANGE</t>
  </si>
  <si>
    <t>Aim How do factors such as space, time, climate and other ecological drivers influence food web structure and dynamics? Collections of well-studied food webs and replicate food webs from the same system that span biogeographical and ecological gradients now enable detailed, quantitative investigation of such questions and help integrate food web ecology and macroecology. Here, we integrate macroecology and food web ecology by focusing on how ecogeographical rules [the latitudinal diversity gradient (LDG), Bergmann's rule, the island rule and Rapoport's rule] are associated with the architecture of food webs. Location Global. Time period Current. Major taxa studied All taxa. Methods We discuss the implications of each ecogeographical rule for food webs, present predictions for how food web structure will vary with each rule, assess empirical support where available, and discuss how food webs may influence ecogeographical rules. Finally, we recommend systems and approaches for further advancing this research agenda. Results We derived testable predictions for some ecogeographical rules (e.g. LDG, Rapoport's rule), while for others (e.g., Bergmann's and island rules) it is less clear how we would expect food webs to change over macroecological scales. Based on the LDG, we found weak support for both positive and negative relationships between food chain length and latitude and for increased generality and linkage density at higher latitudes. Based on Rapoport's rule, we found support for the prediction that species turnover in food webs is inversely related to latitude. Main conclusions The macroecology of food webs goes beyond traditional approaches to biodiversity at macroecological scales by focusing on trophic interactions among species. The collection of food web data for different types of ecosystems across biogeographical gradients is key to advance this research agenda. Further, considering food web interactions as a selection pressure that drives or disrupts ecogeographical rules has the potential to address both mechanisms of and deviations from these macroecological relationships. For these reasons, further integration of macroecology and food webs will help ecologists better understand the assembly, maintenance and change of ecosystems across space and time.</t>
  </si>
  <si>
    <t>10.1111/geb.12925</t>
  </si>
  <si>
    <t>Igulu, MM; Nagelkerken, I; van der Velde, G; Mgaya, YD</t>
  </si>
  <si>
    <t>Mangrove Fish Production is Largely Fuelled by External Food Sources: A Stable Isotope Analysis of Fishes at the Individual, Species, and Community Levels from Across the Globe</t>
  </si>
  <si>
    <t>stable isotopes; mangrove; carbon flux; connectivity; seagrass</t>
  </si>
  <si>
    <t>CORAL-REEF FISH; SEAGRASS BEDS; FEEDING HABITATS; ORGANIC-MATTER; JUVENILE FISH; SHALLOW-WATER; CARIBBEAN MANGROVES; RELATIVE IMPORTANCE; NURSERY HABITATS; CARBON DYNAMICS</t>
  </si>
  <si>
    <t>Coastal ecosystems are energetically connected through passive transport of nutrients but also by migrations of motile organisms. Mangroves are highly productive tropical ecosystems that replenish offshore populations of many species, but we know little about the degree to which this production is fuelled by prey from mangroves, especially in the cases in which mangroves are only accessible at high tide. Different results have been obtained on the importance of mangroves as feeding habitats, confounded by differences in species composition, seascape configuration, and methodology. In the present study, we took a more holistic approach by exploring reliance by fishes on mangroves as a feeding habitat at multiple ecological levels: from individuals to species to communities in mangrove ecosystems from across the globe, using a stable isotope approach. A two end-member mixing model showed a wide range (12-72%) in degree of reliance on mangrove food sources by fishes from different studies across the globe. However, analyzed at the levels of individual fish and species, reliance was low (for example, &lt; 25% for 55% of the species worldwide, or &lt; 50% for 85% of species, respectively) even though they were collected from sites that differed in geographical location, tidal regime, seascape structure, and species composition. The high fisheries productivity of mangroves appears to be energetically supported largely by food sources from adjacent habitats. In light of the ongoing rapid demise and fragmentation of mangrove and adjacent ecosystems, loss of ecosystem connectivity is likely to affect the productivity and functioning of tropical coastal ecosystems and the services they provide.</t>
  </si>
  <si>
    <t>10.1007/s10021-013-9687-7</t>
  </si>
  <si>
    <t>Blazer, VS; Hoffman, J; Walsh, HL; Braham, RP; Hahn, C; Collins, P; Jorgenson, Z; Ledder, T</t>
  </si>
  <si>
    <t>Health of white sucker within the St. Louis River area of concern associated with habitat usage as assessed using stable isotopes</t>
  </si>
  <si>
    <t>White sucker; Stable isotopes; Habitat usage; Tumors</t>
  </si>
  <si>
    <t>ENVIRONMENTAL-STRESS FACTORS; FLOUNDER PLATICHTHYS-FLESUS; CATOSTOMUS-COMMERSONI; BROWN BULLHEAD; HEPATIC NEOPLASMS; GREAT-LAKES; CHEMICAL CONTAMINANTS; DIAGNOSTIC-CRITERIA; ESTUARINE WATERS; LIVER NEOPLASMS</t>
  </si>
  <si>
    <t>In Spring 2011, 200 adult white sucker were collected in four areas of the St. Louis River area of concern (AOC), located in Minnesota and Wisconsin, USA. The areas included the upper AOC as a reference area, the upper estuary, St. Louis Bay and Superior Bay. Grossly visible abnormalities were documented and preserved for microscopic analyses, as were five to eight representative pieces of liver tissue. A piece of dorsal muscle was preserved for stable isotope analyses and otoliths removed for age determination. The incidence of raised skin lesions (mucoid plaques) was high (31 %), however, microscopically only 4.5 % of the white suckers had neoplasia (papillomas). The remaining lesions were epidermal hyperplasia. Superior Bay had the lowest percentage of skin/lip lesions (10 %), while St. Louis Bay had the highest (44 %). St. Louis Bay also had the highest incidence of skin neoplasms (12 %). No hepatocellular neoplasms were documented, however bile duct tumors were observed in 4.5 % of the suckers. Foci of cellular alteration were observed in fish from all sites except the upper AOC. Stable isotope data indicated that most of the suckers relied on the St. Louis River AOC for the majority (&gt; 75 %) of their diet, indicating they were resident within the AOC and not in Lake Superior. The amount of diet obtained from the upper estuary was a significant predictor of skin lesion incidence. Hence, habitat use within the AOC appears to be an important risk factor for skin and possibly, liver lesions.</t>
  </si>
  <si>
    <t>10.1007/s10646-013-1167-5</t>
  </si>
  <si>
    <t>Ellwood, MDF; Northfield, RGW; Mejia-Chang, M; Griffiths, H</t>
  </si>
  <si>
    <t>On the vapour trail of an atmospheric imprint in insects</t>
  </si>
  <si>
    <t>stable isotopes; arthropods; niches; neutral theory; climate change</t>
  </si>
  <si>
    <t>MICROCLIMATE</t>
  </si>
  <si>
    <t>Terrestrial arthropods, at constant risk from desiccation, are highly sensitive to atmospheric temperature and humidity. A physiological marker of these abiotic conditions could highlight phenotypic adaptations, indicate niche partitioning, and predict responses to climate change for a group representing three-quarters of the Earth's animal species. We show that the O-18 composition of insect haemolymph is such a measure, providing a dynamic and quantitatively predictable signal for respiratory gas exchange and inputs from atmospheric humidity. Using American cockroaches (Periplaneta americana) under defined experimental conditions, we show that insects respiring at low humidity demonstrate the expected enrichment in the O-18 composition of haemolymph because of evaporation. At high humidity, however, diffusional influx of atmospheric water vapour into the animal forces haemolymph to become depleted in O-18. Additionally, using cockroaches sampled from natural habitats, we show that the haemolymph O-18 signature is transferred to the organic material of the insect's exoskeleton. Insect cuticle, therefore, exhibits the mean atmospheric conditions surrounding the animals prior to moulting. This discovery will help to define the climatic tolerances of species and their habitat preferences, and offers a means of quantifying the balance between niche partitioning and 'neutral' processes in shaping complex tropical forest communities.</t>
  </si>
  <si>
    <t>10.1098/rsbl.2010.1171</t>
  </si>
  <si>
    <t>Hayden, B; Harrod, C; Kahilainen, KK</t>
  </si>
  <si>
    <t>Lake morphometry and resource polymorphism determine niche segregation between cool- and cold-water-adapted fish</t>
  </si>
  <si>
    <t>biological invasion; climate change; Coregonus lavaretus; Finnish Lapland; intraspecific morphs; lake depth; Perca fluviatilis; resource competition; species distribution; stable isotopes; thermal guild; trophic niche</t>
  </si>
  <si>
    <t>WHITEFISH COREGONUS-LAVARETUS; PERCH PERCA-FLUVIATILIS; CLIMATE-CHANGE; SYMPATRIC WHITEFISH; ICE-COVER; L. FORMS; IMPACTS; HABITAT; SIZE; COMMUNITIES</t>
  </si>
  <si>
    <t>Climate change is increasing ambient temperatures in Arctic and subarctic regions, facilitating latitudinal range expansions of freshwater fishes adapted to warmer water temperatures. The relative roles of resource availability and interspecific interactions between resident and invading species in determining the outcomes of such expansions has not been adequately evaluated. Ecological interactions between a cool-water adapted fish, the perch (Perca fluviatilis), and the cold-water adapted European whitefish (Coregonus lavaretus), were studied in both shallow and deep lakes with fish communities dominated by (1) monomorphic whitefish, (2) monomorphic whitefish and perch, and (3) polymorphic whitefish and perch. A combination of stomach content, stable-isotope, and invertebrate prey availability data were used to identify resource use and niche overlap among perch, the trophic generalist large sparsely rakered (LSR) whitefish morph, and the pelagic specialist densely rakered (DR) whitefish morph in 10 subarctic lakes at the contemporary distribution limit of perch in northern Scandinavia. Perch utilized its putative preferred littoral niche in all lakes. LSR whitefish utilized both littoral and pelagic resources in monomorphic whitefish-dominated lakes. When found in sympatry with perch, LSR whitefish exclusively utilized pelagic prey in deep lakes, but displayed niche overlap with perch in shallow littoral lakes. DR whitefish was a specialist zooplanktivore, relegating LSR whitefish from pelagic habitats, leading to an increase in niche overlap between LSR whitefish and perch in deep lakes. Our results highlight how resource availability (lake depth and fish community) governs ecological interactions between native and invading species, leading to different outcomes even at the same latitudes. These findings suggest that lake morphometry and fish community structure data should be included in bioclimate envelope-based models of species distribution shifts following predicted climate change.</t>
  </si>
  <si>
    <t>10.1890/13-0264.1</t>
  </si>
  <si>
    <t>Xu, D; Wang, Y; Liu, D; Wu, D; Zou, CX; Chen, YS; Cai, Y; Leng, X; An, SQ</t>
  </si>
  <si>
    <t>Spatial heterogeneity of food web structure in a large shallow eutrophic lake (Lake Taihu, China): implications for eutrophication process and management</t>
  </si>
  <si>
    <t>Food web; stable isotope; mixing model; large shallow lake; Lake Taihu</t>
  </si>
  <si>
    <t>ALTERNATIVE STABLE STATES; ECOLOGICAL RISK-ASSESSMENT; ISOTOPE ANALYSIS; REGIME SHIFTS; TEMPORAL TRENDS; LONG-TERM; ENVIRONMENTAL-FACTORS; TROPHIC STRUCTURE; ORGANIC-MATTER; COMMUNITY</t>
  </si>
  <si>
    <t>The knowledge of food web spatial heterogeneity is important for ecologists and lake managers to understand ecosystem complexity and lake management. Lake Taihu, a large shallow eutrophic lake in China, has two distinct zones: algae- and macrophyte-dominated. In this study, we assessed the spatial heterogeneity of food webs in the two lake zones using stable isotope analysis and isotope mixing model. The basal sources and consumers showed significant differences in delta C-13 and delta N-15 ratios between the two lake zones, except for the filter-feeding fishes. Overall, more delta C-13-depleted and delta N-15-enriched ratios were found in the algae- than the macrophyte-dominated zones for basal sources and consumers. Although the consumers in the algae-dominant zone had higher average delta N-15 values, the food web of the macrophyte-dominated zone had longer food chain length and more diverse trophic linkages. These spatial differences may have resulted from resource availability and environmental stress of Lake Taihu ecosystem. Factors associated with spatial trophic heterogeneity should be considered for the management and restoration of this shallow eutrophic lake.</t>
  </si>
  <si>
    <t>10.1080/02705060.2019.1581101</t>
  </si>
  <si>
    <t>Gonzalez-Pestana, A; Silva-Garay, L; Quinones, J; Mayaute, L; Manrique, M; Segura-Cobena, E; Espinoza, P; Moscoso, V; Velez-Zuazo, X; Alfaro-Shigueto, J; Mangel, JC</t>
  </si>
  <si>
    <t>Geographic and ontogenetic variation in the diet of two commonly exploited batoids (Chilean eagle ray and Pacific guitarfish) off Peru: evidence of trophic plasticity</t>
  </si>
  <si>
    <t>Trophic position; Foraging habitat; Southeastern Pacific; Pseudobatos planiceps; Myliobatis chilensis</t>
  </si>
  <si>
    <t>RHINOBATOS-GLAUCOSTIGMA ELASMOBRANCHII; FEEDING ECOLOGY; COASTAL WATERS; FOOD-HABITS; 4 ABUNDANT; BODY-SIZE; FISHERIES; CHONDRICHTHYES; HYPOTHESIS; RAJIFORMES</t>
  </si>
  <si>
    <t>This study provides information about the diet across geographic areas and throughout ontogeny and sex of two coastal and commercial batoid species in Peru (Chilean eagle ray Myliobatis chilensis and Pacific guitarfish Pseudobatos planiceps). Data was collected in the central coast (13 degrees 30 ' S to 14 degrees 30 ' S; Pisco district, Lima) and in the northern coast (13 degrees 12 ' S to 13 degrees 49 ' S; San Jose district, Lambayeque) off Peru during the second semester of the years 2015 and 2016 (i.e., winter and spring) in an El Nino event. A total of 357 stomach contents were analyzed in northern and central Peru with different oceanographic and ecological conditions. In the central coast, M. chilensis showed a high trophic position (tertiary consumer) due to its high consumption of Peruvian anchoveta (Engraulis ringens), while P. planiceps had a lower trophic position (secondary consumer) and a less specialized diet of benthic invertebrates (i.e., crustaceans and mollusks) and pelagic fish (e.g., E. ringens). In the northern coast, both species preyed mainly upon benthic invertebrates and to a lesser degree on fish; therefore, their trophic position was lower. Dietary variation was influenced by species, geographic location, and ontogeny. The diet variability between geographic locations shows insights of these batoids' trophic plasticity and opportunistic feeding behavior in response to differences in the local prey availability, an effect that may be amplified during the El Nino-Southern Oscillation (ENSO). The spatial variation in this species diet may indicate that they play different ecological roles in distinct environments. This study contributes to the scarce literature about batoids' ecology in the southeast Pacific Ocean and presents novel information on habitat-specific diet composition.</t>
  </si>
  <si>
    <t>10.1007/s10641-021-01157-w</t>
  </si>
  <si>
    <t>Rehage, JS; Lopez, LK; Sih, A</t>
  </si>
  <si>
    <t>A comparison of the establishment success, response to competition, and community impact of invasive and non-invasive Gambusia species</t>
  </si>
  <si>
    <t>Invasive species; Gambusia; Competition; Trophic impact; Cyprenella lutrensis</t>
  </si>
  <si>
    <t>LIFE-HISTORY; INTRODUCED POPULATIONS; CYPRINELLA-LUTRENSIS; BIOLOGICAL INVASIONS; FUNCTIONAL-RESPONSES; BIOTIC RESISTANCE; FORAGING BEHAVIOR; TROPHIC POSITION; PLANT INVASIONS; RED SHINER</t>
  </si>
  <si>
    <t>How an invader responds to the novel biotic elements of a new community will affect its ability to invade. Species that are able to cope well with novel competitors might be expected to achieve greater establishment success. We compared the population-level responses of two mosquitofish species, the widespread invader Gambusia affinis and non-invasive G. geiseri to competition from each other and a non-invasive competitor. We simulated the invasion of a simplified pond community by introducing different combinations of the Gambusia spp. into communities already inhabited by a novel competitor, the red shiner Cyprenella lutrensis. We measured the effect of competition on establishment success by comparing population abundances achieved by each Gambusia species in all treatments, and examined whether the invasive and non-invasive Gambusia differed in their community impact by comparing their effects on the abundances of pond fauna. We also used N and C stable isotope analysis to compare their trophic roles. Both novel and intrageneric competition negatively affected both Gambusia spp.'s abundances, but the invasive G. affinis managed to remain more abundant than G. geiseri regardless of competition treatment. Stable isotope analysis revealed the Gambusia spp. to have similar trophic placement and showed competition to cause significant trophic shifts only in G. geiseri. A cascading effect (reduced phytoplankton abundances) was detected only when G. affinis was present. These results suggest that a higher vulnerability to novel competition along with life history traits contributes to the limited spread of G. geiseri in comparison to the widespread G. affinis.</t>
  </si>
  <si>
    <t>10.1007/s10530-019-02113-7</t>
  </si>
  <si>
    <t>Wang, K; Zhao, KS; Xiong, X; Zhu, H; Ao, HY; Ma, KL; Xie, ZC; Wu, CX; Wang, H; Zhang, H; Zhang, PY; Xu, J</t>
  </si>
  <si>
    <t>Altered Energy Mobilization Within the Littoral Food Web in New Habitat Created by Climate-Induced Changes in Lake Water Level</t>
  </si>
  <si>
    <t>climate change; food webs; stable isotopes; terrestrial subsidies; Cladophora; Qinghai Lake</t>
  </si>
  <si>
    <t>DISSOLVED ORGANIC-MATTER; FISH; NUTRIENTS; STREAM; CARBON; RESOURCES; SUBSIDIES; NITROGEN; STORAGE</t>
  </si>
  <si>
    <t>Littoral zones in oligotrophic lakes play an essential role in supporting animal consumers and in the exchange of matter between the water body and the terrestrial sources, but are easily altered by changes in water level. We studied Qinghai Lake, a deep oligotrophic lake in northwest China, where lake water level has increased rapidly in recent years, altering the character of the littoral zones. We sampled common organisms and used stable carbon and nitrogen isotope analyses to compare how contributions of different sources (allochthonous and autochthonous) to the diets of consumers differed between sand (original habitat, OH) and submerged grassland (new habitat, NH) substrate habitat conditions. Our results showed that allochthonous resources (i.e., terrestrial detritus) constituted the largest diet proportion of consumers in OH due to poor nutrient conditions, while consumers in NH utilized more autochthonous resources (i.e., Cladophora and phytoplankton). We also found that terrestrial nutrient subsidies from soil and decomposed grass led to increased biomasses of Cladophora, phytoplankton, zooplankton and zoobenthos in NH compared to those in OH, accounting for autochthonous replacement of part of the allochthonous resources in NH. Therefore, hydrological conditions may alter the trophic interactions within littoral food webs, contributing to a more complex and interconnected food web. Overall, our results suggest that the littoral food webs of Qinghai Lake are vulnerable to changes in hydrological conditions, which may be enhanced by climate change.</t>
  </si>
  <si>
    <t>10.3389/fevo.2022.886372</t>
  </si>
  <si>
    <t>Kaown, D; Koh, DC; Mayer, B; Lee, KK</t>
  </si>
  <si>
    <t>Identification of nitrate and sulfate sources in groundwater using dual stable isotope approaches for an agricultural area with different land use (Chuncheon, mid-eastern Korea)</t>
  </si>
  <si>
    <t>Stable isotopes; Nitrate; Sulfate; Agriculture; Land use</t>
  </si>
  <si>
    <t>SHALLOW GROUNDWATER; DISSOLVED SULFATE; SOUTHERN GERMANY; NITROGEN-SOURCES; RESIDENCE TIME; FRANCONIAN ALB; DELTA-D; WATER; OXYGEN; CONTAMINATION</t>
  </si>
  <si>
    <t>The identification of sources and behavior of agricultural contaminants is important to control and manage groundwater quality of aquifer systems in rural areas. In this study, hydrogeochemistry of major constituents and stable isotope ratios of NO3- and SO42- in groundwater were determined to identify contamination sources and transformation processes occurring in soils and shallow groundwater of Yupori (Chuncheon district), a rural area in Korea with intense agricultural activities. The western gently sloped part of the study area, used mainly for vegetable cropping, was characterized by locally recharged Ca-Cl(NO3 + SO4) type groundwater with elevated NO3- concentrations (&gt; 10 mg L-1 NO3--N). Low delta S-34 values of sulfate and delta N-15 values of nitrate between 6 and 10 parts per thousand indicated that a mixture of chemical fertilizers and manure is responsible for groundwater contamination with agro-chemicals. In the steeper eastern part of the study area, in which fruit orchards are the predominant land use, the groundwater type was Ca-HCO3- water with lower NO3- (&lt;3 mg L-1 NO3--N) and sulfate concentrations. Elevated delta N-15 values of NO3- indicated that manure was the predominant NO3- source, but lower fertilizer application rates were the predominant reason for the lesser extent of groundwater contamination. This study demonstrates that a thorough evaluation of hydrodynamic and hydrochemical parameters in concert with multiple stable isotope ratios including dual isotopes of NO3- (N, O) and SO42- (S, O) constitutes an effective approach for identifying sources and transformation processes of NO3- and SO42- in shallow groundwater systems underneath agricultural areas with different land use. (C) 2009 Elsevier B.V. All rights reserved.</t>
  </si>
  <si>
    <t>10.1016/j.agee.2009.04.004</t>
  </si>
  <si>
    <t>Sena-Souza, JP; Rodovalho, NL; Andrade, AF; Pinto, JRR; Nardoto, GB</t>
  </si>
  <si>
    <t>Mapping the effects of Melinis minutiflora invasion on soil nitrogen dynamics in the Brazilian savanna: A dual-isotope approach</t>
  </si>
  <si>
    <t>Biological invasions; Melinis minutiflora; Soil nitrogen dynamics; Carbon stable isotopes; Nitrogen stable isotopes; Isoscapes</t>
  </si>
  <si>
    <t>ALIEN GRASSES; AFRICAN GRASS; P. BEAUV.; CERRADO; IMPACT; AVAILABILITY; BIOMASS; VEGETATION; ABUNDANCE; ENERGY</t>
  </si>
  <si>
    <t>The invasion of exotic grasses in the neotropical savannas is closely linked to the conversion of the native landscape into agriculture and cultivated pastures. Molasses grass (Melinis minutiflora P.Beauv.) is one of the main invasive species in abandoned fields and native vegetation areas with the potential to alter both the structure and functioning of these ecosystems. We used the dual-isotope approach to evaluate the impact of molasses grass invasion on nitrogen dynamics in the soil of a savanna formation located in the Cerrado region of Central Brazil. We divided three plots (70x80 m) in 300 sampling units (7x8 m each) classified by predominant vegetation type: native grasses (NG), native cerrado sensu stricto (CSS), or molasses grass (MG). We interpolated the soil 615N and 613C (0-10 cm depth) in the three plots to continuous surfaces using semivariogram fit and ordinary kriging models. We also compared the aboveground biomass, litter decomposition rates, and soil N pools among vegetation types. MG and NG had higher litter decomposition rates than CSS. Soil pH was higher under MG compared to CSS and NG. The local soil 615N isoscapes show the presence of MG in areas with higher soil 615N. Soil 613C under all vegetation types indicates a mixture between the C3 and C4 sources present in the soil organic matter, with the highest soil 613C under MG. The dual-isotope approach showed the altered processes in the invaded areas with an intensification of the soil N dynamics in the long term compared to the areas dominated by the wood strata and by native grasses. The C and N isoscapes indicated that plant-soil interactions yielded different patterns and showedthe effect of the molasses grass invasion. Therefore, the spatial distribution must be accounted for when assessing the effects and outcome of species interactions and invasion pressure.</t>
  </si>
  <si>
    <t>10.1016/j.pedobi.2023.150863</t>
  </si>
  <si>
    <t>Strickland, MS; Devore, JL; Maerz, JC; Bradford, MA</t>
  </si>
  <si>
    <t>Grass invasion of a hardwood forest is associated with declines in belowground carbon pools</t>
  </si>
  <si>
    <t>annual grass; carbon sequestration; carbon sink; exotic species; Japanese stiltgrass; Microstegium vimineum; Nepalese browntop; preferential substrate utilization; priming effects; stable isotopes</t>
  </si>
  <si>
    <t>MICROBIAL COMMUNITY STRUCTURE; EXOTIC PLANT INVASIONS; SOIL ORGANIC-CARBON; NITROGEN DYNAMICS; BIOLOGICAL INVASION; LITTER QUALITY; MYRICA-FAYA; EARTHWORMS; DECOMPOSITION; RESPIRATION</t>
  </si>
  <si>
    <t>Invasive plant species affect a range of ecosystem processes but their impact on belowground carbon (C) pools is relatively unexplored. This is particularly true for grass invasions of forested ecosystems. Such invasions may alter both the quantity and quality of forest floor inputs. Dependent on both, two theories, 'priming' and 'preferential substrate utilization', suggest these changes may decrease, increase, or leave unchanged native plant-derived soil C. Decreases are expected under 'priming' theory due to increased soil microbial activity. Under 'preferential substrate utilization', either an increase or no change is expected because the invasive plant's inputs are used by the microbial community instead of soil C. Here, we examine how Microstegium vimineum affects belowground C-cycling in a southeastern US forest. Following predictions of priming theory, M. vimineum's presence is associated with decreases in native-derived, C pools. For example, in September 2006 M. vimineum is associated with 24%, 34%, 36%, and 72% declines in total organic, particulate organic matter, mineralizable (a measure of microbially-available C), and microbial biomass C, respectively. Soil C derived from M. vimineum does not compensate for these decreases, meaning that the sum of native- plus invasive-derived C pools is smaller than native-derived pools in uninvaded plots. Supporting our inferences that C-cycling accelerates under invasion, the microbial community is more active per unit biomass: added 13C-glucose is respired more rapidly in invaded plots. Our work suggests that this invader may accelerate C-cycling in forest soils and deplete C stocks. The paucity of studies investigating impacts of grass invasion on C-cycling in forests highlights the need to study further M. vimineum and other invasive grasses to assess their impacts on C sink strength and forest fertility.</t>
  </si>
  <si>
    <t>10.1111/j.1365-2486.2009.02042.x</t>
  </si>
  <si>
    <t>Sun, Q; Klaus, VH; Wittwer, R; Liu, YJ; van der Heijden, MGA; Gilgen, AK; Buchmann, N</t>
  </si>
  <si>
    <t>Water uptake patterns of pea and barley responded to drought but not to cropping systems</t>
  </si>
  <si>
    <t>STABLE-ISOTOPE ANALYSIS; ROOT DISTRIBUTION; HYDRAULIC LIFT; SOIL-STRUCTURE; DEEP ROOTS; YIELD; TILLAGE; TRAITS; DEPTH; DELTA-O-18</t>
  </si>
  <si>
    <t>Agricultural production is under threat of water scarcity due to increasingly frequent and severe drought events under climate change. Whether a change in cropping systems can be used as an effective adaptation strategy against drought is still unclear. We investigated how plant water uptake patterns of a field-grown pea-barley (Pisum sativum L. and Hordeum vulgare L.) mixture, an important fodder intercrop, responded to experimental drought under four cropping systems, i.e. organic intensive tillage, conventional intensive tillage, conventional no tillage, and organic reduced tillage. Drought was simulated after crop establishment using rain shelters. Proportional contributions to plant water uptake from different soil layers were estimated based on stable water isotopes using Bayesian mixing models. Pea plants always took up proportionally more water from shallower depths than barley plants. Water uptake patterns of neither species were affected by cropping systems. Both species showed similar responses to the drought simulation and increased their proportional water uptake from the shallow soil layer (0-20 cm) in all cropping systems. Our results highlight the impact of drought on plant water uptake patterns for two important crop species and suggest that cropping systems might not be as successful as adaptation strategies against drought as previously thought.</t>
  </si>
  <si>
    <t>10.5194/bg-19-1853-2022</t>
  </si>
  <si>
    <t>Wright, C; Kagawa-Viviani, A; Gerlein-Safdi, C; Mosquera, GM; Poca, M; Tseng, H; Chun, KP</t>
  </si>
  <si>
    <t>Advancing ecohydrology in the changing tropics: Perspectives from early career scientists</t>
  </si>
  <si>
    <t>big data; climate change; land use; land cover; modelling; remote sensing; stable isotopes; tropical ecosystems</t>
  </si>
  <si>
    <t>WATER WORLDS HYPOTHESIS; LAND-COVER CHANGE; HEAT PULSE METHOD; SAP FLOW; STABLE-ISOTOPE; CLIMATE-CHANGE; DRY-SEASON; RUNOFF GENERATION; RESIDENCE TIMES; INVASIVE PLANTS</t>
  </si>
  <si>
    <t>Tropical ecosystems offer a unique setting for understanding ecohydrological processes, but to date, such investigations have been limited. The purpose of this paper is to highlight the importance of studying these processesspecifically, how they are being affected by the transformative changes taking place in the tropicsand to offer an agenda for future research. At present, the ongoing loss of native ecosystems is largely due to agricultural expansion, but parallel processes of afforestation are also taking place, leading to shifts in ecohydrological fluxes. Similarly, shifts in water availability due to climate change will affect both water and carbon fluxes in tropical ecosystems. A number of methods exist that can help us better understand how changes in land use and climate affect ecohydrological processes; these include stable isotopes, remote sensing, and process-based models. Still, our knowledge of the underlying physical mechanisms, especially those that determine the effects of scale on ecosystem processes, remains incomplete. We assert that development of a knowledge base concerning the effects of transformative change on ecological, hydrological, and biogeochemical processes at different spatio-temporal scales is an urgent need for tropical regions and should serve as a compass for emerging ecohydrologists. To reach this goal, we advocate a research agenda that expands the number and diversity of ecosystems targeted for ecohydrological investigations and connects researchers across the tropics. We believe that the use of big data and open source softwarealready an important integrative tool/skill for the young ecohydrologistwill be key in expanding research capabilities.</t>
  </si>
  <si>
    <t>e1918</t>
  </si>
  <si>
    <t>10.1002/eco.1918</t>
  </si>
  <si>
    <t>Godoy, O; Levine, JM</t>
  </si>
  <si>
    <t>Phenology effects on invasion success: insights from coupling field experiments to coexistence theory</t>
  </si>
  <si>
    <t>annual plants; biological invasions; coexistence theory; fitness differences; niches; phenology; species traits</t>
  </si>
  <si>
    <t>FLOWERING PHENOLOGY; NICHE DIFFERENCES; LEAF PHENOLOGY; ALIEN PLANTS; RESOURCE USE; CALIFORNIA; COMPETITION; INVASIVENESS; MAINTENANCE; PATTERNS</t>
  </si>
  <si>
    <t>Ecologists have identified a growing number of functional traits that promote invasion. However, whether trait differences between exotic and native species promote invasion success by enhancing niche differences or giving invaders competitive advantages is poorly understood. We explored the mechanisms by which phenology determines invasion success in a California annual plant community by quantifying how the seasonal timing of growth relates to niche differences that stabilize coexistence, and the competitive ability differences that drive dominance and exclusion. We parameterized models of community dynamics from experimentally assembled annual communities in which exotic plants displayed earlier, coincident, or later phenology than native residents. Using recent theoretical advances from the coexistence literature, we found that differences in phenology promote stabilizing niche differences between exotic and native species. However, phenology was more strongly related to competitive ability differences, allowing later invaders to outcompete earlier native competitors and native residents to outcompete earlier invaders in field experiments. Few of these insights could be inferred by comparing the competitive outcomes across invaders, highlighting the need to quantify niche and competitive ability differences when disentangling how species differences drive invasion success.</t>
  </si>
  <si>
    <t>10.1890/13-1157.1</t>
  </si>
  <si>
    <t>Chen, J; Zhang, Y; Kuzyakov, Y; Wang, D; Olesen, JE</t>
  </si>
  <si>
    <t>Challenges in upscaling laboratory studies to ecosystems in soil microbiology research</t>
  </si>
  <si>
    <t>field in situ observation; global change factors; laboratory incubation; microbial-based models; soil biogeochemistry; soil microbiology</t>
  </si>
  <si>
    <t>CARBON; FEEDBACK; SYSTEM</t>
  </si>
  <si>
    <t>Soil microbiology has entered into the big data era, but the challenges in bridging laboratory-, field-, and model-based studies of ecosystem functions still remain. Indeed, the limitation of factors in laboratory experiments disregards interactions of a broad range of in situ environmental drivers leading to frequent contradictions between laboratory- and field-based studies, which may consequently mislead model development and projections. Upscaling soil microbiology research from laboratory to ecosystems represents one of the grand challenges facing environmental scientists, but with great potential to inform policymakers toward climate-smart and resource-efficient ecosystems. The upscaling is not only a scale problem, but also requires disentangling functional relationships and processes on each level. We point to three potential reasons for the gaps between laboratory- and field-based studies (i.e., spatiotemporal dynamics, sampling disturbances, and plant-soil-microbial feedbacks), and three key issues of caution when bridging observations and model predictions (i.e., across-scale effect, complex-process coupling, and multi-factor regulation). Field-based studies only cover a limited range of environmental variation that must be supplemented by laboratory and mesocosm manipulative studies when revealing the underlying mechanisms. The knowledge gaps in upscaling soil microbiology from laboratory to ecosystems should motivate interdisciplinary collaboration across experimental, observational, theoretic, and modeling research.</t>
  </si>
  <si>
    <t>10.1111/gcb.16537</t>
  </si>
  <si>
    <t>Hebert, CE; Weseloh, DVC; Idrissi, A; Arts, MT; Roseman, E</t>
  </si>
  <si>
    <t>Diets of aquatic birds reflect changes in the Lake Huron ecosystem</t>
  </si>
  <si>
    <t>herring gull; Larus argentatus; waterbirds; ecosystem change; stable isotopes; fatty acids</t>
  </si>
  <si>
    <t>STABLE-ISOTOPE ANALYSIS; GULLS LARUS-ARGENTATUS; ESSENTIAL FATTY-ACIDS; FOOD-WEB STRUCTURE; GREAT-LAKES; HERRING GULL; RAINBOW SMELT; EGG SIZE; INDICATORS; SEABIRDS</t>
  </si>
  <si>
    <t>Human activities have affected the Lake Huron ecosystem, in part, through alterations in the structure and function of its food webs. Insights into the nature of food web change and its ecological ramifications can be obtained through the monitoring of high trophic level predators such as aquatic birds. Often, food web change involves alterations in the relative abundance of constituent species and/or the introduction of new species (exotic invaders). Diet composition of aquatic birds is influenced, in part, by relative prey availability and therefore is a sensitive measure of food web structure. Using bird diet data to make inferences regarding food web change requires consistent measures of diet composition through time. This can be accomplished by measuring stable chemical and/or biochemical ecological tracers in archived avian samples. Such tracers provide insights into pathways of energy and nutrient transfer. In this study, we examine the utility of two groups of naturally-occurring intrinsic tracers (stable isotopes and fatty acids) to provide such information in a predatory seabird, the herring gull (Larus argentatus). Retrospective stable nitrogen and carbon isotope analysis of archived herring gull eggs identified declines in gull trophic position and shifts in food sources in Lake Huron over the last 25 years and changes in gull diet composition were inferred from egg fatty acid patterns. These independent groups of ecological tracers provided corroborating evidence of dietary change in this high trophic level predator. Gull dietary shifts were related to declines in prey fish abundance which suggests large-scale alterations to the Lake Huron ecosystem. Dietary shifts in herring gulls may be contributing to reductions in resources available for egg formation. Further research is required to evaluate how changes in resource availability may affect population sustainability in herring gulls and other waterbird species. Long-term biological monitoring programs are required to identify ecosystem change and evaluate its ecological significance.</t>
  </si>
  <si>
    <t>PII 908917508</t>
  </si>
  <si>
    <t>10.1080/14634980802700995</t>
  </si>
  <si>
    <t>Carassou, L; Al-Kindi, AS; Dobrestsov, S</t>
  </si>
  <si>
    <t>Preliminary assessment of the trophic structure of demersal fish community in the Sea of Oman</t>
  </si>
  <si>
    <t>Sea of Oman; Fish diet; Stomach contents; Stable isotopes; Ecosystem-based management</t>
  </si>
  <si>
    <t>STABLE-ISOTOPE ANALYSES; WESTERN NORTH-ATLANTIC; PERSIAN-GULF; FOOD WEBS; FISHERIES; MATTER; FRACTIONATION; ASSUMPTIONS; DELTA-N-15; MANAGEMENT</t>
  </si>
  <si>
    <t>Detailed knowledge on the trophic ecology of marine species is an essential asset for the development of appropriate ecosystem-based management of marine fisheries. In the Sea of Oman, no studies to date have addressed the diet of demersal fish inhabiting soft-bottom habitats, despite the importance of these habitats for local fisheries. This study provides a preliminary investigation of feeding strategies displayed by demersal fish communities at two seasons in the Sea of Oman, Muscat waters, based on stomach content and dorsal muscle delta 15N, delta 13C and delta 34S analyses. A total of 46 fishes from 15 species, 14 families and 7 orders were collected in December 2013 and March 2014. All species displayed a carnivorous diet, with variable contributions of invertebrate and fish prey. While stomach content data suggested that Fistularia petimba (Fistulariidae), Saurida tumbil (Synodontidae) and Ulua mentalis (Carangidae) were mostly piscivorous, their delta 15N values strongly overlapped with other species found to feed mostly on invertebrates, suggesting a mixed fish-invertebrate feeding on a longer time scale. No significant variations were found between months in terms of mean isotopic values, but larger range values and variances were observed for delta 13C and delta 34S in December, possibly indicating the consumption of food resources from more diverse mixture and origin during that month. Only delta 15N was weakly but significantly related to fish size at the community level, suggesting a poor size-related structuration of the demersal fish community at the spatial and temporal scale examined, consistent with other studies in the study area. However, the low number of samples analyzed limited the scope of our conclusions, and further investigations based on stable isotope methodology are needed to obtain essential biological knowledge for ecosystem-based management of fisheries in the Sea of Oman. (C) 2017 Elsevier B. V. All rights reserved.</t>
  </si>
  <si>
    <t>10.1016/j.rsma.2017.08.008</t>
  </si>
  <si>
    <t>Hollister, RD; May, JL; Kremers, KS; Tweedie, CE; Oberbauer, SF; Liebig, JA; Botting, TF; Barrett, RT; Gregory, JL</t>
  </si>
  <si>
    <t>Warming experiments elucidate the drivers of observed directional changes in tundra vegetation</t>
  </si>
  <si>
    <t>Arctic; biodiversity; Cassiope tetragona; climate change; community change; ITEX; Poa arctica</t>
  </si>
  <si>
    <t>OPEN-TOP CHAMBERS; PLANT COMMUNITY; CLIMATE-CHANGE; CASSIOPE-TETRAGONA; ARCTIC TUNDRA; GROWTH-RESPONSES; GLOBAL CHANGE; SHORT-TERM; TRAITS; METAANALYSIS</t>
  </si>
  <si>
    <t>Few studies have clearly linked long-term monitoring with insitu experiments to clarify potential drivers of observed change at a given site. This is especially necessary when findings from a site are applied to a much broader geographic area. Here, we document vegetation change at Barrow and Atqasuk, Alaska, occurring naturally and due to experimental warming over nearly two decades. An examination of plant cover, canopy height, and community indices showed more significant differences between years than due to experimental warming. However, changes with warming were more consistent than changes between years and were cumulative in many cases. Most cases of directional change observed in the control plots over time corresponded with a directional change in response to experimental warming. These included increases in canopy height and decreases in lichen cover. Experimental warming resulted in additional increases in evergreen shrub cover and decreases in diversity and bryophyte cover. This study suggests that the directional changes occurring at the sites are primarily due to warming and indicates that further changes are likely in the next two decades if the regional warming trend continues. These findings provide an example of the utility of coupling insitu experiments with long-term monitoring to accurately document vegetation change in response to global change and to identify the underlying mechanisms driving observed changes.</t>
  </si>
  <si>
    <t>10.1002/ece3.1499</t>
  </si>
  <si>
    <t>Esquivias, MP; Zunzunegui, M; Barradas, MCD; Alvarez-Cansino, L</t>
  </si>
  <si>
    <t>The role of water use and uptake on two Mediterranean shrubs' interaction in a brackish coastal dune ecosystem</t>
  </si>
  <si>
    <t>Thymus carnosus; Retama monosperma; water potential; proline; stable isotopes; drought; competition; facilitation</t>
  </si>
  <si>
    <t>STABLE-ISOTOPE COMPOSITION; PROLINE ACCUMULATION; EVERGREEN SCLEROPHYLLS; POSITIVE INTERACTIONS; SEMIARID ENVIRONMENT; RETAMA-SPHAEROCARPA; GAS-EXCHANGE; STRESS; PLANTS; PRECIPITATION</t>
  </si>
  <si>
    <t>Water relations are essential in plant-plant interactions, particularly in Mediterranean coastal sand dunes, owing to marked drought periods and the possibility of groundwater (GW) salinization. In this study, seasonal water use dynamics were explored in the interaction between a native-invasive species, Retama monosperma, and the endangered Thymus carnosus, in south-western Spain. The following variables were measured: xylem water isotopic composition to determine water sources, predawn and midday stem water potential and free leaf proline content as stress indicator. GW electrical conductivity and stable isotopes were also analysed to assess water table salinity. In late summer and spring, the warmest seasons, Thymus beneath Retama displayed significantly lower water potential and higher leaf proline content than isolated Thymus, whereas Retama showed the highest proline content in autumn and winter. Water sources showed different patterns depending on the Thymus situation: Isolated ones always matched the brackish GW, as well as Retama plants, whereas Thymus beneath Retama switched among rainfall, soil and water table, showing a seasonal change in the water-harvesting strategy. Overall, competition for water sources between both species was discovered, which led to a shift in water use and water uptake strategies of understorey Thymus. The results also demonstrate the importance and potential use of species interaction studies in the development of threatened species management strategies. Copyright (c) 2013 John Wiley &amp; Sons, Ltd.</t>
  </si>
  <si>
    <t>10.1002/eco.1401</t>
  </si>
  <si>
    <t>Dijkstra, FA; Carrillo, Y; Blumenthal, DM; Mueller, KE; LeCain, DR; Morgan, JA; Zelikova, TJ; Williams, DG; Follett, RF; Pendall, E</t>
  </si>
  <si>
    <t>Elevated CO2 and water addition enhance nitrogen turnover in grassland plants with implications for temporal stability</t>
  </si>
  <si>
    <t>N-15 stable isotopes; global warming; grassland species; nitrogen cycling; plant uptake; pulse-chase; reallocation; resorption; semi-arid</t>
  </si>
  <si>
    <t>ECOSYSTEM STABILITY; NUTRIENT RESORPTION; CARBON COST; LIFE-SPAN; MINERALIZATION; ACQUISITION; COEXISTENCE; TRAITS; PRECIPITATION; CONSERVATION</t>
  </si>
  <si>
    <t>Temporal variation in soil nitrogen (N) availability affects growth of grassland communities that differ in their use and reuse of N. In a 7-year-long climate change experiment in a semi-arid grassland, the temporal stability of plant biomass production varied with plant N turnover (reliance on externally acquired N relative to internally recycled N). Species with high N turnover were less stable in time compared to species with low N turnover. In contrast, N turnover at the community level was positively associated with asynchrony in biomass production, which in turn increased community temporal stability. Elevated CO2 and summer irrigation, but not warming, enhanced community N turnover and stability, possibly because treatments promoted greater abundance of species with high N turnover. Our study highlights the importance of plant N turnover for determining the temporal stability of individual species and plant communities affected by climate change.</t>
  </si>
  <si>
    <t>10.1111/ele.12935</t>
  </si>
  <si>
    <t>Steinberger, JK; Krausmann, F; Eisenmenger, N</t>
  </si>
  <si>
    <t>Global patterns of materials use: A socioeconomic and geophysical analysis</t>
  </si>
  <si>
    <t>MFA; Resource productivity; Global material use; Gini coefficient; Dematerialization; Income elasticity</t>
  </si>
  <si>
    <t>ENERGY-REQUIREMENTS; MATERIAL FLOWS; POPULATION; ECONOMY; GINI; CONSUMPTION; HOUSEHOLDS; AUSTRALIA; IMPACT; TRADE</t>
  </si>
  <si>
    <t>Human use of materials is a major driver of global environmental change. The links between materials use and economic development are central to the challenge of decoupling of materials use and economic growth (dematerialization) This article presents a new global material flow dataset compiled for the year 2000. covering 175 countries, including both extraction and trade flows, and comprising four major material categories biomass, construction minerals, fossil energy carriers and ores/industrial minerals. First, we quantify the variability and distributional inequality (Gull coefficients) in international material consumption. We then measure the influence of the drivers population, GDP. land area and climate This analysis yields international income elasticities of material use. Finally, we examine the coupling between material flows, and between income and material productivity, measured in economic production per tonne material consumed Material productivity is strongly coupled to Income, and may thus not be suitable as an international indicator of environmental progress a finding which we relate to the economic inelasticity of material consumption The results demonstrate striking differences between the material groups Biomass is the most equitably distributed resource, economically the most inelastic, and is not correlated to any of the mineral materials. The three mineral material groups are closely coupled to each other and economic activity, indicating that the challenge of dematerializing industrial economies may require fundamental structural transformation Our analysis provides a first systematic investigation of international differences in material use and their drivers, and thus serves as the basis for more detailed future work (C) 2009 Elsevier B.V All rights reserved</t>
  </si>
  <si>
    <t>10.1016/j.ecolecon.2009.12.009</t>
  </si>
  <si>
    <t>Holdo, RM; Galvin, KA; Knapp, E; Polasky, S; Hilborn, R; Holt, RD</t>
  </si>
  <si>
    <t>Responses to alternative rainfall regimes and antipoaching in a migratory system</t>
  </si>
  <si>
    <t>agropastoral systems; crop-raiding; elephants; hunting; savanna dynamics; socioecological models; spatial coupling; spatial heterogeneity; stochastic rainfall; subsistence agriculture; Tanzania; wildebeest</t>
  </si>
  <si>
    <t>NGORONGORO-CONSERVATION-AREA; SERENGETI-NATIONAL-PARK; CLIMATE-CHANGE; MANAGEMENT; WILDLIFE; DYNAMICS; WILDEBEEST; MODEL; POPULATION; RANGELANDS</t>
  </si>
  <si>
    <t>Migratory ungulates may be particularly vulnerable to the challenges imposed by growing human populations and climate change. These species depend on vast areas to sustain their migratory behavior, and in many cases come into frequent contact with human populations outside protected areas. They may also act as spatial coupling agents allowing feedbacks between ecological systems and local economies, particularly in the agropastoral subsistence economies found in the African savanna biome. We used HUMENTS, a spatially realistic socioecological model of the Greater Serengeti Ecosystem in East Africa, to explore the potential impacts of changing climate and poaching on the migratory wildebeest (Connochaetes taurinus) population, the fire regime, and habitat structure in the ecosystem. as well as changes in the size and economic activities of the human population outside the protected area. Unlike earlier models, the HUMENTS model predicted only moderate declines in the wildebeest population associated with an increasing human population over the next century. with a gradual expansion of agriculture, more poaching. and increases, in fire frequency and reduced tree density. Changes in rainfall were predicted to have strong asymmetric effects on the size and economic activity of the human population and on livestock, and more moderate effects on wildlife and other ecological indicators. Conversely, antipoaching had a stronger effect on the ecological portion of the system because of its effect on wildebeest (and therefore on fire and habitat structure). and a weaker effect on the socioeconomic component, except in areas directly adjacent to the protected-area boundary. which were affected by crop-raiding and the availability of wildlife as a source of income. The results highlight the strong direct and indirect effects of rainfall on the various components of socioecological systems in semiarid environments, and the key role of mobile wildlife populations as agents of spatial coupling between the human-dominated and natural portions of ecosystems. They also underscore the fundamental importance of considering the spatial configuration of hunting refuges across the landscape in relation to human populations.</t>
  </si>
  <si>
    <t>10.1890/08-0780.1</t>
  </si>
  <si>
    <t>Tabayashi, Y; Miki, K; Godo, T; Yamamuro, M; Kamiya, H</t>
  </si>
  <si>
    <t>Multi-tracer identification of nutrient origin in the Hii River watershed, Japan</t>
  </si>
  <si>
    <t>LANDSCAPE AND ECOLOGICAL ENGINEERING</t>
  </si>
  <si>
    <t>River water quality; Nitrogen; Phosphorus; Fertilizer; Stable isotope</t>
  </si>
  <si>
    <t>FRESH-WATER; NITROGEN; NITRATE; CATCHMENT; SEAWATER; NITRITE; SOIL</t>
  </si>
  <si>
    <t>This study aimed to evaluate the loading of nutrients of agricultural origin. We investigated monthly nutrient concentrations at 11 stations located in the Hii River, Japan. The nitrogen and oxygen stable isotope ratios in nitrate were applied to distinguish the origin of nitrogen, i.e., from fertilizers applied to paddy fields or from sewage. Although total nitrogen (TN), presumably from transboundary air pollution, was mainly loaded during the cooler season, nitrate originating from fertilizers applied to paddy fields became the main source of nitrogen in the river water during the warmer season. Phosphorus was mainly added in particulate form, and showed increased loading at the upstream stations in the warmer season, but not in the cooler season. Potassium and magnesium-components of fertilizers-showed an increasing trend in the downstream section of the paddy fields. Our results suggest that controlled application of fertilizers is necessary to decrease the nitrogen loads originating from farmlands, particularly from paddy fields. Since the nitrogen isotope of TN in fertilizer showed significantly lower values (mean value -4.6 aEuro degrees) than that in river water (mean value 1.8 aEuro degrees) or treated water (mean value 21.9 aEuro degrees), we could use these values to determine the contribution of TN from fertilizers to river water quality, and can use them to monitor fertilization levels in watersheds.</t>
  </si>
  <si>
    <t>10.1007/s11355-016-0307-5</t>
  </si>
  <si>
    <t>Skinner, C; Newman, SP; Mill, AC; Newton, J; Polunin, NVC</t>
  </si>
  <si>
    <t>Prevalence of pelagic dependence among coral reef predators across an atoll seascape</t>
  </si>
  <si>
    <t>climate change; connectivity; foraging; plankton; stable isotopes; trophic ecology; trophodynamics</t>
  </si>
  <si>
    <t>ISOTOPE MIXING MODELS; CARNIVOROUS FISHES; TROPHIC ECOLOGY; STABLE-ISOTOPES; INDIAN-OCEAN; NITROGEN; DELTA-N-15; DYNAMICS; PATTERNS; RATIOS</t>
  </si>
  <si>
    <t>1Coral reef food webs are complex, vary spatially and remain poorly understood. Certain large predators, notably sharks, are subsidized by pelagic production on outer reef slopes, but how widespread this dependence is across all teleost fishery target species and within atolls is unclear. North Male Atoll (Maldives) includes oceanic barrier as well as lagoonal reefs. Nine fishery target predators constituting ca. 55% of the local fishery target species biomass at assumed trophic levels 3-5 were selected for analysis. Data were derived from carbon (delta C-13), nitrogen (delta N-15) and sulphur (delta S-34) stable isotopes from predator white dorsal muscle samples, and primary consumer species representing production source end-members. Three-source Bayesian stable isotope mixing models showed that uptake of pelagic production extends throughout the atoll, with predatory fishes showing equal planktonic reliance between inner and outer edge reefs. Median plankton contribution was 65%-80% for all groupers and 68%-88% for an emperor, a jack and snappers. Lagoonal and atoll edge predators are equally at risk from anthropogenic and climate-induced changes, which may impact the linkages they construct, highlighting the need for management plans that transcend the boundaries of this threatened ecosystem.</t>
  </si>
  <si>
    <t>10.1111/1365-2656.13056</t>
  </si>
  <si>
    <t>Jones, JB; Campana, SE</t>
  </si>
  <si>
    <t>Stable oxygen isotope reconstruction of ambient temperature during the collapse of a cod (Gadus morhua) fishery</t>
  </si>
  <si>
    <t>ambient temperature; Atlantic cod; back-calculated length-at-age; Eastern Scotian Shelf; Gadus morhua; growth; stable oxygen isotopes</t>
  </si>
  <si>
    <t>SIZE-SELECTIVE MORTALITY; ATLANTIC COD; ST-LAWRENCE; CLIMATE-CHANGE; SCOTIAN SHELF; NORTHERN COD; DISTRIBUTION SHIFTS; CONTINENTAL-SHELF; MARINE FISH; NOVA-SCOTIA</t>
  </si>
  <si>
    <t>Changing environmental conditions set against a backdrop of high exploitation can result in severe consequences for commercially harvested stocks. The collapse of the Eastern Scotian Shelf cod (Gadus morhua L.) off eastern Canada was primarily due to overexploitation but may have been exacerbated by a widespread temperature decline. Recent studies have called for accurate determination of ambient temperature (the actual temperature exposure history of the fish) before discarding environmental conditions as a factor in the collapse. We used the stable oxygen isotope composition of otoliths (delta O-18(oto)) to reconstruct the ambient temperature history of Eastern Scotian Shelf cod from 1970 to 2000 in order to determine whether the stock experienced the temperature decline or shifted their distribution to avoid it. To correct delta O-18(oto) for seawater isotope content (delta O-w), we generated a new meta-equation for the relationship between delta O-18(w) (per mil) and salinity (S, in psu) on the Eastern Scotian Shelf: delta O-18(w) = 0.539 x S - 18.790. The ambient temperature series revealed that the large-scale geographic distribution of mature cod remained constant through the cooling period, although their ambient temperature was cooler than expected in warmer periods and warmer than expected in cooler periods, indicating small-scale thermoregulatory movement. Although the mean hydrographic temperature was 4 degrees C, mature cod usually inhabited the coldest available waters (mean ambient temperature = 3 degrees C), while the juveniles usually inhabited warmer waters (mean ambient temperature = 5.5 degrees C). Length-at-age was significantly related to ambient temperature, especially in the early years of growth, and therefore declining ambient temperatures were at least partially responsible for declines in asymptotic length (up to age 8 yr). The most active thermoregulatory movement occurred during a moderate warming period; therefore extreme warming events (such as those predicted under climate change) may force large-scale northward latitudinal shifts in this historically sedentary stock. Retroactive stable isotope chronologies can be an important tool in sustainable management strategies under the shifting climate conditions predicted for years to come.</t>
  </si>
  <si>
    <t>10.1890/07-2002.1</t>
  </si>
  <si>
    <t>Dyer, DC; Perissinotto, R; Carrasco, NK</t>
  </si>
  <si>
    <t>Post-flood dietary variation in the Mozambique tilapia Oreochromis mossambicus in the St Lucia Estuary, South Africa</t>
  </si>
  <si>
    <t>Oreochromis mossambicus; iSimangaliso Wetland Park; Stable isotopes; Diet</t>
  </si>
  <si>
    <t>STABLE-ISOTOPES; SAROTHERODON-MOSSAMBICUS; NEOGOBIUS-MELANOSTOMUS; TROPHIC POSITION; PETERS PISCES; LAKE SIBAYA; ROUND GOBY; FISHES; DELTA-C-13; MARINE</t>
  </si>
  <si>
    <t>Although originally endemic to southern Africa, the Mozambique tilapia Oreochromis mossambicus is now among the most widely distributed exotic fish species worldwide. It has become the dominant fish species in the St Lucia estuarine lake (South Africa) since the closure of the mouth in 2002 and is therefore a crucial component of the food webs throughout the system. Following a decade-long drought phase, the estuary has received a large amount of freshwater inflow since 2011, resulting in a salinity decrease throughout the system. We compared dietary composition of O. mossambicus among 3 sites across a salinity gradient between the hypersaline and diluted stage to determine whether environmental conditions influence the diet of this species. Stable isotope analysis of carbon and nitrogen were used in conjunction with gut content analysis to elucidate dietary composition. A wide range of dietary sources was found during the hypersaline stage, with all sources contributing similar proportions to the diet. However, during the diluted stage that currently prevails in the system, specific dietary sources such as sediment organic matter were more dominant in the diet. Trophic position and salinity showed a significant negative relationship, indicating the adaptability of this species to salinity changes. A high degree of variability in the stomach contents of these fish was identified, with clear differences among sites and between seasons. This is an indication of the trophic plasticity that this species exhibits, which aids its ability to adapt to different environmental conditions and dominate the fish community throughout the St Lucia estuarine system.</t>
  </si>
  <si>
    <t>10.3354/meps10140</t>
  </si>
  <si>
    <t>Villegas, M; Soos, C; Jimenez-Uzcategui, G; Matan, S; Hobson, KA</t>
  </si>
  <si>
    <t>Isotopic Niche Segregation among Darwin's Finches on Santa Cruz Island, Galapagos</t>
  </si>
  <si>
    <t>Darwin&amp;#8217; s finches; foraging guild; Gal&amp;#225; pagos; isotopic niche; carbon-13; nitrogen-15; deuterium; trophic position</t>
  </si>
  <si>
    <t>STABLE-ISOTOPES; ADAPTIVE RADIATION; HYDROGEN; RATIOS; CARBON; DIET; MICROHABITAT; NITROGEN; ECOLOGY; ORIGINS</t>
  </si>
  <si>
    <t>Darwin's finches are a classic example of adaptive radiation involving differential use of dietary resources among sympatric species. Here, we apply stable isotope (delta C-13, delta N-15, and delta H-2) analyses of feathers to examine ecological segregation among eight Darwin's finch species in Santa Cruz Island, Galapagos collected from live birds and museum specimens (1962-2019). We found that delta C-13 values were higher for the granivorous and herbivorous foraging guilds, and lower for the insectivorous finches. Values of delta N-15 were similar among foraging guilds but values of delta H-2 were higher for insectivores, followed by granivores, and lowest for herbivores. The herbivorous guild generally occupied the largest isotopic standard ellipse areas for all isotopic combinations and the insectivorous guild the smallest. Values of delta H-2 provided better trophic discrimination than those of delta N-15 possibly due to confounding influences of agricultural inputs of nitrogen. Segregation among guilds was enhanced by portraying guilds in three-dimensional isotope (delta C-13, delta N-15, and delta H-2) space. Values of delta C-13 and delta N-15 were higher for feathers of museum specimens than for live birds. We provide evidence that Darwin's finches on Santa Cruz Island tend to be generalists with overlapping isotopic niches and suggest that dietary overlap may also be more considerable than previously thought.</t>
  </si>
  <si>
    <t>10.3390/d13040147</t>
  </si>
  <si>
    <t>Tran, L; Reist, JD; Gallagher, CP; Power, M</t>
  </si>
  <si>
    <t>Comparing total mercury concentrations of northern Dolly Varden, Salvelinus malma malma, in two Canadian Arctic rivers 1986-1988 and 2011-2013</t>
  </si>
  <si>
    <t>Climate change; Mercury contamination; Salvelinus malma malma; Stable isotopes; Temporal change</t>
  </si>
  <si>
    <t>FRESH-WATER FISH; TEMPORAL TRENDS; CLIMATE-CHANGE; NORTHWEST-TERRITORIES; LIFE-HISTORY; BEAUFORT SEA; LAKES; ALPINUS; CHARR; ECOSYSTEMS</t>
  </si>
  <si>
    <t>Given the importance of anadromous Northern Dolly Varden as a consumption staple for northern residents and the climate- and development-related impacts on total mercury (THg) concentrations, temporal changes in northern Dolly Varden THg concentrations were assessed between historical (1986-1988) and contemporary (2011-2013) periods from two rivers in the north-western Canadian Arctic. In the Rat River, mean THg changed from 79 +/- 42ng/g ww in 1986-1988 to 109 +/- 44ng/g ww in 2011-2013, while in the Firth River, THg changed from 126 +/- 45ng/g ww in 1986-1988 to 178 +/- 47ng/g ww in 2011-2012. Length adjusted values indicated increases in the Firth River were driven by the increased size of fish, but increases in the Rat River were not. After factoring in size, C-13 and N-15, [THg] was found to be most influenced over time by fish size, but also significantly modified by temporal period and foodweb position. Relationships between log[THg] versus fork-length and log[THg] versus C-13 have remained constant over time in the Rat River, but not in the Firth River, while relationships between log[THg] versus N-15 have remained constant in the Firth River, but not in the Rat River. Changes in the significance and the slope of the relationships relating C-13 and N-15 to log[THg] suggests underlying bioaccumulative processes are temporally variant and will be sensitive to climate-driven changes in the aquatic environments within which fish live and feed.</t>
  </si>
  <si>
    <t>10.1007/s00300-019-02476-6</t>
  </si>
  <si>
    <t>Winkler, MG</t>
  </si>
  <si>
    <t>Sensing plant community and climate change by charcoal-carbon isotope analysis</t>
  </si>
  <si>
    <t>stable carbon isotopes; sediment charcoal; midwestern U. S.; paleovegetation; paleoclimatology; C-3/C-4 plants</t>
  </si>
  <si>
    <t>C-13/C-12 RATIOS; ATMOSPHERIC CO2; LAKE-SEDIMENTS; RECORD</t>
  </si>
  <si>
    <t>Mass spectrometric carbon isotope (delta C-13) analyses of charcoal-carbon found in lake sediments provide evidence of paleoclimate and paleovegetation independent of pollen. By chemically separating the microscopic charcoal-carbon, which originates from upland fires, from total carbon in lake, ocean, or ice cores, changes in C-3/C-4 biomass of upland plant communities can be measured, wet or dry climates identified, and the evolution of specific plant assemblages traced. In the North American Midwest, delta C-13 values of lake sediment charcoal-carbon from Lake Mendota, Wisconsin, U. S. A., document two shifts from C-3 (forests) to C-4 (prairie grasses) plants since deglaciation: an abrupt change at about 8.5 ka (8 500 years BP) and a longer duration change between 6 and 3 ka. A pine-savannah is interpreted for the earlier date while oak-savannah dominated the landscape between 6 and 3 ka. C-4 biomass, which was almost non-existent in the region before 8.5 ka, increased to more than 50% between 6 and 3 ka. Spruce-tundra parkland evident in the Midwest before about 12 ka contained no C-4 grasses and was probably similar in composition to modern North American tundra-parkland which has no C-4 biomass. The climate inferred from the delta C-13 data compares well with climate inferred from pollen and sediment data from the same core and supports climate model simulations of decreased effective moisture during the middle Holocene in the North American Midwest. The delta C-13 results also suggest future landscape changes should greenhouse-gas warming occurs. Savannah, with increased C-4 biomass, could again become prevalent in the North American Midwest.</t>
  </si>
  <si>
    <t>10.1080/11956860.1994.11682261</t>
  </si>
  <si>
    <t>Williams, CT; Buck, CL; Sears, J; Kitaysky, AS</t>
  </si>
  <si>
    <t>Effects of nutritional restriction on nitrogen and carbon stable isotopes in growing seabirds</t>
  </si>
  <si>
    <t>diet-tissue fractionation; physiological condition; isotopic enrichment; nitrogen balance</t>
  </si>
  <si>
    <t>STRESS; DIETARY; DELTA-C-13; SIGNATURES; BLOOD; FOOD; DELTA-N-15; ENRICHMENT; RESPONSES; TURNOVER</t>
  </si>
  <si>
    <t>When using stable isotopes as dietary tracers it is essential to consider effects of nutritional state on isotopic fractionation. While starvation is known to induce enrichment of N-15 in body tissues, effects of moderate food restriction on isotope signatures have rarely been tested. We conducted two experiments to investigate effects of a 50-55% reduction in food intake on delta N-15 and delta C-13 values in blood cells and whole blood of tufted puffin chicks, a species that exhibits a variety of adaptive responses to nutritional deficits. We found that blood from puffin chicks fed ad libitum became enriched in N-15 and C-13 compared to food-restricted chicks. Our results show that N-15 enrichment is not always associated with food deprivation and argue effects of growth on diet-tissue fractionation of nitrogen stable isotopes (Delta N-15) need to be considered in stable isotope studies. The decrease in delta C-13 of whole blood and blood cells in restricted birds is likely due to incorporation of carbon from C-13-depleted lipids into proteins. Effects of nutritional restriction on delta N-15 and delta C-13 values were relatively small in both experiments (delta N-15: 0.77 and 0.41 parts per thousand, delta C-13: 0.20 and 0.25 parts per thousand) compared to effects of ecological processes, indicating physiological effects do not preclude the use of carbon and nitrogen stable isotopes in studies of seabird ecology. Nevertheless, our results demonstrate that physiological processes affect nitrogen and carbon stable isotopes in growing birds and we caution isotope ecologists to consider these effects to avoid drawing spurious conclusions.</t>
  </si>
  <si>
    <t>10.1007/s00442-007-0717-z</t>
  </si>
  <si>
    <t>Metillo, EB; Villanueva, R; Hayashizaki, K; Tamada, S; Sano, M; Nishida, S</t>
  </si>
  <si>
    <t>Stable C and N isotope analysis elucidated the importance of zooplankton in a tropical seagrass bed of Santiago Island, Northwestern Philippines</t>
  </si>
  <si>
    <t>delta C-13 and delta N-15 stable isotopes; milkfish farm; foodweb; Siganus fuscescens</t>
  </si>
  <si>
    <t>SPECIES COMPOSITION; FISH KILL; FOOD-WEB; BOLINAO; CARBON; GRADIENT; NITROGEN; IMPACT; BIODIVERSITY; PANGASINAN</t>
  </si>
  <si>
    <t>The role of zooplankton in a tropical seagrass ecosystem was investigated in milkfish farms pollution-impacted and -unimpacted seagrass beds in Santiago Island coral reefs, Northwestern Philippines. The aim was to compare between the two sites: (1) abiotic factors and zooplankton community parameters, and (2) the trophic structure using C and N stable isotopes. Low water (98-119 mV) and sediment (-121 to -138 mV) Oxidation Reduction Potential values indicated a reducing environment in the impacted site. Zooplankton in the impacted site showed the typical community response to eutrophication (low diversity, but high total abundance due to the dominance of the cyclopoid copepod Oithona oculata), generally few elevated delta N-15 values, but a significant shift towards depleted C-13 due to the organic enrichment of fish-farm feeds. Apart from suggesting a highly complex food web with POM and zooplankton as main food sources in the unimpacted site, the Bayesian mixing model simulation generated reduced complexity in feeding interactions between basal sources, zooplankton, and fish including adults of a key fish species, Siganus fuscescens, in the impacted sites. In this study, C and N stable isotope analysis has clarified the importance of zooplankton as fish prey in a seagrass bed food web.</t>
  </si>
  <si>
    <t>10.1080/02757540.2018.1533957</t>
  </si>
  <si>
    <t>Phillips, DL; Newsome, SD; Gregg, JW</t>
  </si>
  <si>
    <t>Combining sources in stable isotope mixing models: alternative methods</t>
  </si>
  <si>
    <t>stable isotopes; mixing model</t>
  </si>
  <si>
    <t>NUTRITIONAL-REQUIREMENTS; SEASONAL-CHANGES; ECOLOGY; SALMON; CARBON; DIETS; BEARS; FISH</t>
  </si>
  <si>
    <t>Stable isotope mixing models are often used to quantify source contributions to a mixture. Examples include pollution source identification; trophic web studies; analysis of water sources for soils, plants; or water bodies, and many others. A common problem is having too many sources to allow a unique solution. We discuss two alternative procedures for addressing this problem. One option is a priori to combine sources with similar signatures so the number of sources is small enough to provide a unique solution. Aggregation should be considered only when isotopic signatures of clustered sources are not significantly different, and sources are related so the combined source group has some functional significance. For example, in a food web analysis, lumping several species within a trophic guild allows more interpretable results than lumping disparate food sources, even if they have similar isotopic signatures. One result of combining mixing model sources is increased uncertainty of the combined end-member isotopic signatures and consequently the source contribution estimates; this effect can be quantified using the IsoError model (http://www.epa.gov/wed/pages/models/isotopes/isoerror1_04.htm). As an alternative to lumping sources before a mixing analysis, the IsoSource mixing model (http://www.epa.gov/wed/pages/models/ isosource/isosource.htm) can be used to find all feasible solutions of source contributions consistent with isotopic mass balance. While ranges of feasible contributions for each individual source can often be quite broad, contributions from functionally related groups of sources can be summed a posteriori, producing a range of solutions for the aggregate source that may be considerably narrower. A paleohuman dietary analysis example illustrates this method, which involves a terrestrial meat food source, a combination of three terrestrial plant foods, and a combination of three marine foods. In this case, a posteriori aggregation of sources allowed strong conclusions about temporal shifts in marine versus terrestrial diets that would not have otherwise been discerned.</t>
  </si>
  <si>
    <t>10.1007/s00442-004-1816-8</t>
  </si>
  <si>
    <t>Weathers, KC; Ponette-Gonzalez, AG; Dawson, TE</t>
  </si>
  <si>
    <t>Medium, Vector, and Connector: Fog and the Maintenance of Ecosystems</t>
  </si>
  <si>
    <t>cloud; water; elements; light; productivity; decomposition; ocean-land interactions; microbes; global change</t>
  </si>
  <si>
    <t>CALIFORNIA REDWOOD FOREST; MONTANE CLOUD FOREST; SEMPERVIRENS D. DON; SPRUCE-FIR FOREST; RAIN-FOREST; FOLIAR UPTAKE; WATER SOURCE; SUMMER FOG; ATMOSPHERIC DEPOSITION; CHEMICAL-COMPOSITION</t>
  </si>
  <si>
    <t>Fog and low-lying cloud (fog) play a significant role in the maintenance of ecosystems, from desert to alpine and from coastal to inland systems. Our central thesis is that fog provides ecosystems with critical water and nutrient subsidies, and also delivers pollutants, that often control ecosystem function. Fog is a medium, vector, and connector. In this mini-review, we synthesize recent research advances that reveal the diverse ways that fog shapes ecosystem processes. Crown wetting, elemental deposition, and light scattering and absorption are fundamental mechanisms by which fog has been shown to influence water fluxes, productivity, and decomposition in hyper-arid to ever-wet regions. These impacts are ultimately mediated by the structure and composition of biological systems that allow fog capture and utilization of resource subsidies. Climate change, and changes in land use, ocean circulation, and atmospheric pollution are simultaneously altering the nature of fog itself, and the architecture of the ecosystems adapted to capture it. The coupling between atmosphere and biosphere in fog-enshrouded areas raises new questions about past and future fog-dominated ecosystems, and their maintenance and diversity, in the face of global change.</t>
  </si>
  <si>
    <t>10.1007/s10021-019-00388-4</t>
  </si>
  <si>
    <t>Guzzo, MM; Haffner, GD; Legler, ND; Rush, SA; Fisk, AT</t>
  </si>
  <si>
    <t>Fifty years later: trophic ecology and niche overlap of a native and non-indigenous fish species in the western basin of Lake Erie</t>
  </si>
  <si>
    <t>Yellow perch; White perch; Stomach content analysis; Diet; Stable isotopes; Laurentian Great Lakes; Niche width; Food web; Population metrics</t>
  </si>
  <si>
    <t>PERCH MORONE-AMERICANA; LAURENTIAN GREAT-LAKES; WATER SURVEILLANCE PROGRAM; STABLE-ISOTOPE RATIOS; WHITE PERCH; YELLOW PERCH; BIOLOGICAL INVASIONS; DISCRIMINATION FACTORS; LABORATORY EXPERIMENTS; BIOTIC HOMOGENIZATION</t>
  </si>
  <si>
    <t>Since the introduction of white perch (Morone americana) into Lake Erie over 50 years ago, the population size of native yellow perch (Perca flavescens) has decreased up to 79 % and significant changes to the ecosystem have occurred. We examined long-term population estimates and used stable isotopes of carbon (delta C-13) and nitrogen (delta N-15) paired with stomach content analysis to quantify the trophic ecology and niche overlap of adult yellow perch and white perch in the western basin of Lake Erie. We found that changes in yellow perch abundance since 1979 appeared to be better correlated with changes in fishery exploitation rates than with food competition effects from white perch. At the time of this study, yellow perch were found to have higher delta C-13 values, indicating greater utilization of benthic food resources than white perch, and white perch occupied higher trophic positions based on delta N-15. The diets of both species varied spatially and seasonally based on stable isotopes and stomach contents, likely driven by changes in prey abundance. Comparison of niche widths using stable isotope population metrics and Schoener diet similarity index suggested a low to moderate degree of niche overlap between species. Isotopic niches of white perch were generally larger than those of yellow perch demonstrating broader resource utilization by this non-indigenous species. We submit that isotopic niche overlap comparisons are more appropriate for studies seeking to understand interactions among populations over course temporal scales, while diet overlap indices, such as the Schoener index provide a means to study fine-scale interactions such as ontogenetic and seasonal diet shifts.</t>
  </si>
  <si>
    <t>10.1007/s10530-012-0401-z</t>
  </si>
  <si>
    <t>Zhang, WX; Hendrix, PF; Snyder, BA; Molina, M; Li, JX; Rao, XQ; Siemann, E; Fu, SL</t>
  </si>
  <si>
    <t>Dietary flexibility aids Asian earthworm invasion in North American forests</t>
  </si>
  <si>
    <t>Amynthas agrestis; earthworm invasion; feeding effect; food web; Great Smoky Mountains National Park, Tennessee, USA; habitat invasibility; Lumbricus rubellus; phospholipid fatty acid; soil microbe; species invasiveness; stable isotopes; third habitat approach</t>
  </si>
  <si>
    <t>STABLE-ISOTOPE ANALYSIS; ORGANIC-MATTER; ARGENTINE ANTS; FOOD-WEB; SOIL; TEMPERATE; ECOLOGY; N-15; C-13; CONSEQUENCES</t>
  </si>
  <si>
    <t>On a local scale, invasiveness of introduced species and invasibility of habitats together determine invasion success. A key issue in invasion ecology has been how to quantify the contribution of species invasiveness and habitat invasibility separately. Conventional approaches, such as comparing the differences in traits and/or impacts of species between native and/or invaded ranges, do not determine the extent to which the performance of invaders is due to either the effects of species traits or habitat characteristics. Here we explore the interaction between two of the most widespread earthworm invaders in the world (Asian Amynthas agrestis and European Lumbricus rubellus) and study the effects of species invasiveness and habitat invasibility separately through an alternative approach of third habitat in Tennessee, USA. We propose that feeding behaviors of earthworms will be critical to invasion success because trophic ecology of invasive animals plays a key role in the invasion process. We found that (1) the biomass and isotopic abundances (delta C-13 and delta N-15) of A. agrestis were not impacted by either direct effects of L. rubellus competition or indirect effects of L. rubellus-preconditioned habitat; (2) A. agrestis disrupted the relationship between L. rubellus and soil microorganisms and consequently hindered litter consumption by L. rubellus; and (3) compared to L. rubellus, A. agrestis shifted its diet more readily to consume more litter, more soil gram-positive (G+) bacteria (which may be important for litter digestion), and more non-microbial soil fauna when soil microorganisms were depleted. In conclusion, A. agrestis showed strong invasiveness through its dietary flexibility through diet shifting and superior feeding behavior and its indirectly negative effect of habitat invasibility on L. rubellus via changes in the soil microorganism community. In such context, our results expand on the resource fluctuation hypothesis and support the superior competitor hypothesis. This work presents additional approaches in invasion ecology, provides some new dimensions for further research, and contributes to a greater understanding of the importance of interactions between multiple invading species.</t>
  </si>
  <si>
    <t>10.1890/09-0979.1</t>
  </si>
  <si>
    <t>MacFadden, BJ; Cerling, TE; Harris, JM; Prado, J</t>
  </si>
  <si>
    <t>Ancient latitudinal gradients of C-3/C-4 grasses interpreted from stable isotopes of New World Pleistocene horse (Equus) teeth</t>
  </si>
  <si>
    <t>C-3 and C-4 grasses; latitudinal gradients; isotopes; carbon; oxygen; temperature; New World; Pleistocene; Equus</t>
  </si>
  <si>
    <t>CARBON ISOTOPES; ATMOSPHERIC CO2; FEEDING ECOLOGY; FOSSIL TOOTH; GREAT-PLAINS; C-4 GRASSES; PHOTOSYNTHESIS; EVOLUTION; MAMMALS; MIOCENE</t>
  </si>
  <si>
    <t>Carbon and oxygen isotopic data are reported from 116 Pleistocene Equus teeth from sixty-six localities in the New World ranging from 68 degrees N (Alaska, Canada) to 35 degrees S (Argentina). Equus species have been predominantly grazers, and as such, carbon isotopic values of their tooth enamel provide evidence of the Pleistocene distribution of C-3 and C-4 grasses. The carbon data presented here indicate a gradient (delta(13)C range of 10 parts/mil) in the relative proportion of C-3 and C-4 grasses between high latitude and equatorial Equus samples. The largest amount of change from C-3 to C-4 grasses during the Pleistocene occurred in the mid-latitudes between about 30 to 40 degrees. The oxygen data, which vary proportionately with temperature, indicate a latitudinal gradient (delta(18)O range of 20 parts/mil) between high-latitude and equatorial Equus samples. The basic pattern of latitudinal gradients of C-3/C-4 grass distribution and temperature as interpreted from these Pleistocene data is similar to the modern-day. The use of stable isotopes of fossil herbivore teeth represents a new means to interpret Pleistocene climates and terrestrial ecology.</t>
  </si>
  <si>
    <t>10.1046/j.1466-822X.1999.00127.x</t>
  </si>
  <si>
    <t>Britton, JR; Harper, DM; Oyugi, DO; Grey, J</t>
  </si>
  <si>
    <t>The introduced Micropterus salmoides in an equatorial lake: a paradoxical loser in an invasion meltdown scenario?</t>
  </si>
  <si>
    <t>Largemouth bass; Procambarus clarkii; Barbus paludinosus; Cyprinus carpio; Diet composition; Invasive species</t>
  </si>
  <si>
    <t>STABLE-ISOTOPE ANALYSES; LARGEMOUTH BASS; FISH INTRODUCTIONS; CYPRINUS-CARPIO; PREDATION RISK; NAIVASHA; DIET; BLUEGILL; PREY; KENYA</t>
  </si>
  <si>
    <t>Micropterus salmoides is a North American piscivorous fish on the IUCN list of 100 of the world's worst invasive alien species. Introduced into Lake Naivasha (Kenya) in 1929, their current population abundance is significantly depressed in a lake that has recently become dominated by fishes of the Cyprinidae family; the introduced cyprinid Cyprinus carpio now dominates catches in the commercial fishery and Barbus paludinous is now numerically dominant in the fish community. Long-term diet studies of M. salmoides based on gut contents analysis (GCA) have defined their diet spectrum, feeding preferences and ontogenetic dietary shifts. Between 1987 and 1991, diet was size-structured; fish &lt; 260 mm were mainly insectivorous and fish &gt; 260 mm fed mainly on invasive crayfish Procambarus clarkia with B. paludinosus rarely taken. More recent GCA data revealed that up to 2003, these size-structured trophic relationships were still evident, but there has been a subsequent shift to their feeding almost exclusively on small (&lt; 100 mm) B. paludinosus, coincident with a size-related functional switch whereby M. salmoides &gt; 120 mm were now piscivorous. However, a Bayesian stable isotope mixing model (SIAR) suggested M. salmoides diet actually remained relatively varied in 2006 and 2007; it indicated P. clarkii were still contributing more to their diet than B. paludinosus in fish &lt; 260 mm and provided only partial support for the functional shift. The consequence of the M. salmoides depressed population abundance is their predation pressure on prey fishes is limited and preventing top-down effects. This is in contrast to their invasive populations elsewhere in the world and the likely result of invasion meltdown processes in Naivasha involving the introduced C. carpio and P. clarkii that have produced sub-optimal foraging conditions for M. salmoides.</t>
  </si>
  <si>
    <t>10.1007/s10530-010-9742-7</t>
  </si>
  <si>
    <t>Steffan, SA; Dharampal, PS; Danforth, BN; Gaines-Day, HR; Takizawa, Y; Chikaraishi, Y</t>
  </si>
  <si>
    <t>Omnivory in Bees: Elevated Trophic Positions among All Major Bee Families</t>
  </si>
  <si>
    <t>delta N-15; compound-specific isotopic analysis; microbiome; pollen; trophic</t>
  </si>
  <si>
    <t>HONEY-BEES; APIS-MELLIFERA; AMINO-ACIDS; TRIGONA-HYPOGEA; PRUNUS-DULCIS; SOLITARY BEES; BUMBLE BEES; POLLEN; MICROBIOLOGY; BREAD</t>
  </si>
  <si>
    <t>As pollen and nectar foragers, bees have long been considered strictly herbivorous. Their pollen provisions, however, are host to abundant microbial communities, which feed on the pollen before and/or while it is consumed by bee larvae. In the process, microbes convert pollen into a complex of plant and microbial components. Since microbes are analogous to metazoan consumers within trophic hierarchies, the pollen-eating microbes are, functionally, herbivores. When bee larvae consume a microbe-rich pollen complex, they ingest proteins from plant and microbial sources and thus should register as omnivores on the trophic ladder. We tested this hypothesis by examining the isotopic compositions of amino acids extracted from native bees collected in North America over multiple years. We measured bee trophic position across the six major bee families. Our findings indicate that bee trophic identity was consistently and significantly higher than that of strict herbivores, providing the first evidence that omnivory is ubiquitous among bee fauna. Such omnivory suggests that pollen-borne microbes represent an important protein source for larval bees, which introduces new questions as to the link between floral fungicide residues and bee development.</t>
  </si>
  <si>
    <t>10.1086/704281</t>
  </si>
  <si>
    <t>Schindler, DE; Leavitt, PR; Brock, CS; Johnson, SP; Quay, PD</t>
  </si>
  <si>
    <t>Marine-derived nutrients, commercial fisheries, and production of salmon and lake algae in Alaska</t>
  </si>
  <si>
    <t>biogeochemistry; marine-derived nutrients; mixing model; N-15; paleolimnology; primary production; salmon; salmon enhancement; sediments; stable isotopes; sustainability</t>
  </si>
  <si>
    <t>TO-ADULT SURVIVAL; SOCKEYE-SALMON; ONCORHYNCHUS-NERKA; PACIFIC SALMON; SOUTHWESTERN ALASKA; KODIAK ISLAND; FRESH-WATER; ECOSYSTEMS; DYNAMICS; ECOLOGY</t>
  </si>
  <si>
    <t>For decades ecologists have recognized the potential importance of marine-derived nutrients (MDN) deposited in freshwater ecosystems by spawning anadromous salmon. Previous studies have shown that some MDN are retained in freshwater ecosystems. A popular hypothesis linking MDN to salmon population productivity posits that MDN provided by post-spawning mortality of salmon are critical for salmon population dynamics because they enhance prey populations in the freshwater ecosystems used as nursery habitats. We tested this hypothesis by reconstructing historical sockeye salmon populations for the last 300 years in Bristol Bay, Alaska. Stable nitrogen isotope chronologies in lake sediments and sockeye catch and escapement histories show that commercial fisheries intercepted about two-thirds of MDN bound for freshwater spawning grounds since about 1900. Reconstruction of lake algal production using, fossil pigments shows that this loss of MDN has reduced lake algal productivity to about one-third of its level before commercial fishing. However, contrary to expectation, recent sockeye population sizes (sum of spawning escapement and fishery catch) in the last century were equivalent to those before the advent of commercial fishing. These data demonstrate that the MDN subsidy is important for the productivity of coastal lakes but that some sockeye salmon populations are limited by other features of ecosystems such as the amount of suitable spawning habitat.</t>
  </si>
  <si>
    <t>10.1890/04-1730</t>
  </si>
  <si>
    <t>Newman, SJ; Steckis, RA; Edmonds, JS; Lloyd, J</t>
  </si>
  <si>
    <t>Stock structure of the goldband snapper Pristipomoides multidens (Pisces : Lutjanidae) from the waters of northern and western Australia by stable isotope ratio analysis of sagittal otolith carbonate</t>
  </si>
  <si>
    <t>goldband snapper; Pristipomoides multidens; stock structure; stable isotopes; otoliths</t>
  </si>
  <si>
    <t>COD GADUS-MORHUA; TRACE-ELEMENTS; FISH OTOLITHS; IDENTIFICATION; DISCRIMINATION; OXYGEN; AID</t>
  </si>
  <si>
    <t>Measurement of stable isotope ratios (O-18/O-16 and C-13/C-12) in the sagittal otolith carbonate from assemblages of goldband snapper Pristipomoides multidens from waters off northern and western Australia revealed location-specific signatures and indicated that fish from all sites sampled within Australia (Exmouth, Rankin Bank, Broome, Vulcan Shoals, Timer Sea, Arafura Sea), Indonesia (Kupang) and Papua New Guinea (Pommern Bay) were different. The significant differences in the isotopic signatures of P. multidens demonstrated that there is unlikely to be substantial movement of fish among these distinct adult assemblages. The stable isotopic signatures for the fish from the different locations were persistent through time, and therefore it could be concluded that the fish comprise separate stocks for many of the purposes of fisheries management. The ratios of the stable oxygen isotopes in P. multidens were significantly related to sea surface temperatures (r(2) = 0.797). This study has provided further evidence that measurement of the stable isotope ratios in teleost sagittal otolith carbonate can be a valuable tool in the delineation of fishable stocks or fishery management units of adult fish where the range of distribution of the species in question covers waters with different temperature regimes.</t>
  </si>
  <si>
    <t>10.3354/meps198239</t>
  </si>
  <si>
    <t>Conway-Cranos, L; Kiffney, P; Banas, N; Plummer, M; Naman, S; MacCready, P; Bucci, J; Ruckelshaus, M</t>
  </si>
  <si>
    <t>Stable isotopes and oceanographic modeling reveal spatial and trophic connectivity among terrestrial, estuarine, and marine environments</t>
  </si>
  <si>
    <t>Connectivity; Puget Sound; Estuaries; Stable isotopes; Oysters</t>
  </si>
  <si>
    <t>OYSTER CRASSOSTREA-GIGAS; CREPIDULA-FORNICATA; FOOD SOURCES; FATTY-ACID; CARBON; BAY; DELTA-C-13; NITROGEN; COASTAL; GROWTH</t>
  </si>
  <si>
    <t>Organic matter from autochthonous and allochthonous sources provides energy and nutrients to nearshore food webs including filter-feeding bivalves. In Puget Sound, Washington, USA, the degree to which shellfish rely on these different organic matter subsidies may be important for their management and that of nearshore food webs in general. We explored patterns of terrestrial-marine connectivity in a large, temperate estuary using a combination of oceanographic modeling and isotopic mixing models. We first examined spatial connectivity by modeling freshwater contributions of the major river basins to Puget Sound (potential connectivity), then estimated the relative contribution of terrestrial, nearshore, and marine organic matter sources to nearshore particulate organic matter (POM) (actual connectivity) and to the diets of Pacific oysters Crassostrea gigas (realized connectivity). To estimate actual and realized connectivity, we analyzed the delta C-13 and delta N-15 values of oyster tissue, POM, and primary producers from intertidal, offshore, salt marsh, and upland habitats across the dry (summer) and wet (fall-winter) seasons. Mixing models indicated that both oyster bed POM and oyster diets were composed largely of intertidal macrophytes and salt marsh plants, with less important contributions of phytoplankton, benthic diatoms, and upland vegetation. Our findings suggest that oyster production may be driven more by coastal and marine primary production than by riverine sources, even in a fjord subject to strong freshwater influences.</t>
  </si>
  <si>
    <t>10.3354/meps11318</t>
  </si>
  <si>
    <t>Dimensions of diet segregation in grey seals Halichoerus grypus revealed through stable isotopes of carbon (delta C-13) and nitrogen (delta N-15)</t>
  </si>
  <si>
    <t>grey seal; sexual size dimorphism; diet segregation; stable isotopes; ontogeny; energetics</t>
  </si>
  <si>
    <t>SEX-DIFFERENCES; CALLORHINUS-URSINUS; FORAGING BEHAVIOR; SCOTIAN SHELF; BODY SIZES; MARINE; PREY; PATTERNS; FRACTIONATION; PREDATORS</t>
  </si>
  <si>
    <t>Although many studies have documented diets for terrestrial mammals, much less is known about prey selection in marine mammals. Variation in body size of terrestrial carnivores is correlated with mass of prey consumed, and predator size often determines dietary overlap. Grey seals Halichoerus grypus are a size-dimorphic phocid seal inhabiting the Northwest Atlantic, with males 1.5x larger than females. Stable isotopes of carbon (delta C-13) and nitrogen (delta N-15) provide useful tools for estimating trophic positions and carbon flow to consumers in food webs. delta C-13 and delta N-15 were analyzed for individual adult grey seals from Sable Island, Canada, between 1996 and 2001. Samples of skin were taken in May or September and the same animals were re-sampled when they returned to the breeding colony in January. In addition, samples were taken from juveniles (n = 29) in January 2004. delta C-13 and delta N-15 were also analyzed for 12 fish and 3 invertebrate species from the Scotian Shelf. Adult male (n = 36) and female (n = 36) grey seals exhibited significantly different delta C-13 and delta N-15 values (F-1,F-70 = 22.40; p &lt; 0.001). On average, males were more enriched in both delta C-13 and delta N-15 than females. While there were no differences between sex in juveniles, signatures were significantly different from adults (F-2,F-101 = 28.05; p &lt; 0.001). Comparison of isotope values from potential prey suggests that adult males feed more heavily on benthic prey, whereas adult females appear to feed more on pelagic prey. Juveniles also appear to feed more on pelagic prey. These results are consistent with known differences in dive patterns and foraging behaviour in this population. In addition, there was a positive effect of body size on both delta C-13 (t = 2.54, p = 0.014) and delta N-15 (t = 2.48, p = 0.016) and a positive relationship between delta N-15 and the rate of fat accumulation (kg d(-1)). These results suggest an underlying energetic basis to diet variation in grey seals. Finally, examination of the variance in stable isotope ratios suggested that while individual grey seals appear to be relative specialists in their diet, niche breadth was 1.5x greater in males than in females. On average, adult grey seals had a 2x higher niche breadth than juveniles.</t>
  </si>
  <si>
    <t>10.3354/meps339271</t>
  </si>
  <si>
    <t>Brauns, M; Gucker, B; Wagner, C; Garcia, XF; Walz, N; Pusch, MT</t>
  </si>
  <si>
    <t>Human lakeshore development alters the structure and trophic basis of littoral food webs</t>
  </si>
  <si>
    <t>aquatic-terrestrial coupling; coarse woody debris; habitat loss; macroinvertebrates; retaining walls; riparian clearcutting; SIAR</t>
  </si>
  <si>
    <t>COARSE WOODY DEBRIS; RESIDENTIAL DEVELOPMENT; SHORELINE DEVELOPMENT; NORTHERN WISCONSIN; LAKE DISTRICT; FISH GROWTH; CARBON; PATTERNS; INVERTEBRATES; SEDIMENTS</t>
  </si>
  <si>
    <t>1. Shoreline development and the associated loss of littoral habitats represent a pervasive alteration of the ecological integrity of lakes and have been identified as major drivers for the loss of littoral biodiversity world-wide. Little is known about the effects of shoreline development on the structure of, and energy transfer in, littoral food webs, even though this information is urgently needed for management and mitigation measures. 2. We measured macroinvertebrate biomass and analysed potential food resources using stable isotopes (delta C-13, delta N-15) and mixing models to compare the complexity and the trophic base of littoral food webs between undeveloped and developed shorelines in three North German lowland lakes. 3. The lower diversity of littoral habitats found at developed shorelines was associated with lower diversity of food resources and consumers. Consequently, the number of trophic links in food webs at developed shorelines was up to one order of magnitude lower as compared with undeveloped shorelines. 4. Mixing model analysis showed that consumer biomass at undeveloped shorelines was mainly derived from fine particulate organic matter (FPOM) and coarse particulate organic matter of terrestrial origin (CPOM). The contribution of CPOM to consumer biomass was twofold lower at developed shorelines, and consumer biomass was mainly derived from FPOM and suspended particulate organic matter. 5. Synthesis and application. Shoreline development impacts the flow of organic matter within littoral food webs primarily through the reduction in littoral habitat diversity. These effects are exacerbated by clearcutting of the riparian vegetation, which disrupts cross-boundary couplings between the riparian and the littoral zone. Lakeshore conservation should focus on preserving the structural integrity of the littoral zone, while restoration of coarse woody debris, reed and root habitats can be a cost-efficient measure to improve degraded lakeshores. The local effects of shoreline development demonstrated in this study might lead to whole-lake effects, but future studies are needed to derive thresholds at which shoreline development has consequences for the structure and functioning of the entire ecosystem.</t>
  </si>
  <si>
    <t>10.1111/j.1365-2664.2011.02007.x</t>
  </si>
  <si>
    <t>Frederiksen, M; Edwards, M; Richardson, AJ; Halliday, NC; Wanless, S</t>
  </si>
  <si>
    <t>From plankton to top predators: bottom-up control of a marine food web across four trophic levels</t>
  </si>
  <si>
    <t>Ammodytes marinus; ecosystem function; sandeel; seabirds; trophic structure</t>
  </si>
  <si>
    <t>SANDEEL AMMODYTES-MARINUS; NORTH-SEA; BREEDING PERFORMANCE; RISSA-TRIDACTYLA; CLIMATE-CHANGE; RECORDER; DIET; COD; VARIABILITY; ECOSYSTEMS</t>
  </si>
  <si>
    <t>1. Abundant mid-trophic pelagic fish often play a central role in marine ecosystems, both as links between zooplankton and top predators and as important fishery targets. In the North Sea, the lesser sandeel occupies this position, being the main prey of many bird, mammal and fish predators and the target of a major industrial fishery. However, since 2003, sandeel landings have decreased by &gt; 50%, and many sandeel-dependent seabirds experienced breeding failures in 2004. 2. Despite the major economic implications, current understanding of the regulation of key constituents of this ecosystem is poor. Sandeel abundance may be regulated 'bottom-up' by food abundance, often thought to be under climatic control, or 'top-down' by natural or fishery predation. We tested predictions from these two hypotheses by combining unique long-term data sets (1973-2003) on seabird breeding productivity from the Isle of May, SE Scotland, and plankton and fish larvae from the Continuous Plankton Recorder survey. We also tested whether seabird breeding productivity was more tightly linked to sandeel biomass or quality (size) of individual fish. 3. The biomass of larval sandeels increased two- to threefold over the study period and was positively associated with proxies of the abundance of their plankton prey. Breeding productivity of four seabirds bringing multiple prey items to their offspring was positively related to sandeel larval biomass with a 1-year lag, indicating dependence on 1-year-old fish, but in one species bringing individual fish it was strongly associated with the size of adult sandeels. 4. These links are consistent with bottom-up ecosystem regulation and, with evidence from previous studies, indicate how climate-driven changes in plankton communities can affect top predators and potentially human fisheries through the dynamics of key mid-trophic fish. However, the failing recruitment to adult sandeel stocks and the exceptionally low seabird breeding productivity in 2004 were not associated with low sandeel larval biomass in 2003, so other mechanisms (e.g. predation, lack of suitable food after metamorphosis) must have been important in this case. Understanding ecosystem regulation is extremely important for predicting the fate of keystone species, such as sandeels, and their predators.</t>
  </si>
  <si>
    <t>10.1111/j.1365-2656.2006.01148.x</t>
  </si>
  <si>
    <t>Wallace, BP; Avens, L; Braun-McNeill, J; McClellan, CM</t>
  </si>
  <si>
    <t>The diet composition of immature loggerheads: Insights on trophic niche, growth rates, and fisheries interactions</t>
  </si>
  <si>
    <t>Fishery interactions; Marine turtles; Omnivory; Stable isotopes; Trophic niche</t>
  </si>
  <si>
    <t>TURTLES CARETTA-CARETTA; STABLE-ISOTOPE ANALYSES; SEA-TURTLES; PROXIMATE; ECOLOGY; DISCRIMINATION; ASSUMPTIONS; DELTA-N-15; DICHOTOMY; DENSITY</t>
  </si>
  <si>
    <t>For immature animals, diet quality and composition influence expression of life history traits such as growth rates and ultimately life stage duration and age to maturity. Circumglobally distributed loggerhead turtles (Caretta caretta) exhibit a multi-decade immature stage that generally occupies neritic habitats and is characterized by slow growth and an omnivorous diet. Although adult nesting populations are geographically distinct, foraging areas for immature loggerheads show a high degree of mixing of individuals that originate from multiple nesting stocks. Furthermore, despite their generalist foraging ecology, immature loggerheads have been observed to supplement their natural diets with fish from fishery discards and/or caught in fishing gear. However, whether trophic opportunism results in variation in loggerhead growth rates within or among feeding areas has not been investigated. In Core Sound, North Carolina (NC), USA, immature loggerheads demonstrate highly variable size-specific growth rates, in contrast to other studies that report discernible somatic growth functions in immature marine turtles. To determine whether inter-individual variation in growth rates at this site was due to variation in diet composition, and specifically variation in consumption of fish, we analyzed carbon and nitrogen stable isotope ratios of loggerhead blood plasma and of tissue samples of putative loggerhead prey, as well as commercially important fish species. Our results indicated that growth rates were not related to trophic levels at which individual turtles fed, but rather probably reflected inter-individual variation in overwintering or foraging behavior (i.e. nearshore vs. offshore). Furthermore, loggerhead diets were highly diverse, and comprised mainly blue crabs and/or whelks, as well as small proportions of cannonball jellies. Fish were unimportant dietary components for loggerheads. Although loggerheads in NC do not appear to feed on fish catch or discards, immature turtles showed dietary preferences for prey items that are also valuable to or are commonly taken as bycatch in commercial fisheries (e.g. blue crabs and whelks, respectively) in the region. Thus, the status of these prey items/fishery stocks as well as trends in loggerhead populations should be monitored to mitigate potential competitive interactions between fisheries activities and loggerhead turtles. (C) 2009 Elsevier B.V. All rights reserved.</t>
  </si>
  <si>
    <t>10.1016/j.jembe.2009.03.006</t>
  </si>
  <si>
    <t>Jonsson, T</t>
  </si>
  <si>
    <t>Trophic links and the relationship between predator and prey body sizes in food webs</t>
  </si>
  <si>
    <t>COMMUNITY ECOLOGY</t>
  </si>
  <si>
    <t>Cascade model; Food webs; Niche model; Predator-prey body size ratios; Trophic links; Trophic structure</t>
  </si>
  <si>
    <t>ECOLOGICAL COMMUNITY DESCRIPTION; INTERACTION STRENGTH; SPECIES ABUNDANCE; PHYLOGENETIC CONSTRAINTS; ENERGY FLUXES; STABILITY; DYNAMICS; MODEL; PATTERNS; ECOSYSTEMS</t>
  </si>
  <si>
    <t>The relationship between predator and prey body sizes is an important property of food webs with potential implications for community dynamics and ecosystem functioning. To shed more light on this issue I here analyze the relationships between prey size, predator size and trophic position of consumers, using body size estimates of 697 species in 52 food webs. First I show that the relationship between predator and prey body sizes across many systems can be different from, and potentially obscure the true relationship within systems. More specifically, when data from all webs are aggregated average prey size is positively correlated to predator size with a regression slope less than unity, suggesting that predators become less similar in size to their average prey the larger the predator is, and consequently that the relative size difference between a predator and its prey should increase with the trophic position of the consumer. However, despite this I find the predator-prey body mass ratio to be negatively correlated to the trophic position of the consumer within many webs. The reason for this is that the across-webs pattern is not representative for the within-web relationship. Second, I show that the pattern observed is not compatible with a simple null-model for the distribution of trophic links between predators and prey. The observed relationship between predator size and mean prey size is for most webs significantly steeper than that predicted by the cascade model. Furthermore, the observed relationship also deviates significantly (but less so) from an ecologically more realistic model for the distribution of trophic links (the niche model). The results contradict the traditional Eltonian paradigm that predator-prey body mass ratios do not vary consistently across trophic levels. It is concluded that more studies are needed to establish the generality of the results and explore its dynamical implications.</t>
  </si>
  <si>
    <t>10.1556/COMEC.15.2014.1.6</t>
  </si>
  <si>
    <t>Lesage, V; Morin, Y; Rioux, E; Pomerleau, C; Ferguson, SH; Pelletier, E</t>
  </si>
  <si>
    <t>Stable isotopes and trace elements as indicators of diet and habitat use in cetaceans: predicting errors related to preservation, lipid extraction, and lipid normalization</t>
  </si>
  <si>
    <t>Stable isotopes; Lipids; Trace elements; Preservation; Aquatic species; Marine mammals; Cetaceans; DMSO</t>
  </si>
  <si>
    <t>MUSEUM FISH SPECIMENS; MARINE FOOD-WEB; CARBON ISOTOPES; NITROGEN ISOTOPES; METABOLIC FRACTIONATION; TROPHIC RELATIONSHIPS; METAL CONCENTRATIONS; SAMPLE TREATMENT; MIXING MODELS; ST-LAWRENCE</t>
  </si>
  <si>
    <t>Accurately predicting errors related to preservation, lipid extraction, and lipid normalization on chemical tracers would enable the use of archived samples in long-term studies of trophic ecology and habitat use of aquatic species. We determined whether stable carbon and nitrogen isotope ratios and concentrations of 14 trace elements can be accurately predicted from dimethyl sulfoxide (DMSO)-preserved mammal skin, which would provide equivalent estimates to that from unpreserved tissue. We tested 3 lipid-correction approaches for applicability to cetacean skin, a largely unexplored taxon and tissue, and provide a model for evaluating impacts of errors from lipid extraction or normalization on diet composition estimated using isotopic mixing models. DMSO had unpredictable effects on trace element concentrations, rendering DMSO-preserved samples inefficient for retrospective studies. However, lipid extraction and DMSO preservation resulted in predictable and similar, although not identical, effects on isotopic signatures across 4 cetacean species with different skin structure and thickness, making correction for these effects a potentially viable alternative to lipid and DMSO extraction. Generally, lipid-normalization models were reliable when applied to cetacean skin, as errors were similar to those from other species or tissues. Because model fit generally improved with data specificity, developing tissue-and species-specific parameters and equations is probably more important than model choice, although the mass-balance model was considered the most robust across aquatic vertebrates and tissues. The effects of errors associated with the various treatments and lipid normalization on isotopic mixing results increased as the isotopic distance among prey sources decreased, suggesting that empirical corrections as an alternative to delta C-13 determination from lipid-extracted duplicate samples need to be evaluated a priori relative to study objectives and anticipated results.</t>
  </si>
  <si>
    <t>10.3354/meps08825</t>
  </si>
  <si>
    <t>Dias, E; Morais, P; Cotter, AM; Antunes, C; Hoffman, JC</t>
  </si>
  <si>
    <t>Estuarine consumers utilize marine, estuarine and terrestrial organic matter and provide connectivity among these food webs</t>
  </si>
  <si>
    <t>Allochthonous organic matter; River discharge; Pelagic; Benthic; Stable isotopes; Extreme weather events</t>
  </si>
  <si>
    <t>YORK RIVER ESTUARY; STABLE-ISOTOPES; SECONDARY PRODUCTION; NITROGEN ISOTOPE; NUTRIENT ENRICHMENT; ZEBRA MUSSELS; FRESH-WATER; CARBON; SUPPORT; BIOGEOCHEMISTRY</t>
  </si>
  <si>
    <t>The flux of organic matter (OM) across ecosystem boundaries can influence estuarine food web dynamics and productivity. However, this process is seldom investigated taking into account all the adjacent ecosystems (e.g. ocean, river, land) and different hydrological settings (i.e. river discharge). Therefore, we aimed to quantify the contribution of autochthonous and allochthonous OM to the lower food web along the estuarine salinity gradient, under different river discharge conditions. The carbon (C) and nitrogen (N) stable isotope ratios of pelagic (zooplankton) and benthic (Corbicula fluminea) primary consumers indicated that they rely on a mixture of autochthonous and allochthonous OM, including terrestrial-derived OM. Unexpectedly, the highest contribution of terrestrial-derived OM to the estuarine food web was observed during a low river discharge period (up to 70%), that succeeded a large winter flood, showing that extreme weather events may produce prolonged effects on estuarine food webs. The contribution of marine-derived OM was higher during low river discharge periods (up to 88%) and was restricted to the seaward end of the estuary. Concomitantly, the contribution of phytoplankton to primary consumers was the highest observed (up to 91%). Further, both pelagic and benthic consumers also relied on benthic C (i.e. sediment OM and microphytobenthos). This study demonstrates that primary consumers enhance connectivity between estuarine ecosystems by utilizing subsidies of terrestrial and marine origin, and also between estuarine habitats through reliance on pelagic and benthic OM.</t>
  </si>
  <si>
    <t>10.3354/meps11794</t>
  </si>
  <si>
    <t>Hernandez, KM; Puryear, WB; Runstadler, JA; Polito, MJ</t>
  </si>
  <si>
    <t>Little interannual variability in gray seal (Halichoerus grypus) trophic niches during pregnancy despite variable environmental conditions</t>
  </si>
  <si>
    <t>Foraging behavior; Isotopic niches; Maternal investment; Gray seal; Halichoerus grypus; Stable isotope analysis; Carry-over effect</t>
  </si>
  <si>
    <t>GREY SEALS; MATERNAL STRATEGIES; BODY-COMPOSITION; STABLE-ISOTOPES; SEX-DIFFERENCES; DIET; GROWTH; CARBON; SEGREGATION; INVESTIGATE</t>
  </si>
  <si>
    <t>The successful recruitment of juveniles into a population is often dependent on receiving sufficient nutrition pre- and post-parturition. Thus, variation in maternal foraging ecology during pregnancy, whether due to prey choice, prey availability or fluctuations in environmental conditions, can impact offspring fitness in the subsequent breeding season. As many pinnipeds spend the majority of the gestation period at sea, past studies have used the biogeochemical analysis of pup tissues to infer female diets during this critical period. The objective of our study was to examine the trophic niches of a population of pregnant female gray seals Halichoerus grypus over a 4 yr period in coastal Massachusetts, USA by analyzing the stable carbon (delta C-13) and nitrogen (delta N-15) values of pup lanugo. In addition, we sought to determine if individual and inter-annual variation in pup body condition could be explained by differences in female trophic niches, prey availability, or environmental conditions. Stable isotope-based metrics of trophic niche position, width, and overlap indicated little to no interannual variability in female foraging ecology at the population level despite variation in environmental conditions and prey availability in the fall on Georges Bank. Model selection indicated a positive relationship between pup body condition and delta C-13 values, which is indicative of pregnant females foraging on benthic, demersal, or nearshore prey species during the fall prior to parturition. This indicates that individual variation in female foraging ecology during pregnancy has a carry-over effect on offspring condition with possible implications for first-year survival, and ultimately recruitment to the adult population.</t>
  </si>
  <si>
    <t>10.3354/meps13702</t>
  </si>
  <si>
    <t>Kaufman, MR; Gradinger, RR; Bluhm, BA; O'Brien, DM</t>
  </si>
  <si>
    <t>Using stable isotopes to assess carbon and nitrogen turnover in the Arctic sympagic amphipod Onisimus litoralis</t>
  </si>
  <si>
    <t>food web; sea ice; diet switching; temperature; metabolic turnover</t>
  </si>
  <si>
    <t>TROPHIC RELATIONSHIPS; LIFE-HISTORY; EUPHAUSIA-SUPERBA; ORGANIC-MATTER; LARVAL KRILL; BEAUFORT SEA; ICE; DELTA-C-13; TISSUE; GROWTH</t>
  </si>
  <si>
    <t>Food web studies based on stable C and N isotope ratios usually assume isotopic equilibrium between a consumer and its diet. In the Arctic, strong seasonality in food availability often leads to diet switching, resulting in a consumer's isotopic composition to be in flux between different food sources. Experimental work investigating the time course and dynamics of isotopic change in Arctic fauna has been lacking, although these data are crucial for accurate interpretation of food web relationships. We investigated seasonal (ice-covered spring vs. ice-free summer) and temperature (1 vs. 4 degrees C) effects on growth and stable C and N isotopic change in the common nearshore Arctic amphipod Onisimus litoralis following a diet switch and while fasting in the laboratory. In spring we found no significant temperature effect on N turnover [half-life (HL) estimates: HL-N = 20.4 at 4 degrees C, 22.4 days at 1 degrees C] and a nonsignificant trend for faster growth and C turnover at the higher temperature (HL-C = 13.9 at 4 degrees C, 18.7 days at 1 degrees C). A strong seasonal effect was found, with significantly slower growth and C and N turnover in the ice-free summer period (HL-N = 115.5 days, HL-C = 77.0 days). Contrary to previous studies, metabolic processes rather than growth accounted for most of the change in C and N isotopic composition (84-89 and 67-77%, respectively). This study provides the first isotopic change and metabolic turnover rates for an Arctic marine invertebrate and demonstrates the risk of generalizing turnover rates based on taxon, physiology, and environment. Our results highlight the importance of experimental work to determine turnover rates for species of interest.</t>
  </si>
  <si>
    <t>10.1007/s00442-008-1122-y</t>
  </si>
  <si>
    <t>Nock, CA; Baker, PJ; Wanek, W; Leis, A; Grabner, M; Bunyavejchewin, S; Hietz, P</t>
  </si>
  <si>
    <t>Long-term increases in intrinsic water-use efficiency do not lead to increased stem growth in a tropical monsoon forest in western Thailand</t>
  </si>
  <si>
    <t>carbon dioxide; carbon isotopes; intrinsic water-use efficiency; oxygen isotopes; stable isotopes; temperature; topical monsoon forest; tree growth; tree rings</t>
  </si>
  <si>
    <t>CARBON-ISOTOPE DISCRIMINATION; TREE-RING DELTA-C-13; FAGUS-SYLVATICA; WOOD DENSITY; CO2; CELLULOSE; DELTA-O-18; RESPONSES; CLIMATE; TRENDS</t>
  </si>
  <si>
    <t>Rising atmospheric carbon dioxide [CO2] can accelerate tree growth by stimulating photosynthesis and increasing intrinsic water-use efficiency (iWUE). Little evidence exists, however, for the long-term growth and gas-exchange responses of mature trees in tropical forests to the combined effects of rising [CO2] and other global changes such as warming. Using tree rings and stable isotopes of carbon and oxygen, we investigated long-term trends in the iWUE and stem growth (basal area increment, BAI) of three canopy tree species in a tropical monsoon forest in western Thailand (Chukrasia tabularis, Melia azedarach, and Toona ciliata). To do this, we modelled the contribution of ontogenetic effects (tree diameter or age) and calendar year to variation in iWUE, oxygen isotopes, and BAI using mixed-effects models. Although iWUE increased significantly with both tree diameter and calendar year in all species, BAI at a given tree diameter was lower in more recent years. For one species, C. tabularis, differences in crown dominance significantly influence stable isotopes and growth. Tree ring delta 18O increased with calendar year in all species, suggesting that increasing iWUE may have been driven by relatively greater reductions in stomatal conductance - leading to enrichment in delta 18O - than increases in photosynthetic capacity. Plausible explanations for the observed declines in growth include water stress resulting from rising temperatures and El Nino events, increased respiration, changes in allocation, or more likely, a combination of these factors.</t>
  </si>
  <si>
    <t>10.1111/j.1365-2486.2010.02222.x</t>
  </si>
  <si>
    <t>Wing, SR; McLeod, RJ; Leichter, JJ; Frew, RD; Lamare, MD</t>
  </si>
  <si>
    <t>Sea ice microbial production supports Ross Sea benthic communities: influence of a small but stable subsidy</t>
  </si>
  <si>
    <t>Antarctica; climate change; fatty acids; food web; sea ice microbial community; stable isotopes</t>
  </si>
  <si>
    <t>MCMURDO-SOUND; FOOD-WEB; STATISTICAL INEVITABILITY; INORGANIC CARBON; FATTY-ACID; STABILITY; SUMMER; OCEAN; BIODIVERSITY; ANTARCTICA</t>
  </si>
  <si>
    <t>Diversity in guilds of primary producers enhances temporal stability in provision of organic matter to consumers. In the Antarctic ecosystem, where temporal variability in phytoplankton production is high, sea ice contains a diatom and microbial community (SIMCO) that represents a pool of organic matter that is seasonally more consistent, although of relatively small magnitude. The fate of organic material produced by SIMCO in Antarctica is largely unknown but may represent an important link between sea ice dynamics and secondary production in nearshore food webs. We used whole tissue and compound-specific stable isotope analysis of consumers to test whether the sea ice microbial community is an important source of organic matter supporting nearshore communities in the Ross Sea. We found distinct gradients in delta C-13 and delta N-15 of SIMCO corresponding to differences in inorganic carbon and nitrogen acquisition among sites with different sea ice extent and persistence. Mass balance analysis of a suite of consumers demonstrated large fluxes of SIMCO into the nearshore food web, ranging from 5% to 100% of organic matter supplied to benthic species, and 0-10% of organic matter to upper water column or pelagic inhabitants. A delta C-13 analysis of nine fatty acids including two key biomarkers for diatoms, eicosapentaenoic acid (EPA, 20:5 omega 3), and docosahexaenoic acid (DHA, 22:6 omega 3), confirmed these patterns. We observed clear patterns in delta C-13 of fatty acids that are enriched in C-13 for species that acquire a large fraction of their nutrition from SIMCO. These data demonstrate the key role of SIMCO in ecosystem functioning in Antarctica and strong linkages between sea ice extent and nearshore secondary productivity. While SIMCO provides a stabilizing subsidy of organic matter, changes to sea ice coverage associated with climate change would directly affect secondary production and stability of benthic food webs in Antarctica.</t>
  </si>
  <si>
    <t>10.1890/11-0996.1</t>
  </si>
  <si>
    <t>Florko, KRN; Tai, TC; Cheung, WWL; Ferguson, SH; Sumaila, UR; Yurkowski, DJ; Auger-Methe, M</t>
  </si>
  <si>
    <t>Predicting how climate change threatens the prey base of Arctic marine predators</t>
  </si>
  <si>
    <t>climate change; dynamic bioclimatic envelope model; ecosystem modelling; future projection; marine food web; RCP scenarios; species distributions</t>
  </si>
  <si>
    <t>CAPELIN MALLOTUS-VILLOSUS; SEALS PHOCA-HISPIDA; COD BOREOGADUS-SAIDA; NORTH WATER POLYNYA; RINGED SEALS; HUDSON-BAY; DELPHINAPTERUS-LEUCAS; FORAGING ECOLOGY; STABLE-ISOTOPES; PUSA-HISPIDA</t>
  </si>
  <si>
    <t>Arctic sea ice loss has direct consequences for predators. Climate-driven distribution shifts of native and invasive prey species may exacerbate these consequences. We assessed potential changes by modelling the prey base of a widely distributed Arctic predator (ringed seal; Pusa hispida) in a sentinel area for change (Hudson Bay) under high- and low-greenhouse gas emission scenarios from 1950 to 2100. All changes were relatively negligible under the low-emission scenario, but under the high-emission scenario, we projected a 50% decline in the abundance of the well-distributed, ice-adapted and energy-rich Arctic cod (Boreogadus saida) and an increase in the abundance of smaller temperate-associated fish in southern and coastal areas. Furthermore, our model predicted that all fish species declined in mean body size, but a 29% increase in total prey biomass. Declines in energy-rich prey and restrictions in their spatial range are likely to have cascading effects on Arctic predators.</t>
  </si>
  <si>
    <t>10.1111/ele.13866</t>
  </si>
  <si>
    <t>Barnes, C; Jennings, S; Polunin, NVC; Lancaster, JE</t>
  </si>
  <si>
    <t>The importance of quantifying inherent variability when interpreting stable isotope field data</t>
  </si>
  <si>
    <t>carbon; feeding; food chain; food web; nitrogen; stable isotopes</t>
  </si>
  <si>
    <t>TROPHIC POSITION; FISH-TISSUES; BODY-SIZE; FOOD-WEB; DELTA-N-15; DELTA-C-13; CARBON; FRACTIONATION; DIET; NITROGEN</t>
  </si>
  <si>
    <t>Stable isotope data are often used to assess diet, trophic level, trophic niche width and the extent of omnivory. Notwithstanding ongoing discussions about the value of these approaches, variations in isotopic signatures among individuals depend on inherent variability as well as differences in feeding habitats. Remarkably, the relative contributions of diet variation and inherent variability to differences in delta N-15 and delta C-13 among individuals have not been quantified for the same species at the same life history stages, and inherent variability has been ignored or assumed. We quantified inherent variability in delta C-13 and delta N-15 among individuals of a marine fish (the European sea bass, Dicentrarchus labrax) reared in a controlled environment on a diet of constant isotopic composition and compared it with variability in delta C-13 and delta N-15 among individuals from wild bass populations. The analysis showed that inherent variability among reared individuals on a controlled diet was equivalent to a large proportion of the observed variability among wild individuals and, therefore, that inherent variability should be measured to establish baseline variability in wild populations before any assumptions are made about the influence of diet. Given that inherent variability is known to be dependent on species, life history stage and the environment, our results show that it should be quantified on a case-by-case basis if diet studies are intended to provide absolute assessments of dietary habits.</t>
  </si>
  <si>
    <t>10.1007/s00442-007-0904-y</t>
  </si>
  <si>
    <t>Mothapo, NP; Wossler, TC</t>
  </si>
  <si>
    <t>Patterns of floral resource use by two dominant ant species in a biodiversity hotspot</t>
  </si>
  <si>
    <t>Diet switching; Cape Floristic Region; Linepithema humile; Floral nectar; Anoplolepis custodiens; Stable isotope analysis</t>
  </si>
  <si>
    <t>IRIDOMYRMEX-HUMILIS MAYR; ARGENTINE ANT; INVASIVE ANT; TROPHIC ECOLOGY; LINEPITHEMA-HUMILE; STABLE-ISOTOPES; HYMENOPTERA-FORMICIDAE; COMMUNITY STRUCTURE; COLONY GROWTH; PLANTS</t>
  </si>
  <si>
    <t>Ecological dominance in ants is often fuelled by carbohydrate intake. Most studies have focused on the importance of invasive ant mutualistic associations with trophobionts whereas few studies have investigated the importance of floral nectar on invasion success. In this study, utilisation of temporarily available floral nectar by the invasive Argentine ant, Linepithema humile, was compared to that of the dominant native ant, Anoplolepis custodiens, within the Cape Floristic Region (CFR), a biodiversity hotspot. The effect of these two focal ant species on species composition and abundance of ground foraging ants as well as floral arthropod visitors in inflorescences of Proteacea species was assessed. Foraging activity, and trophic ecology inferred from the abundance of natural stable isotopes of Carbon (delta C-13) and Nitrogen (delta N-15), and the ratio of Carbon to Nitrogen (C:N) were compared between the two ant species during three flowering periods. Linepithema humile significantly reduced the abundance and species diversity of both above-ground and floral arthropod species abundance and composition. Linepithema humile increased its foraging activity with increasing nectar availability, switching its diet to a more herbivorous one. Anoplolepis custodiens did not respond as effectively to increasing floral nectar or negatively impact floral arthropod visitors. This study showed that the availability of floral nectar and ability of L. humile to more effectively utilise this temporarily available resource than native ants, can contribute significantly to the further spread and persistence of L. humile in natural environments in the CFR.</t>
  </si>
  <si>
    <t>10.1007/s10530-016-1336-6</t>
  </si>
  <si>
    <t>Lang, I; Paz-Vinas, I; Cucherousset, J; Loot, G</t>
  </si>
  <si>
    <t>Patterns and determinants of phenotypic variability within two invasive crayfish species</t>
  </si>
  <si>
    <t>Faxonius limosus; geometric morphometrics; intraspecific variation; Procambarus clarkii; stable isotopes; stoichiometry</t>
  </si>
  <si>
    <t>RED SWAMP CRAYFISH; ORCONECTES-LIMOSUS RAFINESQUE; PROCAMBARUS-CLARKII; INTRODUCED CRAYFISH; GENETIC DIVERSITY; RAPID EVOLUTION; BODY-SIZE; POPULATION; ADAPTATION; ECOLOGY</t>
  </si>
  <si>
    <t>Knowledge on the ecological determinants and evolutionary processes shaping intraspecific variability in the wild remains scarce. It is particularly needed in the context of biological invasions to fully understand the consequences of invasive species on the functioning of recipient ecosystems. Using geometric morphometrics, stable isotopes, and elemental composition analyses, we quantified phenotypic variability (morphological, trophic, and stoichiometric traits) within and among invasive populations of two crayfish species with distinct invasion histories over 23 gravel pit lakes in southwest France. We sampled 12 populations of the red swamp crayfish (Procambarus clarkii Girard, 1852) and 11 populations of the spiny-cheek crayfish (Faxonius limosus Rafinesque, 1817). We aimed at unravelling the ecological determinants and the mechanisms (neutral or adaptive) underlying the phenotypic variability among invasive populations. We demonstrate that, for each group of traits, P. clarkii and F. limosus display contrasting patterns of variance distribution across three ecological scales (population, sex, individual). Then, we demonstrate that P. clarkii trait variation in body morphology and stoichiometry is associated with both ecological and historical determinants (i.e. predation pressure, intraspecific invasion, and invasion age), and morphological traits in F. limosus vary with ecological factors only (i.e. predation pressure and abundance of P. clarkii). Finally, we highlight that different combinations of neutral and adaptive processes shaped the phenotypic variability in the two species, with a higher contribution of adaptive processes in F. limosus. Overall, these results indicate that F. limosus has already gone through local adaptation in the meta-population while this has not yet occurred for P. clarkii, which was introduced later. This highlights that these two invasive species might have contrasting effects across ecological scales. Our study emphasises that studying invasive species can provide great knowledge on intraspecific variability and its ecological determinants and evolutionary processes in the wild. Our results also stress the need to focus on intraspecific variability in the context of biological invasions as it can be substantial across wide geographic areas.</t>
  </si>
  <si>
    <t>10.1111/fwb.13792</t>
  </si>
  <si>
    <t>MacNeill, MA; Skomal, GB; Fisk, AT</t>
  </si>
  <si>
    <t>Stable isotopes from multiple tissues reveal diet switching in sharks</t>
  </si>
  <si>
    <t>delta N-15; delta C-13; diet; trophic ecology; metabolism; elasmobranch</t>
  </si>
  <si>
    <t>MAKO ISURUS-OXYRINCHUS; TROPHIC RELATIONSHIPS; FEEDING-HABITS; BLUE SHARK; FRACTIONATION; DELTA-N-15; NITROGEN; RATIOS; CARBON; DELTA-C-13</t>
  </si>
  <si>
    <t>Food web relationships in marine systems have traditionally been defined through stomach content analysis, but biochemical techniques have recently emerged to validate and broaden temporal diet patterns. Stable isotope analysis has become a practical tool for evaluating these relationships in aquatic systems; however, routine sampling of muscle tissue captures only part of the trophic information available from each animal. We compared delta N-15 and delta C-13 values among liver, muscle and cartilage in the blue shark Prionace glauca, shortfin mako Isurus oxyrinchus, and common thresher Alopias vulpinus from the northwest Atlantic to show how multiple-tissue sampling captured feeding relationships which would have been invisible to muscle tissue alone. Specifically, we demonstrated evidence of a cephalopod to bluefish Pomatomus saltatrix diet switch in the shortfin mako in spring, and found that the blue shark and common thresher have consistent diets throughout the year. We concluded that consistency observed among stable isotope values in multiple tissues implied that the fish were in steady-state with the isotope ratios of their diet and that multiple tissues should be used in trophic assessments of large pelagic fishes. Further experiments to quantify the turnover of stable isotopes in different tissues and species are needed to improve the accuracy of stable-isotope analyses.</t>
  </si>
  <si>
    <t>10.3354/meps302199</t>
  </si>
  <si>
    <t>Barton, M; Parry, H; Ward, S; Hoffmann, AA; Umina, PA; van Helden, M; Macfadyen, S</t>
  </si>
  <si>
    <t>Forecasting impacts of biological control under future climates: mechanistic modelling of an aphid pest and a parasitic wasp</t>
  </si>
  <si>
    <t>Aphid; Parasitoid; Agriculture; Climate change; Pest management; Multi-trophic</t>
  </si>
  <si>
    <t>MYZUS-PERSICAE HEMIPTERA; RAPAE HYMENOPTERA-BRACONIDAE; WESTERN-YELLOWS-VIRUS; GREEN PEACH APHIDS; FLUCTUATING TEMPERATURES; ELEVATED CO2; BREVICORYNE-BRASSICAE; POPULATION RESPONSE; FUNCTIONAL-RESPONSE; SPATIALLY EXPLICIT</t>
  </si>
  <si>
    <t>Climate change impacts agricultural pests in complicated ways, and accounting for these responses should form an integral part of pest management programmes. Process-based models are often used in agriculture to forecast population dynamics of pests within a growing season, however these are often constrained to assessing the impacts of temperature in isolation of other factors. These models are therefore unable to fully explore species' responses to climate change, which may be driven by multiple abiotic and biological stressors. Here, we build a mechanistic model of a globally distributed agricultural aphid pest (Myzus persicae (Sulzer)), and an associated parasitic wasp (Diaeretiella rapae (M'Intosh)) that is known to biologically control the aphid. We simulate temporal dynamics of the crop with a well-established canola growing degree-day model (APSIM) and incor-porate the impacts of temperature and rainfall on insect survival. The model was parameterised with laboratory-measured datasets from around the globe, and we have calibrated and validated the model to Australian broadacre cropping systems using regional observation records. We then ran the validated models with future temperature and rainfall scenarios to reveal that suppression of aphid populations by the wasp is enhanced under stressful abiotic conditions, which are predicted to occur more frequently in the future. The process-based modelling approach affords valuable and novel insights into physiological traits that influence population dy-namics of both species and highlights gaps in our current understanding of the system. In the future, farmers could have greater confidence in the bio-control potential of D. rapae under different conditions, and be in a position to adjust their M. persicae management programmes accordingly. This is the first model to explore the interaction of these two cosmopolitan species in the field, which is applicable across broad geographic regions, while also providing insights as to how both species could be better managed on a local scale.</t>
  </si>
  <si>
    <t>10.1016/j.ecolmodel.2021.109679</t>
  </si>
  <si>
    <t>Alewell, C; Meusburger, K; Brodbeck, M; Banninger, D</t>
  </si>
  <si>
    <t>Methods to describe and predict soil erosion in mountain regions</t>
  </si>
  <si>
    <t>LANDSCAPE AND URBAN PLANNING</t>
  </si>
  <si>
    <t>Soil degradation; Modelling; Remote sensing; Stable isotopes; The Alps</t>
  </si>
  <si>
    <t>LAND-USE CHANGES; SEDIMENT YIELD; CLIMATE-CHANGE; FORESTED CATCHMENT; STABLE-ISOTOPES; MODEL; DEPOSITION; IMPACTS; INDICATORS; PATTERNS</t>
  </si>
  <si>
    <t>Suitable methods to describe and predict soil degradation in mountain areas with low accessibility, steep topography and extreme climate are urgently needed for suitable planning processes in Alpine regions under global change regime. Aerial photograph mapping has been proven to be a valuable tool in surveying landslide development over time. However, landslides&lt; 10 m(2) as well as sheet erosion have been difficult to detect. Thus, the beginning of potentially heavy soil degradation cannot be tracked with aerial photographs. As an early warning system for soil degradation, we analyzed gradients of stable isotopes of carbon and nitrogen from upland (erosion source) to wetland soils (erosion sink). Oxic upland soils and anoxic wetlands differ in their isotopic signature, due to differing isotopic fingerprints of aerobic and anaerobic metabolism in soils. Gradients of delta N-15 and delta C-13 in soils reflected erosion of material. However, if soils were fertilized with manure, the delta N-15 profiles were obscured. To quantify soil erosion, we noted that existing soil erosion models are generally unsuitable for mountain regions. As a first step, we developed a new modelling concept with a special algorithm for spatial discretization with irregular grids. The latter ensures three-dimensional water flow routing that is controlled by topography and not by the underlying algorithm. Regarding quantification of soil erosion an improvement and validation of existing modelling approaches or development of new models is urgently needed. (C) 2008 Elsevier B.V. All rights reserved.</t>
  </si>
  <si>
    <t>2-4</t>
  </si>
  <si>
    <t>10.1016/j.landurbplan.2008.08.007</t>
  </si>
  <si>
    <t>Bussmann, K; Hirsch, PE; Lehmann, MF; Burkhardt-Holm, P</t>
  </si>
  <si>
    <t>Differential habitat use of a notorious invasive fish, the round goby, in a translocation-relevant system</t>
  </si>
  <si>
    <t>aquatic invasive species; diet; Neogobius melanostomus; niche dynamics; niche partitioning; stable isotopes</t>
  </si>
  <si>
    <t>STABLE-ISOTOPE ANALYSES; NEOGOBIUS-MELANOSTOMUS; INTRASPECIFIC COMPETITION; TROPHIC POSITION; CARBON ISOTOPES; GOBIES; DIET; LAKE; ECOLOGY; EXTRACTION</t>
  </si>
  <si>
    <t>Anthropogenic structures can form novel ecosystem niches. Invasive species are often particularly successful in occupying these habitats and utilize them as beachheads for further spread. The invasive round goby (Neogobius melanostomus, Pallas 1814), an inherently bottom-dwelling fish, uses vertical harbor walls as habitat, enabling them to reach boats (i.e., potential translocation vectors). To evaluate the relevance of vertical habitat use for population dynamics and translocation, we exemplary investigated a population of round gobies in a harbor ecosystem. Specifically, we investigated differences in trophic niche characteristics, individual trophic specialization, phenotypic traits, and breeding frequency in wall versus bottom-dwelling round gobies. Habitat-characteristic dietary signatures indicated habitat partitioning during the breeding season. Trophic niches overlapped but were clearly distinguishable between the habitats: Walls were inhabited by 1.4 times more trophic generalists than specialists, while the bottom was inhabited by 2.1 times more trophic specialists. Breeding frequency was 24 times higher on the walls than on the bottom. After the reproductive season, we found a higher similarity in trophic ecology of gobies inhabiting the two habitats, and differences in abundance, size, and condition. These results are in line with winter migrations to deeper habitats, which are common in round gobies in lentic and marine ecosystems. Our results suggest a high potential for microgeographic adaptation to either horizontal or vertical habitat use in invasive round gobies. We demonstrated that male gobies using the walls during the breeding season are larger and heavier, suggesting that wall climbing may select for more competitive individuals. Additionally, the overall abundance of round gobies likely increases with the additional use of vertical habitat space, which may lead to higher propagule pressure. The ability to exploit anthropogenic habitats, and a higher translocation probability of competitive individuals, can contribute to the invasion success of round gobies in anthropogenically influenced aquatic systems.</t>
  </si>
  <si>
    <t>e9202</t>
  </si>
  <si>
    <t>10.1002/ece3.9202</t>
  </si>
  <si>
    <t>Tan, L; Song, YB; Fu, RH; Liu, M; Li, Y; Escudero, M; Chen, Y; Dong, M</t>
  </si>
  <si>
    <t>Variation of stable carbon and nitrogen isotopes ratio in Ficus tikoua and their linkage to its specific pollinator</t>
  </si>
  <si>
    <t>FLORA</t>
  </si>
  <si>
    <t>Environmental factor; Ficus; Fig wasps; Isotope fractionation; Stable isotopes</t>
  </si>
  <si>
    <t>NATURAL-ABUNDANCE; PRECIPITATION GRADIENT; ENVIRONMENTAL-FACTORS; MYCORRHIZAL FUNGI; GAS-EXCHANGE; FIG WASPS; FOOD-WEB; PLANT; DELTA-N-15; FOREST</t>
  </si>
  <si>
    <t>The interactions between figs and their pollinators are among the most specialized examples of mutualism between plants and insects. Based on their life-histories and obligate mutualism, it is reasonable to expect an environmentally-dependent trophic cascade exists between figs and their pollinators. Understanding the mechanisms involved in soil-plant-pollinator trophic cascade relationships will advance our knowledge of how obligate mutualist systems respond to environmental change. We sampled rhizosphere soil, leaves, syconia, and fig wasps (Ceratosolen) of a dioecious prostrate shrub, Ficus tikoua from southwestern China, and measured their carbon (delta C-13) and nitrogen (delta N-15) stable isotope ratios. The mean leaves delta C-13 values of F. tikoua were -28.86 +/- 1.24%, which suggests it is a typical C-3 plant. We detected a significant difference for delta C-13 and delta N-15 values of F. tikoua among different populations related to environmental factors such as longitude, altitude, and annual average temperature. The delta C-13 values showed a significantly positive correlation between fig wasps and host. The delta N-15 in fig wasps were 3.4% higher than those in F. tikoua, and were positively correlated with delta N-15 in leaves. These results indicated that fig wasps were feeding on F. tikoua. Moreover, the delta N-15 values among soil, leaves, and syconia showed significantly positive correlations, indicating the trophic linkage among soil-plant-pollinators. In summary, we noted that environmental factors shaped population variations in stable isotopic patterns of F. tikoua, and such variations drove stable isotopic signatures of its specific pollinators by trophic cascade. Future environmental changes could potentially impact the maintenance and stability of this highly specific pollination system of figs and fig wasps.</t>
  </si>
  <si>
    <t>10.1016/j.flora.2022.152073</t>
  </si>
  <si>
    <t>Chevalier, M; Comte, L; Laffaille, P; Grenouillet, G</t>
  </si>
  <si>
    <t>Interactions between species attributes explain population dynamics in stream fishes under changing climate</t>
  </si>
  <si>
    <t>Bayesian inference; climate mean; climate variability; density dependence; growth rate; N-mixture models; trait-based approach; water temperature</t>
  </si>
  <si>
    <t>LIFE-HISTORY TRAITS; FOOD-WEB STRUCTURE; DENSITY-DEPENDENCE; TIME-SERIES; DEMOGRAPHIC COMPENSATION; EXTINCTION RISK; ABUNDANCE; VARIABILITY; MODELS; RESILIENCE</t>
  </si>
  <si>
    <t>Species responses to climate change have been shown to vary in both direction and magnitude. Understanding these idiosyncratic responses is crucial if we are to predict extinction risk and set up efficient conservation strategies. The variations observed across species have been related to several species attributes including intrinsic traits such as physiological tolerances or life-history strategies but also to niche characteristics (e.g., niche breadth [NB], niche position [NP]). However, although previous studies have successfully linked species attributes to population dynamics or range shifts, few have considered synergistic effects to explain responses to climate variations. Here, we assessed whether five species attributes (fecundity, thermal safety margin, trophic position [TP], NB, and NP) explained interspecific differences in four parameters influencing population dynamics of 35 stream fish species at the French scale. We used Bayesian N-mixture models to estimate posterior distributions of the growth rate, the strength of density dependence, and the influence of both mean temperature and temperature variability on populations for each species. We then used phylogenetic generalized least squares (PGLS) models to investigate the influence of species attributes and their interactions on interspecific differences in each of the four parameter driving population dynamics. The percentage of variance explained by the PGLS models was relatively high (around 40% on average), indicating that species attributes are good predictors of species population dynamics. Furthermore, we showed that the influence of these single attributes was mediated by other attributes, especially NP and TP. Importantly, we found that models including interaction terms had greater support over simple additive models in explaining interspecific differences in population dynamics. Taken together, these results point to the importance of considering the interplay between species attributes in unraveling the mechanisms involved in population dynamics and understanding the vulnerability of species to global change.</t>
  </si>
  <si>
    <t>e02061</t>
  </si>
  <si>
    <t>10.1002/ecs2.2061</t>
  </si>
  <si>
    <t>Brum, M; Vadeboncoeur, MA; Ivanov, V; Asbjornsen, H; Saleska, S; Alves, LF; Penha, D; Dias, JD; Aragao, LEOC; Barros, F; Bittencourt, P; Pereira, L; Oliveira, RS</t>
  </si>
  <si>
    <t>Hydrological niche segregation defines forest structure and drought tolerance strategies in a seasonal Amazon forest</t>
  </si>
  <si>
    <t>2015 ENSO; Amazon functional diversity; cavitation; embolism resistance; hydraulic traits; root depth; stable isotopes; water potential</t>
  </si>
  <si>
    <t>CANOPY LEAF-AREA; WATER-UPTAKE; SOIL-WATER; CARBON DYNAMICS; HYDRAULIC CONDUCTIVITY; VEGETATION DYNAMICS; EASTERN AMAZON; CLIMATE-CHANGE; ROOTING DEPTH; PLANTS</t>
  </si>
  <si>
    <t>1. The relationship between rooting depth and above-ground hydraulic traits can potentially define drought resistance strategies that are important in determining species distribution and coexistence in seasonal tropical forests, and understanding this is important for predicting the effects of future climate change in these ecosystems. 2. We assessed the rooting depth of 12 dominant tree species (representing c. 42% of the forest basal area) in a seasonal Amazon forest using the stable isotope ratios (delta O-18 and delta H-2) of water collected from tree xylem and soils from a range of depths. We took advantage of a major ENSO-related drought in 2015/2016 that caused substantial evaporative isotope enrichment in the soil and revealed water use strategies of each species under extreme conditions. We measured the minimum dry season leaf water potential both in a normal year (2014; Psi(non-ENSO)) and in an extreme drought year (2015; Psi(ENSO)). Furthermore, we measured xylem hydraulic traits that indicate water potential thresholds trees tolerate without risking hydraulic failure (P-50 and P-88). 3. We demonstrate that coexisting trees are largely segregated along a single hydrological niche axis defined by root depth differences, access to light and tolerance of low water potential. These differences in rooting depth were strongly related to tree size; diameter at breast height (DBH) explained 72% of the variation in the delta O-18(xylem). Additionally, delta O-18(xylem) explained 49% of the variation in P-50 and 70% of P-88, with shallow-rooted species more tolerant of low water potentials, while delta O-18 of xylem water explained 47% and 77% of the variation of minimum Psi(non-ENSO) and Psi(ENSO). 4. We propose a new formulation to estimate an effective functional rooting depth, i.e. the likely soil depth from which roots can sustain water uptake for physiological functions, using DBH as predictor of root depth at this site. Based on these estimates, we conclude that rooting depth varies systematically across the most abundant families, genera and species at the Tapajos forest, and that understorey species in particular are limited to shallow rooting depths. 5. Our results support the theory of hydrological niche segregation and its underlying trade-off related to drought resistance, which also affect the dominance structure of trees in this seasonal eastern Amazon forest. 6. Synthesis. Our results support the theory of hydrological niche segregation and demonstrate its underlying trade-off related to drought resistance (access to deep water vs. tolerance of very low water potentials). We found that the single hydrological axis defining water use traits was strongly related to tree size, and infer that periodic extreme droughts influence community composition and the dominance structure of trees in this seasonal eastern Amazon forest.</t>
  </si>
  <si>
    <t>10.1111/1365-2745.13022</t>
  </si>
  <si>
    <t>Frederiksen, MS; Holmer, M; Perez, M; Invers, O; Ruiz, JM; Knudsen, BB</t>
  </si>
  <si>
    <t>Effect of increased sediment sulfide concentrations on the composition of stable sulfur isotopes (delta S-34) and sulfur accumulation in the seagrasses Zostera marina and Posidonia oceanica</t>
  </si>
  <si>
    <t>Posidonia oceanica; seagrass; stable sulfur isotopes; sulfide; Zostera marina</t>
  </si>
  <si>
    <t>NONSTRUCTURAL CARBOHYDRATE RESERVES; RADIAL OXYGEN LOSS; THALASSIA-TESTUDINUM; HALOPHILA-OVALIS; EELGRASS; DYNAMICS; GROWTH; PLANTS; INVASION; DECLINE</t>
  </si>
  <si>
    <t>The effect of increased sediment sulfide concentrations on the sulfur isotopic composition (delta S-34), total sulfur (TS) and elemental sulfur (S-0) concentrations in plant tissues was studied for the two seagrasses Zostera marina (3 weeks in laboratory) and Posidonia oceanica (4 months in situ). Porewater sulfide concentrations were experimentally regulated and plants exposed to high sediment sulfide concentrations had delta S-34 signals closer to the delta S-34 of sulfide, whereas plants exposed to no/low sulfide concentrations had delta S-34 signals closer to the delta S-34 of seawater sulfate, indicating a higher sulfide invasion in plants exposed to high sulfide concentrations. The delta S-34 varied between the plant tissues in both species with the leaves having more positive delta S-34 signals than roots and rhizomes, indicating that sulfide was invading into the roots and moved to the other tissues through the lacunae. TS and So concentrations were higher in plants exposed to sulfide in both experiments suggesting that sulfur derived from sediment sulfide accumulated in the plants. The delta S-34 signal in So was similar to sediment sulfide verifying that So found in the seagrasses originated from sediment sulfide. Direct comparisons of delta S-34 in the two different seagrasses and across the treatments were not possible due to large differences in delta S-34 of the sulfur sources. F-sulfide adjusted for these differences and may be a useful alternative, when delta S-34 of the sulfur sources varies between study sites. There were no significant effects of sulfide exposure on plant growth and mortality in Z. marina and P. oceanica after 3 weeks and 8 weeks exposure, respectively, but R oceanica showed indications of reduced growth and higher mortality after 16 weeks of sulfide exposure probably due to sulfide invasion/toxicity. (C) 2008 Elsevier B.V. All rights reserved.</t>
  </si>
  <si>
    <t>10.1016/j.jembe.2008.01.021</t>
  </si>
  <si>
    <t>Henning, B; de Sa Carvalho, B; Pires, MM; Bassoi, M; Marigo, J; Bertozzi, C; Araujo, MS</t>
  </si>
  <si>
    <t>Geographical and intrapopulation variation in the diet of a threatened marine predator, Pontoporia blainvillei (Cetacea)</t>
  </si>
  <si>
    <t>BIOTROPICA</t>
  </si>
  <si>
    <t>conservation; franciscana dolphin; Index of Relative Importance; interindividual variation; ontogenetic diet shift; proportional similarity index; stomach contents</t>
  </si>
  <si>
    <t>FRANCISCANA DOLPHIN; SOUTHERN BRAZIL; INDIVIDUAL VARIATION; TOP PREDATOR; FOOD-WEB; DYNAMICS; PATTERNS; MAMMALS; SIZE; CONSEQUENCES</t>
  </si>
  <si>
    <t>Understanding diet variation is a major concern when developing conservation guidelines for threatened species, especially for marine predators whose prey availability can be reduced by commercial fisheries. Diet can vary in geographically structured populations due to variation in prey availability and within a location due to the effects of season, sex, age, and individual. However, these sources of variation are seldom considered together in dietary studies. We analyzed diet variation at the geographical and intrapopulation levels in the franciscana dolphin (Pontoporia blainvillei) by analyzing samples of stomach contents from individuals incidentally caught by artisanal fisheries. We investigated the geographical (Northern, Central, and Southern regions of the SAo Paulo State coast, Brazil) and intrapopulation effects of season, sex, and age. We used the leave-one-out cross-validation method to test for significance of the proportional similarity index, which measures the overlap between diet compositions. We found that diet varied across different levels, from the geographical to the individual level, including the effects of season, sex, and age. Diet variation as a function of age suggests an ontogenetic diet shift. Our findings indicate that ecological processes within local stocks should inform management at the local geographic scale. Evidence for ecological differences between franciscana stocks is of great significance for the conservation of this threatened species.</t>
  </si>
  <si>
    <t>10.1111/btp.12503</t>
  </si>
  <si>
    <t>Merritt, AM; Casazza, ML; Overton, CT; Takekawa, JY; Hahn, TP; Hull, JM</t>
  </si>
  <si>
    <t>Lessons from the past: isotopes of an endangered rail as indicators of underlying change to tidal marsh habitats</t>
  </si>
  <si>
    <t>ECOSYSTEM HEALTH AND SUSTAINABILITY</t>
  </si>
  <si>
    <t>SAN-FRANCISCO BAY; SPARTINA-ALTERNIFLORA; COASTAL WETLANDS; STABLE-ISOTOPES; ORGANIC-MATTER; CLAPPER RAILS; CALIFORNIA; NITROGEN; SALINITY; CARBON</t>
  </si>
  <si>
    <t>Introduction: Tidal marsh systems along the Pacific coast of the United States have experienced substantial stress and loss of area and ecosystem function, which we examined by using the endangered California Ridgway's Rail, Rallus obsoletus obsoletus ('rail') as an indicator of its tidal marsh habitat in the San Francisco Estuary. We organized a collection of historical (1885-1940) and modern (2005-2014) rail feathers and analyzed the feather isotope means for delta carbon (delta C-13), sulfur (delta S-34), and nitrogen (delta N-15) by region and time period. Outcomes: Feather isotopes represented the primary foraging habitat during historical then modern time periods. Neither individual nor regional rail feather isotopes suggested freshwater or terrestrial foraging by the rail. Three regions with both historic and modern feather isotopes revealed non-uniform spatial shifts in isotope levels consistent with a marine based food web and significant delta N-15 enrichment. Discussion: Our results supported the rail's status as a generalist forager and obligate tidal marsh species throughout the historic record. The variable isoscape trends generated from feather isotope means illustrated a modern loss of the isotopic homogeneity between regions of historical tidal marsh, which correlated with spatially-explicit habitat alterations such as increasing biological invasions and sewage effluent over time. Conclusion: These findings have reinforced the importance of tidal marsh conservation in the face of ongoing underlying changes to these important ecosystems.</t>
  </si>
  <si>
    <t>10.1080/20964129.2017.1410451</t>
  </si>
  <si>
    <t>Lee, H; Schuur, EAG; Inglett, KS; Lavoie, M; Chanton, JP</t>
  </si>
  <si>
    <t>The rate of permafrost carbon release under aerobic and anaerobic conditions and its potential effects on climate</t>
  </si>
  <si>
    <t>active layer; Alaska; carbon isotopes; methane; radiocarbon; relative climate forcing; substrate quality; yedoma</t>
  </si>
  <si>
    <t>METHANE PRODUCTION; STABLE CARBON; DISCONTINUOUS PERMAFROST; NORTHERN ALASKA; SOIL; THERMOKARST; THAW; OXIDATION; CH4; PH</t>
  </si>
  <si>
    <t>Recent observations suggest that permafrost thaw may create two completely different soil environments: aerobic in relatively well-drained uplands and anaerobic in poorly drained wetlands. The soil oxygen availability will dictate the rate of permafrost carbon release as carbon dioxide (CO2) and as methane (CH4), and the overall effects of these emitted greenhouse gases on climate. The objective of this study was to quantify CO2 and CH4 release over a 500-day period from permafrost soil under aerobic and anaerobic conditions in the laboratory and to compare the potential effects of these emissions on future climate by estimating their relative climate forcing. We used permafrost soils collected from Alaska and Siberia with varying organic matter characteristics and simultaneously incubated them under aerobic and anaerobic conditions to determine rates of CO2 and CH4 production. Over 500 days of soil incubation at 15 degrees C, we observed that carbon released under aerobic conditions was 3.9-10.0 times greater than anaerobic conditions. When scaled by greenhouse warming potential to account for differences between CO2 and CH4, relative climate forcing ranged between 1.5 and 7.1. Carbon release in organic soils was nearly 20 times greater than mineral soils on a per gram soil basis, but when compared on a per gram carbon basis, deep permafrost mineral soils showed carbon release rates similar to organic soils for some soil types. This suggests that permafrost carbon may be very labile, but that there are significant differences across soil types depending on the processes that controlled initial permafrost carbon accumulation within a particular landscape. Overall, our study showed that, independent of soil type, permafrost carbon in a relatively aerobic upland ecosystems may have a greater effect on climate when compared with a similar amount of permafrost carbon thawing in an anaerobic environment, despite the release of CH4 that occurs in anaerobic conditions.</t>
  </si>
  <si>
    <t>10.1111/j.1365-2486.2011.02519.x</t>
  </si>
  <si>
    <t>Weems, J; Iken, K; Gradinger, R; Wooller, MJ</t>
  </si>
  <si>
    <t>Carbon and nitrogen assimilation in the Bering Sea clams Nuculana radiata and Macoma moesta</t>
  </si>
  <si>
    <t>Benthos; Bering Sea; Clam; Food web; Stable isotopes</t>
  </si>
  <si>
    <t>MARINE FOOD-WEB; MARGINAL ICE-ZONE; STABLE-ISOTOPES; CLIMATE-CHANGE; TROPHIC RELATIONSHIPS; ORGANIC-MATTER; PACK ICE; SEASONAL-VARIATION; MYTILUS-EDULIS; CHUKCHI SEAS</t>
  </si>
  <si>
    <t>We analyzed bulk carbon and nitrogen stable isotope values (delta C-13 and delta N-15) of the benthic clams Nuculana radiata and Macoma moesta from the Bering Sea during controlled feeding experiments (spring of 2009 and 2010) using isotopically labeled sea ice algae. The aim was to determine the ability of these clam species to assimilate carbon and nitrogen from sea ice algae. Specimens were collected in the Bering Sea and placed into jars without sediment (2009, N. radiata only) or into natural sediment cores (2010, both species). The clams were offered isotopically enriched (both C and N) or non-enriched algal feeds for time periods of 42 (2009) and 18 d (2010). Isotopic assimilation rates for carbon and nitrogen were calculated using the change in the isotope ratios of the clams over the experimental time. N. radiata in the jar experiments had slow isotopic assimilation rates (0.01 to 0.23 parts per thousand d(-1)), with solvent-extractable organic matter/lipids taking up both of the isotope markers fastest and muscle tissue the slowest. Lipids may thus be particularly suitable to track the immediate ingestion of sea ice algal production in benthic consumers. M. moesta showed 30% higher isotopic assimilation compared to N. radiata in sediment cores, likely reflecting the different feeding behaviors of these two species. Based on our results, N. radiata is likely better able to utilize food sources buried in the sediment and may be more competitive over the sediment surface feeding M. moesta under conditions of reduced ice algal production in the northern Bering Sea. (C) 2012 Elsevier B.V. All rights reserved.</t>
  </si>
  <si>
    <t>10.1016/j.jembe.2012.06.015</t>
  </si>
  <si>
    <t>Macias-Duarte, A; Conway, CJ</t>
  </si>
  <si>
    <t>Geographic variation in dispersal of western burrowing owl (Athene cunicularia hypugaea) populations across North America</t>
  </si>
  <si>
    <t>BEHAVIORAL ECOLOGY</t>
  </si>
  <si>
    <t>agriculture; breeding dispersal; feathers; immigration; population dynamics; stable isotopes</t>
  </si>
  <si>
    <t>HYDROGEN ISOTOPE RATIOS; STABLE-ISOTOPES; BREEDING DISPERSAL; POLEWARD SHIFTS; BIRDS; MIGRATION; FEATHERS; ORIGIN; PHILOPATRY; PATTERNS</t>
  </si>
  <si>
    <t>Dispersal is one of the key elements of species' metapopulation dynamics and, hence, influences global conservation status. Furthermore, determining the geographic variation in magnitude and direction of dispersal throughout a species' distribution may expand our understanding of the causes of population declines in species of conservation concern. For instance, western burrowing owl (Athene cunicularia hypugaea) populations have declined at the northern and eastern edge of their breeding distribution during the 20th century. In the same period, large areas of thornscrub that did not support breeding owls were converted to irrigated agriculture in the southern edge of the subspecies' breeding distribution in northwestern Mexico. These farmlands now support some of the highest breeding densities of owls. We tested the hypothesis that owls that colonized this recently created habitat originated from declining migratory populations from the northern portion of the subspecies' range. We used stable isotopes H-2, C-13, and N-15 in owl feathers to infer breeding dispersal patterns throughout the subspecies' breeding range. Populations near the northern edge of the subspecies' breeding range had immigrants that dispersed over larger distances than immigrants at low and mid latitude populations. However, agricultural populations in northwestern Mexico disrupted this latitudinal pattern, attracting owls from more distant locations. We also found immigrants originated from further distances in declining populations than increasing populations. Stable isotopes provided no evidence of contemporaneous breeding dispersal from Canadian populations to northwestern Mexico but suggest that agricultural areas in the southern edge of the subspecies' distribution have altered the continental dispersal pattern.</t>
  </si>
  <si>
    <t>10.1093/beheco/arab100</t>
  </si>
  <si>
    <t>Hoie, H; Folkvord, A; Otterlei, E</t>
  </si>
  <si>
    <t>Effect of somatic and otolith growth rate on stable isotopic composition of early juvenile cod (Gadus morhua L) otoliths</t>
  </si>
  <si>
    <t>Gadus morhua; growth; metabolism; otolith; stable isotopes; temperature</t>
  </si>
  <si>
    <t>NORTHEAST ARCTIC COD; FOOD-WEB STRUCTURE; ATLANTIC COD; FISH OTOLITHS; BIOLOGICAL CARBONATES; SCLERACTINIAN CORALS; ARAGONITIC OTOLITHS; MARINE FISH; TEMPERATURE; OXYGEN</t>
  </si>
  <si>
    <t>The relative amounts of the stable isotopes of carbon and oxygen in fish otoliths can be used to reveal the environmental history experienced by the fish. This requires that the relative amounts of the isotopes are deposited in equilibrium with the surrounding environment, or that the offset from this equilibrium is known and can be quantified. It is known that carbon isotopes in biogenic carbonates are a mixture of carbon from the seawater and metabolically derived carbon, but the effect of the somatic growth rate of the fish is still unclear. The possible effect of otolith growth rate and fractionation of both carbon and oxygen isotopes are also not established. We carried out a controlled laboratory experiment where we reared cod (Gadus morhua L.) larvae and early juveniles at two temperatures (6 and 10 degreesC) and generated different growth rates within each temperature by manipulation of prey levels. The otoliths of the resulting fish were analysed for carbon and oxygen isotopes. We found no effect of otolith precipitation rate on fractionation of either carbon or oxygen isotopes. However, there was a depletion of C-13 in the otoliths of fish with elevated metabolism. The proportion of metabolically derived carbon in the otoliths was estimated to be 28-32%. Our results suggest that measurements of oxygen isotopes in otoliths can be a reliable tool to estimate ambient temperature since the oxygen isotopes seem to be deposited in the otoliths independently of kinetic and metabolic effects. Fractionation of carbon isotopes in otoliths on the other hand can give valuable insight into metabolism and feeding pattern of fish. (C) 2003 Elsevier Science B.V. All rights reserved.</t>
  </si>
  <si>
    <t>10.1016/S0022-0981(03)00034-0</t>
  </si>
  <si>
    <t>van Dorst, RM; Argillier, C; Brucet, S; Holmgren, K; Volta, P; Winfield, IJ; Mehner, T</t>
  </si>
  <si>
    <t>Can size distributions of European lake fish communities be predicted by trophic positions of their fish species?</t>
  </si>
  <si>
    <t>body size; community size spectrum; ecological interactions; fish; predator-prey interactions; trophic level</t>
  </si>
  <si>
    <t>PERCH PERCA-FLUVIATILIS; BODY-SIZE; ONTOGENIC NICHE; SPECTRA; DENSITY; PREY; ASSEMBLAGES; ZOOPLANKTON; PREDATORS; PATTERNS</t>
  </si>
  <si>
    <t>An organism's body size plays an important role in ecological interactions such as predator-prey relationships. As predators are typically larger than their prey, this often leads to a strong positive relationship between body size and trophic position in aquatic ecosystems. The distribution of body sizes in a community can thus be an indicator of the strengths of predator-prey interactions. The aim of this study was to gain more insight into the relationship between fish body size distribution and trophic position in a wide range of European lakes. We used quantile regression to examine the relationship between fish species' trophic position and their log-transformed maximum body mass for 48 fish species found in 235 European lakes. Subsequently, we examined whether the slopes of the continuous community size distributions, estimated by maximum likelihood, were predicted by trophic position, predator-prey mass ratio (PPMR), or abundance (number per unit effort) of fish communities in these lakes. We found a positive linear relationship between species' maximum body mass and average trophic position in fishes only for the 75% quantile, contrasting our expectation that species' trophic position systematically increases with maximum body mass for fish species in European lakes. Consequently, the size spectrum slope was not related to the average community trophic position, but there were negative effects of community PPMR and total fish abundance on the size spectrum slope. We conclude that predator-prey interactions likely do not contribute strongly to shaping community size distributions in these lakes.</t>
  </si>
  <si>
    <t>e9087</t>
  </si>
  <si>
    <t>10.1002/ece3.9087</t>
  </si>
  <si>
    <t>Campbell, LM; Wandera, SB; Thacker, RJ; Dixon, DG; Hecky, RE</t>
  </si>
  <si>
    <t>Trophic niche segregation in the Nilotic ichthyofauna of Lake Albert (Uganda, Africa)</t>
  </si>
  <si>
    <t>delta C-13; delta N-15; food webs; Nile perch; stable isotopes</t>
  </si>
  <si>
    <t>STABLE-ISOTOPE ANALYSES; EAST-AFRICA; OREOCHROMIS-NILOTICUS; WINAM GULFS; NILE PERCH; VICTORIA; FISH; FOOD; ECOSYSTEM; DELTA-C-13</t>
  </si>
  <si>
    <t>Nile perch, Lates niloticus, and Nile tilapia, Oreochromis niloticus, were originally transplanted from Lake Albert in western Uganda to the African Great Lakes, Lake Victoria and Lake Kyoga, where they are partially implicated in reduction of the fish species diversity. Lake Albert is facing multiple environmental changes, including declining fish species diversity, hyper-eutrophication, hypoxia, and reduced fish catches. To examine the role of Nile perch and Nile tilapia in the food web in their native Lake Albert, we estimated their diets using stable nitrogen and carbon isotopes. In Lake Albert, the tilapiine congeners (closely related species), Tilapia zillii, Oreochromis leucostictus, and Sarethorodon galilaeus, and the centropomid Nile perch congener, Lates macrophthalmus, have narrower diet breath in the presence of the native O. niloticus and L. niloticus. A computerized parameter search of dietary items for five commercially important fish species (Hydrocynus forskahlii, Bagrus bayad, L. niloticus, Alestes baremose and Brycinus nurse) was completed using a static isotopic mixing model. The outcome of the simulation for most fish species compared favorably to previously published stomach contents data for the Lake Albert fishes dating back to 1928, demonstrating agreement between stable isotope values and analyses of stomach contents. While there were some indications of changes in the diets of L. niloticus and A. baremose diets over the past 20 years in parallel with other changes in the lake, for the most part, food web structure in this lake remained stable since 1928. The Lake Albert fish assemblage provides insight into the invasion success of L. niloticus and O. niloticus.</t>
  </si>
  <si>
    <t>10.1007/s10641-005-3190-8</t>
  </si>
  <si>
    <t>Salazar-Tortosa, D; Castro, J; Villar-Salvador, P; Vinegla, B; Matias, L; Michelsen, A; de Casas, RR; Querejeta, JI</t>
  </si>
  <si>
    <t>The isohydric trap: A proposed feedback between water shortage, stomatal regulation, and nutrient acquisition drives differential growth and survival of European pines under climatic dryness</t>
  </si>
  <si>
    <t>climatic change; hotter drought; nutrients; stable isotopes; stoichiometry; stomatal behaviour; water use efficiency</t>
  </si>
  <si>
    <t>DROUGHT-INDUCED TREE; CARBON-ISOTOPE DISCRIMINATION; PHYSIOLOGICAL-MECHANISMS; STABLE OXYGEN; MORTALITY; POTASSIUM; FOREST; PHOTOSYNTHESIS; STOICHIOMETRY; DELTA-O-18</t>
  </si>
  <si>
    <t>sition (C-13, O-18), and nutrient concentrations (C, N, P, K, Zn, Cu). After 2years, the Mediterranean species Pinus h Climatic dryness imposes limitations on vascular plant growth by reducing stomatal conductance, thereby decreasing CO2 uptake and transpiration. Given that transpiration-driven water flow is required for nutrient uptake, climatic stress-induced nutrient deficit could be a key mechanism for decreased plant performance under prolonged drought. We propose the existence of an isohydric trap, a dryness-induced detrimental feedback leading to nutrient deficit and stoichiometry imbalance in strict isohydric species. We tested this framework in a common garden experiment with 840 individuals of four ecologically contrasting European pines (Pinus halepensis, P.nigra, P.sylvestris, and P.uncinata) at a site with high temperature and low soil water availability. We measured growth, survival, photochemical efficiency, stem water potentials, leaf isotopic compoalepensis showed lower O-18 and higher C-13 values than the other species, indicating higher time-integrated transpiration and water-use efficiency (WUE), along with lower predawn and midday water potentials, higher photochemical efficiency, higher leaf P, and K concentrations, more balanced N:P and N:K ratios, and much greater dry-biomass (up to 63-fold) and survival (100%). Conversely, the more mesic mountain pine species showed higher leaf O-18 and lower C-13, indicating lower transpiration and WUE, higher water potentials, severe P and K deficiencies and N:P and N:K imbalances, and poorer photochemical efficiency, growth, and survival. These results support our hypothesis that vascular plant species with tight stomatal regulation of transpiration can become trapped in a feedback cycle of nutrient deficit and imbalance that exacerbates the detrimental impacts of climatic dryness on performance. This overlooked feedback mechanism may hamper the ability of isohydric species to respond to ongoing global change, by aggravating the interactive impacts of stoichiometric imbalance and water stress caused by anthropogenic N deposition and hotter droughts, respectively.</t>
  </si>
  <si>
    <t>10.1111/gcb.14311</t>
  </si>
  <si>
    <t>Stapp, P</t>
  </si>
  <si>
    <t>Stable isotopes reveal evidence of predation by ship rats on seabirds on the Shiant Islands, Scotland</t>
  </si>
  <si>
    <t>gut content analysis; Hebrides; introduced predators; marine subsidies; Rattus rattus</t>
  </si>
  <si>
    <t>BONE-COLLAGEN; RATTUS-RATTUS; CARBON ISOTOPES; NORWAY RATS; DIETS; TURNOVER; MARINE; FRACTIONATION; COMPONENTS; DELTA-C-13</t>
  </si>
  <si>
    <t>1. Introduced predators are a major threat to native island populations, yet direct evidence of predation is often lacking, especially when it is difficult to detect by traditional dietary methods. 2. Historical declines of nesting seabirds on the Shiant Islands, Outer Hebrides, roughly coincided with the accidental introduction of ship rats Rattus rattus in c. 1900. Rats have been implicated in declines of seabirds, but the Shiant population is one of two remaining naturalized R. rattus populations in Britain, prompting calls for their protection. 3. Live-trapping studies with stable isotopes and gut content analysis were used to investigate whether ship rats prey on Shiant Islands seabirds. Another aim of this study was to determine whether marine-derived foods subsidize rat populations, permitting higher densities, greater productivity and larger body size than expected from terrestrial resources alone. 4. Comparisons of stable carbon and nitrogen isotopic signatures of rat tissues with those of seabirds, marine invertebrates, marine algae and land-based foods revealed that seabirds and other marine prey were the primary source of protein for rats living in colonies or near the shore. These results were corroborated by gut content analysis, and suggest a greater role for active predation of seabirds by rats than has previously been apparent at this locality. 5. Seabird colonies and especially coastal areas supported higher numbers of rats than more inland habitats. Coastal and colony-dwelling rats were more active reproductively and were larger than those living inland. 6. Although rats are capable of surviving solely on terrestrial foods, their ability to use marine prey may buffer populations during lean times, i.e. outside the seabird nesting season, and may in part explain their success and status as pests on islands world-wide. Overall, this work reveals the value of stable isotopes in identifying predation by exotic species, but also underscores potential uncertainties inherent in all diet-based methods in distinguishing predation from scavenging.</t>
  </si>
  <si>
    <t>10.1046/j.1365-2664.2002.00754.x</t>
  </si>
  <si>
    <t>Zeng, J; Yue, FJ; Li, SL; Wang, ZJ; Qin, CQ; Wu, QX; Xu, S</t>
  </si>
  <si>
    <t>Agriculture driven nitrogen wet deposition in a karst catchment in southwest China</t>
  </si>
  <si>
    <t>Nitrogen flux; Nitrate isotopes; Rainwater; Carbonate rock area; Agriculture-related microbial nitrogen cycle</t>
  </si>
  <si>
    <t>ATMOSPHERIC NITRATE DEPOSITION; ISOTOPIC COMPOSITION; SURFACE-WATER; NOX; PRECIPITATION; EMISSION; IMPACTS; AREAS; RAINWATER</t>
  </si>
  <si>
    <t>Nitrogen (N) deposition plays a key role in ecosystem function as one of the major N sources for natural vegetation, particularly in karst agricultural areas with thin soil cover, which drive the karst N fate via rainwater. To understand the seasonal and spatial variation in nitrogen deposition and to identify the major sources of nitrate in wet deposition in a karst agricultural area (Houzhai Catchment) in southwestern China, two sites with different land use were selected to assess wet and dry deposition for one year. Houzhai village (HZV) is an area highly influenced by agriculture, whereas Muzhu reservoir (MZR) is a more pristine environment with less anthropogenic influence. Nitrogenous species and dual nitrate isotopes were analyzed. The results showed that agriculture-derived NH4+ was the major contributor of annual total wet N deposition ( &gt; 55 %). The contribution of NH4+ to wet N deposition was 1.63 times higher than that of NO(3)(- )and dissolved organic nitrogen (DON). The annual nitrogen deposition in this study was approximately twice as much as the average wet N deposition over China, while lower dry N deposition relative to other Chinese monitoring sites was observed. The delta N-15-NO3- showed a seasonal trend of negative summer values and positive winter values, which were primarily controlled by the variations in NOx emission sources. Seasonal variation in delta O-18-NO3- was mainly controlled by NO, oxidation pathways and showed a similar trend to delta N-15-NO3-. The contributions from four endmembers (coal combustion, vehicle exhaust, biomass burning, and soil emission) were calculated using a stable isotope mixing model. Contributions show a clear seasonal variation (except vehicle exhaust), with the four sources accounting for 20.0 %, 25.6 %, 22.9 % and 31.5 % respectively (annual mean probability estimate, AMPE) at HZV, and 19.0 %, 27.8 %, 23.2 % and 30.0 % (AMPE) at MZR. Isotopic evidence determined agricultural soil emission is a major contributor to rainwater during the summer growing season, which can significantly impact the agricultural ecosystems.</t>
  </si>
  <si>
    <t>10.1016/j.agee.2020.106883</t>
  </si>
  <si>
    <t>Callier, MD; Lefebvre, S; Dunagan, MK; Bataille, MP; Coughlan, J; Crowe, TP</t>
  </si>
  <si>
    <t>Shift in benthic assemblages and organisms' diet at salmon farms: community structure and stable isotope analyses</t>
  </si>
  <si>
    <t>Aquaculture; Organic matter; Stable isotope; Community structure; Diet shift; Trophic structure</t>
  </si>
  <si>
    <t>CAPITELLA SP; FISH-FARM; ENVIRONMENTAL-IMPACT; FOOD AVAILABILITY; SEDIMENT; NITROGEN; WASTE; AQUACULTURE; MATTER; CARBON</t>
  </si>
  <si>
    <t>The extent of the influence of salmon farming on the environment and on the uptake of particulate and dissolved effluents by benthic organisms was assessed using community structure and stable isotope analyses. Sediment cores were collected in 2 directions: perpendicular and parallel to the main residual current, 0, 25 and 200 m from 2 salmon farms (Millstone and Cranford) located in Mulroy Bay, Ireland. In addition, artificial substrates were placed for 2 mo at 1 m depth 0, 25 and 200 m from one farm to trace the uptake of farm-related nutrients by fouling organisms. The extent of measurable change in benthic communities (abundance, diversity, structure, trophic composition) depended on residual current direction. Intraspecific variation in isotopic values in benthic invertebrates was mostly explained by distance from cages. Organisms collected at impacted sites exhibited a shift in isotopic composition towards that of farm wastes. A shift in delta C-13 was observed in several invertebrates, including the polychaetes Malacoceros fuliginosus and Nephtys hombergii, Nematoda and the anemone Anthopleura balii. Fouling communities collected on artificial structures, mainly composed of the tunicate Ascidiella aspersa, showed higher delta N-15 values at fish cage sites compared to sites 200 m away. The study demonstrated that fish effluents were assimilated and became food sources for several organisms.</t>
  </si>
  <si>
    <t>10.3354/meps10251</t>
  </si>
  <si>
    <t>Lucifora, LO; Garcia, VB; Menni, RC; Escalante, AH; Hozbor, NM</t>
  </si>
  <si>
    <t>Effects of body size, age and maturity stage on diet in a large shark: ecological and applied implications</t>
  </si>
  <si>
    <t>Predation; Ontogenetic niche shift; Life history; Shark fisheries; Patagonia</t>
  </si>
  <si>
    <t>PROTECTIVE GILL NETS; TIGER SHARK; CARCHARHINUS-BRACHYURUS; GALEOCERDO-CUVIER; NEW-ZEALAND; HABITAT USE; ONTOGENIC CHANGES; HAMMERHEAD SHARK; NORTH PATAGONIA; COPPER SHARK</t>
  </si>
  <si>
    <t>Ontogenetic diet shifts are a widespread phenomenon among vertebrates, although their relationships with life history traits are poorly known. We analyzed the relative importance of body size, age and maturity stage as determinants of the diet of a marine top predator, the copper shark, Carcharhinus brachyurus, by examining stomach contents using a multiple-hypothesis modeling approach. Copper sharks shifted their diet as size and age increased and as they became sexually mature, incorporated larger prey as they grew, and had a discrete shift in diet with body size, with only individuals larger than a parts per thousand 200 cm total length able to prey on chondrichthyans. Body size was the most important trait explaining the consumption of chondrichthyans, while age determined the consumption of pelagic teleosts. Pelagic teleosts were consumed mostly by medium-aged sharks, a result, probably, of a risk-reducing feeding strategy at young ages coupled with either a senescence-related decline in performance or a change in sensory capabilities as sharks age. Copper sharks of all sizes were able to cut prey in pieces, implying that gape limitation (i.e., the impossibility of eating prey larger than a predator's mouth) did not play a role in producing the diet shift. Our results suggest that, contrary to the current practice of setting minimum but not maximum size limits in catches, any plan to conserve or restore the ecological function of sharks, through their predatory control of large prey, should aim to maintain the largest individuals.</t>
  </si>
  <si>
    <t>10.1007/s11284-008-0487-z</t>
  </si>
  <si>
    <t>Stenroth, K; Polvi, LE; Faltstrom, E; Jonsson, M</t>
  </si>
  <si>
    <t>Land-use effects on terrestrial consumers through changed size structure of aquatic insects</t>
  </si>
  <si>
    <t>agriculture; aquatic insect; emergence; spider; subsidy</t>
  </si>
  <si>
    <t>FRESH-WATER; FOOD WEBS; STABLE-ISOTOPES; STREAM; SUBSIDIES; PREY; ECOLOGY; PREDATION; HYDROGEN; IMPACT</t>
  </si>
  <si>
    <t>We assessed the influence of agricultural land use on aquatic-terrestrial linkages along streams arising from changes in the emergence of aquatic insects. We expected that terrestrial predators would respond to a change in the abundance and/or the size structure of the emerging aquatic insects by an increase or decrease in population size. We measured the flux of emergent aquatic insects and the abundance of terrestrial invertebrate predators and birds along 10 streams across a forest-to-agriculture land-use gradient. We also performed stable isotope analyses (hydrogen, carbon and nitrogen) of terrestrial invertebrate predators. Small aquatic insects (Nematocera) were most abundant under agricultural land use, whereas larger bodied aquatic insects (Plecoptera and Trichoptera) were more associated with forest land use. Carabid beetles and linyphiid spiders were associated with agricultural streams (where there was a high abundance of small aquatic insects), whereas lycosid spiders and birds were associated with forest streams and a high abundance of large-sized aquatic insects. The contribution of aquatic insects to the diets of riparian Lycosidae, Linyphiidae and Carabidae was estimated to be 44%, 60% and 43%, respectively, indicating the importance of aquatic subsidies to the terrestrial system. Our results show that agricultural land use in an overall forested landscape can have significant effects on the abundance and diet of terrestrial consumers through its impact on the size structure of the assemblage of emerging insects, rather than the overall magnitude (numbers) of the aquatic subsidy. Hence, our results suggest that the composition, not just quantity, of a cross-habitat resource may influence the recipient system.</t>
  </si>
  <si>
    <t>10.1111/fwb.12476</t>
  </si>
  <si>
    <t>Gonzalez-Bergonzoni, I; Vidal, N; Wang, BX; Ning, D; Liu, ZW; Jeppesen, E; Meerhoff, M</t>
  </si>
  <si>
    <t>General validation of formalin-preserved fish samples in food web studies using stable isotopes</t>
  </si>
  <si>
    <t>formalin correction; historical food webs; Layman's community-wide metrics; preservation effect; stable isotopes; delta C-13; delta N-15</t>
  </si>
  <si>
    <t>DELTA-C-13; TISSUE; DELTA-N-15; CARBON; SIGNATURES; STORAGE</t>
  </si>
  <si>
    <t>Stable isotope analyses of carbon and nitrogen are widely used to study food web structure in ecosystems. However, isotopic signatures are affected by the often-needed chemical preservation of tissues in the field, which impedes or weakens the interpretation of results. The scarcely available correction factors for preserved fish samples are species specific and have so far not been validated for general use. Moreover, no studies have evaluated the effect of preservation on the estimation of metrics typically used in food web studies. We aimed to develop a general correction model suitable for a vast number of fish species and to test whether formalin-preserved fish muscle C-13 and N-15 values can be used in food web metrics estimations. For this purpose, we used paired formalin-preserved and fresh muscle samples of 116 fish individuals belonging to 17 species covering a wide range of fish trophic characteristics, from nine tropical streams. Formalin decreased C-13 values by 06-14 (094 parts per thousand on average) and increased N-15 values by 03-05 parts per thousand (033 parts per thousand on average). Preservation effect was ecologically significant for C-13 values (as it surpassed natural trophic fractionation) and less important for N-15 values (being minor than natural trophic fractionation). However, preservation did not affect estimation of community-wide food web metrics. The deviations in preserved samples varied among species and increased with increasing fresh sample C:N ratios and changes in carbon proportions after preservation and with increasing isotopic values (for C-13). Despite these major deviations in C-13 values, we developed and validated a powerful general linear model to predict fresh fish muscle isotopic signatures from preserved samples. Formalin-preserved samples of fish can be used in food web studies, simplifying sampling logistics and allowing the use of museum and scientific collection specimens for historical food web reconstruction. Food web metrics based on C-13 vs. N-15 biplots can be directly estimated from preserved samples as the preservation effect seems overall consistent. When more detailed information is needed, or fresh and preserved samples are being simultaneously studied, formalin-preserved isotopic signatures can be corrected to fresh values using the model developed in this study.</t>
  </si>
  <si>
    <t>10.1111/2041-210X.12313</t>
  </si>
  <si>
    <t>Keshtkar, H; Voigt, W</t>
  </si>
  <si>
    <t>Potential impacts of climate and landscape fragmentation changes on plant distributions: Coupling multi-temporal satellite imagery with GIS-based cellular automata model</t>
  </si>
  <si>
    <t>Climate change; Dispersal distance; Landscape fragmentation; Cellular automata; Markov chain; Dispersal modeling</t>
  </si>
  <si>
    <t>SPECIES DISTRIBUTION MODELS; DISTANCE SEED DISPERSAL; LAND-USE CHANGE; HABITAT FRAGMENTATION; ENVELOPE MODELS; RANGE; NICHE; FUTURE; BIRDS; DISTURBANCE</t>
  </si>
  <si>
    <t>Climate change and landscape fragmentation are considered to be the main treats to biodiversity. In this study, probable alteration of future species distribution was tested based on the association of landscape fragmentation and climate change scenarios compared to the classical approach that assumed an unchanged landscape. Also, projected range shifts including realistic dispersal scenarios were compared with classical models, in which no or full dispersal has been supposed. A GIS-based cellular automata model, MigClim, was implemented to projection of future distribution over the 21st century for three plant species in a study area of the central Germany. For each species, simulations were run for four dispersal scenarios (full dispersal, no dispersal, realistic dispersal, and realistic dispersal with long-distance dispersal events), two landscape fragmentation (static and dynamic change) and two climate change (RCP4.5 and RCP8.5) scenarios. In this research, temporal satellite data were utilized to simulate landscape changes by the use of a hybrid (CA-Markov) model for the years 2020, 2040, 2060 and 2080. A significant difference appears to be between the simulations of realistic dispersal limitations and those considering full or no dispersal for projected future distributions. Although simulations accounting for dispersal limitations produced, for our study area, results that were closer to no dispersal than to full dispersal. Additionally, our results revealed that change in landscape fragmentation is more effective than the climate change impacts on species distributions in this study. (C) 2016 Elsevier B.V. All rights reserved.</t>
  </si>
  <si>
    <t>10.1016/j.ecoinf.2016.02.002</t>
  </si>
  <si>
    <t>Haas, HL; Freeman, CJ; Logan, JM; Deegan, L; Gaines, EF</t>
  </si>
  <si>
    <t>Examining mummichog growth and movement: Are some individuals making intra-season migrations to optimize growth?</t>
  </si>
  <si>
    <t>Animal movement; Estuary; Fundulus heteroclitus; Mummichogs; Stable isotopes</t>
  </si>
  <si>
    <t>KILLIFISH FUNDULUS-HETEROCLITUS; STABLE-ISOTOPE ANALYSES; SALT-MARSH; TURNOVER RATES; DIET; NITROGEN; CARBON; FISH; FRACTIONATION; DELTA-N-15</t>
  </si>
  <si>
    <t>We used a combination of field experiments and stable isotopes to examine mummichog growth and movement within a New England estuary. We documented physical and biological patterns within the estuary by caging individually-marked fish in enclosures at four locations along a coastal river and measuring environmental parameters (e.g., salinity, tidal inundation) and fish characteristics (e.g., gut-contents, growth, and stable isotope values) at each location. The upstream location was fresh (1 ppt) at low tide, and the downstream location was saline at high tide (32 ppt). The upstream and downstream locations had more tidal inundation than the intermediate location. Fish gut contents were dominated by terrestrial insects at the upstream location, by algae and detritus at the intermediate locations, and by aquatic insects at the downstream location. Fish grew fastest at the upstream location and slowest at the downstream location. Stable isotope values (delta C-13 and delta N-15) of fish held in cages were significantly different at upstream, intermediate, and downstream locations. We transferred fish from one location to another in order to document how stable isotope values change when fish switch diets by moving within this estuary. Because differences in rates at which different tissue types approach the isotopic value of new diet sources can be used as a way to estimate the time since diet shift, we used the delta C-13 and delta N-15 values of liver and muscle as indicators of short term previous diet (liver) and longer term previous diet (muscle). We collected wild (uncaged) mummichogs from each location, and we compared their liver and muscle isotope values to values of fish that were transferred among locations. When fish were transferred from one location to another, their stable isotope values were intermediate between expected values at the previous and current locations. The liver approached stable isotope values representative of current location faster than muscle. Wild fish showed greater variation in stable isotope values than fish held in cages, Wild fish from the upstream location showed patterns in liver and muscle stable isotope values that were consistent with patterns in fish that were transferred from the downstream location to the upstream location (similar to 10 km away). These patterns in stable isotope values could have multiple causes including intra-season movement between downstream and upstream locations. Published by Elsevier B.V.</t>
  </si>
  <si>
    <t>10.1016/j.jembe.2008.09.027</t>
  </si>
  <si>
    <t>Kristensen, PB; Riis, T; Dylmer, HE; Kristensen, EA; Meerhoff, M; Olesen, B; Teixeira-de Mello, F; Baattrup-Pedersen, A; Cavalli, G; Jeppesen, E</t>
  </si>
  <si>
    <t>Baseline identification in stable -isotope studies of temperate lotic systems and implications for calculated trophic positions</t>
  </si>
  <si>
    <t>foodweb analyses; stream ecosystems; isotope baseline; isotope methods; trophic relations</t>
  </si>
  <si>
    <t>FOOD WEBS; NITROGEN; STREAMS; FISH; CARBON; FRACTIONATION; INDICATORS; DELTA-N-15; NITRATE; MODELS</t>
  </si>
  <si>
    <t>Stable-isotope analysis is widely used in aquatic ecosystem studies to evaluate trophic structure and resource dynamics. Because delta N-15 values vary in freshwater systems, e.g., reflecting variations in land use, suitable baseline indicators must be specified. Few investigators have identified specific baseline organisms based on thorough and methodical screening. We screened for baseline organisms in temperate lotic waters based on 4 criteria: 1) baseline organisms should be easy to collect, 2) within-site variation in delta N-15 levels should be low, 3) delta N-15 should reflect land use, and 4) trophic position (TP) of consumers calculated from the baseline should be independent of system-specific delta N-15 variability as long as no systematic change in food consumption occurred. We investigated individual taxa and bulked groups representing different feeding modes as baselines. We found that Simuliidae, a sestonic filter feeder, fulfilled all criteria. Furthermore, TP estimates of 2 common fishes that were based on the Simuliidae or grouped filterers as baselines were the only estimates in our study that were independent of landuse changes. In addition, the diet of these fishes did not change across land use as based on stable isotope mixing-model analysis. Simuliidae also had the lowest within-site variation, i.e., the lowest trophic level range, probably a result of uniform feeding behavior. Therefore, Simuliidae and grouped filterers could be suitable baseline indicators in future studies. We recommend minimizing delta N-15 variability in and among systems because the precise, complex choice, timing, or proportions of food sources consumed cannot be mimicked. We also promote combining TP estimation and mixing-model analyses as a strong tool in studies of stream food webs.</t>
  </si>
  <si>
    <t>10.1086/687284</t>
  </si>
  <si>
    <t>Gebruk, A; Zalota, AK; Dgebuadze, P; Ermilova, Y; Spiridonov, VA; Shabalin, N; Henry, LA; Henley, SF; Mokievsky, VO</t>
  </si>
  <si>
    <t>Trophic niches of benthic crustaceans in the Pechora Sea suggest that the invasive snow crab Chionoecetes opilio could be an important competitor</t>
  </si>
  <si>
    <t>Chionoecetes opilio; Pechora Sea; Stomach contents; Stable isotopes; Microplastics; Invasive species; Arctic Ocean; Benthic ecosystem</t>
  </si>
  <si>
    <t>RED KING CRAB; BARENTS SEA; STABLE-ISOTOPE; DECAPOD CRUSTACEANS; MYTILUS-EDULIS; MACROZOOBENTHOS; DIET; COMMUNITIES; AVAILABILITY; ECOSYSTEMS</t>
  </si>
  <si>
    <t>Expanding human activities alongside climate change, the introduction of invasive species and water contamination pose multiple threats to the unique marine ecosystems of the Pechora Sea in the Russian Arctic. Baseline data on biodiversity and responses to environmental change are urgently needed. Benthic decapod crustaceans are globally distributed and play an important role in fisheries, yet their roles in food webs are less understood. In this study, we used an integrated approach combining stomach content analysis and stable isotope analyses (delta C-13 and delta N-15) to examine the trophic niches of three decapod species in the Pechora Sea including the invasive snow crab Chionoecetes opilio and two species of native decapods, the spider crab Hyas araneus and the hermit crab Pagurus pubescens. Stomach contents of 75 decapods were analysed (C. opilion = 23; H. araneusn = 9; P. pubescensn = 43), and 20 categories of prey items were identified with the most frequently occurring prey items being bivalve molluscs (Ciliatocardium ciliatum, Ennucula tenuis, Macoma calcarea), polychaetes, crustaceans and plant debris. Bayesian ellipse analyses of stable isotope signatures (n = 40) revealed that C. opilio displays an overlapping trophic niche with the two native decapods, providing direct evidence that the invader likely competes for food resources with both H. araneus and P. pubescens. As such, the presence of this invasive species could hold important consequences for trophic interactions, benthic ecosystem functioning and biodiversity. Microplastics were also found to be a likely stressor on this ecosystem, as 28% of all stomachs contained digested microplastics among other items. Long-term studies of benthic ecosystem structure and functioning are now needed to more fully understand the extent to which this new competitor may alter the future biodiversity of the Pechora Sea alongside the additional stressor of digested plastics.</t>
  </si>
  <si>
    <t>10.1007/s00300-020-02775-3</t>
  </si>
  <si>
    <t>Fukumori, K; Okuda, N; Hamaoka, H; Fukumoto, T; Takahashi, D; Omori, K</t>
  </si>
  <si>
    <t>Stable isotopes reveal life history polymorphism in the coastal fish Apogon notatus</t>
  </si>
  <si>
    <t>migration; stable isotope analysis; dietary analysis; non-diadromous fish; food web</t>
  </si>
  <si>
    <t>FOOD WEBS; TROPHIC POLYMORPHISM; SPAWNING MIGRATION; CARBON ISOTOPES; MARINE FISH; HABITAT USE; NITROGEN; DELTA-N-15; DELTA-C-13; RIVER</t>
  </si>
  <si>
    <t>In the coastal marine fish Apogon notatus most individuals emigrate from the neritic breeding ground in winter and return there in the following spring (migratory type), while some individuals reside in the neritic habitat throughout the year (resident type). In the present study, we conducted carbon and nitrogen stable isotope analysis to estimate their winter migration routes and to elucidate the underlying spatial heterogeneity in the food web structure of the coastal ecosystem, and compared the results with those of A. semilineatus, a deepwater congener. A. notatus fed on a variety of zooplankton and zoobenthos in the neritic habitat, whereas A. semilineatus fed on pelagic mysids exclusively. The former showed more enriched delta C-13 than did the latter, indicating strong reliance on benthic production. Such a difference in stable isotope ratio was attributed to spatial heterogeneity in the coastal food web structure: benthic microalgal production predominates in the neritic food web, while the pelagic deepwater food web is characterized by phytoplankton production. After returning from winter migration, A. notatus showed marked depletion of VC compared to its non-migratory counterpart residing in the neritic habitat. Thereafter, the migratory type showed enrichment of delta C-13 during its stay in the neritic breeding ground, approaching that of the resident type. The results suggest that most A. notatus migrated to the deepwater habitat and spent a couple of winter months there. Stable isotope analysis revealed that life history polymorphism (i.e. migratory and resident types) exists in the A. notatus population.</t>
  </si>
  <si>
    <t>10.3354/meps07397</t>
  </si>
  <si>
    <t>Bokenhans, V; Bigatti, G; Averbuj, A</t>
  </si>
  <si>
    <t>Age estimation methods in the marine gastropod Buccinanops globulosus comparing shell marks and opercula growth rings</t>
  </si>
  <si>
    <t>Edible gastropod; fisheries; individual growth; Nassariidae; stable oxygen isotopes</t>
  </si>
  <si>
    <t>BUCCINUM-UNDATUM L; SAN MATIAS GULF; BIOCHEMICAL-COMPOSITION; CRASSOSTREA-GIGAS; STABLE-ISOTOPES; GOLFO-NUEVO; PATAGONIA; PROSOBRANCHIA; NASSARIIDAE; STRIAE</t>
  </si>
  <si>
    <t>Age determination in gastropods is an essential tool for understanding the main aspects of population dynamics that allow for the formation of fisheries policies. Small-scale fisheries of the nassariid gastropod Buccinanops globulosus from northern Patagonia are not yet regulated, although it is locally consumed while an incipient commercialization is taking place. The aim of this study was to show the suitability of opercula readings for age estimation in B. globulosus, compared with shell marks, previously validated by the analysis of the stable isotope of oxygen. The individual age estimated by the opercula rings reading method did not match the estimation made by the shell marks reading method. Stable isotope analyses confirmed that shell marks were deposited annually. Proper age estimation for B. globulosus, based on recognizable external shell marks, reached up to 9 years.</t>
  </si>
  <si>
    <t>10.1080/17451000.2016.1209526</t>
  </si>
  <si>
    <t>Milardi, M; Thomas, SM; Kahilainen, KK</t>
  </si>
  <si>
    <t>Reliance of brown trout on terrestrial prey varies with season but not fish density</t>
  </si>
  <si>
    <t>diet; Salmo trutta; stable isotopes; subarctic lake; trophic niche</t>
  </si>
  <si>
    <t>STABLE-ISOTOPE ANALYSES; AQUATIC FOOD WEBS; SALMO-TRUTTA; SALVELINUS-ALPINUS; DELTA-C-13 VALUES; CLIMATE-CHANGE; ARCTIC CHARR; RESOURCE USE; NICHE WIDTH; GROWTH</t>
  </si>
  <si>
    <t>The importance of terrestrial carbon in aquatic ecosystems is widely recognised, but patterns of terrestrial reliance can be variable. Fish often act as important links between terrestrial and aquatic ecosystems, but little is known about how resource seasonality and fish density influence fish reliance on terrestrial energy in lakes. We sampled a high-latitude subarctic lake in Finnish Lapland during the open-water season over three consecutive years to assess both patterns of terrestrial reliance and trophic niche structure of introduced brown trout (Salmo trutta), the only resident fish species. The small size of the study lake made it possible to sample the whole population by conducting a complete fish removal, allowing for a direct assessment of size structure and changes in brown trout density over time. We hypothesised that annual and seasonal shifts in the dietary niches of brown trout would directly track the availability of pulsed resources such as aquatic and terrestrial insects as well as rodents. We further expected that dietary niche shifts would be correlated with population density, leading to a smaller trophic niche size at lower densities. We therefore investigated the annual and seasonal patterns of resource use using measures of dietary niche and in particular of terrestrial reliance, derived from stomach content analysis and stable-isotope analyses (SIA) of liver and muscle, along a temporal gradient of declining fish density. According to stomach content, terrestrial reliance in brown trout was the highest in each year at mid-to-late summer, evidently following the peak abundance of terrestrial invertebrates and rodents. Surprisingly, we could not detect annual or seasonal shifts in terrestrial reliance from estimates provided by isotope ratios in muscle or liver. Furthermore, fish density did not appear to influence either terrestrial reliance or trophic niche size. However, trophic position derived from SIA of liver tissue decreased with decreasing densities, while fish condition increased. Large, consistent pulses of terrestrial invertebrates in mid-summer (or rodents during their peak years) are likely important for brown trout in the long term and could explain the lack of density-dependent correlation in terrestrial reliance. However, further studies are needed to link the abundance of pulsed resources to resource use by fish across wider gradients of lake size, productivity and fish density.</t>
  </si>
  <si>
    <t>10.1111/fwb.12775</t>
  </si>
  <si>
    <t>Atkinson, CL; Christian, AD; Spooner, DE; Vaughn, CC</t>
  </si>
  <si>
    <t>Long-lived organisms provide an integrative footprint of agricultural land use</t>
  </si>
  <si>
    <t>baseline; bioindicator; biomonitoring; N-15; geographic information systems; NANI; nitrogen management tools; stable isotopes; unionid mussels</t>
  </si>
  <si>
    <t>FRESH-WATER MUSSELS; BIVALVES CORBICULA-FLUMINEA; STABLE-ISOTOPES; SPATIAL VARIABILITY; FOOD WEBS; NITROGEN; DELTA-N-15; STREAMS; EUTROPHICATION; NUTRIENTS</t>
  </si>
  <si>
    <t>Nitrogen (N) fertilizer runoff into rivers is linked to nutrient enrichment, hydrologic alteration, habitat degradation and loss, and declines in biotic integrity in streams. Nitrogen runoff from agriculture is expected to increase with population growth, so tracking these sources is vital to enhancing biomonitoring and management actions. Unionid mussels are large, long-lived, sedentary, primary consumers that transfer particulate material and nutrients from the water column to the sediments through their filter feeding. Because of these traits, mussels may provide a temporal integration of nitrogen inputs into watersheds. Our goals were to (1) establish a baseline N-15 signature for unionid mussels in watersheds not heavily influenced by agriculture for use in comparative analyses and (2) determine if mussels provide an integrative measure of N sources in watersheds with varying percentages of agriculture across large spatial scales. We compiled tissue N-15 data for 20 species of mussels from seven geographic areas, including 23 watersheds and 42 sample sites that spanned varying degrees of agricultural intensification across the eastern United States and Canada. We used GIS to determine land cover within the study basins, and we estimated net anthropogenic nitrogen inputs (NANI) entering these systems. We then determined the relationship between mussel tissue N-15 and percentage of land in agriculture (%AG) and net anthropogenic N loading. The N-15 of mussel tissue could be predicted from both %AG and net anthropogenic N loading, and one component of NANI, the amount of N fertilizer applied, was strongly related to the N-15 of mussel tissue. Based on our results, mussels occupying a system not affected by agricultural land use would have a baseline N-15 signature of approximately 2.0 parts per thousand, whereas mussels in basins with heavy agriculture had N-15 signatures of 13.6 parts per thousand. Our results demonstrate that mussels integrate anthropogenic N input into rivers at a watershed scale and could be a good bioassessment tool for tracking agriculture N sources.</t>
  </si>
  <si>
    <t>10.1890/13-0607.1</t>
  </si>
  <si>
    <t>Valladares, S; Moreno, R; Jover, L; Sanpera, C</t>
  </si>
  <si>
    <t>Evaluating cleansing effects on trace elements and stable isotope values in feathers of oiled birds</t>
  </si>
  <si>
    <t>Oil spill; Feather cleaning; Feathers; Trace elements; Stable isotopes</t>
  </si>
  <si>
    <t>SHAG PHALACROCORAX-ARISTOTELIS; FISH-TISSUES; FRACTIONATION; POLLUTION; NITROGEN; SUCCESS; MERCURY; METALS; CARBON; BLOOD</t>
  </si>
  <si>
    <t>Feathers of seabirds are widely used as a non-destructive tissue for pollution monitoring of trace elements, as well as convenient samples for trophic ecology studies by means of stable isotope analysis (SIA). Nevertheless, feathers can be occasionally impregnated with oil from deliberate ship discharges and from massive oil spill accidents. The feather structure makes them effective traps for particles and are subject to external contamination. It is unknown to what extent the oil adhered to feathers can change trace element concentrations or stable isotope signatures. This study has two primary objectives: (1) to assess if there are differences between trace element concentrations and stable isotope signatures of oiled and clean feathers, and (2) to determine if the cleansing of oiled feathers using commonly applied techniques such as sodium hydroxide (NaOH) washes in combination with an organic solvent (hexane) is more effective than using NaOH alone. In order to do this, we analysed trace elements (Se, Hg, Pb, Cu and Zn) and stable isotopes (delta(13)C and delta(15)N) of individual feathers of yellow-legged gulls (Larus michahellis) which were affected by the 2002 Prestige oil spill in Galicia (NW Spain). Two sets of feathers were analysed, one group were oil-free (Control group) and the other had oil adhered to its surface (Oiled group). We expected to find differences between control and oiled feathers when cleaning exclusively with NaOH and no differences when using hexane. Our results did not show significant differences between Control and Oiled groups as a consequence of the cleansing method used. Unexpectedly, the additional cleansing with hexane resulted in decreasing selenium concentrations and increasing zinc and delta(15)N values in all groups of feathers.</t>
  </si>
  <si>
    <t>10.1007/s10646-009-0407-1</t>
  </si>
  <si>
    <t>Ross, SRPJ; Friedman, NR; Janicki, J; Economo, EP</t>
  </si>
  <si>
    <t>A test of trophic and functional island biogeography theory with the avifauna of a continental archipelago</t>
  </si>
  <si>
    <t>community assembly; diversity-area; functional diversity; phylogeography; Ryukyu archipelago; species-area; trophic rank; trophic theory</t>
  </si>
  <si>
    <t>DIVERSITY-AREA RELATIONSHIPS; PHYLOGENETIC STRUCTURE; BETA DIVERSITY; HABITAT LOSS; TRAIT; EXTINCTION; BIRDS; QUESTIONS; DYNAMICS; PATTERNS</t>
  </si>
  <si>
    <t>The classical MacArthur-Wilson theory of island biogeography (TIB) emphasizes the role of island area and isolation in determining island biotas, but is neutral with respect to species differences that could affect community assembly and persistence. Recent extensions of island biogeography theory address how functional differences among species may lead to non-random community assembly processes and different diversity-area scaling patterns. First, the trophic TIB considers how diversity scaling varies across trophic position in a community, with species at higher trophic levels being most strongly influenced by island area. Second, further extensions have predicted how trait distributions, and hence functional diversity, should scale with area. Trait-based theory predicts richness-corrected functional diversity should be low on small islands but converge to null on larger islands. Conversely, competitive assembly predicts high diversity on small islands converging to null with increasing size. However, despite mounting interest in diversity-area relationships across different dimensions of diversity, these predictions derived from theory have not been extensively tested across taxa and island systems. Here, we develop and test predictions of the trophic TIB and extensions to functional traits, by examining the diversity-area relationship across multiple trophic ranks and dimensions of avian biodiversity in the Ryukyu archipelago of Japan. We find evidence for a positive species- and phylogenetic diversity-area relationship, but functional diversity was not strongly affected by island area. Counter to the trophic TIB, we found no differences in the slopes of species-area relationships among trophic ranks, although slopes varied among trophic guilds at the same rank. We revealed differential assembly of trophic ranks, with evidence of trait-based assembly of intermediate predators but otherwise neutral community assembly. Our results suggest that niche space differs among trophic guilds of birds, but that differences are mostly not predicted by current extensions of island biogeography theory. While predicted patterns do not fit the empirical data well in this case, the development of such theory provides a useful framework to analyse island patterns from new perspectives. The application of empirical datasets such as ours should help provide a basis for developing further iterations of island biogeography theory.</t>
  </si>
  <si>
    <t>10.1111/1365-2656.13029</t>
  </si>
  <si>
    <t>Levin, LA; Neira, C; Grosholz, ED</t>
  </si>
  <si>
    <t>Invasive cordgrass modifies wetland trophic function</t>
  </si>
  <si>
    <t>deposit feeder; detritus; ecosystem modification; food chain; infauna; isotope enrichment; plant invasion; salt marsh; San Francisco Bay; Spartina foliosa; Spartina hybrid; stable isotope analysis</t>
  </si>
  <si>
    <t>SAN-FRANCISCO BAY; STABLE-ISOTOPES; SPARTINA-ALTERNIFLORA; ORGANIC-MATTER; MARINE; CARBON; CONSEQUENCES; NITROGEN; SPREAD; WATER</t>
  </si>
  <si>
    <t>Vascular plants strongly control belowground environments in most ecosystems. Invasion by vascular plants in coastal wetlands, and by cordgrasses (Spartina spp.) in particular, are increasing in incidence globally, with dramatic ecosystem-level consequences. We examined the trophic consequences of' invasion by a Spartina hybrid (S. alterniflora X S. foliosa) in San Francisco Bay (USA) by documenting differences in biomass and trophic structure of benthic communities between sediments invaded by Spartina and uninvaded sediments. We found the invaded system shifted from all algae-bascd to a detritus-based food web. We then tested for a relationship between diet and tolerance to invasion, hypothesizing that species that consume Spartina detritus are more likely to inhabit invaded sediments than those that consume surface algae. Infaunal diets were initially examined with natural abundance stable isotope analyses and application of mixing models, but these yielded an ambiguous picture of food sources. Therefore, we conducted isotopic enrichment experiments by providing N-15-labeled Spartina detritus both on and below the sediment surface in areas that either contained Spartina or were unvegetated. Capitellid and nereid polychaetes, and oligochaetes, groups shown to persist following Spartina invasion of San Francisco Bay tidal flats, took up N-15 from labeled native and invasive Spartina detritus. In contrast, We found that amphipods, bivalves, and other taxa less tolerant to invasion consumed primarily surficial algae, based oil C-13 enrichment experiments. Habitat (Spartina vs. unvegetated patches) and location of' detritus (on or within sediments) did not affect N-15 uptake from cletritus. Our investigations support a trophic shift model for ecosystem response to wetland plant invasion and preview loss of key trophic support for fishes and migratory birds by shifting dominance to species not widely consumed by species at higher trophic levels.</t>
  </si>
  <si>
    <t>10.1890/04-1752</t>
  </si>
  <si>
    <t>Talbi, R; Gavish, Y; Izhaki, I; Bar-Massada, A</t>
  </si>
  <si>
    <t>When a pest-control species becomes a pest: A shift in the foraging habitat of cattle egret (Bubulcus ibis) and the threat to grazed natural ecosystems</t>
  </si>
  <si>
    <t>Agriculture; Grazing; Land-use; Mediterranean; Predation; Reptiles</t>
  </si>
  <si>
    <t>AGRICULTURAL LANDSCAPES; FOOD; DIET; POPULATION; SERVICES; VALLEY</t>
  </si>
  <si>
    <t>Ecosystem services such as natural pest control and pollination may benefit agriculture, but may also adversely affect adjacent ecosystems. Here, we explored the cosmopolitan cattle egret (Bubulcus ibis), a commensal insectivorous large bird which has been expanding worldwide and is often considered as a pest control agent. We assessed the changes in the distribution of this new resident and its nesting and foraging habitat preferences in Mediterranean agroecosystems in northern Israel over the last few decades. We evaluated the relative importance of reptile, amphibian and arthropod prey in its diet by analysing regurgitated food in nesting colonies, and modelled the effect of land-use on reptile prey composition. We found that a recent expansion of B. ibis has been facilitated by the introduction of cattle grazing to natural habitats, and by augmentation of human-dominated landscapes and crop fields. Arthropods have dominated the egret diet (73.75 %), but the overwhelming pro-portion of reptile species (19.67 %) comprises predominantly maquis dwellers, indicating high predation pressure in natural rangelands. Although B. ibis acts as an agricultural pest control agent in croplands, its function as a harmful predator in grazed natural habitats seems to be substantial. Such intrusion of a novel predator into natural ecosystems may have catastrophic implications for native fauna, particularly in human-dominated and fragmented landscapes. Our findings underscore the potential adverse effects of a naturally thriving predator on local fauna and the importance of further research to understand its actual impact on both agricultural pests and non-pest prey communities in the wild.</t>
  </si>
  <si>
    <t>10.1016/j.biocon.2023.110067</t>
  </si>
  <si>
    <t>Roman, M; Rendal, S; Fernandez, E; Mendez, G</t>
  </si>
  <si>
    <t>Seasonal Variability of the Carbon and Nitrogen Isotopic Signature in a Zostera noltei Meadow at the NW Iberian Peninsula</t>
  </si>
  <si>
    <t>Zostera noltei; Stable isotopes; Eutrophication; Nutrient inputs; Growth season; Ria de Vigo</t>
  </si>
  <si>
    <t>SEAGRASS POSIDONIA-OCEANICA; STABLE-ISOTOPES; ORGANIC-MATTER; COASTAL EUTROPHICATION; TEMPORAL VARIATION; RIVER ESTUARY; FOOD SOURCES; BLUE CARBON; DYNAMICS; INDICATORS</t>
  </si>
  <si>
    <t>Nitrogen (N) and carbon (C) isotopic analyses in seagrasses have been established as effective environmental tracers to assess the anthropogenic influence on seagrass meadows. The aim of this study was to determine the spatial patterns and seasonal variability in the C and N stable isotopic composition of sediments, leaves and epiphytes at a Zostera noltei meadow in an intertidal complex located at the Ria de Vigo (NW Iberian Peninsula) and to explore the mechanisms underlying such variability. Measurements of carbon and nitrogen stable isotopes, morphological features of Z. noltei and the C:N mass ratios were undertaken monthly during an annual seasonal cycle. N recycling between the seagrass and the sediment under its canopy influenced the spatial and seasonal nitrogen isotopic variability in the Z. noltei meadow. The relative contribution of nitrogen stable isotopes both in Z. noltei and the sediments under its canopy showed significant seasonal differences. The seasonal variability observed in carbon and nitrogen stable isotopes and C:N mass ratios of Z. noltei was mainly explained by the physiological mechanisms of carbon and nitrogen uptake and the differential nutrient demand of the plant depending on the growth stage.</t>
  </si>
  <si>
    <t>10.1007/s13157-018-1019-4</t>
  </si>
  <si>
    <t>Shelton, JM; Samways, MJ; Day, JA; Woodford, DJ</t>
  </si>
  <si>
    <t>Are native cyprinids or introduced salmonids stronger regulators of benthic invertebrates in South African headwater streams?</t>
  </si>
  <si>
    <t>field experiment; invertebrate assemblage; periphyton; species replacement; terrestrial subsidy</t>
  </si>
  <si>
    <t>NEW-ZEALAND STREAMS; FISH PREDATION; TOP-DOWN; FOOD-WEB; ECOSYSTEM CONSEQUENCES; TROPHIC CASCADES; PREY SUBSIDIES; RAINBOW-TROUT; BROOK TROUT; BROWN TROUT</t>
  </si>
  <si>
    <t>The introduction of nonnative salmonids in the Southern Hemisphere generally leads to a reduction in invertebrate abundance and changes in assemblage composition. In the Cape Floristic Region of South Africa, introduced rainbow trout Oncorhynchus mykiss is the dominant predator in many headwater streams, where they have replaced small-bodied native fishes such as Breede River redfin Pseudobarbus burchelli. To examine the consequences of this species replacement on food web structure, we used a month-long field experiment to compare the top-down effects of Breede River redfin and rainbow trout on benthic invertebrate assemblages (abundance and composition) and basal resources (periphyton and particulate organic matter) in 1x1.5m of plastic cages. Benthic invertebrate abundance was more strongly depleted in the cages with redfin than in the cages with trout, and redfin and trout had distinct effects on invertebrate assemblage composition. On the other hand, neither redfin nor trout had a significant influence over standing stocks of periphyton or organic matter, implying that their differential effects on benthic invertebrates did not cascade down to the base of the stream food web in our experiment. Gut content analysis showed that aquatic invertebrates contributed more to the diet of redfin, while terrestrial invertebrates contributed more to the diet of trout, which may be responsible for the relatively weak effect of trout on aquatic invertebrates. This pattern contrasts with nonnative salmonid impacts elsewhere in the Southern Hemisphere. That trout can strongly alter the structure of benthic invertebrate assemblages, in addition to severely depleting native fish abundance, in Cape Floristic Region headwater streams should be weighed into management decisions, and our findings highlight the need for a detailed understanding of species-specific top-down effects where native predators are replaced by invasive predators.</t>
  </si>
  <si>
    <t>10.1111/aec.12352</t>
  </si>
  <si>
    <t>Chabot, AA; Hobson, KA; Van Wilgenburg, SL; Perez, GE; Lougheed, SC</t>
  </si>
  <si>
    <t>Migratory connectivity in the Loggerhead Shrike (Lanius ludovicianus)</t>
  </si>
  <si>
    <t>deuterium; differential migration; leap-frog migration; microsatellites; migratory connectivity; stable isotopes</t>
  </si>
  <si>
    <t>POPULATION-STRUCTURE; STABLE HYDROGEN; LEAP-FROG; WINTER; BIRD; PATTERNS; DISPERSAL; CONSEQUENCES; MOVEMENTS; PHENOLOGY</t>
  </si>
  <si>
    <t>Aim We combine genetic and stable isotope data to quantify migration patterns in Loggerhead Shrike (Lanius ludovicianus), a species of conservation concern in North America, to assess how connectivity differs and impacts population evolution, ecology, and conservation. Location We sampled shrikes across the majority of their nonbreeding range, from the Atlantic Coast to the western United States east of the Rocky Mountains and throughout Mexico. Methods Our study used a Bayesian framework using delta H-2(f) from a breeding season origin feather and nuclear genetic microsatellite markers to distinguish between co-occurring migratory and nonmigratory individuals on the wintering grounds and, for migrants, to assign individuals to a breeding ground origin and genetic group. Results Migratory shrikes were present throughout the nonbreeding range but the proportion differed among sample areas. Four main wintering areas were identified. Connectivity ranged from weakly negative in birds wintering on the Atlantic Coast to strongly positive between wintering grounds in the southwestern United States and Mexico and northwestern breeding populations. Connectivity was weakest in L. l. migrans, and strongest in L. l. mexicanus and L. l. excubitorides. Although believed to be nonmigratory, long-distance movements of individuals were observed in L. ludovicianus and L. l. mexicanus. Our data support a pattern of chain migration, again most notable in the western half of the species nonbreeding range, and differential migration based on age. Main conclusions Our study provides of one such of the first quantitative measures of migratory connectivity and is among the first studies of a short-distance migratory passerine in North America. The higher migratory connectivity among western, versus eastern populations, and less severe population declines attributable to habitat loss or reproductive success, may result in more localized and/or less severe limiting factors for western populations and more severe on the Atlantic coast and Mississippi Alluvial Valley wintering grounds.</t>
  </si>
  <si>
    <t>10.1002/ece3.4415</t>
  </si>
  <si>
    <t>Wang, SRC; Liu, XQ; Liu, Y; Wang, HZ</t>
  </si>
  <si>
    <t>Benthic-pelagic coupling in lake energetic food webs</t>
  </si>
  <si>
    <t>Benthic-Pelagic coupling; Energetic food web; Ecopath; Shallow lake; Eutrophication</t>
  </si>
  <si>
    <t>CULTURAL EUTROPHICATION; TROPHIC INTERACTIONS; SHALLOW LAKE; FRESH-WATER; ECOSYSTEM; ZOOPLANKTON; ENRICHMENT; CARBON; DELTA-N-15; BOUNDARIES</t>
  </si>
  <si>
    <t>Understanding how energy and matter flow among habitats is a central issue in ecology. In lake ecosystems, benthic-pelagic coupling (B-P coupling) was mainly studied based on the diets of top consumers at a population level or through food chains. However, how B-P coupling operates at the ecosystem level is largely unknown. In the present study, we revealed B-P coupling within an energetic food web framework, combining stable isotope analyses and mass balanced model. We constructed the energetic food webs of two large shallow lakes of different trophic status based on field survey data. We also defined benthic and pelagic components based on the proportion of consumer energy uptake from phytoplankton (benthic: &lt; 50%; pelagic: &gt; 50%; benthivore: &lt; 20%; planktivore: &gt; 80%; coupler: 20-80%) and quantified the energy flux through B-P coupling in the two lake food webs. The total consumption was estimated to be 699 t/km(2)/y in Lake Erhai (mesoeutrophic lake) and 2094 t/km(2)/y in Lake Dianchi (hypereutrophic lake), and the B-P coupling energy was 405 t/km(2)/y and 213 t/km(2)/y, re-spectively. In these lakes, B-P coupling occurred on multiple trophic levels; lower trophic level consumers contributed the largest proportion (90% and 98%), while top consumers were of limited importance; most coupling links were weak, and energy exchange was highly asymmetric with the total amount of energy exported from benthic part to pelagic part being over 4 folds of the counter flux. The quantity and pattern of B-P coupling vary between the mesoeutrophic and hypereutrophic lakes. In terms of energy flux per unit area, the total system throughput in the mesoeutrophic lake (Lake Erhai) was 3.73 times of that in the hypereutrophic lake (Lake Dianchi), while the proportion of coupling energy was much lower in the former (19%) than the latter (31%). A greater energy flux through pelagic-to-benthic pathways was found in the hypereutrophic lake, and most of the coupling energy was contributed by consumers at higher trophic levels. Besides, the coupling strength was stronger in the hypereutrophic than the mesoeutrophic lake. We showed for the first time how B-P coupling operates in lake energetic food webs. Our results provided new insights into understanding the energy flux through B-P coupling of lake ecosystems, and how such coupling could be changed by environmental disturbances. We also provided a new approach to reveal habitat coupling within an energetic food web framework.</t>
  </si>
  <si>
    <t>10.1016/j.ecolmodel.2019.108928</t>
  </si>
  <si>
    <t>Koshino, Y; Kudo, H; Kaeriyama, M</t>
  </si>
  <si>
    <t>Stable isotope evidence indicates the incorporation into Japanese catchments of marine-derived nutrients transported by spawning Pacific Salmon</t>
  </si>
  <si>
    <t>brown bear; marine-derived nutrients; pink salmon; stable isotope</t>
  </si>
  <si>
    <t>BEARS URSUS-ARCTOS; COPPER RIVER DELTA; COHO SALMON; ONCORHYNCHUS-KISUTCH; RIPARIAN FORESTS; STREAM PRODUCTIVITY; SHIRETOKO PENINSULA; SOUTHEASTERN ALASKA; CARCASS ANALOG; DEBRIS DAMS</t>
  </si>
  <si>
    <t>1. Pacific salmon (Oncorhynchus spp.) transport marine-derived nutrients (MDN) and organic matter to freshwater ecosystems, which enhances the productivity of North Pacific ecosystems. Relatively few studies, however, have evaluated the MDN subsidy to both the aquatic system and the terrestrial catchment simultaneously. Using stable isotope analysis, we tested how the dynamics of MDN differed between the river and adjacent riparian forest in rivers of the Shiretoko World Natural Heritage Site in eastern Hokkaido (Japan). In addition, we accounted for temporal and spatial variations in the stable isotope signatures of freshwater organisms due to the presence or absence of spawning salmon. 2. We analysed carbon and nitrogen stable isotopes (C-13 and N-15) of biofilm, invertebrates, fish, riparian plants and brown bear (Ursus arctos) in the Rusha River during the pre-spawning and spawning periods and in the Akai River (where there are no salmon). Willow leaves were collected along the 50-m transects to evaluate how far MDN are incorporated within the riparian area. We counted the number of pink salmon (O.gorbuscha) carcasses in riparian areas and categorised their mode of transport. In addition, we examined the stomach contents of Dolly Varden (Salvelinus malma). 3. The C-13 and N-15 of aquatic organisms increased by 1-4 parts per thousand and 1-6 parts per thousand, respectively, with the arrival of salmon spawners. Aquatic organisms incorporated 23% of their nitrogen from salmon (range: 7-46%). The diet of Dolly Varden switched from aquatic invertebrates to salmon eggs during the salmon spawning run. 4. More salmon carcasses were transported from the stream to riparian areas by flooding than by brown bears. The C-13 and N-15 of blowflies (Calliphora spp.) and brown bears increased significantly during the spawning run. Riparian vegetation, with the exception of Manchurian alder (Alnus hirsuta), incorporated 25% of its nitrogen from salmon. The N-15 values of riparian willow (Salix spp.) were correlated negatively with distance from the stream. 5. The proportion of MDN incorporated in the freshwater biota was lower than that reported for North American rivers, potentially due to the influence of dams and modification of the river environment in this Japanese example. The riparian forest incorporated a relatively high fraction of MDN, however, mainly due to the transport of salmon carcasses from the channel by brown bears and, particularly, flooding. The dynamics of salmon-derived nutrients thus differed between river and adjacent riparian zones. These results suggested the importance of linkages between freshwater and riparian ecosystems for the extent of the marine nutrient subsidy.</t>
  </si>
  <si>
    <t>10.1111/fwb.12175</t>
  </si>
  <si>
    <t>Lorenz, TJ; Kozma, JM; Cunningham, PG</t>
  </si>
  <si>
    <t>The influence of climate and habitat on stable isotope signatures and the isotopic niche of nestling White-headed Woodpeckers (Dryobates albolarvatus)</t>
  </si>
  <si>
    <t>climate affects; isotopic niche; stable isotopes; White-headed Woodpecker</t>
  </si>
  <si>
    <t>PONDEROSA PINE FORESTS; DELTA-N-15; DELTA-C-13; OUTBREAKS; SELECTION; SURVIVAL; DROUGHT; ECOLOGY; FUTURE; CARBON</t>
  </si>
  <si>
    <t>The majority of landbird species feed their nestlings arthropods and variation in arthropod populations can impact reproductive outcomes in these species. Arthropod populations in turn are influenced by climate because temperature affects survival and reproduction, and larval development. Thus, climate factors have the potential to influence many bird species during their reproductive phases. In this study, we assessed climate factors that impact the diet of nestling White-headed Woodpecker (Dryobates albolarvatus), an at-risk keystone species in much of its range in western North America. To do this, we measured stable isotope signatures (delta C-13 and delta N-15) in 152 nestlings across six years and linked variation in isotopic values to winter (December-February) and spring (June) precipitation and temperature using mixed effects models. We also explored habitat factors that may impact delta C-13 and delta N-15 and the relationship between delta N-15 and nest productivity. Last, we estimated isotopic niche width for nestlings in different watersheds and years using Bayesian standard ellipses, which allowed us to compare dietary niche width and overlap. We found that colder winter temperatures were associated with an increase in delta N-15 and delta N-15 levels had a weak positive relationship with nest productivity. We also found that sites with a more diverse tree community were associated with a broader isotopic niche width in nestlings. Our findings suggest that nestling diet is affected by climate, and under future warming climate scenarios, White-headed Woodpecker nestling diet may shift in favor of lower trophic level prey (prey with lower delta N-15 levels). The impact of such changes on woodpecker populations merits further study.</t>
  </si>
  <si>
    <t>10.1002/ece3.6624</t>
  </si>
  <si>
    <t>Ashley, P; Hobson, KA; Van Wilgenburg, SL; North, N; Petrie, SA</t>
  </si>
  <si>
    <t>Linking Canadian Harvested Juvenile American Black Ducks to Their Natal Areas Using Stable Isotope (delta D, delta 13C, and delta 15N) Methods</t>
  </si>
  <si>
    <t>American Black Duck; Anas rubripes; harvest and habitat management; natal areas; stable isotopes</t>
  </si>
  <si>
    <t>MIGRATORY CONNECTIVITY; WINTERING GROUNDS; WATERFOWL; FEATHERS; ORIGINS; MALLARDS; HYDROGEN; POPULATIONS; DELINEATE; ANIMALS</t>
  </si>
  <si>
    <t>Understanding source-sink dynamics of game birds is essential to harvest and habitat management but acquiring this information is often logistically and financially challenging using traditional methods of population surveys and banding studies. This is especially true for species such as the American Black Duck (Anas rubripes), which have low breeding densities and extensive breeding ranges that necessitate extensive surveys and banding programs across eastern North America. Despite this effort, the contribution of birds fledged from various landscapes and habitat types within specific breeding ranges to regional harvest is largely unknown but remains an important consideration in adaptive harvest management and targeted habitat conservation strategies. We investigated if stable isotope (delta D, delta 13C, delta 15N) could augment our present understanding of connectivity between breeding and harvest areas and so provide information relevant to the two main management strategies for black ducks, harvest and habitat management. We obtained specimens from 200 hatch-year Black Duck wings submitted to the Canadian Wildlife Service Species Composition Survey. Samples were obtained from birds harvested in Western, Central, and Eastern breeding/harvest subregions to provide a sample representative of the range and harvest rate of birds harvested in Canada. We sampled only hatch-year birds to provide an unambiguous and direct link between production and harvest areas. Marine origins were assigned to 12%, 7%, and 5% of birds harvested in the Eastern, Central, and Western subregions, respectively. In contrast, 32%, 9%, and 5% of birds were assigned, respectively, to agricultural origins. All remaining birds were assigned to nonagricultural origins. We portrayed probability of origin using a combination of Bayesian statistical and GIS methods. Placement of most eastern birds was western Nova Scotia, eastern New Brunswick, Prince Edward Island, and southern Newfoundland. Agricultural birds from the Central region were consistent with the Saguenay region of Quebec and the eastern claybelt with nonagricultural birds originating in the boreal. Western nonagricultural birds were associated with broad boreal origins from southern James Bay to Lake of the Woods and east to Cochrane, Ontario. Our work shows that the geographic origins, landscape, and habitat associations of hatch-year Black Ducks can be inferred using this technique and we recommend that a broad-scale isotopic study using a large sample of Canadian and US harvested birds be implemented to provide a continental perspective of source-sink population dynamics.</t>
  </si>
  <si>
    <t>Gushulak, CAC; Haig, HA; Kingsbury, MV; Wissel, B; Cumming, BF; Leavitt, PR</t>
  </si>
  <si>
    <t>Effects of spatial variation in benthic phototrophs along a depth gradient on assessments of whole-lake processes</t>
  </si>
  <si>
    <t>diatom; phytobenthos; pigment; stable isotope; tychoplankton</t>
  </si>
  <si>
    <t>DISSOLVED ORGANIC-MATTER; PELAGIC FOOD WEBS; SURFACE SEDIMENTS; ULTRAVIOLET-RADIATION; WATER-DEPTH; DIATOM ASSEMBLAGES; OLIGOTROPHIC LAKE; ALGAL PRODUCTION; STABLE-ISOTOPES; CARBON</t>
  </si>
  <si>
    <t>1. Phytobenthos are often underrepresented in both limnological and paleolimnological studies but may play key roles in whole-lake production and ecosystem processes including eutrophication, food-web dynamics, and ecosystem state changes. 2. Photosynthetic pigments, stables isotopes, and diatoms were quantified from surface sediments (0-1 cm) collected across a depth transect of a small, DOC-rich, mesotrophic lake in boreal northwestern Ontario to assess spatial variation in phytobenthos abundance and production. 3. Maximal concentrations of siliceous algae and cyanobacteria pigments occurred at similar to 2-6 m depth, with abundant tychoplanktonic diatoms, depleted sedimentary delta C-13 values, and elevated ratios of precursor chlorophyll a to product pheophytin a, all aligning well with the depths of the thermocline, epilimnetic mixing, and maximum light penetration. 4. These patterns demonstrated the presence of three discrete community assemblages, with greatest mass accumulation occurring at intermediate depths where warm illuminated sediments provide habitat for tychoplanktonic diatoms and cyanobacteria between turbulent shallows and cold and dark depths. 5. If widespread among boreal lakes, this tychoplanktonic zone may exert important effects on whole-lake production, carbon sequestration, benthic-pelagic food-web coupling, eutrophication, and ecosystem state change.</t>
  </si>
  <si>
    <t>10.1111/fwb.13820</t>
  </si>
  <si>
    <t>Sanchez, PJ; Rooker, JR; Sluis, MZ; Pinsky, J; Dance, MA; Falterman, B; Allman, RJ</t>
  </si>
  <si>
    <t>Application of otolith chemistry at multiple life history stages to assess population structure of Warsaw grouper in the Gulf of Mexico</t>
  </si>
  <si>
    <t>Hyporthodus nigritus; Connectivity; Contingent; Metapopulation; Fisheries; Trace elements; Stable isotopes</t>
  </si>
  <si>
    <t>STOCK DELINEATION; NURSERY AREAS; ELEMENTAL CHEMISTRY; CHEMICAL SIGNATURES; TRACE-ELEMENTS; FISH OTOLITHS; BLUEFIN TUNA; ATLANTIC COD; MARINE FISH; CONNECTIVITY</t>
  </si>
  <si>
    <t>Chemical markers in otoliths have been used to assess the stock structure of many marine fishes, but these natural markers have yet to be widely evaluated or applied to demersal fishes in offshore habitats where physicochemical gradients are generally less pronounced relative to nearshore waters. To address this, we quantified trace elements (Li, Mg, Mn, Co, Cu, Zn, Sr, Ba) and stable isotopes (delta C-13 and delta O-18) in otoliths of Warsaw grouper Hyporthodus nigritus from 4 regions in the Gulf of Mexico (Texas, Louisiana, Alabama-NW Florida, and SW Florida). Region-specific differences in otolith chemistry were observed, and notable differences in several influential markers (Mn:Ca, Sr:Ca, and Ba:Ca ratios and delta O-18) were present, particularly between the most distant regions investigated (Texas/Louisiana and SW Florida). Distinct regional signatures were observed for Warsaw grouper across 3 life history stages: first year (otolith core), most recent years (otolith edge), and lifetime (whole otolith), suggesting that individuals within certain regions share common environmental histories that may represent unique contingents or sub-populations. Findings also demonstrate that spatial variability within these markers was consistent enough to overcome any temporal variability within the geographic domains investigated for all 3 life history stages, highlighting their potential value for assessing the natal origin, exchange, and population structure of this species and potentially other members of the deepwater fish assemblage.</t>
  </si>
  <si>
    <t>10.3354/meps13457</t>
  </si>
  <si>
    <t>Hamilton, SL; Newsome, SD; Caselle, JE</t>
  </si>
  <si>
    <t>Dietary niche expansion of a kelp forest predator recovering from intense commercial exploitation</t>
  </si>
  <si>
    <t>California sheephead; fishery; niche breadth; predatory-prey interactions; San Nicolas Island; USA; sea urchin; Semicossyphus pulcher; stable isotopes; trophic ecology</t>
  </si>
  <si>
    <t>STABLE-ISOTOPE RATIOS; SEMICOSSYPHUS-PULCHER LABRIDAE; COMMUNITY-WIDE MEASURES; CALIFORNIA SEA OTTERS; TAKE MARINE RESERVES; TROPHIC STRUCTURE; STRONGYLOCENTROTUS-FRANCISCANUS; BODY-SIZE; FOOD-WEB; ECOSYSTEM</t>
  </si>
  <si>
    <t>Marine ecosystems are increasingly at risk from overexploitation and fisheries collapse. As managers implement recovery plans, shifts in species interactions may occur broadly with potential consequences for ecosystem structure and function. In kelp forests off San Nicolas Island, California, USA, we describe striking changes in size structure and life history traits (e.g., size at maturation and sex change) of a heavily fished, ecologically important predator, the California sheephead (Semicossyphus pulcher). These changes occurred in two phases: (1) after intense commercial fishery exploitation in the late 1990s and (2) following recovery in the late 2000s, nearly a decade after management intervention. Using gut contents and stable-isotope values of sheephead and their prey, we found evidence for a dietary niche expansion upon recovery of population size structure to include increased consumption of sea urchins and other mobile invertebrate grazers by larger sized fish. By examining historical diet data and a time series of benthic community composition, we conclude that changes in dietary niche breadth are more likely due to the recovery of size structure from fishing than major shifts in prey availability. Size-dependent predator-prey interactions may have ecosystem consequences and management measures that preserve or restore size structure, and therefore historical trophic roles of key predators, could be vital for maintaining kelp forest ecosystem health.</t>
  </si>
  <si>
    <t>10.1890/13-0014.1</t>
  </si>
  <si>
    <t>Falardeau, M; Bouchard, C; Robert, D; Fortier, L</t>
  </si>
  <si>
    <t>First records of Pacific sand lance (Ammodytes hexapterus) in the Canadian Arctic Archipelago</t>
  </si>
  <si>
    <t>Sandeel; Northwest Passage; Climate-related invasion; Climate change; Fish communities; Range shift</t>
  </si>
  <si>
    <t>BEAUFORT SEA; PROXIMATE COMPOSITION; FISH COMMUNITIES; STABLE-ISOTOPES; ENERGY DENSITY; FORAGE FISHES; CHUKCHI SEA; HUDSON-BAY; DIET; ALASKA</t>
  </si>
  <si>
    <t>An increasing number of boreal marine species are expected to invade the warming Arctic Ocean with the potential to displace endemic species. We provide first evidence that Pacific sand lance (Ammodytes hexapterus) is expanding its range in the Canadian Arctic Archipelago, a region far outside the species temperate-boreal traditional range south of the Bering Strait. To the best of our knowledge, supported by local Inuit knowledge, the species was not present in the area until the present decade. We observed an increasing density of larval Pacific sand lance with time over the 2011-2016 period, suggesting that environmental conditions are becoming increasingly favorable for the species to reproduce in the Central Canadian Arctic. The northward distribution change of Pacific sand lance is occurring earlier than predicted by current models and could trigger abrupt shifts in Arctic marine food webs if the boreal invader displaces polar cod, a key prey species for top predators in Arctic marine ecosystems.</t>
  </si>
  <si>
    <t>10.1007/s00300-017-2141-0</t>
  </si>
  <si>
    <t>Carmichael, MJ; White, JC; Cory, ST; Berry, ZC; Smith, WK</t>
  </si>
  <si>
    <t>Foliar water uptake of fog confers ecophysiological benefits to four common tree species of southeastern freshwater forested wetlands</t>
  </si>
  <si>
    <t>fog; foliar water uptake; leaf gas exchange; plant water status; stable isotopes; Taxodium distichum; wetlands</t>
  </si>
  <si>
    <t>SEA-LEVEL RISE; SPRUCE-FIR FOREST; CLOUD IMMERSION; HYDRAULIC LIFT; GROWING-SEASON; CLIMATE-CHANGE; BALD CYPRESS; COASTAL; DROUGHT; PLANT</t>
  </si>
  <si>
    <t>Fog, dew and cloud-borne mist are sources of water to vegetation in many ecosystems. The importance of fog as a water source has been documented well beyond ecosystems where plants experience fog for extensive periods over the course of the day (e.g. cloud forests); however, relatively little is known regarding the roles of fog and foliar water uptake in ecosystems such as coastal freshwater wetlands that do not experience fog for extensive periods over the course of the day. Coastal freshwater wetland ecosystems lie on the forefront of climate change-associated stressors that threaten freshwater supplies to vegetation. Considering the potential impact of climate warming on diminishing coastal fog regimes, an improved understanding of the ecophysiological benefits of fog immersion to the vegetation in these ecosystems is critical for understanding the response of these ecosystems to global climate change. Herein, we investigate the potential for foliar water deposition from fog to act as a direct freshwater subsidy to four tree species (Taxodium distichum(L.) Rich.,Nyssa aquaticaL.,Nyssa bifloraWalter andLiquidambar styracifluaL.) that are common in coastal freshwater wetlands. All four species showed the capacity for foliar water uptake across the leaf/needle surface, with a ca. 5-10% increase in leaf water content after a 3-h submersion experiment. Stable isotopes of water provided strong evidence for foliar water uptake in all four species and for bark water uptake inT. distichumafter a 24-h fogging experiment. Fog exposure also resulted in several ecophysiological benefits to the saplings, including significant improvements in pre-dawn water status and net photosynthesis.</t>
  </si>
  <si>
    <t>e2240</t>
  </si>
  <si>
    <t>10.1002/eco.2240</t>
  </si>
  <si>
    <t>Heino, M; Parvinen, K; Dieckmann, U</t>
  </si>
  <si>
    <t>Evolution of foraging strategies on resource gradients</t>
  </si>
  <si>
    <t>EVOLUTIONARY ECOLOGY RESEARCH</t>
  </si>
  <si>
    <t>exploitation competition; frequency-dependent selection; function-valued traits; ideal free distribution; interference competition; optimal foraging; resource dynamics; resource gradient</t>
  </si>
  <si>
    <t>IDEAL FREE DISTRIBUTION; FREE DISTRIBUTIONS; PHENOTYPIC PLASTICITY; INDIVIDUAL DECISIONS; ADAPTIVE DYNAMICS; PREDATORS; SIZE; POPULATIONS; SELECTION; CHOICE</t>
  </si>
  <si>
    <t>Question: How are competing foragers expected to distribute their lifetime foraging effort on a gradient of resource types that differ in abundance, quality, foraging costs, and associated mortality risks? Mathematical method: Population dynamics of foragers; and resources coupled with adaptive dynamics of foraging strategies based on continuous, function-valued traits. Key assumptions: We start from generalizing the classical patch-based theory of optimal foraging to continuous resource gradients following the traditional assumptions of constant renewal rates of resources, spatially homogeneous mortality risks, and of foragers that are omniscient, free to move without costs, equal, and not experiencing any saturation of intake. We then relax the restrictive assumptions of the classical model, thus accounting for non-linear functional responses of the foragers, heterogeneous mortality risks and resource qualities, energetically costly foraging, genetic covariances constraining foraging, feedbacks between foraging and resource dynamics, and different types of competition between foragers. Results: (1) When expressed its instantaneous rates with the same units (time(-1)), mortality risks (d), foraging costs (c), and resource qualities (q) all influence the evolutionarily stable distribution of foraging effort through the dimensionless expression (d + c)/q. (2) Functional responses that imply intake saturation may result in a subset of resources remaining entirely unused. (3) Coupling foraging to resource dynamics results in a rich array of evolutionary outcomes, depending on the type of competition among foragers and the interplay between forager and resource characteristics. (4) Genetic constraints may cause foraging effort to track the resource gradient more coarsely than classical models predict.</t>
  </si>
  <si>
    <t>Cameron, EK; Vila, M; Cabeza, M</t>
  </si>
  <si>
    <t>Global meta-analysis of the impacts of terrestrial invertebrate invaders on species, communities and ecosystems</t>
  </si>
  <si>
    <t>Alien; arthropods; biological invasions; ecosystem functioning; effect size; insects; non-native; systematic review; trophic position</t>
  </si>
  <si>
    <t>ECOLOGICAL IMPACTS; EARTHWORM INVASION; PLANT INVASION; NITROGEN; CARBON; BIAS; ANT</t>
  </si>
  <si>
    <t>AimTerrestrial invertebrates comprise a large proportion of alien species world-wide, yet a quantitative global synthesis of their effects on native species and ecosystems has not been explored. We conducted a meta-analysis to examine the ecological impacts of terrestrial invertebrate invaders and to test how impacts are modulated by the invader's trophic position, habitat attributes (i.e. insularity and disturbance) and the study methodology (observational versus experimental). LocationGlobal. MethodsWe investigated the effects of terrestrial invertebrate invaders on populations, communities and ecosystems by conducting a random effects meta-analysis using 112 articles reporting data from 710 field and laboratory studies. The analysis included 16 insect, 11 earthworm, 7 slug and 1 nematode invaders. ResultsOn average, across invaders, the presence of invaders reduced plant fitness (52%), animal diversity (33%) and animal abundance (29%). Leaf litter decomposition was 41% higher in the presence of invaders, while other ecosystem-level variables such as nutrient cycling were not affected in a consistent direction. Invasive predators and detritivores decreased animal abundance, whereas herbivores and omnivores had limited impacts. Single invaders increased soil nitrogen pools while multiple species did not. Insularity and disturbance did not affect the magnitude of the impacts significantly, mainly because there was a large variation among studies. Main conclusionsOverall, our study indicates that terrestrial invertebrate invaders have significant consistent effects on populations, communities and ecosystems, with islands and disturbed sites not being more prone to impacts. However, effects vary considerably depending on the type of impact being examined and the trophic position of the invader. There is no evidence that invaders cause larger impacts when multiple species of invaders, rather than single invaders, are involved.</t>
  </si>
  <si>
    <t>10.1111/geb.12436</t>
  </si>
  <si>
    <t>Deininger, A; Faithfull, CL; Bergstrom, AK</t>
  </si>
  <si>
    <t>Nitrogen effects on the pelagic food web are modified by dissolved organic carbon</t>
  </si>
  <si>
    <t>Boreal lakes; Global change; Nitrogen availability; Trophic transfer efficiency; Zooplankton</t>
  </si>
  <si>
    <t>PHYTOPLANKTON NUTRIENT LIMITATION; FRESH-WATER; BACTERIAL PRODUCTION; POPULATION-DYNAMICS; PRIMARY PRODUCERS; LAKES; DEPOSITION; EFFICIENCY; GRADIENT; RATIOS</t>
  </si>
  <si>
    <t>Global environmental change has altered the nitrogen (N) cycle and enhanced terrestrial dissolved organic carbon (DOC) loadings to northern boreal lakes. However, it is still unclear how enhanced N availability affects pelagic food web efficiency (FWE) and crustacean zooplankton growth in N limited boreal lakes. Here, we performed in situ mesocosm experiments in six unproductive boreal Swedish lakes, paired across a DOC gradient, with one lake in each pair fertilized with N (2011: reference year; 2012, 2013: impact years). We assessed how zooplankton growth and FWE were affected by changes in pelagic energy mobilization (PEM), food chain length (phytoplankton versus bacterial production based food chain, i.e. PP:BP), and food quality (seston stoichiometry) in response to N fertilization. Although PP, PEM and PP:BP increased in low and medium DOC lakes after N fertilization, consumer growth and FWE were reduced, especially at low DOC-potentially due to reduced phytoplankton food quality [increased C: phosphorus (P); N:P]. At high DOC, N fertilization caused modest increases in PP and PEM, with marginal changes in PP:BP and phytoplankton food quality, which, combined, led to a slight increase in zooplankton growth and FWE. Consequently, at low DOC (&lt;12 mg L-1), increased N availability lowers FWE due to mismatches in food quality demand and supply, whereas at high DOC this mismatch does not occur, and zooplankton production and FWE may increase. We conclude that the lake DOC level is critical for predicting the effects of enhanced inorganic N availability on pelagic productivity in boreal lakes.</t>
  </si>
  <si>
    <t>10.1007/s00442-017-3921-5</t>
  </si>
  <si>
    <t>Bonnet-Lebrun, AS; Catry, P; Clark, TJ; Campioni, L; Kuepfer, A; Tierny, M; Kilbride, E; Wakefield, ED</t>
  </si>
  <si>
    <t>Habitat preferences, foraging behaviour and bycatch risk among breeding sooty shearwaters Ardenna grisea in the Southwest Atlantic</t>
  </si>
  <si>
    <t>Benthic-pelagic coupling; Dual foraging; Marine protected areas; Diving behaviour</t>
  </si>
  <si>
    <t>DIEL VERTICAL MIGRATION; PUFFINUS-GRISEUS; HARVEST INTENSITY; PATAGONIAN SHELF; DIVING BEHAVIOR; SEABIRD; POPULATION; GREAT; GEOLOCATION; FISHERIES</t>
  </si>
  <si>
    <t>Pelagic seabirds are important components of many marine ecosystems. The most abundant species are medium/small sized petrels (&lt; 1100 g), yet the sub-mesoscale (&lt; 10 km) distribution, habitat use and foraging behaviour of this group are not well understood. Sooty shearwaters Ardenna grisea are among the world's most numerous pelagic seabirds. The majority inhabit the Pacific, where they have declined, partly due to bycatch and other anthropogenic impacts, but they are increasing in the Atlantic. To evaluate the sub-mesoscale habitat preferences (i.e. the disproportionality between habitat use and availability), diving behaviour and bycatch risk of Atlantic breeders, we tracked sooty shearwaters from the Falkland Islands during late incubation and early chick-rearing with GPS loggers (n = 20), geolocators (n = 10) and time-depth recorders (n = 10). These birds foraged exclusively in neritic and shelf-break waters, principally over the Burdwood Bank, similar to 350 km from their colony. Like New Zealand breeders, they dived mostly during daylight, especially at dawn and dusk, consistent with the exploitation of vertically migrating prey. However, Falkland birds made shorter foraging trips, shallower dives, and did not forage in oceanic waters. Their overlap with fisheries was low, and they foraged at shallower depths than those targeted by trawlers, the most frequent fishing vessels encountered, indicating that bycatch risk was low during late incubation/early chick-rearing. Although our results should be treated with caution, they indicate that Atlantic and Pacific sooty shearwaters may experience markedly differing pressures at sea. Comparative study between these populations, e.g. combining biologging and demography, is therefore warranted.</t>
  </si>
  <si>
    <t>10.3354/meps13439</t>
  </si>
  <si>
    <t>Wells, K; Gibson, DI; Clark, NJ; Ribas, A; Morand, S; McCallum, HI</t>
  </si>
  <si>
    <t>Global spread of helminth parasites at the human-domestic animal-wildlife interface</t>
  </si>
  <si>
    <t>global spread of parasites; helminth parasites; human-wildlife interface; parasite biodiversity; parasite host shifting; zoonoses</t>
  </si>
  <si>
    <t>INFECTIOUS-DISEASES; TAENIA TAPEWORMS; HOST PHYLOGENY; EMERGENCE; BIODIVERSITY; ORIGINS; CLIMATE; DISTRIBUTIONS; TRANSMISSION; COMMUNITIES</t>
  </si>
  <si>
    <t>Changes in species distributions open novel parasite transmission routes at the human-wildlife interface, yet the strength of biotic and biogeographical factors that prevent or facilitate parasite host shifting are not well understood. We investigated global patterns of helminth parasite (Nematoda, Cestoda, Trematoda) sharing between mammalian wildlife species and domestic mammal hosts (including humans) using &gt;24,000 unique country-level records of host-parasite associations. We used hierarchical modelling and species trait data to determine possible drivers of the level of parasite sharing between wildlife species and either humans or domestic animal hosts. We found the diet of wildlife species to be a strong predictor of levels of helminth parasite sharing with humans and domestic animals, followed by a moderate effect of zoogeographical region and minor effects of species' habitat and climatic niches. Combining model predictions with the distribution and ecological profile data of wildlife species, we projected global risk maps that uncovered strikingly similar patterns of wildlife parasite sharing across geographical areas for the different domestic host species (including humans). These similarities are largely explained by the fact that widespread parasites are commonly recorded infecting several domestic species. If the dietary profile and position in the trophic chain of a wildlife species largely drives its level of helminth parasite sharing with humans/domestic animals, future range shifts of host species that result in novel trophic interactions may likely increase parasite host shifting and have important ramifications for human and animal health.</t>
  </si>
  <si>
    <t>10.1111/gcb.14064</t>
  </si>
  <si>
    <t>Battipaglia, G; Cherubini, P; Saurer, M; Siegwolf, RTW; Strumia, S; Cotrufo, MF</t>
  </si>
  <si>
    <t>Volcanic explosive eruptions of the Vesuvio decrease tree-ring growth but not photosynthetic rates in the surrounding forests</t>
  </si>
  <si>
    <t>climate change; dendroecology; delta C-13 and delta O-18; multivariate analysis; photosynthesis; relative humidity; tree rings; volcanic eruptions; Vesuvio</t>
  </si>
  <si>
    <t>TEMPERATURE PATTERNS; SUMMER TEMPERATURES; GLACIER VARIATIONS; STABLE ISOTOPES; CARBON ISOTOPES; FROST RINGS; CLIMATE; CELLULOSE; VARIABILITY; DELTA-C-13</t>
  </si>
  <si>
    <t>Volcanic eruptions impact the global and the hemispheric climate, but it is still unknown how and to what degree they force the climate system and in particular the global carbon cycle. In this paper, the relationships between individual eruptions (reconstructed for the past using written records), tree primary productivity (estimated using ring widths), photosynthetic rate and stomatal conductance (assessed by carbon and oxygen isotope data) are investigated, to understand the impact of volcanic eruptions on net primary production. Data from a mixed stand of Fagus sylvatica L. and Acer pseudoplatanus L. located in the area of the Vesuvio volcanic complex (Southern Italy) showed a significant decrease in ring width following each eruption. Isotope analyses indicate a change in climatic conditions after such events. Specifically, the lower oxygen isotope ratio in the tree-ring cellulose strongly suggests an increase in relative humidity and a decrease in temperature, with the latter resulting in a strong limitation to tree-ring growth. The carbon isotope ratio was only moderately but not significantly reduced in the years of volcanic eruption, suggesting no major changes in C fixation rates. This work is a case study on the effects of volcanic eruptions resulting in strong climatic changes on the local scale. This is an opportunity to explore the process and causal relationships between climatic changes and the response of the vegetation. Thus, we propose here a realistic model scenario, from which we can extrapolate to global scales and improve our interpretations of results of global studies.</t>
  </si>
  <si>
    <t>10.1111/j.1365-2486.2007.01350.x</t>
  </si>
  <si>
    <t>Koo, KA; Madden, M; Patten, BC</t>
  </si>
  <si>
    <t>Projection of red spruce (Picea rubens Sargent) habitat suitability and distribution in the Southern Appalachian Mountains, USA</t>
  </si>
  <si>
    <t>Species distribution model (SDM); Tree growth simulation model; Red spruce habitat model (ARIM.HAB); Red spruce (Picea rubens); Southern Appalachian Mountains; Great Smoky Mountains National Park</t>
  </si>
  <si>
    <t>SPECIES DISTRIBUTION MODELS; MEMBRANE-ASSOCIATED CALCIUM; CROSS-SCALE INTERACTIONS; CLIMATE-CHANGE; NATIONAL-PARK; BALSAM FIR; FOREST; GROWTH; VEGETATION; DYNAMICS</t>
  </si>
  <si>
    <t>Red spruce (Picea rubens Sargent) has exhibited widespread growth decline and high mortality for the last half century in the eastern United States. Good prediction of this species' distribution in relation to environmental conditions is critical for effective management. This study projects red spruce distribution in response to multiple causal mechanisms in the Great Smoky Mountains National Park (GSMNP) of the Southern Appalachian Mountains by coupling a temporal simulation model of tree growth (ARIM.SIM) to a species distribution model (ARIM.HAB). ARIM.HAB computed habitat suitability, estimated from ARIM.SIM-generated red spruce growth, for every spatial 30 m grid cell in GSMNP. ARIM.SIM showed that different factors were responsible for habitat suitability and growth at higher vs. lower elevations. The air pollution variables (acid rain and cloud immersion frequency) caused low habitat suitability at higher elevations (1800-2028 m). Reduced air pollution but greater stress from climatic variables (high temperatures, reduced precipitation) caused medium suitability at lower elevations (1400-1600 m). And less stress from air pollution and climate variables combined with ample water to produce highest suitability at intermediate elevations (1600-1800 m). The projected range was verified with an existing geospatial database for red spruce and showed excellent correspondence with present-day distribution (AUC = 0.99, kappa = 0.87 and TSS = 0.88). This research shows that species distribution models coupled with a process-based temporal simulation models can improve the precision and accuracy of, respectively, habitat suitability and range projections for species at local scales. (C) 2014 Elsevier B.V. All rights reserved.</t>
  </si>
  <si>
    <t>10.1016/j.ecolmodel.2014.06.005</t>
  </si>
  <si>
    <t>Bodin, N; Pethybridge, H; Duffy, LM; Lorrain, A; Allain, V; Logan, JM; Menard, F; Graham, B; Choy, CA; Somes, CJ; Olson, RJ; Young, JW</t>
  </si>
  <si>
    <t>Global data set for nitrogen and carbon stable isotopes of tunas</t>
  </si>
  <si>
    <t>baseline isotopic variability; food web dynamics; Global Ocean; marine top predators; pelagic ecosystem; scombrids; trophic position</t>
  </si>
  <si>
    <t>e03265</t>
  </si>
  <si>
    <t>10.1002/ecy.3265</t>
  </si>
  <si>
    <t>Walsh, J; Reiss, C</t>
  </si>
  <si>
    <t>Extreme El Nino southern oscillation conditions have contrasting effects on the body condition of five euphausiid species around the northern Antarctic Peninsula during winter</t>
  </si>
  <si>
    <t>ENSO; Southern ocean; Euphausiid; Climate change</t>
  </si>
  <si>
    <t>SEA-ICE EXTENT; THYSANOESSA-MACRURA; LIPID-METABOLISM; BRANSFIELD STRAIT; ELEPHANT ISLAND; ATLANTIC SECTOR; ISOTOPE RATIOS; CLIMATE-CHANGE; SUPERBA DANA; LARVAL KRILL</t>
  </si>
  <si>
    <t>El Nino southern oscillation (ENSO) events drive profound global impacts on marine environments. These events may result in contrasting conditions in the Southern Ocean, with differing effects on euphausiid species because of their diverse life histories, habitats, and feeding ecologies. We conducted oceanographic surveys during winter (2012-2016) around the northern Antarctic Peninsula and examined the dietary carbon sources, trophic position, and body condition of five euphausiid species (Euphausia crystallorophias, E. frigida, E. superba post-larvae and larvae, E. triacantha, and Thysanoessa macrura) in relation to environmental conditions each year. In addition to general patterns among taxa, we focused on how contrasting conditions during an ENSO-neutral year (2014) and an ENSO-positive year (2016) affected the type, quality, and distribution of food resources each year, as well as the body condition of each species. We observed high chlorophyll-a, low salinity, and shallow upper mixed-layer depths in 2014, and low chlorophyll-a, high salinity, and deep upper mixed-layer depths in 2016. Carbon sources varied among years, with most species enriched in delta C-13 when ENSO conditions were dominant. Trophic position and body condition also varied among years, with different responses among species depending on conditions; inter-annual variation in delta N-15 was minimal, while E. triacantha was the only species with notably lower body condition in 2016. We conclude that ENSO conditions around the northern Antarctic Peninsula may result in a more favorable feeding environment for all euphausiid species except E. triacantha, which may be the most negatively impacted by the predicted increase in ENSO conditions.</t>
  </si>
  <si>
    <t>10.1007/s00300-023-03129-5</t>
  </si>
  <si>
    <t>Wang, SJ; Wang, XW; Sun, XX; Ma, GB; Du, Y; Jiang, JY</t>
  </si>
  <si>
    <t>Stoichiometry and stable isotopes of plants and their response to environmental factors in boreal peatland, Northeast China</t>
  </si>
  <si>
    <t>boreal peatland; ecological stoichiometry; plant functional types; stable carbon isotopic; N-15 natural abundance</t>
  </si>
  <si>
    <t>N-15 NATURAL-ABUNDANCE; PERMAFROST WETLANDS; MYCORRHIZAL FUNGI; SPECIES-DIVERSITY; CARBON; NITROGEN; PHOSPHORUS; ROOT; FOREST; LEAF</t>
  </si>
  <si>
    <t>The alterations of plant composition and diversity pose a threat to the stability of the carbon pool in boreal peatland under climate change. We collected the samples of three plant functional types (deciduous shrubs, evergreen shrubs, and sedge) in seven permafrost peatlands of the Great Hing'an Mountains, China, and measured the properties of total carbon (TC), nitrogen (TN), and phosphorus (TP), their stoichiometric ratios (C:N, C:P, and N:P), and the stable isotope values (delta C-13 and delta N-15) of six tissues (ranging from leaves to roots). For TC, TN, and TP, the contents had an average of 470.69 +/- 1.56, 8.03 +/- 0.23, and 1.71 +/- 0.61 mg center dot g(-1), respectively. TC contents of sedge were lower than those of shrubs for the whole plant. The allocations of N and P to shrub leaves were higher than to stems and roots. There was a similar trend of TN and TP contents, and stoichiometric ratios from leaves to roots between deciduous shrubs and evergreen shrubs. Shrubs and sedge have similar C: N in leaves and fine roots, while leaves of sedge C:P and N:P ratios were higher than shrubs, mainly showed that sedge is N and P co-limitation and shrubs are N limitation. The values of delta C-13 and delta N-15 were significantly higher in leaves and roots of sedge than those of shrubs, which means shrubs have higher nutrient acquisition strategies. These results support the shrubs are expanding in the boreal peatland under climate warming through nutrient competition. TC contents of all deciduous shrubs and sedge tissues were positively linear correlated to MAT and the values of delta C-13 and delta N-15 in sedge had significant relationships with MAT and MAP. Our results imply warming can increase plant photosynthesis in boreal peatland, and sedge was more sensitive to climate change. These findings would be helpful to understanding the responses of different plant tissues to climate changes in permafrost peatland.</t>
  </si>
  <si>
    <t>10.3389/fevo.2022.1071947</t>
  </si>
  <si>
    <t>Zhang, M; Li, N; Gu, BH; Li, YC; Wang, YF; Dong, WG; Gao, YN; Zhou, CJ; Nie, GX</t>
  </si>
  <si>
    <t>Trophic Ecology and Ecological Function for Oriental River Prawn (Macrobrachium nipponense) in the South-to-North Canal System</t>
  </si>
  <si>
    <t>Niche space; Trophic position; Diet; Oriental river prawn; Growth stage</t>
  </si>
  <si>
    <t>STABLE-ISOTOPE RATIOS; FOOD-WEB; DANJIANGKOU RESERVOIR; FISH COMMUNITIES; WATER-QUALITY; NICHE; PALAEMONIDAE; DECAPODA; POSITION; NITROGEN</t>
  </si>
  <si>
    <t>The South-to-North Canal System (SNCS) is the largest water diversion project in the world, and it transports water from water-sufficient southern and central to water-deficient northeastern China. The oriental river prawn is the most adaptable prawn species in this ecosystem and a dominant member of the benthic community. In this study, in order to obtain more information regarding the ecological functions of the prawn in the benthic food webs of the SNCS ecosystem, the trophic ecology of the prawn from the canal and the upstream reservoir was compared in the two ecosymtems. The prawn stable isotopic compositions of different prawn sizes (large, medium and small), niche spaces and the trophic positions were compared between the two ecosymtems. Results showed that in the main canal, particulate organic matter (POM) composed more than 40% of the food consumed by all three size prawns. Compared to small prawn, the diet of medium and large prawns were proportionally higher in POM and zooplankton. In the upstream reservoir, large prawn fed primarily on benthic microalgae, which composed 72.8% of the prawn diet. The pelagic food webs provided 93.5% food source for the canal prawn, while the benthic food webs afforded 72.4% food source for the reservoir prawn. Thereafter, the ecological functions of the prawn in the two ecosystems were also different due to their varied food diet. Careful considerations were suggested when using biomanipulation in the SNCS ecosystem.</t>
  </si>
  <si>
    <t>10.1007/s13157-020-01272-x</t>
  </si>
  <si>
    <t>Bugoni, L; McGill, RAR; Furness, RW</t>
  </si>
  <si>
    <t>The importance of pelagic longline fishery discards for a seabird community determined through stable isotope analysis</t>
  </si>
  <si>
    <t>Albatross; Community disruption; Diet overlap; Longline fishery discards; Petrels; Wintering</t>
  </si>
  <si>
    <t>TROPHIC RELATIONSHIPS; SCAVENGING SEABIRDS; LIPID EXTRACTION; ARCTIC SEABIRDS; FORAGING AREAS; SOUTHERN-OCEAN; FOOD-WEB; CARBON; DELTA-C-13; NITROGEN</t>
  </si>
  <si>
    <t>Seabird species within a community are expected to have distinct trophic niches according to foraging methods and body size, but some seabirds exploit fishery waste which can be quite distinct from natural foods. Even in the presence of fishery discards we hypothesize that a pelagic seabird community is structured according to body size, feeding methods, and access to discards. We measured carbon and nitrogen stable isotopes in whole blood of seabirds from the offshore wintering community of Procellariiformes (albatrosses, petrels, shearwaters and storm-petrels) in the SW Atlantic Ocean. We compared this with isotope values of potential prey items and fishery discards, to investigate the importance of discards from the tuna-shark pelagic longline fishery in the diet of these birds. Despite contrasting body masses and feeding techniques, there was extensive overlap in the range of isotopic ratios for different species. Carbon isotope values were typical of the subtropical offshore region. Nitrogen values also showed a high degree of overlap among species and clearly signify that the birds are feeding on fishery waste (especially shark liver). Recently arrived migrants from the Antarctic and sub-Antarctic, and species still rearing chicks when sampled (e.g. wandering albatross Diomedea exulans) had carbon isotopic values indicative of Antarctic and sub-Antarctic regions. All species breeding at more southerly latitudes underwent a marked shift (increase) in carbon and nitrogen isotopes, indicating a change in diet between breeding and wintering seasons. Cory's shearwater (Calonectris diomedea), the only sampled species not attending vessels, had low nitrogen values reflecting a diet of flying fish which occur naturally in the area and showed no change in isotope values between breeding and wintering grounds. Mixing models demonstrate the need to include an external food source (Antarctic krill) to recreate the isotope values obtained from seabird blood: this corresponds to the blood of wintering migrants retaining a minor component from their diet in the southern breeding grounds. The stable isotope results suggest that the availability of discards from pelagic fisheries in the SW Atlantic Ocean lead to an artificially and poorly structured seabird community, with most species utilizing the same food resource. The balance between population benefits obtained from feeding upon otherwise unavailable discards, and the costs from incidental mortality on longline fishing hooks is likely to differ among species, with positive effects for small-sized species and negative effects on albatrosses and Procellaria petrels. (C) 2010 Elsevier B.V. All rights reserved.</t>
  </si>
  <si>
    <t>10.1016/j.jembe.2010.06.027</t>
  </si>
  <si>
    <t>Fontaine, P; Barreiros, JP; Jaquemet, S</t>
  </si>
  <si>
    <t>Trophic ecology of three sympatric batoid species (Dasyatis pastinaca, Raja clavata, and Raja maderensis) from the Azores, NE Atlantic</t>
  </si>
  <si>
    <t>Elasmobranch; Feeding ecology; Stomach contents; Trophic tracers; Macaronesia</t>
  </si>
  <si>
    <t>STANDARDIZED DIET COMPOSITIONS; BOTTOM LONGLINE FISHERY; STABLE-ISOTOPE ANALYSIS; THORNBACK RAY; FEEDING STRATEGY; CHONDRICHTHYES RAJIDAE; SKATES CHONDRICHTHYES; TURKISH COAST; LINNAEUS; SHARKS</t>
  </si>
  <si>
    <t>Describing the trophic structure and interactions of demersal elasmobranch assemblages is fundamental to understanding food web dynamics and developing ecosystem-based management approaches. Stomach content analysis (SCA) and stable isotope ratios (SIA) of carbon (delta C-13) and nitrogen (delta N-15) from muscle were used to examine the dietary habits and intra- and interspecific trophic ecology of three sympatric batoid species (Dasyatis pastinaca, Raja clavata, and Raja maderensis) from the Azores, Northeast Atlantic. Data were analyzed with respect to sex and maturity stages. SCA showed that D. pastinaca feeds mostly on crustaceans, whereas R. clavata and R. maderensis prey almost exclusively on teleosts, but not on the same species. Dasyatis pastinaca displayed higher delta C-13 and lower delta N-15 values compared to R. clavata and R. maderensis. Trophic niche breadth was variable, D. pastinaca and R. clavata had the broadest and the narrowest trophic breadth, respectively. Relative trophic position categorized D. pastinaca as a mesopredator, while R. clavata and R. maderensis occupied higher trophic positions. With size, R. clavata and R. maderensis shifted from small prey such as crustaceans to larger prey such as teleosts, and they also exhibited significant increases in delta N-15 with size. Dietary and isotopic overlap was overall low among species, but it was higher between R. clavata and R. maderensis, suggesting more similarity in diet and habitat use between them than with D. pastinaca. This study depicts trophic interactions and functional roles of three co-existing batoid species in the Azorean food webs. In addition to presenting new information on the trophic ecology of D. pastinaca and R. clavata, the present study provides, to our knowledge, the first description of the diet composition and trophic level of the Macaronesian endemic batoid R. maderensis.</t>
  </si>
  <si>
    <t>10.1007/s10641-023-01412-2</t>
  </si>
  <si>
    <t>Hempson, TN; Graham, NAJ; MacNeil, MA; Bodin, N; Wilson, SK</t>
  </si>
  <si>
    <t>Regime shifts shorten food chains for mesopredators with potential sublethal effects</t>
  </si>
  <si>
    <t>coral bleaching; coral reef fish; food chain; habitat degradation; mesopredator; prey availability; trophic level</t>
  </si>
  <si>
    <t>CORAL-REEF FISH; GREAT-BARRIER-REEF; CLIMATE-CHANGE; HABITAT DEGRADATION; ENERGY ALLOCATION; TROPHIC CASCADES; DIET COMPOSITION; PREY SELECTION; ECOSYSTEM; GROWTH</t>
  </si>
  <si>
    <t>Predator populations are in decline globally. Exploitation, as well as habitat degradation and associated changes in prey availability are key drivers of this process of trophic downgrading. In the short term, longevity and dietary adaptability of large-bodied consumers can mask potential sublethal effects of a changing prey base, producing a delayed effect that may be difficult to detect. In coral reef ecosystems, regime shifts from coral- to algae-dominated states caused by coral bleaching significantly alter the assemblage of small-bodied reef fish associated with a reef. The effects of this changing prey community on reef-associated mesopredators remains poorly understood. This study found that the total diversity, abundance and biomass of piscivorous mesopredators was lower on regime-shifted reefs than recovering reefs, 16years after the 1998 mass coral bleaching event. We used stable isotope analyses to test for habitat-driven changes in the trophic niche occupied by a key piscivorous fishery target species on reefs that had regime-shifted or recovered following climatic disturbance. Using morphometric indices, histology, and lipid analyses, we also investigated whether there were sublethal costs for fish on regime-shifted reefs. Stable isotopes demonstrated that fish from regime-shifted reefs fed further down the food chain, compared to recovering reefs. Lower densities of hepatocyte vacuoles in fish from regime-shifted reefs, and reduced lipid concentrations in spawning females from these reefs, indicated a reduction in energy stores, constituting a sublethal and potential delayed effect on populations. Reduced energy reserves in mesopredators could lead to energy allocation trade-offs, and decreased growth rates, fecundity and survivorship, resulting in potential population declines in the longer term.</t>
  </si>
  <si>
    <t>10.1111/1365-2435.13012</t>
  </si>
  <si>
    <t>Hayes, CL; Talbot, WA; Wolf, BO</t>
  </si>
  <si>
    <t>Abiotic limitation and the C-3 hypothesis: isotopic evidence from Gunnison's prairie dog during persistent drought</t>
  </si>
  <si>
    <t>abiotic regulation; drought; Gunnison's prairie dog; niche width; stable isotope analysis</t>
  </si>
  <si>
    <t>STABLE-ISOTOPES; NUTRITIONAL QUALITY; SEASONAL-CHANGES; TOP-DOWN; DYNAMICS; CARBON; NICHE; PLAGUE; POPULATION; PLANTS</t>
  </si>
  <si>
    <t>Gunnison's prairie dog (Cynomys gunnisoni) is an herbivore that ranges from desert grasslands to high-montane meadows and is limited by disease across much of its range. The importance of abiotic drivers to the population dynamics of the species is poorly known. We employed stable isotope analysis to investigate energy assimilation patterns as indicators of abiotic limitation in arid grassland and montane populations of C. gunnisoni during a multi-year drought. Standard ellipse areas of plasma and red blood cell carbon (delta C-13) and nitrogen (delta N-15) isotope values, representing population-level foraging niche widths, declined during years and seasons of drought stress at both study sites. Prairie dogs at the montane site, but not at the desert grassland site, maintained seasonal shifts in dietary niche width corresponding to periods of favorable growth conditions for the more nutritious C-3 plants. Production of offspring was strongly and positively correlated with C-3 resource use as indicated by delta C-13 values in metabolically active tissues (plasma and red blood cells), but not with delta C-13 values in adipose tissues used for long-term energy storage, or with foraging niche widths. These findings demonstrate that assimilation of energy from C-3 plants is associated with increased reproductive output and that drought conditions importantly constrain the resource base available to C. gunnisoni. The link between plant nutritional quality and demographic parameters highlights the role of abiotic regulation within this reportedly disease-limited species.</t>
  </si>
  <si>
    <t>e01626</t>
  </si>
  <si>
    <t>10.1002/ecs2.1626</t>
  </si>
  <si>
    <t>Taylor, MS; Driscoll, CT; Lepak, JM; Josephson, DC; Jirka, KJ; Kraft, CE</t>
  </si>
  <si>
    <t>Temporal trends in fish mercury concentrations in an Adirondack Lake managed with a continual predator removal program</t>
  </si>
  <si>
    <t>Adirondacks; Food webs; Mercury bioaccumulation; Smallmouth Bass; Lake Trout</t>
  </si>
  <si>
    <t>NORTHEASTERN UNITED-STATES; NEW-YORK; TROPHIC POSITION; SMALLMOUTH BASS; SPORT FISH; BIOACCUMULATION; DECREASES; METHYLMERCURY; CONTAMINATION; DELTA-N-15</t>
  </si>
  <si>
    <t>Mercury is a neurotoxic pollutant and contamination in remote ecosystems due to atmospheric mercury deposition coupled with watershed characteristics that influence mercury bioavailability. Biological interactions that affect mercury bioaccumulation are especially relevant as fish assemblages change in response to species introductions and lake management practices. We studied the influence of shifting food web dynamics on mercury in fisheries of Little Moose Lake in the southwestern Adirondack Mountains of New York, USA. Annual removal of non-native Smallmouth Bass (Micropterus dolomieu) has been used as a management strategy since 2000 to restore the native fish assemblage and food web in favor of Lake Trout (Salvelinus namaycush). Changes in total mercury, stable carbon (C-13/C-12) and nitrogen (N-15/N-14) isotopes, and growth were evaluated for Lake Trout and Smallmouth Bass. Growth rates increased for both predators and trophic position increased for Lake Trout post-removal. Mercury concentrations in Lake Trout increased over the 16-year study period influenced by a diet shift from invertebrates to higher trophic level prey fish, regardless of increased growth. Smallmouth Bass mercury concentrations decreased with compensatory growth from a reduced population size. These contrasting trends indicate that changes in mercury deposition were not the primary driver for mercury bioaccumulation responses in Little Moose Lake. Stable isotope values changed for both predators and for several lower trophic level organisms, likely reflecting changes in nutrient cycling and/or inputs. Our findings emphasize the potential role of fisheries management on whole-lake and predatory fish responses to mercury contamination in temperate lakes.</t>
  </si>
  <si>
    <t>10.1007/s10646-019-02156-5</t>
  </si>
  <si>
    <t>Guo, WX; Yang, H; Zhou, HT; Wang, HX</t>
  </si>
  <si>
    <t>Synergistic changes in river-lake runoff systems in the Yangtze River basin and their driving force differences</t>
  </si>
  <si>
    <t>River -lake runoff systems; InVEST model; Climate change; Anthropogenic activities; Habitat quality; Quantitative analysis</t>
  </si>
  <si>
    <t>CLIMATE-CHANGE; DONGTING LAKE; WATER-RESOURCES; SEDIMENT LOAD; IMPACTS; CHINA; STREAMFLOW; PRECIPITATION; SIMULATION; OPERATION</t>
  </si>
  <si>
    <t>Climate change and human activities simultaneously alter river-lake relationships. Determining the dynamics of river-lake runoff systems on multiple time scales and their differences in response to driving forces can provide insights into hydrological processes and water resource management. This study investigates the synergistic evolution of river-lake runoff systems in the middle and lower reaches of the Yangtze River basin (MLYR) using the cross-wavelet transform method. The effects of different driving force changes on river-lake runoff regimes are quantified based on the Budyko hypothesis, and an InVEST model is developed to assess the spatial and temporal patterns of habitat quality. The results indicate that during the variation period, the runoff distributions of the Yangtze River-Dongting Lake and Yangtze River--Poyang Lake runoff systems are both skewed towards lower values in the flood seasons compared with those in the base period. The storage of lakes mitigates the extent of human disturbance to the mainstream hydrological regime, particularly under extremely low condi-tions. From 1960 to 2021, five significant resonance periods are indicated in the river-lake runoff system, and the phase-angle relationships indicate a positive phase coupling between the lake and mainstream hydrological regimes, with the lake lagging behind the mainstream; however, this interaction tends to weaken. In the mainstream and Dongting Lake basins, subsurface conditions are the dominant factor contributing to runoff variability, with contributions ranging from 50.9% to 72.6%; in the Poyang Lake basin, precipitation is the dominant factor, with a contribution of 50.6%; and in the Han River basin, changes in the potential evapo-transpiration contribute to 50.6% of runoff variability. The proportion of high habitat quality in the MLYR is approximately 52%, the Dongting and Poyang Lake basins indicate a high habitat quality rating. However, frequent human activity is the main reason of conversion from higher habitats to lower ones, which may result in wetland habitat degradation.</t>
  </si>
  <si>
    <t>10.1016/j.ecoinf.2023.102069</t>
  </si>
  <si>
    <t>Mazei, YA; Tsyganov, AN; Bobrovsky, MV; Mazei, NG; Kupriyanov, DA; Galka, M; Rostanets, DV; Khazanova, KP; Stoiko, TG; Pastukhova, YA; Fatynina, YA; Komarov, AA; Babeshko, KV; Makarova, AD; Saldaev, DA; Zazovskaya, EP; Dobrovolskaya, MV; Tiunov, AV</t>
  </si>
  <si>
    <t>Peatland Development, Vegetation History, Climate Change and Human Activity in the Valdai Uplands (Central European Russia) during the Holocene: A Multi-Proxy Palaeoecological Study</t>
  </si>
  <si>
    <t>lake-mire succession; hydroserial succession; plant macrofossils; pollen; testate amoebae; Cladocera; diatoms; stable isotopes</t>
  </si>
  <si>
    <t>EASTERN BALTIC REGION; ENVIRONMENTAL-CHANGE; NE POLAND; CARBON ACCUMULATION; OMBROTROPHIC BOG; STABLE-ISOTOPES; TAIGA FOREST; RAISED BOGS; DYNAMICS; POLLEN</t>
  </si>
  <si>
    <t>Peatlands are remarkable for their specific biodiversity, crucial role in carbon cycling and climate change. Their deposits preserve organism remains that can be used to reconstruct long-term ecosystem and environmental changes as well as human impact in the prehistorical and historical past. This study presents a new multi-proxy reconstruction of the peatland and vegetation development investigating climate dynamics and human impact at the border between mixed and boreal forests in the Valdai Uplands (the East European Plain, Russia) during most of the Holocene. We performed plant macrofossil, pollen, testate amoeba, Cladocera, diatom, peat humification, loss on ignition, carbon and nitrogen content, delta C-13 and delta N-15 analyses supported by radiocarbon dating of the peat deposits from the Krivetskiy Mokh mire. The results of the study indicate that the wetland ecosystem underwent a classic hydroserial succession from a lake (8300 BC-900 BC) terrestrialized through a fen (900 BC-630 AD) to an ombrotrophic bog (630 AD-until present) and responded to climate changes documented over the Holocene. Each stage was associated with clear changes in local diversity of organisms responding mostly to autogenic successional changes during the lake stage and to allogenic factors at the fen-bog stage. The latter can be related to increased human impact and greater sensitivity of peatland ecosystems to external, especially climatic, drivers as compared to lakes.</t>
  </si>
  <si>
    <t>10.3390/d12120462</t>
  </si>
  <si>
    <t>Anderson, WB; Polis, GA</t>
  </si>
  <si>
    <t>Marine subsidies of island communities in the Gulf of California: evidence from stable carbon and nitrogen isotopes</t>
  </si>
  <si>
    <t>TERRESTRIAL FOOD WEBS; SEABIRD ROOKERIES; RATIOS; PROTEIN; DIETS; FLOW</t>
  </si>
  <si>
    <t>Coastal sites support larger (2 to &gt; 100 x) populations of many consumers than inland sites on islands in the Gulf of California. Previous data suggested that subsidies of energy and nutrients from the ocean allowed large coastal populations. Stable carbon and nitrogen isotopes are frequently used to analyze diet composition of organisms; they are particularly useful to distinguish between diet sources with distinct isotopic signatures, such as marine and terrestrial diets. We analyzed the C-13 and N-15 concentrations of coastal versus inland spiders and scorpions to test the hypothesis that coastal individuals exhibited more strongly marine-based diets than inland individuals. Coastal spiders and scorpions were significantly more enriched in C-13 and N-15 than inland spiders and scorpions, suggesting that the coastal individuals consumed more marine-based foods than their inland counterparts. These patterns existed in both drought years and wet El Nino years. However, the marine influence was stronger in drought years when terrestrial productivity was nearly non-existent, than in wet years when terrestrial productivity increased by an order of magnitude.</t>
  </si>
  <si>
    <t>10.2307/3546469</t>
  </si>
  <si>
    <t>Peterson, CT; Bachman, BA; Kraus, RT; Grubbs, RD</t>
  </si>
  <si>
    <t>Phoretic sharksuckers Echeneis naucrates associated with an elasmobranch host occupy higher relative trophic positions</t>
  </si>
  <si>
    <t>Symbiosis; Species interactions; Phoresis; Commensalism; Behavioral ecology; Trophic ecology; Stable isotope analysis; Elasmobranch</t>
  </si>
  <si>
    <t>STABLE-ISOTOPE; FISH POPULATIONS; BODY-SIZE; DELTA-N-15; DELTA-C-13; FLORIDA; DISCRIMINATION; MODELS; VALUES; DIET</t>
  </si>
  <si>
    <t>The relationship between phoretic diskfishes and their hosts is a classic example of marine symbiosis, yet surprisingly few studies have quantified this trophic relationship. We investigated the hypothesis that by consuming host parasites and prey scraps phoretic diskfishes (Echeneidae) feed at a higher relative trophic position than free-living individuals through expanded foraging opportunities. We used carbon and nitrogen stable isotope analysis of muscle tissue from both free-living and commensal sharksuckers Echeneis naucrates and their hosts, supplemented with gut-content analysis, to investigate this hypothesis. Our analysis revealed that commensal sharksuckers likely occupy higher relative trophic positions than free-living sharksuckers. The importance of scavenging host prey decreased ontogenetically as sharksuckers shifted from symbiotic phoresis to free-swimming behavior, leading to an ontogenetic change in which obligately commensal juveniles occupy higher trophic positions than free-living adults which are only facultatively commensal. Relative differences in delta C-13 and delta N-15 among individual host-commensal pairs varied among host species, suggesting potential differences in foraging opportunities among host taxa.</t>
  </si>
  <si>
    <t>10.3354/meps14002</t>
  </si>
  <si>
    <t>Gotsch, SG; Williams, CB; Bicaba, R; Cruz-de Hoyos, R; Darby, A; Davidson, K; Dix, M; Duarte, V; Glunk, A; Green, L; Ferguson, B; Munoz-Elizondo, K; Murray, JG; Picado-Fallas, I; Naesborg, R; Dawson, TE; Nadkarni, N</t>
  </si>
  <si>
    <t>Trade-offs between succulent and non-succulent epiphytes underlie variation in drought tolerance and avoidance</t>
  </si>
  <si>
    <t>Functional traits; Water relations; Microclimatic gradient; Stable isotopes; Tropical montane cloud forest</t>
  </si>
  <si>
    <t>MONTANE CLOUD FOREST; CARBON-ISOTOPE RATIOS; CLIMATE-CHANGE; VASCULAR EPIPHYTES; LEAF TRAITS; ELEVATIONAL GRADIENT; GLOBAL CONVERGENCE; WATER RELATIONS; CANOPY; NITROGEN</t>
  </si>
  <si>
    <t>Epiphyte communities comprise important components of many forest ecosystems in terms of biomass and diversity, but little is known regarding trade-offs that underlie diversity and structure in these communities or the impact that microclimate has on epiphyte trait allocation. We measured 22 functional traits in vascular epiphyte communities across six sites that span a microclimatic gradient in a tropical montane cloud forest region in Costa Rica. We quantified traits that relate to carbon and nitrogen allocation, gas exchange, water storage, and drought tolerance. Functional diversity was high in all but the lowest elevation site where drought likely limits the success of certain species with particular trait combinations. For most traits, variation was explained by relationships with other traits, rather than differences in microclimate across sites. Although there were significant differences in microclimate, epiphyte abundance, and diversity, we found substantial overlap in multivariate trait space across five of the sites. We found significant correlations between functional traits, many of which related to water storage (leaf water content, leaf thickness, hydrenchymal thickness), drought tolerance (turgor loss point), and carbon allocation (specific leaf area, leaf dry matter content). This suite of trait correlations suggests that the epiphyte community has evolved functional strategies along with a drought avoidance versus drought tolerance continuum where leaf succulence emerged as a pivotal overall trait.</t>
  </si>
  <si>
    <t>10.1007/s00442-022-05140-9</t>
  </si>
  <si>
    <t>Pomerleau, C; Heide-Jorgensen, MP; Ferguson, SH; Stern, HL; Hoyer, JL; Stern, GA</t>
  </si>
  <si>
    <t>Reconstructing variability in West Greenland ocean biogeochemistry and bowhead whale (Balaena mysticetus) food web structure using amino acid isotope ratios</t>
  </si>
  <si>
    <t>Amino acids; Bowhead whale; Carbon; Compound-specific isotope analysis; Nitrogen; Stable isotope analysis</t>
  </si>
  <si>
    <t>STABLE-ISOTOPES; MASS-SPECTROMETRY; TROPHIC POSITION; DELTA-C-13 ANALYSIS; SEALS IMPLICATIONS; MOVEMENT PATTERNS; NORTH PACIFIC; KILLER WHALES; BERING-SEA; DIET</t>
  </si>
  <si>
    <t>Climate change is causing physical and biological changes in the polar marine environment, which may impact higher trophic level predators such as the bowhead whale (Balaena mysticetus) and the structure of their food webs. We used bulk stable isotope analysis and compound-specific isotope analysis (CSIA) of individual amino acids (AA) to examine bowhead whale trophic position and the biogeochemistry of one of their feeding grounds, Disko Bay, West Greenland, over a period of 7 years (2007-2013). We also examined whether environmental conditions such as sea ice concentration and sea surface temperature were causing any interannual variation in isotope data. Bulk delta N-15 values were consistent across the 7 years of sampling and were similar between sex classes. Bulk delta C-13 and essential-AAs delta C-13 values displayed an overall temporal decline of 1.0 and 1.4%, respectively. A significant positive linear relationship was found between delta C-13 of bulk skin and essential-AAs suggesting that some of the observed isotopic variation in bowhead whales between years reflect changes in the carbon at the base of the food web. There were no correlations between the delta C-13 and delta N-15 values of isotopic tracers with sea ice concentrations or sea surface temperatures. The trophic level of bowhead whales remained stable over time despite large interannual variability in ice and temperature regimes. Our results indicate that the recent environmental changes in West Greenland resulted in no trophic perturbation being transferred to bowhead whales during that time period. Our study shows that the novel approach of CSIA-AA can be used effectively to study the combined temporal variation of bowhead whale food web structure and ecosystem isotopic baseline values and detect changes at the species and ecosystem levels.</t>
  </si>
  <si>
    <t>10.1007/s00300-017-2136-x</t>
  </si>
  <si>
    <t>Cousineau, ML; Bordage, D; Rodrigue, J; Brousseau, P</t>
  </si>
  <si>
    <t>Natal Origin of Black Ducks Harvested During the Sport Hunt in Quebec, Canada</t>
  </si>
  <si>
    <t>Anas rubripes; fall migration; harvest; hunting regulations; stable isotopes</t>
  </si>
  <si>
    <t>STABLE-ISOTOPES; DEUTERIUM MEASUREMENTS; DELTA-D; MIGRATION; ASSIGNMENT; MALLARDS; FEATHERS; DISTANCE; ANIMALS; LESSONS</t>
  </si>
  <si>
    <t>In Quebec, Canada, the American black duck (Anas rubripes) breeds mainly in the boreal forest to the north, but a small segment of the population breeds in southern Quebec in the densely populated agricultural areas surrounding the St. Lawrence River and Estuary. This agricultural breeding population faces increasing pressure from urbanization, competition with mallards (A. platyrhynchos), landuse changes, and hunting. In Quebec, approximately 69% of black ducks are harvested in agricultural landscapes. Most birds harvested in Quebec are taken in September, during the first 3 weeks of the hunting season, when birds breeding in the boreal habitat are unlikely to have initiated their southbound fall migration. This additional pressure on the agricultural breeding population could be detrimental to its long-term sustainability. We measured carbon (C-13), nitrogen (N-15), hydrogen (D), and sulfur (S-34) isotopic compositions of feathers from hatching-year black ducks of known natal origin (banded birds) and used these to develop a multivariate logistic regression classification model based on habitat type. We then applied this model to feathers from birds harvested in Quebec during the fall sport hunt in those same years to determine their natal origin. Sixty percent in 2004 and 17% in 2005 of black ducks harvested during the fall sport hunt in Quebec originated from the agricultural segment of the population, compared to 36% and 72% in those same years originating from the boreal area. This is in stark contrast to the species' distribution in Quebec, with only approximately 4% of the population breeding in the agricultural portion of the province. Our results suggest that this harvest bias toward the agricultural segment of the breeding population, which may be accentuated in years when migration is delayed, could compromise its long-term sustainability. We highlight the importance of existing regional survey programs, and the information gaps that exist concerning the natal origin of black ducks harvested in the northeastern United States, and the annual productivity of the agricultural black duck population in Quebec. Stable isotopes from samples of known natal origin (banded birds) proved an effective tool to identify the natal origin of hunted birds. However, we caution against the use of published isotopic thresholds (C-13, N-15) to infer the origin of migrating organisms in small study areas. (c) 2014 The Wildlife Society.</t>
  </si>
  <si>
    <t>10.1002/jwmg.771</t>
  </si>
  <si>
    <t>Li, L; Ma, B; Jin, HY; Wu, S; Jin, X; Zhang, ZP</t>
  </si>
  <si>
    <t>Diet of fishes and food web structure of Lake Langcuo assessed from Tibetan Plateau, southwest China</t>
  </si>
  <si>
    <t>Tibet of China; High altitude; Trophodynamics; Organic carbon origins; Gymnocypris; Stable isotopes</t>
  </si>
  <si>
    <t>STABLE-ISOTOPES; CHAIN LENGTH; FORAGING ECOLOGY; FEEDING-HABITS; ORGANIC-CARBON; DELTA-N-15; PATTERNS; BASIN; RIVER; DELTA-C-13</t>
  </si>
  <si>
    <t>The diet of Gymnocypris species and the food web structure in Lake Langcuo (4300 m above sea level) of the southwest Tibetan Plateau of China were investigated by carbon (delta C-13) and nitrogen (delta N-15) stable isotope analyses. Ephemeropteran and chironomid larvae were the major components of the diet of Gymnocypris chui, making it an omnivore with animals as the majority component, while the Myriophyllum spicatum and ephemeropteran larvae was the most important for Gymnocypris scleracanthus, qualifying it as an omnivore with plants as the majority component. Ephemeropteran larvae also made up the most abundant constituent of the Triplophysa stoliczkae diet. Overall diet changed during development of G. chui, but the dominant food remained unaltered, whereas the major component of G. scleracanthus diet changed. An average trophic enrichment factor of 3.4 parts per thousand was used to calculate the trophic levels based on delta N-15, with the results indicated that the food web has three trophic levels: primary producers and primary and secondary consumers. The primary consumer trophic level was represented by zooplankton, aquatic insect larvae, and gammarids, with a mean delta N-15 value of 7.79 parts per thousand. The secondary consumer level included all fish, with a mean delta N-15 value of 10.68 parts per thousand. The primary consumers were chiefly dependent on autochthonous carbon input. This is the first quantitative study of the food web in a lake of the Tibetan Plateau above 4000 m. The study provides information critical to lake management and conservation in the Tibetan Plateau.</t>
  </si>
  <si>
    <t>10.1007/s10641-022-01326-5</t>
  </si>
  <si>
    <t>Boel, M; Brodersen, J; Koed, A; Baktoft, H; Post, DM</t>
  </si>
  <si>
    <t>Incidence and phenotypic variation in alewife alter the ontogenetic trajectory of young-of-the-year largemouth bass</t>
  </si>
  <si>
    <t>diet shifts; food web utilization; growth; niche shifts; ontogeny; piscivory; size-structured predation; stable isotopes; trophic position</t>
  </si>
  <si>
    <t>PERCH PERCA-FLUVIATILIS; NICHE SHIFTS; BODY-SIZE; COMMUNITY STRUCTURE; FOOD-CONSUMPTION; GROWTH; PREY; COMPETITION; PREDATOR; FISH</t>
  </si>
  <si>
    <t>There is increasing evidence that phenotypic variation can strongly impact community structure and ecosystem functions. Alewife Alosa pseudoharengus is a planktivorous fish species that strongly impact lake ecosystems. It has previously been demonstrated that phenotypic variation related to differences in life history among landlocked and anadromous alewife populations alters the strength of interactions with other species, potentially modifying its role in the community. The migration between freshwater and marine ecosystems by anadromous alewife creates seasonal differences in alewife densities, which causes lake zooplankton communities to alternate between large-body size and higher densities in the spring, and small-body size and low densities in the summer and fall. In lakes with resident (landlocked) alewife, predation from alewife modifies the zooplankton community to having low zooplankton densities and mainly small-bodied zooplankton year-round. The strong effects of phenotypic variation in alewife on zooplankton may be important for coexisting species that rely on zooplankton as a resource. Here we use estimates of growth, and direct diet and stable isotope analyses to ask if the presence- and phenotypic variation of alewife alters the ontogenetic trajectory of young-of-the-year (YOY) largemouth bass Micropterus salmoides, which depend on zooplankton in the early life stages. We found that both the presence- and phenotypic variation of alewife affects growth, trophic position, and diet of largemouth bass. YOY largemouth bass from lakes without alewife grew faster, switched to piscivory earlier, and reached higher trophic positions than in alewife lakes. In lakes with landlocked alewife largemouth bass grew slower and obtained a lower trophic position than those in lakes with anadromous alewife. These divergences can be explained by the strong effects of alewife on zooplankton community structure. Our results demonstrate how the strong effects of phenotypic variation can propagate through natural food webs to influence important life history transitions in other species.</t>
  </si>
  <si>
    <t>10.1111/oik.05556</t>
  </si>
  <si>
    <t>Kortsch, S; Primicerio, R; Fossheim, M; Dolgov, AV; Aschan, M</t>
  </si>
  <si>
    <t>Climate change alters the structure of arctic marine food webs due to poleward shifts of boreal generalists</t>
  </si>
  <si>
    <t>biogeography; climate warming; fish community; modularity; network structure; food web topology</t>
  </si>
  <si>
    <t>NETWORK STRUCTURE; TROPHIC LEVELS; BARENTS SEA; FISH; COMPARTMENTALIZATION; FISHERIES; OMNIVORY; MODULES; ROLES</t>
  </si>
  <si>
    <t>Climate-driven poleward shifts, leading to changes in species composition and relative abundances, have been recently documented in the Arctic. Among the fastest moving species are boreal generalist fish which are expected to affect arctic marine food web structure and ecosystem functioning substantially. Here, we address structural changes at the food web level induced by poleward shifts via topological network analysis of highly resolved boreal and arctic food webs of the Barents Sea. We detected considerable differences in structural properties and link configuration between the boreal and the arctic food webs, the latter being more modular and less connected. We found that a main characteristic of the boreal fish moving poleward into the arctic region of the Barents Sea is high generalism, a property that increases connectance and reduces modularity in the arctic marine food web. Our results reveal that habitats form natural boundaries for food web modules, and that generalists play an important functional role in coupling pelagic and benthic modules. We posit that these habitat couplers have the potential to promote the transfer of energy and matter between habitats, but also the spread of pertubations, thereby changing arctic marine food web structure considerably with implications for ecosystem dynamics and functioning.</t>
  </si>
  <si>
    <t>10.1098/rspb.2015.1546</t>
  </si>
  <si>
    <t>Dixon, HJ; Dempson, JB; Power, M</t>
  </si>
  <si>
    <t>Short-term temporal variation in inshore/offshore feeding and trophic niche of Atlantic salmon Salmo salar off West Greenland</t>
  </si>
  <si>
    <t>Atlantic salmon; Inshore/offshore feeding; Stable isotopes; Northwest Atlantic; Trophic niche</t>
  </si>
  <si>
    <t>STABLE-ISOTOPE RATIOS; FOOD-CHAIN LENGTH; NORTH-AMERICAN; PROXIMATE COMPOSITION; COMMUNITY STRUCTURE; SALVELINUS-ALPINUS; ARCTIC CHARR; FRESH-WATER; HABITAT USE; LIFE-CYCLE</t>
  </si>
  <si>
    <t>The marine portion of Atlantic salmon Salmo salar L. life history is not well understood, with many populations exhibiting declines in survival and growth linked to changes in the food web. Atlantic salmon of North American origin feed along the coast of West Greenland from August to November and are exposed to a variety of different ecosystems and hydrographic and environmental regimes that affect marine food webs. Here we used stable isotopes to assess the reliance of Atlantic salmon feeding on inshore prey resources and its associated seasonal variation, and examine the correlations of varying inshore resource use with size, condition and trophic niche width. On average, Atlantic salmon relied on inshore resources for 38% of their diet (range of 0-84 %). The reliance on inshore prey increased throughout the season, as did size and condition. Although differences between inshore and offshore feeding fish were small, the resulting implications of associated differences in size and condition on subsequent survival and spawning success suggest important biological consequences of feeding habitat choice. The variation in inshore resource isotope values mirrored hydrographic variation and associated changes in prey related to glacial input, frontal zones between inshore and offshore water masses and nutrient input from run-off. Increasing reliance on inshore feeding may be due to a high abundance of spawning capelin Mallotus villosus in the fjords. Omnivory was found to be highest in fish using both the inshore and offshore environments, suggesting a greater diversity of diet in these fish.</t>
  </si>
  <si>
    <t>10.3354/meps12841</t>
  </si>
  <si>
    <t>Sturrock, AM; Ogaz, M; Neal, K; Corline, NJ; Peek, R; Myers, D; Schluep, S; Levinson, M; Johnson, RC; Jeffres, CA</t>
  </si>
  <si>
    <t>Floodplain trophic subsidies in a modified river network: managed foodscapes of the future?</t>
  </si>
  <si>
    <t>Zooplankton; Salmon; Diet; Foodscape; Cladocera; Drought; Trophic subsidy</t>
  </si>
  <si>
    <t>JUVENILE CHINOOK SALMON; HABITATS; ZOOPLANKTON; CALIFORNIA; ABUNDANCE; FISHES; GROWTH; CONNECTIVITY; ECOSYSTEMS; LANDSCAPE</t>
  </si>
  <si>
    <t>Context Cross-boundary subsidies create important growth opportunities for a range of taxa. In modified river systems, remnant patches of floodplain and flood bypasses become ephemeral hotspots of zooplankton production, however, the extent to which these prey items are (or could be) transported downstream is unclear. Objectives We investigated the diet of juvenile salmon under varying hydroclimatic conditions to assess the importance of floodplain-produced prey subsidies in an otherwise food-scarce region. Methods Juvenile salmon (n = 3033) and zooplankton were sampled across the California Central Valley Sacramento-San Joaquin River Delta in 2014-2018, incorporating a range of climatic conditions including drought and flood. Salmon stomach fullness and diet composition, and ambient zooplankton densities were used to assess spatiotemporal patterns in prey production and consumption. Results Floodplain-produced cladocerans provided ephemeral food pulses to juvenile salmon in downstream riverine habitats. Salmon had the fullest stomachs in wetter years (2016-2017) and the emptiest stomachs in the final year of a multi-year drought (2015). Cladoceran abundances in the water column and salmon diets were highest during wet periods and below floodplains, and decreased with increasing distance downstream, consistent with flow-mediated trophic subsidies. Conclusions These data emphasize the importance of maintaining diverse, interconnected habitats to support resilient fish populations and the potential for managing floodplains to boost prey production and delivery. Here, the inundation of a flood bypass (or lack of) played a pivotal role shaping the juvenile salmon foodscape. As freshwater ecosystems are increasingly transformed by large-scale engineering, it is important to coordinate infrastructure, habitat and flow modifications to maximize climate resilience and trophic benefits to target species.</t>
  </si>
  <si>
    <t>10.1007/s10980-022-01526-5</t>
  </si>
  <si>
    <t>Howell, LN; Reich, KJ; Shaver, DJ; Landry, AM; Gorga, CC</t>
  </si>
  <si>
    <t>Ontogenetic shifts in diet and habitat of juvenile green sea turtles in the northwestern Gulf of Mexico</t>
  </si>
  <si>
    <t>Green turtle; Chelonia mydas; Ontogenetic shift; Stomach content analysis; Stable isotope analysis; delta C-13; delta N-15; Gulf of Mexico; Texas</t>
  </si>
  <si>
    <t>CHELONIA-MYDAS; STABLE-ISOTOPES; SPECIES INTERACTIONS; SYNTHETIC-POLYMERS; N-15 INCORPORATION; FORAGING HABITATS; FEEDING ECOLOGY; GROWTH; CARBON; NITROGEN</t>
  </si>
  <si>
    <t>Effective management of a rapidly increasing juvenile green sea turtle Chelonia mydas population necessitates an understanding of the foraging grounds utilized throughout ontogeny. We used stomach content (SCA) and stable isotope analyses (SIA) of multiple size classes of green turtles foraging along the middle (MTC) and lower Texas coasts (LTC) in the northwestern Gulf of Mexico to identify ontogenetic shifts in foraging behavior. Spatial differences in diet and habitat residency were examined based on samples gathered from live (n = 55) and deceased turtles (n = 114). Additionally, the isotopic composition of putative forage material within nearshore and inshore habitats was investigated to determine prey contribution to diet. Green turtle recruitment to neritic channel environments in Texas waters at sizes &lt; 25 cm straight carapace length (SCL) was established based on the presence of benthic macroalgae in the diet. Integration of SCA with SIA of carbon and nitrogen in scute material, as well as potential prey, revealed a subsequent inshore shift to seagrass beds before obtaining 35 cm SCL for turtles of the LTC, while turtles from the MTC exhibited considerable variation in size at transition. This study improves our understanding of the feeding ecology of green turtles within critical foraging grounds along the Texas coast.</t>
  </si>
  <si>
    <t>10.3354/meps11897</t>
  </si>
  <si>
    <t>Wellman, EH; Trackenberg, SN; Gilliland, VA; Titus, EF; Gittman, RK; McCoy, MW</t>
  </si>
  <si>
    <t>Evaluating impacts of non-native submerged aquatic vegetation on native nekton</t>
  </si>
  <si>
    <t>ecosystem engineer; macroalgae; nekton; non-native species; relative trophic position hypothesis; seagrass; submerged aquatic vegetation</t>
  </si>
  <si>
    <t>ALGA CAULERPA TAXIFOLIA; STRUCTURAL COMPLEXITY; HABITAT; SEAGRASS; FISH; COASTAL; GROWTH; CONSEQUENCES; MACROALGAE; ABUNDANCE</t>
  </si>
  <si>
    <t>The introduction and spread of non-native species restructure native ecosystems and can be particularly impactful when invaders are ecosystem engineers or habitat-forming species. In coastal, estuarine, and marine systems, submerged aquatic vegetation (SAV), like macroalgae and seagrasses, form key habitats for nekton, serving as nurseries, foraging grounds, and reproduction sites. If non-native ecosystem engineers can provide sufficient structure and/or resources, they may exert a neutral or positive effect on organisms occupying higher trophic positions. As such, we hypothesized that nekton response to non-native SAV species may be neutral or positive. We performed a quantitative meta-analysis to quantify impacts of non-native SAV on native crabs, fishes, and shrimps. We extracted data from 35 studies and evaluated 11 response metrics related to facilitation (e.g., habitat use and foraging), restricting our analysis to studies that compared at least one of these metrics in nekton from co-occurring native and non-native SAV habitats in marine, coastal, or estuarine systems. We found that nekton abundance, species richness, and biomass were the most assessed metrics of nekton performance. Our pooled data revealed differential results among response metrics, with nekton growth and reproduction enhanced in non-native habitats and species richness enhanced in a native setting. The mean effect sizes for all other nekton response metrics, including abundance, had 95% CIs that overlapped zero, indicating no difference in response between native and non-native SAV. For many endpoints, limited sample sizes prevented robust inferences, but they also highlighted areas where more research is needed in future studies. Non-native species have the potential to restructure the systems they invade. Our results lend support to the relative trophic position hypothesis, indicating that non-native habitat formers may facilitate native organisms in higher trophic levels. We identify research gaps that may guide future studies and allow for a more comprehensive understanding of responses to non-native ecosystem engineers.</t>
  </si>
  <si>
    <t>e4511</t>
  </si>
  <si>
    <t>10.1002/ecs2.4511</t>
  </si>
  <si>
    <t>Premke, K; Karlsson, J; Steger, K; Gudasz, C; von Wachenfeldt, E; Tranvik, LJ</t>
  </si>
  <si>
    <t>Stable isotope analysis of benthic fauna and their food sources in boreal lakes</t>
  </si>
  <si>
    <t>autochthonous; allochthonous; dissolved organic C; stable isotopes; boreal lakes</t>
  </si>
  <si>
    <t>ORGANIC-CARBON MINERALIZATION; METHANE-DERIVED CARBON; BACTERIAL PRODUCTION; TERRESTRIAL SUPPORT; ZOOPLANKTON CARBON; SEASONAL-CHANGES; MATTER; ENERGY; WEB; ECOSYSTEM</t>
  </si>
  <si>
    <t>The origin of organic C supporting zoobenthic communities in 8 boreal lakes with different concentrations of dissolved organic C (DOC) was assessed by stable-isotope analysis. Profundal zoobenthos was depleted in C-13 compared to littoral zoobenthos, and this difference increased with decreasing DOC concentration. The delta C-13 of littoral zoobenthos suggested reliance on benthic algae, whereas depleted C-13 of profundal zoobenthos could be explained by contributions from allochthonous and autochthonous C sources. In deeper lakes, profundal zoobenthos diets also included C processed by methanotrophic bacteria. Littoral zoobenthos delta C-13 decreased with increasing DOC concentration in the lake water. Our results suggest that littoral benthic fauna are mainly supported by benthic algae in low-DOC lakes and by phytoplankton and allochthonous organic C in high-DOC lakes and that this difference is a result of light absorbance and energy supply by allochthonous organic C. Increasing allochthonous DOC inputs, as expected in a warmer and wetter climate, might reduce benthic algal production and alter the organic C base for benthic food webs in lake ecosystems.</t>
  </si>
  <si>
    <t>10.1899/10-002.1</t>
  </si>
  <si>
    <t>Rahman, M; Islam, R; Islam, M</t>
  </si>
  <si>
    <t>Long-term growth decline in Toona ciliata in a moist tropical forest in Bangladesh: Impact of global warming</t>
  </si>
  <si>
    <t>Climate change; Dendrochronology; Growth trend; Juri forest; Tree growth; Tropical forests</t>
  </si>
  <si>
    <t>TREE-RING CHRONOLOGIES; WATER-USE EFFICIENCY; DRY-FOREST; DISTURBANCE HISTORY; DYNAMICS; PATTERNS; SOIL; TEMPERATURE; RESPONSES; RAINFALL</t>
  </si>
  <si>
    <t>Tropical forests are carbon rich ecosystems and small changes in tropical forest tree growth substantially influence the global carbon cycle. Forest monitoring studies report inconsistent growth changes in tropical forest trees over the past decades. Most of the studies highlighted changes in the forest level carbon gain, neglecting the species-specific growth changes which ultimately determine community-level responses. Tree-ring analysis can provide historical data on species-specific tree growth with annual resolution. Such studies are inadequate in Bangladesh, which is one of the most climate sensitive regions in the tropics. In this study, we investigated long-term growth rates of Toona ciliata in a moist tropical forest of Bangladesh by using tree-ring analysis. We sampled 50 trees of varying size, obtained increment cores from these trees and measured tree-ring width. Analyses of growth patterns revealed size-dependent growth increments. After correcting for the effect of tree size on tree growth (ontogenetic changes) by two different methods we found declining growth rates in T ciliata from 1960 to 2013. Standardized ring-width index (RWI) was strongly negatively correlated with annual mean and maximum temperatures suggesting that rising temperature might cause the observed growth decline in T ciliata. Assuming that global temperatures will rise at the current rate, the observed growth decline is assumed to continue. The analysis of stable carbon and oxygen isotopes may reveal more insight on the physiological response of this species to future climatic changes. (C) 2017 Elsevier Masson SAS. All rights reserved.</t>
  </si>
  <si>
    <t>10.1016/j.actao.2017.02.004</t>
  </si>
  <si>
    <t>Pascoe, P; Shaw, J; Trebilco, R; Kong, S; Jones, H</t>
  </si>
  <si>
    <t>Island characteristics and sampling methodologies influence the use of stable isotopes as an ecosystem function assessment tool</t>
  </si>
  <si>
    <t>ECOLOGICAL SOLUTIONS AND EVIDENCE</t>
  </si>
  <si>
    <t>ecosystem function; eradication; nutrients; recovery; seabird island; size; stable isotope</t>
  </si>
  <si>
    <t>INTRODUCED PREDATORS; SEABIRD RESTORATION; MAMMAL ERADICATION; BARRIER-ISLAND; FERAL CATS; CONSERVATION; RATS; RECOVERY; IMPACTS; INPUTS</t>
  </si>
  <si>
    <t>Monitoring seabird-derived nutrients on islands following invasive mammal eradications may provide a useful, cost- and time-efficient indication of the recovery of ecosystem function; however, the technique has only been investigated on environmentally similar islands. How seabird-derived nutrients recover on islands with different characteristics, and how differences in sampling regimes affect results is poorly understood. To determine how different island characteristics (size, geographic location and invasion history) and aspects of the sampling regime (sample collection year, season and intra-island location) influence seabird-derived nutrients we collated nitrogen stable isotope (delta N-15) data from three ecosystem components (soil, plants and spiders), collected on 28 islands around New Zealand. We investigated which variables best predict delta N-15 using linear-mixed effects models. Accounting for these variables and using still-invaded and never-invaded islands as controls for recovery, we then investigated changes in delta N-15 on islands at different stages following invasive mammal eradication. Island size, invasion history and the presence of seabirds in the direct vicinity of a sampling location all influenced delta N-15. After accounting for these variables, delta N-15 increased with time since eradication in soils, plants and spiders, though there was still some variation that our chosen variables could not explain. This study demonstrates the importance of considering island characteristics and sampling methods when assessing seabird-derived nutrient recovery and highlights the need for additional targeted sample collection on islands to help separate out the effects of time since eradication and other confounding variables affecting delta N-15. Improved understanding of these factors will be prerequisite for furthering this technique as a useful addition to the post-eradication monitoring tool kit.</t>
  </si>
  <si>
    <t>e12082</t>
  </si>
  <si>
    <t>10.1002/2688-8319.12082</t>
  </si>
  <si>
    <t>White, SM; Ondrackova, M; Reichard, M</t>
  </si>
  <si>
    <t>Hydrologic Connectivity Affects Fish Assemblage Structure, Diversity, and Ecological Traits in the Unregulated Gambia River, West Africa</t>
  </si>
  <si>
    <t>fish assemblage; functional morphology; large tropical rivers; lateral migration; multivariate analysis; pre-impoundment; reference condition; trophic position</t>
  </si>
  <si>
    <t>POPULATION-DYNAMICS; SPATIAL SYNCHRONY; FLOODPLAIN; FAUNA; CONSERVATION; ECOSYSTEMS; ESTUARY; SYSTEMS</t>
  </si>
  <si>
    <t>The Gambia River of West Africa is a large unobstructed river, characterized by a natural flow regime and lateral connectivity across its floodplain. Construction of a major dam, however, is planned. We compared patterns of fish diversity, habitat use, assemblage structure, and the distribution of trophic position and body morphology in riverine and floodplain habitats in Niokolo Koba National Park, located downstream of the planned dam site. A total of 49 fish species were captured, revealing a lognormal distribution as expected for species-rich assemblages. Fish species exhibited a range of habitat use patterns, from generalist to highly habitat-specific, and appeared to migrate laterally among habitats between seasons. Species richness was homogenous among habitats in the wet season yet appeared to increase with isolation from the main river in the dry season. Fish assemblage structure was best explained by the interaction between habitat type and season, underlining the importance of the natural flow regime and lateral connectivity among floodplain habitats. The abundance of fishes having elongate bodies increased with isolation from the main channel in the wet season only. The distribution of fishes having compressed cross-sectional morphology decreased with isolation from the main channel in the dry season only. These patterns of trait distribution support the conclusion that variation in hydrologic connectivity structures the fish assemblage. Our results suggest that altered flow regimes and loss of floodplain habitats after damming could lead to both decreased taxonomic and functional diversity of the fish assemblage.</t>
  </si>
  <si>
    <t>10.1111/j.1744-7429.2011.00840.x</t>
  </si>
  <si>
    <t>Lavers, JL; Bond, AL; Van Wilgenburg, SL; Hobson, KA</t>
  </si>
  <si>
    <t>Linking at-sea mortality of a pelagic shearwater to breeding colonies of origin using biogeochemical markers</t>
  </si>
  <si>
    <t>Fisheries bycatch; Geographic assignment; Trace elements; Stable isotopes; Flesh-footed shearwater; Puffinus carneipes</t>
  </si>
  <si>
    <t>FLESH-FOOTED SHEARWATERS; STABLE-ISOTOPE RATIOS; PUFFINUS-CARNEIPES; MERCURY CONCENTRATIONS; LONGLINE FISHERIES; MIGRATORY BIRDS; SEABIRD; FEATHERS; CONSERVATION; VARIABILITY</t>
  </si>
  <si>
    <t>An emerging issue in seabird conservation is the ability to link at-sea mortality with observed demographic changes at breeding colonies. Applications of modelling and biochemical markers can be used to assign mortalities of unknown provenance to a colony of origin ensuring conservation actions are targeted at those colonies identified as the most affected. We analysed feathers (n = 120) from flesh-footed shearwater Puffinus carneipes collected from 5 breeding colonies throughout their range. Using stable isotopes (delta N-15 and delta C-13) and trace element concentrations (Mn, Ni, Cu, Mo, Ag, Ba, Pb), we assigned birds recovered from fishing vessels off Australia, New Zealand, and the North Pacific to colony of origin, and investigated the rate of correct assignment at 3 spatial scales. Using quadratic discriminant analysis, samples of known origin were correctly assigned to basin, region, and breeding colonies at similar rates (92.3, 81.3, and 88.1%, respectively). Stable isotopes succeeded in assigning individuals among basins (72.8%), performing less well at the region and colony level (52.5 and 36.4%, respectively). In contrast, correct assignment was consistent at all 3 scales using only trace elements (93.2, 95.7, and 96.6%, respectively). Applying our final model based on trace elements to 116 flesh-footed shearwaters taken as bycatch in eastern Australia (n = 30), Western Australia (n = 32), New Zealand (n = 16), eastern North Pacific (n = 27) and western North Pacific (n = 11), we assigned individuals to colonies in New Zealand (35.3%), Western/ South Australia (36.2%), Western Australia (27.6%), and Lord Howe Island (0.9%). Bycatch in fisheries may help explain ongoing declines in flesh-footed shearwater populations across the species' range, highlighting the utility of assignment tools to account for unobservable mortality of wildlife at-sea.</t>
  </si>
  <si>
    <t>10.3354/meps10487</t>
  </si>
  <si>
    <t>Huntsman, BM; Petty, JT; Sharma, S; Merriam, ER</t>
  </si>
  <si>
    <t>More than a corridor: use of a main stem stream as supplemental foraging habitat by a brook trout metapopulation</t>
  </si>
  <si>
    <t>Binary Patch-Matrix; Habitat supplementation; Metapopulations; River continuum concept; Riverscape</t>
  </si>
  <si>
    <t>LIFE-HISTORY VARIABILITY; SHAPE GENETIC-STRUCTURE; STABLE-ISOTOPE RATIOS; LANDSCAPE ATTRIBUTES; FISH RECRUITMENT; RIVER; CARBON; POPULATIONS; NITROGEN; DIET</t>
  </si>
  <si>
    <t>Coldwater fishes in streams, such as brook trout (Salvelinus fontinalis), typically are headwater specialists that occasionally expand distributions downstream to larger water bodies. It is unclear, however, whether larger streams function simply as dispersal corridors connecting headwater subpopulations, or as critical foraging habitat needed to sustain large mobile brook trout. Stable isotopes (delta C-13 and delta N-15) and a hierarchical Bayesian mixing model analysis was used to identify brook trout that foraged in main stem versus headwater streams of the Shavers Fork watershed, West Virginia. Headwater subpopulations were composed of headwater and to a lesser extent main stem foraging individuals. However, there was a strong relationship between brook trout size and main stem prey contributions. The average brook trout foraging on headwater prey were limited to 126 mm standard length. This size was identified by mixing models as a point where productivity support switched from headwater to main stem dependency. These results, similar to other studies conducted in this watershed, support the hypothesis that productive main stem habitat maintain large brook trout and potentially facilitates dispersal among headwater subpopulations. Consequently, loss of supplementary main stem foraging habitats may explain loss of large, mobile fish and subsequent isolation of headwater subpopulations in other central Appalachian watersheds.</t>
  </si>
  <si>
    <t>10.1007/s00442-016-3676-4</t>
  </si>
  <si>
    <t>Arnould, JPY; Cherel, Y; Gibbens, J; White, JG; Littnan, CL</t>
  </si>
  <si>
    <t>Stable isotopes reveal inter-annual and inter-individual variation in the diet of female Australian fur seals</t>
  </si>
  <si>
    <t>Australian fur seal; Otariid; Stable isotopes; Diet; Bass Strait; Arctocephalus pusillus doriferus</t>
  </si>
  <si>
    <t>FORAGING STRATEGIES; MARINE ECOSYSTEM; TROPHIC LEVEL; ZALOPHUS-CALIFORNIANUS; PUP PRODUCTION; SCAT ANALYSIS; NEW-ZEALAND; CARBON; LION; FRACTIONATION</t>
  </si>
  <si>
    <t>Understanding the temporal and spatial variation of foraging habits of apex predators is central to understanding their role in marine ecosystems and how their populations may respond to environmental variability. In the present study, stable isotope analysis (C and N) of blood was used to investigate inter-individual and inter-annual differences in the diet of adult female Australian fur seals Arctocephalus pusillus doriferus. Positive correlations were observed between red cell and plasma values for delta C-13 and delta N-15 (r(2) = 0.47 and r(2) = 0.66, respectively, p &lt; 0.001 in both cases), suggesting relatively consistent individual prey choices over 3 or 4 foraging trips. Mean delta N-15 values (12.8 to 17.5%) confirm the species occupies the highest marine trophic niche in the region. A significant decrease in plasma delta N-15 values, corresponding to two-thirds of a trophic level (ca. 2%), was observed between the 1998 to 2000 and 2003 to 2005 sampling periods. This was associated with a significant decrease in adult female body condition and is consistent with a decline, previously documented by faecal analysis, of the proportion of red cod Pseudophysis bachus, barracouta Thyrsites atun and Gould's squid Nototodarus gouldi in the diet and an increase in redbait Emmelichthys nitidus. While substantial variation in delta N-15 was observed within each age cohort, a significant decrease was observed with age, suggesting individual specialisation for particular prey types is evident early in adulthood, but that its composition changes as females age. In addition, generalized linear models indicated body mass had a negative influence on delta N-15, which may reflect larger total body oxygen stores, facilitating individuals hunting cryptic prey of lower trophic level (e.g. octopus) on the sea floor.</t>
  </si>
  <si>
    <t>10.3354/meps08933</t>
  </si>
  <si>
    <t>Strange, BM; Monson, RK; Szejner, P; Ehleringer, J; Hu, J</t>
  </si>
  <si>
    <t>The North American Monsoon buffers forests against the ongoing megadrought in the Southwestern United States</t>
  </si>
  <si>
    <t>ecophysiology; megadrought; North American Monsoon; stable isotopes; tree rings; water-use efficiency</t>
  </si>
  <si>
    <t>WATER-USE EFFICIENCY; CARBON-ISOTOPE DISCRIMINATION; ATMOSPHERIC CO2; STOMATAL CONDUCTANCE; STABLE-ISOTOPES; TREE MORTALITY; PONDEROSA PINE; ELEVATED CO2; CLIMATE; DROUGHT</t>
  </si>
  <si>
    <t>The US Southwest has been entrenched in a two-decade-long megadrought (MD), the most severe since 800 CE, which threatens the long-term vitality and persistence of regional montane forests. Here, we report that in the face of record low winter precipitation and increasing atmospheric aridity, seasonal activity of the North American Monsoon (NAM) climate system brings sufficient precipitation during the height of the summer to alleviate extreme tree water stress. We studied seasonally resolved, tree-ring stable carbon isotope ratios across a 57-year time series (1960-2017) in 17 Ponderosa pine forests distributed across the NAM geographic domain. Our study focused on the isotope dynamics of latewood (LW), which is produced in association with NAM rains. During the MD, populations growing within the core region of the NAM operated at lower intrinsic and higher evaporative water-use efficiencies (WUEi and WUEE, respectively), compared to populations growing in the periphery of the NAM domain, indicating less physiological water stress in those populations with access to NAM moisture. The disparities in water-use efficiencies in periphery populations are due to a higher atmospheric vapor pressure deficit (VPD) and reduced access to summer soil moisture. The buffering advantage of the NAM, however, is weakening. We observed that since the MD, the relationship between WUEi and WUEE in forests within the core NAM domain is shifting toward a drought response similar to forests on the periphery of the NAM. After correcting for past increases in the atmospheric CO2 concentration, we were able to isolate the LW time-series responses to climate alone. This showed that the shift in the relation between WUEi and WUEE was driven by the extreme increases in MD-associated VPD, with little advantageous influence on stomatal conductance from increases in atmospheric CO2 concentration.</t>
  </si>
  <si>
    <t>10.1111/gcb.16762</t>
  </si>
  <si>
    <t>Mollenhauer, R; Lamont, MM; Foley, A</t>
  </si>
  <si>
    <t>Long-term apparent survival of a cold-stunned subpopulation of juvenile green turtles</t>
  </si>
  <si>
    <t>Bayesian framework; Cormack-Jolly-Seber model; extreme weather events; juvenile sea turtles</t>
  </si>
  <si>
    <t>LOGGERHEAD SEA-TURTLES; GULF-OF-CALIFORNIA; CHELONIA-MYDAS; EXTREME WEATHER; GROWTH-RATES; SATELLITE TRACKING; STABLE-ISOTOPES; FEEDING ECOLOGY; ONTOGENIC SHIFT; MARINE TURTLES</t>
  </si>
  <si>
    <t>Understanding the effects of extreme weather on animal populations is fundamental to ecological and conservation sciences and species management. Climate change has resulted in both warm and cold temperature extremes, including an increased frequency of severe cold snaps at middle latitudes in North America. These unusually cold air masses cause rapid declines in nearshore ocean temperatures in coastal areas, with detrimental effects on marine organisms. Acute cold-stun events (hereafter cold stuns) occur when hundreds to thousands of resident juvenile sea turtles fail to escape shallow water during cold snaps. Human intervention through rescue and recovery largely mitigates direct juvenile sea turtle mortality, but delayed effects of cold stuns on rescued individuals are not well understood. Our objective was to examine long-term juvenile green turtle (Chelonia mydas) survival across four cold stuns of varying severity in St. Joseph Bay, Florida, between 2010 and 2018. We used the classic Cormack-Jolly-Seber model in a hierarchical Bayesian framework to estimate apparent survival (i.e., emigration and mortality) of rescued turtles at different time intervals. Our results indicated about half of a cohort rescued during a severe cold stun in January 2010 likely remained in the population 1 year later, with 10%-20% remaining 4 years later, and as few as 5% by 2018. The results also suggested higher apparent survival for cohorts rescued during two subsequent milder cold stuns. Emigration was a more plausible ecological explanation for low apparent survival than delayed mortality. Potential ecological mechanisms underlying emigration include a reduction in food availability and a behavioral response to either the severe weather event or handling during rescue (or both). However, the typical annual turnover of juvenile green turtles, though assumed low, is not well known in St. Joseph Bay. Thus, our apparent survival estimates may be reflective of higher-than-expected emigration in the broader population. Our study provides important baseline information about long-term juvenile sea turtle survival after cold stuns in temperate regions. We also highlight the importance of strategic monitoring between cold stuns to examine additional ecological questions.</t>
  </si>
  <si>
    <t>e4221</t>
  </si>
  <si>
    <t>10.1002/ecs2.4221</t>
  </si>
  <si>
    <t>LaRoche, NL; King, SL; Rogers, MC; Eckert, GL; Pearson, HC</t>
  </si>
  <si>
    <t>Behavioral observations and stable isotopes reveal high individual variation and little seasonal variation in sea otter diets in Southeast Alaska</t>
  </si>
  <si>
    <t>Enhydra lutris; Foraging ecology; Marine mammal; Apex predator; C-13; N-15</t>
  </si>
  <si>
    <t>TROPHIC DISCRIMINATION FACTORS; ENHYDRA-LUTRIS; NITROGEN ISOTOPES; FOOD LIMITATION; SPECIALIZATION; DELTA-N-15; IMPACTS; MODELS; VALUES; VARIABILITY</t>
  </si>
  <si>
    <t>Two complementary approaches were used to assess year-round variation in the diet of sea otters Enhydra lutris around Prince of Wales Island (POW) in southern Southeast Alaska, a region characterized by mixed-bottom habitat. We observed sea otters foraging to determine diet composition during the spring and summer. Then, we obtained sea otter vibrissae, which record temporal foraging patterns as they grow, from subsistence hunters to identify year-round changes in sea otter diets via stable isotope analysis of carbon (delta C-13) and nitrogen (delta N-15). We compared the stable isotopes from sea otter vibrissae and sea otter prey items that were collected during spring, summer, and winter. Overall, year-round sea otter diet estimates from stable isotope signatures and visual observations from spring and summer were dominated by clams in terms of biomass, with butter clams Saxidomus gigantea the most common clam species seen during visual observations. Our results indicate that these sea otters, when considered together at a regional level around POW, do not exhibit shifts in the main prey source by season or location. However, sea otter diets identified by stable isotopes had a strong individual-level variation. Behavioral variation among individual sea otters may be a primary driving factor in diet composition. This study provides quantitative diet composition data for modeling predictions of invertebrate population estimates that may aid in the future management of shelifisheries and subsistence hunting and the development of co-management strategies for this protected species.</t>
  </si>
  <si>
    <t>10.3354/meps13871</t>
  </si>
  <si>
    <t>Barton, MB; Moran, JR; Vollenweider, JJ; Heintz, RA; Boswell, KM</t>
  </si>
  <si>
    <t>Latitudinal dependence of body condition, growth rate, and stable isotopes of juvenile capelin (Mallotus villosus) in the Bering and Chukchi Seas</t>
  </si>
  <si>
    <t>Capelin; Latitude; Isotopes; Nitrogen; Carbon; Food web; Energy allocation; Growth; Lipid; RNA/DNA</t>
  </si>
  <si>
    <t>POLLOCK THERAGRA-CHALCOGRAMMA; ENERGY ALLOCATION; CARBON ISOTOPES; NORTHERN GULF; SPATIAL VARIABILITY; THEMISTO-LIBELLULA; SOUTHEAST ALASKA; LIFE-HISTORY; YOUNG FISH; ZOOPLANKTON</t>
  </si>
  <si>
    <t>Capelin occupy a key trophic role and have a broad latitudinal distribution in the northeastern Pacific and Arctic Oceans. Understanding their adaptation to a range of conditions is important to predicting how they will respond to climate change. To quantify the variation in body condition in different physical environments, we measured energy density, RNA/DNA ratios, carbon and nitrogen stable isotope ratios in 62 juvenile capelin along the Western Alaskan coast from Bristol Bay to Point Barrow ranging across approximately 14 degrees of latitude. Energy density correlated positively with latitude, whereas RNA/DNA (instantaneous growth index) was strongly correlated with sea surface temperature, indicating that optimal growth of capelin was achieved at similar to 9 degrees C, followed by rapid decreases in RNA/DNA ratios at higher temperatures. delta C-13 and delta N-15 had strong, inverse nonlinear relationships with latitude. Depletion of delta C-13 seen in capelin North of Bristol Bay may be related to the incorporation of allochthonous basal resources into the diets of juvenile capelin from nearby riverine inputs. Observed enrichment of delta N-15 North of Bristol Bay is likely to be related to incorporation of higher trophic level prey items. Given inverse relationship between delta C-13 and delta N-15, these prey items are likely available due to the increased diversity of basal resources from increased inputs of riverine organic material.</t>
  </si>
  <si>
    <t>10.1007/s00300-016-2041-8</t>
  </si>
  <si>
    <t>Schollmeier, T; Oliveira, ACM; Wooller, MJ; Iken, K</t>
  </si>
  <si>
    <t>Tracing sea ice algae into various benthic feeding types on the Chukchi Sea shelf</t>
  </si>
  <si>
    <t>Fatty acid; Compound-specific stable isotope analysis; Trophic ecology; Benthos</t>
  </si>
  <si>
    <t>POLYUNSATURATED FATTY-ACIDS; ORGANIC-MATTER; BERING-SEA; INTERANNUAL VARIABILITY; STABLE-ISOTOPES; CLIMATE-CHANGE; ARCTIC WATERS; PHYTOPLANKTON; CARBON; COMMUNITY</t>
  </si>
  <si>
    <t>Climate change in the Arctic is expected to have drastic effects on marine primary production sources by shifting ice-associated primary production to an overall greater contribution from pelagic primary production. This shift could influence the timing, amount, and quality of algal material reaching the benthos. We determined the contribution of sea ice particulate organic matter (iPOM) to benthic-feeding invertebrates by examining concentrations and stable carbon isotope values (expressed as delta C-13 values) of three fatty acids (FAs) prominent in diatoms: 16:4(n-1), 16:1(n-7), and 20:5(n-3). Our underlying assumption was that diatoms make up the majority in sea ice algal communities compared with phytoplankton communities. According to the FA concentrations, subsurface deposit feeders consumed the most iPOM and suspension feeders the least. Conversely, there were little differences in delta C-13 values of FAs between deposit and suspension feeders, but the higher delta C-13 values of 16:1(n-7) in omnivores indicated greater consumption of iPOM. We suggest that omnivores accumulate the ice algal FA biomarker from their benthic prey, which in turn may feed on ice algae from a deposited sediment pool. The dissimilar results between FA concentrations and isotope values suggest that the FAs used here may not be sufficiently source specific and that other unaccounted production sources, such as bacteria, may also contribute to the FA pool. We propose that FA isotope values are a more indicative biomarker than FA concentrations, with a further need for more specific ice algal biomarkers to resolve the question of ice algal contributions to the Arctic benthic food web.</t>
  </si>
  <si>
    <t>10.1007/s00300-017-2182-4</t>
  </si>
  <si>
    <t>Nippert, JB; Butler, JJ; Kluitenberg, GJ; Whittemore, DO; Arnold, D; Spal, SE; Ward, JK</t>
  </si>
  <si>
    <t>Patterns of Tamarix water use during a record drought</t>
  </si>
  <si>
    <t>Diel water table fluctuations; Ecohydrology; Phreatophyte; Stable isotopes</t>
  </si>
  <si>
    <t>RIPARIAN VEGETATION RESPONSE; EDDY COVARIANCE; UNITED-STATES; RAMOSISSIMA; RIVER; DECLINE; TREES; FLUX; PHOTOSYNTHESIS; PHREATOPHYTES</t>
  </si>
  <si>
    <t>During a record drought (2006) in southwest Kansas, USA, we assessed groundwater dynamics in a shallow, unconfined aquifer, along with plant water sources and physiological responses of the invasive riparian shrub Tamarix ramosissima. In early May, diel water table fluctuations indicated evapotranspirative consumption of groundwater by vegetation. During the summer drought, the water table elevation dropped past the lowest position previously recorded. Concurrent with this drop, water table fluctuations abruptly diminished at all wells at which they had previously been observed despite increasing evapotranspirative demand. Following reductions in groundwater fluctuations, volumetric water content declined corresponding to the well-specific depths of the capillary fringe in early May, suggesting a switch from primary dependence on groundwater to vadose-zone water. In at least one well, the fluctuations appear to re-intensify in August, suggesting increased groundwater uptake by Tamarix or other non-senesced species from a deeper water table later in the growing season. Our data suggest that Tamarix can rapidly shift water sources in response to declines in the water table. The use of multiple water sources by Tamarix minimized leaf-level water stress during drought periods. This study illustrates the importance of the previous hydrologic conditions experienced by site vegetation for controlling root establishment at depth and demonstrates the utility of data from high-frequency hydrologic monitoring in the interpretation of plant water sources using isotopic methods.</t>
  </si>
  <si>
    <t>10.1007/s00442-009-1455-1</t>
  </si>
  <si>
    <t>Rivero-Villar, A; Templer, PH; Parra-Tabla, V; Campo, J</t>
  </si>
  <si>
    <t>Differences in nitrogen cycling between tropical dry forests with contrasting precipitation revealed by stable isotopes of nitrogen in plants and soils</t>
  </si>
  <si>
    <t>climatic change; leaf N; Mexico; N-2-fixing species</t>
  </si>
  <si>
    <t>NUTRIENT CONCENTRATIONS; NATURAL-ABUNDANCE; GLOBAL PATTERNS; N AVAILABILITY; CARBON; DELTA-N-15; YUCATAN; CLIMATE; LIMITATION; GRADIENT</t>
  </si>
  <si>
    <t>Despite the known links between climate and biogeochemical cycling of N in tropical forests, fundamental knowledge of N cycling is still far from complete. Our objective was to ascertain differences in the N cycle of two tropical dry forests under contrasting precipitation regime (1240 or 642 mm of mean annual rainfall). To do so, we examined a short-term metric of N cycling (N concentration) and a more integrated metric of N cycling (natural abundance N-15) in plants and soils at both sites. At both the relatively wet and dry sites, N cycling associated with two non-N-2-fixing species was compared to N cycling associated with two potential N-2-fixing species; all four tree species considered were dominant at both sites. The N-15 abundance in plants was highest in the site with low rainfall, showing that N losses from the system may be large. By contrast, short-term N metrics did not vary with rainfall. Although there was a trend for leaf N concentration to be elevated in trees that have potential associations with N-2-fixers, only N-15 in the forest floor was significantly greater under trees with high canopy N (N-2-fixing species) than those with low canopy N (non-N-2-fixing species). Within each site, the influence of N-2-fixing species on N cycling increased with a reduction in rainfall. Overall, our results demonstrate the role of climate as a driver of N cycling in the region, such that the projected decrease in precipitation in this region may lead to larger N losses in these forests. This study also shows how changes in tree species with and without N-2-fixing associations may impact N cycling in tropical dryland forests in the future.</t>
  </si>
  <si>
    <t>10.1111/btp.12612</t>
  </si>
  <si>
    <t>Knickle, DC; Rose, GA</t>
  </si>
  <si>
    <t>Dietary niche partitioning in sympatric gadid species in coastal Newfoundland: evidence from stomachs and C-N isotopes</t>
  </si>
  <si>
    <t>Gadus; Cod; Niche partitioning; Diet overlap; Stable isotopes; Stomach contents</t>
  </si>
  <si>
    <t>COD GADUS-MORHUA; JUVENILE ATLANTIC COD; STABLE ISOTOPES; RESOURCE UTILIZATION; CONTINENTAL-SHELF; FOOD-WEB; ECOLOGY; OVERLAP; DELTA-N-15; DELTA-C-13</t>
  </si>
  <si>
    <t>The feeding habits of co-occurring gadid species Atlantic cod (Gadus morhua) and Greenland cod (Gadus ogac) in coastal Newfoundland waters, examined using stable isotope (delta C-13 and delta N-15) and stomach content analysis, indicated little dietary niche overlap and interspecific competition for food resources despite similar trophic levels. Both species consumed a variety of invertebrates and fish but showed a preference for different prey items. Polychaetes, fish and small crustaceans dominated G. ogac stomach contents while small crustaceans, in particular hyperiid amphipods and fish, dominated those of G. morhua. In general, G. morhua consumed more pelagic prey and had a significantly more pelagic (more negative) delta C-13 signature while G. ogac consumed primarily benthic prey and had a more benthic (more positive) delta C-13 signature. delta N-15 levels were similar in these species suggesting similar trophic positions, with levels increasing with fish length in both species. Dietary overlap was not significant in both stomach and stable isotope analyses. We conclude that interspecific competition for food is low between G. ogac and G. morhua and is unlikely to be a factor in the slow rebuilding of Atlantic cod in this region.</t>
  </si>
  <si>
    <t>10.1007/s10641-013-0156-0</t>
  </si>
  <si>
    <t>Morin, DJ; Lesmeister, DB; Nielsen, CK; Schauber, EM</t>
  </si>
  <si>
    <t>Asymmetrical intraguild interactions with coyotes, red foxes, and domestic dogs may contribute to competitive exclusion of declining gray foxes</t>
  </si>
  <si>
    <t>biotic homogenization; co-occurrence; interspecific competition; niche partitioning; trophic downgrading</t>
  </si>
  <si>
    <t>CAUSE-SPECIFIC MORTALITY; UROCYON-CINEREOARGENTEUS; ACTIVITY PATTERNS; INTERSPECIFIC COMPETITION; FOOD-HABITS; ABUNDANCE; URBAN; COOCCURRENCE; CARNIVORES; ECOLOGY</t>
  </si>
  <si>
    <t>Species coexistence is governed by availability of resources and intraguild interactions including strategies to reduce ecological overlap. Gray foxes are dietary generalist mesopredators expected to benefit from anthropogenic disturbance, but populations have declined across the midwestern USA, including severe local extirpation rates coinciding with high coyote and domestic dog occurrence and low red fox occurrence. We used data from a large-scale camera trap survey in southern Illinois, USA to quantify intraguild spatial and temporal interactions among the canid guild including domestic dogs. We used a two-species co-occurrence model to make pairwise assessments of conditional occupancy and detection rates. We also estimated temporal activity overlap among species and fit a fixed-effects hierarchical community occupancy model with the four canid species. We partitioned the posterior distributions to compare gray fox occupancy probabilities conditional on estimated state of combinations of other species to assess support for hypothesized interactions. We found no evidence of broadscale avoidance among native canids and conclude that spatial and temporal segregation were limited by ubiquitous human disturbance. Mean guild richness was two canid species at a site and gray fox occupancy was greater when any combination of sympatric canids was also present, setting the stage for competitive exclusion over time. Domestic dogs may amplify competitive interactions by increasing canid guild size to the detriment of gray foxes. Our results suggest that while human activities can benefit some mesopredators, other species such as gray foxes may serve as bellwethers for habitat degradation with trophic downgrading and continued anthropogenic homogenization.</t>
  </si>
  <si>
    <t>e9074</t>
  </si>
  <si>
    <t>10.1002/ece3.9074</t>
  </si>
  <si>
    <t>O'Brien, MJ; Valtat, A; Abiven, S; Studer, MS; Ong, R; Schmid, B</t>
  </si>
  <si>
    <t>The role of soluble sugars during drought in tropical tree seedlings with contrasting tolerances</t>
  </si>
  <si>
    <t>C-13 labelling; carbohydrate storage; drought tolerance; hydraulic function; Shorea parvifolia; Shorea beccariana; source-sink allocation</t>
  </si>
  <si>
    <t>NONSTRUCTURAL CARBOHYDRATE DYNAMICS; TURGOR LOSS POINT; RESEARCH FRONTIERS; CARBON DYNAMICS; STABLE-ISOTOPES; STORAGE; GROWTH; MECHANISMS; PRECIPITATION; VULNERABILITY</t>
  </si>
  <si>
    <t>Aims Non-structural carbohydrates (NSCs) are plant storage compounds used for metabolism, transport, osmoregulation and regrowth following the loss of plant tissue. Even in conditions suitable for optimal growth, plants continue to store NSCs. This storage may be due to passive accumulation from sink-inhibited growth or active reserves that come at the expense of growth. The former pathway implies that NSCs may be a by-product of sink limitation, while the latter suggests a functional role of NSCs for use during poor conditions. Methods Using C-13 pulse labelling, we traced the source of soluble sugars in stem and root organs during drought and everwet conditions for seedlings of two tropical tree species that differ in drought tolerance to estimate the relative allocation of NSCs stored prior to drought versus NSCs assimilated during drought. We monitored growth, stomatal conductance, stem water potential and NSC storage to assess a broad carbon response to drought. Important Findings We found that the drought-sensitive species had reduced growth, conserved NSC concentrations in leaf, stem and root organs and had a larger proportion of soluble sugars in stem and root organs that originated from pre-drought storage relative to seedlings in control conditions. In contrast, the drought-tolerant species maintained growth and stem and root NSC concentrations but had reduced leaf NSCs concentrations with a larger proportion of stem and root soluble sugars originated from freshly assimilated photosynthates relative to control seedlings. These results suggest the drought-sensitive species passively accumulated NSCs during water deficit due to growth inhibition, while the drought-tolerant species actively responded to water deficit by allocating NSCs to stem and root organs. These strategies seem correlated with baseline maximum growth rates, which supports previous research suggesting a trade-off between growth and drought tolerance while providing new evidence for the importance of plasticity in NSC allocation during drought.</t>
  </si>
  <si>
    <t>10.1093/jpe/rtaa017</t>
  </si>
  <si>
    <t>Sagers, CL; Ginger, SM; Evans, RD</t>
  </si>
  <si>
    <t>Carbon and nitrogen isotopes trace nutrient exchange in an ant-plant mutualism</t>
  </si>
  <si>
    <t>Azteca; Cecropia peltata; mutualism; stable isotopes; symbiosis; Trinidad</t>
  </si>
  <si>
    <t>YUCCA MOTHS; EVOLUTION; CECROPIA; PHOTOSYNTHESIS; COOPERATION; BENEFITS; AZTECA; DIET</t>
  </si>
  <si>
    <t>Mutualisms, biological interactions from which each species benefits, are thought to be evolutionarily stable only under a limited set of circumstances. Underlying all mutualisms is an intrinsic conflict between the parties, in that each is under selection to further exploit the other. Conflict between mutualists will lead to instability unless each species receives a net benefit from the interaction. To understand how mutualisms persist, then, it is essential to document the exact nature of the interaction. The relationship between Cecropia trees and Azteca ants has been a model for the study of mutualism since its: description more than 100 years ago. Ante live in Cecropia's hollow stems and harvest specialized food bodies produced by the host. In return, ants defend the plant from leaf-feeding herbivores and encroaching vegetation. Central to modeling this relationship is understanding the exchange of nutrients between symbionts. Here we present evidence that the flow of nutrients has been misjudged. Although ants consume plant products, they provide more nutrients than they receive. Using stable isotope analysis, we calculate that only about 18% of worker ant carbon is derived from Cecropia, whereas 93% of the: nitrogen in ant-occupied host plants is derived from debris deposited by ante. Ants rely on sources other than their host for food and, in doing so, make a rich source of nitrogen available to the host.</t>
  </si>
  <si>
    <t>10.1007/PL00008863</t>
  </si>
  <si>
    <t>Todd, BD; Nowakowski, AJ; Rose, JP; Price, SJ</t>
  </si>
  <si>
    <t>Species traits explaining sensitivity of snakes to human land use estimated from citizen science data</t>
  </si>
  <si>
    <t>Biodiversity; Citizen science; Extinction risk; Habitat loss; Reptile</t>
  </si>
  <si>
    <t>LIFE-HISTORY TRAITS; EXTINCTION RISK; CONSERVATION STATUS; NICHE BREADTH; HABITAT LOSS; FRAGMENTATION; THREAT; DECLINE; URBANIZATION; POPULATIONS</t>
  </si>
  <si>
    <t>Understanding how traits affect species responses to threats like habitat loss may help prevent extinctions. This may be especially true for understudied taxa for which we have little data to identify declines before it is too late to intervene. We used a metric derived from citizen science data on snake occurrences to determine which traits were most correlated with species' sensitivity to human land use. We found that snake species that feed primarily on vertebrates, that use a high proportion of aquatic habitats, and that have small geographic ranges occurred in more natural and less human-dominated landscapes. In contrast, body size, clutch (or litter) size, the degree of exposure to human-dominated landscapes, reproductive mode, habitat specialization, and whether a species was venomous or not had less effect on their sensitivity to human land use. Our results extend previous findings that higher trophic position is correlated With extinction risk in many vertebrates by showing that snake species that feed primarily on vertebrates are more sensitive to human land use - a primary driver of extinction. It is likely that conversion of natural landscapes for human land use alters biotic communities, causing losses of important trophic groups, especially in aquatic and riparian communities. Practitioners should therefore prioritize preserving aquatic habitat and natural landscapes with intact biotic communities that can support species at higher trophic levels, as well as focus monitoring on populations of range-restricted species. (C) 2016 Elsevier Ltd. All rights reserved.</t>
  </si>
  <si>
    <t>10.1016/j.biocon.2016.12.013</t>
  </si>
  <si>
    <t>Rogers, MC; Peacock, E; Simac, K; O'Dell, MB; Welker, JM</t>
  </si>
  <si>
    <t>Diet of female polar bears in the southern Beaufort Sea of Alaska: evidence for an emerging alternative foraging strategy in response to environmental change</t>
  </si>
  <si>
    <t>Alaska; Arctic; Bowhead whale; Foraging ecology; Polar bear; Stable isotopes; Telemetry</t>
  </si>
  <si>
    <t>STABLE-ISOTOPES; CARBON-ISOTOPE; POPULATION ECOLOGY; NITROGEN ISOTOPES; TROPHIC ECOLOGY; URSUS-MARITIMUS; HABITAT; DELTA-N-15; DELTA-C-13; HARVEST</t>
  </si>
  <si>
    <t>Polar bear (Ursus maritimus) diet may become more variable in some Arctic regions due to climate warming and altered sea ice habitat. We surveyed carbon and nitrogen stable isotope profiles of five polar bear tissues sampled from adult females in the Southern Beaufort Sea of Alaska in order to assess inter-tissue isotopic variability and to determine whether any dietary shifts are occurring in this population. We did not detect any significant shifts from historical means in population-level tissue stable isotope values. A number of sectioned hair samples, however, were significantly depleted in N-15 relative to the mean. We hypothesized that lower hair delta N-15 values were due to the consumption of bowhead whale (Balaena mysticetus) tissue. Telemetry data showed that polar bears with N-15-depleted hair sections were located on multiple dates near known subsistence-harvested bowhead whale bone piles and had spent 90 % of the prior year within 50 km of the shore. Bears with hair section delta N-15 values at or above the mean spent no time near bowhead whale bone piles and less than half of the year nearshore. An isotopic mixing model estimation of diet proportions determined that bowhead whale comprised approximately 50-70 % of fall diet for bears with lower hair delta N-15 values. We conclude that these results offer emergent evidence of an alternative foraging strategy within this population: 'coastal' bears, which remain near to shore for much of the year and use bowhead whale bone piles when they are present. In contrast, 'pelagic' bears follow a more typical strategy and forage widely on sea ice for seals.</t>
  </si>
  <si>
    <t>10.1007/s00300-015-1665-4</t>
  </si>
  <si>
    <t>Oxtoby, LE; Horstmann, L; Budge, SM; O'Brien, DM; Wang, SW; Schollmeier, T; Wooller, MJ</t>
  </si>
  <si>
    <t>Resource partitioning between Pacific walruses and bearded seals in the Alaska Arctic and sub-Arctic</t>
  </si>
  <si>
    <t>Fatty acid; Benthic trophic ecology; Compound-specific; Stable isotope analysis; Climate change; Odobenus rosmarus divergens; Erignathus barbatus</t>
  </si>
  <si>
    <t>SOUTHEASTERN BERING-SEA; CARBON ISOTOPIC FRACTIONATION; ST-LAWRENCE ISLAND; FATTY-ACIDS; PHYTOPLANKTON BLOOMS; MARINE-INVERTEBRATES; STOMACH CONTENTS; STABLE-ISOTOPES; CHUKCHI SEAS; ICE</t>
  </si>
  <si>
    <t>Climate-mediated changes in the phenology of Arctic sea ice and primary production may alter benthic food webs that sustain populations of Pacific walruses (Odobenus rosmarus divergens) and bearded seals (Erignathus barbatus). Interspecific resource competition could place an additional strain on ice-associated marine mammals already facing loss of sea ice habitat. Using fatty acid (FA) profiles, FA trophic markers, and FA stable carbon isotope analyses, we found that walruses and bearded seals partitioned food resources in 2009-2011. Interspecific differences in FA profiles were largely driven by variation in non-methylene FAs, which are markers of benthic invertebrate prey taxa, indicating varying consumption of specific benthic prey. We used Bayesian multi-source FA stable isotope mixing models to estimate the proportional contributions of particulate organic matter (POM) from sympagic (ice algal), pelagic, and benthic sources to these apex predators. Proportional contributions of FAs to walruses and bearded seals from benthic POM sources were high [44 (17-67)% and 62 (38-83)%, respectively] relative to other sources of POM. Walruses also obtained considerable contributions of FAs from pelagic POM sources [51 (32-73)%]. Comparison of delta C-13 values of algal FAs from walruses and bearded seals to those from benthic prey from different feeding groups from the Chukchi and Bering seas revealed that different trophic pathways sustained walruses and bearded seals. Our findings suggest that (1) resource partitioning may mitigate interspecific competition, and (2) climate change impacts on Arctic food webs may elicit species-specific responses in these high trophic level consumers.</t>
  </si>
  <si>
    <t>10.1007/s00442-017-3883-7</t>
  </si>
  <si>
    <t>Li, LJ; Song, XY; Xia, L; Fu, N; Feng, D; Li, HY; Li, YL</t>
  </si>
  <si>
    <t>Modelling the effects of climate change on transpiration and evaporation in natural and constructed grasslands in the semi-arid Loess Plateau, China</t>
  </si>
  <si>
    <t>Evapotranspiration; Climate change; Hydrus-1D model; Scenario simulation; Grassland; Ecological susta nability</t>
  </si>
  <si>
    <t>SOIL EVAPORATION; SPATIAL VARIATIONS; PARTITIONING EVAPOTRANSPIRATION; AGRICULTURAL MANAGEMENT; HYDRAULIC CONDUCTIVITY; PLANT TRANSPIRATION; STABLE-ISOTOPES; WATER-BALANCE; LAND-COVER; CROP</t>
  </si>
  <si>
    <t>Investigating the effects of climate change on transpiration (T) and evaporation (E) in natural and constructed grasslands is of theoretical and practical significance for vegetation restoration and water resource management in the Loess Plateau, China. In this study, a two-year field experiment was conducted in one natural (Imperata cylindrica plot) and two constructed grasslands (Pennisetum giganteum and Medicago sativa plots) in the semi-arid Loess Plateau. Hydrus-1D models were then established and validated to simulate T and E processes under scenarios combining climate characteristics in both future periods and different hydrological years. The results showed that under all climate scenarios, T in the natural grassland, and P. giganteum and M. sativa plots ranged from 63.7-179.3, 126.8-245.5, and 96.9-243.1 mm, respectively, while E ranged from 90.6-131.9, 68.7-92.8, and 70.4-92.4 mm, respectively. Both T and E showed a decreasing trend in the future periods, exhibiting the highest values in wet years and the lowest values in dry years. The effects of climate change on T were greater than that on E in all three grasslands. Of the studied grasslands, T of M. sativa plot exhibited the strongest response, followed by that in the natural grassland and P. giganteum plot. However, E of the natural grassland responded to the strongest degree, followed by that of the P. giganteum and M. sativa plots. Precipitation during the growing-season was the most dominant climatic factor affecting T and E, and was positively linearly related with T and E (P &lt; 0.01) in all three grasslands. The conversion thresholds of precipitation for T-E dominance were 435.8, 149.4, and 253.3 mm for the natural grassland, and P. giganteum and M. sativa plots, respectively. In constructed grasslands, more water was lost through T than through E; hence, the T/ET ratios were high ( &gt; 0.55). In contrast, T was high in the natural grassland only in conditions of sufficient precipitation; hence, the T/ET ratio was relatively lower (around 0.5). Precipitation distribution strongly affected the soil water supply, and the natural grassland was more efficient in maintaining soil water than the constructed grasslands. Our study not only improves our understanding of the hydrological processes and water budget under different grass restoration measures, but also provides valuable guidelines for the management of water resources and the restoration of ecological environment in the Loess Plateau.</t>
  </si>
  <si>
    <t>10.1016/j.agee.2020.107077</t>
  </si>
  <si>
    <t>Parepa, M; Kahmen, A; Werner, RA; Fischer, M; Bossdorf, O</t>
  </si>
  <si>
    <t>Invasive knotweed has greater nitrogen-use efficiency than native plants: evidence from a N-15 pulse-chasing experiment</t>
  </si>
  <si>
    <t>Biological invasions; Fluctuating resources; Interspecific competition; Invasiveness; Stable isotopes</t>
  </si>
  <si>
    <t>RESOURCE AVAILABILITY; MINERAL-NUTRITION; COMMUNITIES; COMPETITION; PLASTICITY; NUTRIENTS; RESPONSES; DISTURBANCE; MECHANISMS; DELTA-C-13</t>
  </si>
  <si>
    <t>Habitats with fluctuating resource conditions pose specific challenges to plants, and they often favor a small subset of species that includes exotic invaders. These species must possess a superior ability to capitalize on resource pulses through faster resource uptake or greater resource-use efficiency. We addressed this question in an experiment with invasive knotweed, a noxious invader of temperate ecosystems that is known to benefit from nutrient fluctuations. We used stable isotopes to track the uptake and use efficiency of a nitrogen pulse in competition pairs between knotweed and five native competitors. We found that nitrogen pulses indeed promoted knotweed invasion and that this is explained by a superior efficiency in turning the taken-up extra nitrogen into biomass, rather than capturing an overproportional share of the nitrogen. Thus, temporary increases in nutrient availability might help knotweed to invade natural environments, such as river banks or nitrogen-polluted margins and wastelands, where nutrient fluctuations occur. Our experiment shows that resource-use efficiency can drive invasion under fluctuating resource conditions, and that stable isotopes help to understand these processes.</t>
  </si>
  <si>
    <t>10.1007/s00442-019-04490-1</t>
  </si>
  <si>
    <t>Hamback, PA; Weingartner, E; Dalen, L; Wirta, H; Roslin, T</t>
  </si>
  <si>
    <t>Spatial subsidies in spider diets vary with shoreline structure: Complementary evidence from molecular diet analysis and stable isotopes</t>
  </si>
  <si>
    <t>Baltic Sea; chironomids; DNA barcoding; Pardosa; stable isotope analysis</t>
  </si>
  <si>
    <t>CHIRONOMIDAE DIPTERA; RECIPROCAL SUBSIDIES; GENERALIST PREDATORS; ARTHROPOD PREDATORS; FOOD WEBS; TERRESTRIAL; STREAM; RESOURCES; EMERGENCE; LINKAGES</t>
  </si>
  <si>
    <t>Inflow of matter and organisms may strongly affect the local density and diversity of organisms. This effect is particularly evident on shores where organisms with aquatic larval stages enter the terrestrial food web. The identities of such trophic links are not easily estimated as spiders, a dominant group of shoreline predator, have external digestion. We compared trophic links and the prey diversity of spiders on different shore types along the Baltic Sea: on open shores and on shores with a reed belt bordering the water. A priori, we hypothesized that the physical structure of the shoreline reduces the flow between ecosystem and the subsidies across the sea-land interface. To circumvent the lack of morphologically detectable remains of spider prey, we used a combination of stable isotope and molecular gut content analyses. The two tools used for diet analysis revealed complementary information on spider diets. The stable isotope analysis indicated that spiders on open shores had a marine signal of carbon isotopes, while spiders on reedy shores had a terrestrial signal. The molecular analysis revealed a diverse array of dipteran and lepidopteran prey, where spiders on open and reedy shores shared a similar diet with a comparable proportion of chironomids, the larvae of which live in the marine system. Comparing the methods suggests that differences in isotope composition of the two spider groups occurred because of differences in the chironomid diets: as larvae, chironomids of reedy shores likely fed on terrestrial detritus and acquired a terrestrial isotope signature, while chironomids of open shores utilized an algal diet and acquired a marine isotope signature. Our results illustrate how different methods of diet reconstruction may shed light on complementary aspects of nutrient transfer. Overall, they reveal that reed belts can reduce connectivity between habitats, but also function as a source of food for predators.</t>
  </si>
  <si>
    <t>10.1002/ece3.2536</t>
  </si>
  <si>
    <t>Welker, JM; Rayback, S; Henry, GHR</t>
  </si>
  <si>
    <t>Arctic and North Atlantic Oscillation phase changes are recorded in the isotopes (delta O-18 and delta C-13) of Cassiope tetragona plants</t>
  </si>
  <si>
    <t>STABLE-ISOTOPES; WATER RELATIONS; CLIMATE-CHANGE; CARBON; GROWTH; RESPONSES; TRENDS; DISCRIMINATION; TEMPERATURE; SURFACE</t>
  </si>
  <si>
    <t>The Arctic and North Atlantic Oscillations (AO/NAO) are large-scale annual modes of atmospheric circulation that have shifted in the last 30 years. Recent changes in arctic climate, including increasing surface air temperature, declining sea ice extent, and shifts in the amounts seasonality of precipitation are linked to the strong positive phase of the AO/NAO. Here, we show that phase changes in the AO/NAO are recorded in the isotopic (delta O-18 and Delta-carbon isotope discrimination) characteristics of the long-lived circum-arctic plant, Cassiope tetragona, as summer rain has become a more important water source than snowmelt water which in turn has lead to decreases in Delta and reductions in plant stem growth. These isotopic records in C. tetragona may facilitate reconstructions of climate, plant-soil water relations, plant gas exchange attributes and a mechanistic understanding of growth responses to shifts in atmospheric circulation. If plant specimens were available for populations across the arctic as part of the International Polar Year, these archives could provide a circum-arctic record of historical climate change and associated shifts in physiological plant performance and growth.</t>
  </si>
  <si>
    <t>10.1111/j.1365-2486.2005.00961.x</t>
  </si>
  <si>
    <t>Wanless, S; Harris, MP; Newell, MA; Speakman, JR; Daunt, F</t>
  </si>
  <si>
    <t>Community-wide decline in the occurrence of lesser sandeels Ammodytes marinus in seabird chick diets at a North Sea colony</t>
  </si>
  <si>
    <t>Dietary shifts; Fishery closure; Forage fish; Industrial fisheries; Predator-based diet sampling; Sand lance; Snake pipefish; Trophic interactions</t>
  </si>
  <si>
    <t>SHAGS PHALACROCORAX-ARISTOTELIS; PIPEFISH ENTELURUS-AEQUOREUS; KITTIWAKES RISSA-TRIDACTYLA; PUFFINS FRATERCULA-ARCTICA; FORAGE FISH; SNAKE PIPEFISH; BREEDING PERFORMANCE; OCEAN CLIMATE; POOR FOOD; ABUNDANCE</t>
  </si>
  <si>
    <t>Many pelagic marine ecosystems have a wasp-waist trophic structure characterised by low diversity of mid-trophic species, typically small, shoaling forage fish that are eaten by a wide range of top predators. In the North Sea, this mid-trophic position is occupied by the lesser sandeel Ammodytes marinus. Over the last 30-40 yr, the abundance and length-at-age of sandeels have declined, but information on concurrent changes in the diets of seabird communities is scarce. We used data on chick diet composition, sandeel length-at-age and energy density collected at a colony in the western North Sea from 1973-2015, to test for dietary shifts in this seabird community during a period when a local sandeel fishery opened, operated and was closed. We found a long-term decline in the overall importance (measured as the frequency of occurrence and proportion of biomass in diet samples) of sandeels, particularly 1+ group fish. However, there were species-specific differences such that the overall decline in sandeels was strongest in common guillemots Uria aalge, while the shift from 1+ group to 0 group sandeels was apparent in all species except European shags Phalacrocorax aristotelis. Community-level differences were also apparent in the alternative prey to sandeels, with with common guillemot, razorbill Alca torda, Atlantic puffin Fratercula arctica, and black-legged kittiwake Rissa tridactyla chicks being fed clupeids, predominantly sprat Sprattus sprattus, while shag chicks received a wide range of benthic fish species. There was also evidence for a decline in the quality of sandeels fed to chicks with significant decreases in length-at-age of 0 group and 1+ group. However, there was no significant annual variation in the energy density of sandeels except for 2004, when values were exceptionally low. Neither the opening nor the closing of the sandeel fishery had any detectable effect on chick diet composition, sandeel length or sandeel energy density. Overall, our results suggest marked community-level changes in seabird diet composition over the last 3 decades that may reflect long-term declines in the abundance and quality of their principal prey.</t>
  </si>
  <si>
    <t>10.3354/meps12679</t>
  </si>
  <si>
    <t>Ostrom, PH; Wiley, AE; James, HF; Rossman, S; Walker, WA; Zipkin, EF; Chikaraishi, Y</t>
  </si>
  <si>
    <t>Broad-scale trophic shift in the pelagic North Pacific revealed by an oceanic seabird</t>
  </si>
  <si>
    <t>stable isotope biogeochemistry; seabird ecology; oceanography; anthropogenic impact</t>
  </si>
  <si>
    <t>HIGHLY MOBILE SEABIRD; FOOD-WEB STRUCTURE; AMINO-ACIDS; ANTHROPOGENIC NITROGEN; FISH COMMUNITIES; STABLE-ISOTOPES; DIET QUALITY; HUMAN IMPACT; DISCRIMINATION; DIVERGENCE</t>
  </si>
  <si>
    <t>Human-induced ecological change in the open oceans appears to be accelerating. Fisheries, climate change and elevated nutrient inputs are variously blamed, at least in part, for altering oceanic ecosystems. Yet it is challenging to assess the extent of anthropogenic change in the open oceans, where historical records of ecological conditions are sparse, and the geographical scale is immense. We developed millennial-scale amino acid nitrogen isotope records preserved in ancient animal remains to understand changes in food web structure and nutrient regimes in the oceanic realmof theNorth PacificOcean (NPO). Ourmillennial-scale isotope records of amino acids in bone collagen in a wideranging oceanic seabird, the Hawaiian petrel (Pterodroma sandwichensis), showed that trophic level declined over time. The amino acid records do not support a broad-scale increase in nitrogen fixation in the North Pacific subtropical gyre, rejecting an earlier interpretation based on bulk and amino acid specific d15N chronologies for Hawaiian deep-sea corals and bulk d15N chronologies for the Hawaiian petrel. Rather, our work suggests that the food web structure in the NPO has shifted at a broad geographical scale, a phenomenon potentially related to industrial fishing.</t>
  </si>
  <si>
    <t>10.1098/rspb.2016.2436</t>
  </si>
  <si>
    <t>Patterns of loggerhead turtle ontogenetic shifts revealed through isotopic analysis of annual skeletal growth increments</t>
  </si>
  <si>
    <t>Caretta caretta; growth rates; life history variation; loggerhead sea turtle; nitrogen stable isotopes; Northwest Atlantic; ontogenetic shift; skeletochronology</t>
  </si>
  <si>
    <t>FEEDING HABITAT USE; SEA-TURTLES; STABLE-ISOTOPES; CARETTA-CARETTA; INDIVIDUAL VARIATION; GREEN TURTLES; LIFE-HISTORY; MARINE; ABUNDANCE; NITROGEN</t>
  </si>
  <si>
    <t>Ontogenetic changes in resource use often delimit transitions between life stages. Ecological and individual factors can cause variation in the timing and consistency of these transitions, ultimately affecting community and population dynamics through changes in growth and survival. Therefore, it is important to document and understand behavioral and life history polymorphisms, and the processes that drive intraspecific variation in them. To evaluate juvenile loggerhead sea turtle (Caretta caretta) life history variation and to detect shifts in habitat and diet that occur during an oceanic-to-neritic ontogenetic shift, we sequentially analyzed the stable isotope composition of humerus bone growth increments from turtles that stranded dead on Southeastern U. S. beaches between 1997 and 2013 (n = 84). In one-half of the sampled turtles, growth increment-specific nitrogen stable isotope (delta N-15) data showed significant increases in delta N-15 values over each turtle's life. These data were used to provide a new line of evidence that juvenile Northwest Atlantic loggerheads exhibit two major ontogenetic shift patterns: discrete shifts (n = 24), which were completed within one year, and facultative shifts (n = 14), which were completed over multiple years (up to five). The mean difference in pre- and post-ontogenetic shift delta N-15 values was 4.3%. Differences in isotopic baselines between neritic and oceanic habitats of the Northwest Atlantic Ocean make it likely these patterns are driven by a coupled change in both habitat and diet, and that facultative shifters utilize both neritic and oceanic resources within transitional growth years. Mean size and age at transition between habitats (54.2 cm straightline carapace length, SCL; 11.98 yr) was within the range of previous estimates and did not differ between discrete and facultative shifters. Our results further expand our understanding of loggerhead sea turtle life history polymorphisms and demonstrate the value of bone tissue analysis to the study of this variation. Sequential analysis of annual skeletal growth increments provides a valuable method for reconstructing long-term ontogenetic changes in foraging ecology and habitat use in long-lived, cryptic marine species.</t>
  </si>
  <si>
    <t>10.1890/ES15-00255.1</t>
  </si>
  <si>
    <t>Wagner, CE; McIntyre, PB; Buels, KS; Gilbert, DM; Michel, E</t>
  </si>
  <si>
    <t>Diet predicts intestine length in Lake Tanganyika's cichlid fishes</t>
  </si>
  <si>
    <t>comparative analysis; phylogenetic generalized least squares; gut length; stable isotope; phenotypic plasticity; trophic differentiation; ecological stoichiometry; adaptive radiation</t>
  </si>
  <si>
    <t>PHENOTYPIC PLASTICITY; PHYLOGENETIC SIGNAL; GENETIC ACCOMMODATION; ALIMENTARY-TRACT; DIGESTIVE-TRACTS; TROPICAL STREAM; STABLE-ISOTOPES; GUT LENGTH; EVOLUTION; TELEOSTEI</t>
  </si>
  <si>
    <t>P&gt; Among vertebrates, herbivores have longer digestive tracts than animals at higher trophic levels, a pattern thought to reflect a trade-off between digestive efficiency and tissue maintenance costs. However, phylogenetic influences on this pattern have rarely been considered. Taxa that have undergone diversification accompanied by dietary shifts provide a powerful opportunity to examine the relationship between diet and intestine length while accounting for phylogeny. In this paper we assess the relationship between diet and intestine length in the cichlid fishes of Lake Tanganyika, which are renowned for their diversity of species and trophic strategies. First, we test the effect of trophic position on intestine length across 32 species, while controlling for phylogeny. Trophic position was inferred from nitrogen stable isotopes, which provide a temporally integrated, quantitative perspective on the complex diets of tropical fish. Second, we examine patterns of intraspecific variation in intestine length of an algivorous cichlid (Tropheus brichardi) along a natural spatial gradient in algal nitrogen content. Trophic position explains 51% of size-standardized variation in intestine length after accounting for phylogeny. Accounting for phylogeny does not substantially alter the relationship between trophic position and intestine length, despite the existence of phylogenetic signal in both traits. Thus, diet is a strong predictor of variation at the interspecific level. There is a striking inverse relationship between intestine length and algal nutrient content among populations of T. brichardi, suggesting substantial plasticity in response to food quality, and thus a strong dietary influence on patterns of intraspecific variation. Diet is a strong predictor of intestine length at both intra- and interspecific scales, indicating that fish adjust their phenotype to balance nutritional needs against energetic costs. Furthermore, functional explanations for trophic diversification of cichlid fishes in the African Great Lakes have long focused on jaw structures, but our results indicate that intestinal plasticity in response to diet quality may also be an important mechanism for accommodating trophic shifts during evolutionary radiations.</t>
  </si>
  <si>
    <t>10.1111/j.1365-2435.2009.01589.x</t>
  </si>
  <si>
    <t>Kurle, CM; Gudmundson, CJ</t>
  </si>
  <si>
    <t>Regional differences in foraging of young-of-the-year Steller sea lions Eumetopias jubatus in Alaska: stable carbon and nitrogen isotope ratios in blood</t>
  </si>
  <si>
    <t>steller sea lion; Eumetopias jubatus; foraging ecology; stable isotopes; carbon; nitrogen pinniped; marine mammal</t>
  </si>
  <si>
    <t>CALLORHINUS-URSINUS; WESTERN STOCK; MOVEMENT PATTERNS; LIPID-COMPOSITION; INORGANIC CARBON; MARINE MAMMALS; PHYTOPLANKTON; FRACTIONATION; ECOLOGY; DIET</t>
  </si>
  <si>
    <t>Stable nitrogen and carbon isotope ratios were measured from red blood cell (RBC) and serum components from 9 mo old Steller sea lions Eumetopias jubatus captured during February and March 2000 and 2001 from the Gulf of Alaska (GOA; Region 1, n = 11), the eastern Aleutian Islands (Region 3, n = 5), and the central Aleutian Islands (Region 4, n = 5) to assess their foraging ecology. Isotope ratios from sea lions were compared with those from probable prey species and results were compared with those from a study demonstrating regional differences in the diets of juvenile and adult sea lions through the use of scat analysis. Discriminant analyses using the delta N-15 and delta C-13 values of each blood component as the discriminant functions accurately classified sea lions to the appropriate foraging regions as predicted by a previous study employing scat analysis with an accuracy of 90 % for serum and 95 % for RBCs. The delta N-15 values reflect a decrease in sea lion trophic position moving east to west that is probably driven by changes in sea lion diet. The delta C-13 values demonstrated clear distinctions between foraging locations that are likely driven by known geographic carbon isotope patterns observed in the GOA and along the Aleutian archipelago. Our data present further evidence that, in the marine environment, delta C-13 values do not covary with delta N-15 values as a result of trophic enrichment, and are better determinants of foraging location than trophic position.</t>
  </si>
  <si>
    <t>10.3354/meps342303</t>
  </si>
  <si>
    <t>Jorge, MLSP; Galetti, M; Ribeiro, MC; Ferraz, KMPMB</t>
  </si>
  <si>
    <t>Mammal defaunation as surrogate of trophic cascades in hotspot</t>
  </si>
  <si>
    <t>Empty forests; Herbivory; Maxent; Seed dispersal; Top-down regulation; Trophic downgrading</t>
  </si>
  <si>
    <t>JAGUAR PANTHERA-ONCA; BRAZILIAN ATLANTIC FOREST; NATIONAL-PARK AREA; SEED DISPERSAL; FOOD-HABITS; CONSERVATION; BIODIVERSITY; PECCARIES; FRAGMENT; CONNECTIVITY</t>
  </si>
  <si>
    <t>Preserving large tracts of natural habitats is essential to maintain biodiversity. Nevertheless, even large areas may still suffer from less visible impacts such as loss of ecological processes. Because mapping ecological processes over large scales is not practical, an alternative is to map surrogate species that are key for those processes. In this study, we chose four species of Neotropical large mammals (the largest apex predator: jaguar - Panthera onca; the largest herbivore: tapir - Tapirus terrestris; the largest seed predator: white-lipped peccary - Tayassu pecan; and the largest arboreal seed disperser: muriqui - Brachyteles spp.) in an ecosystem with an old history of human impact (the Atlantic Forest) to test whether areas with native forest still harbor ecological processes that may guarantee long-term ecosystem maintenance. We gathered 94 locations with recent presence of the four species to map current ranges and model suitable areas. Our results reveal that 96% of the remaining Atlantic Forest is depleted of at least one of the four surrogate species and 88% is completely depleted of all four surrogate species. We also found that only 16% is still environmentally suitable for all four, and 55% is completely unsuitable to all four of them. Our study highlights the importance of looking beyond land cover to fully depict intactness of natural areas, and suggests that ecosystems with a long history of human impact (such as the Atlantic Forest) may be suffering from ecological impacts not seen at a first glance. (C) 2013 Elsevier Ltd. All rights reserved.</t>
  </si>
  <si>
    <t>10.1016/j.biocon.2013.04.018</t>
  </si>
  <si>
    <t>Ogloff, WR; Ferguson, SH; Tallman, RF; Davoren, GK</t>
  </si>
  <si>
    <t>Diet of capelin (Mallotus villosus) in the Eastern Canadian Arctic inferred from stomach contents and stable isotopes</t>
  </si>
  <si>
    <t>Foraging ecology; Range shifts; Forage fish; Cumberland sound; Copepods</t>
  </si>
  <si>
    <t>COD BOREOGADUS-SAIDA; BARENTS SEA CAPELIN; LIPID EXTRACTION; FEEDING ECOLOGY; LIFE-HISTORY; FEMALE CAPELIN; CLIMATE-CHANGE; BELUGA WHALES; FORAGE FISH; NEWFOUNDLAND</t>
  </si>
  <si>
    <t>Capelin (Mallotus villosus), a sub-Arctic forage fish, has become abundant in the Canadian Arctic in recent decades, with consistent spawning documented; however, the trophic role of capelin in these systems is unknown. We investigated the diets of small, immature (70-129 mm), medium, mature (130-174 mm), and large, mature (175-219 mm) capelin in Pangnirtung Fjord, Nunavut during and prior to spawning in June-July, 2015-2016 using stomach contents and stable isotopes, respectively. Ontogenetic niche shifts were observed in both cases. Small, immature capelin consumed predominantly small copepods (primarily Clausocalanidae) and had a narrow isotopic niche (SEA(C): 0.11 parts per thousand(2)). In contrast, medium-sized, mature capelin consumed a mix of Calanus copepods, amphipods, and mysids and had a broad isotopic niche (SEA(C) range: 0.23-0.51 parts per thousand(2)), while large, mature capelin consumed higher proportions of large prey types (primarily Calanus hyperboreus and amphipods) and had a narrower isotopic niche (SEA(C) range: 0.09-0.26 parts per thousand(2)). A higher percentage (by dry biomass) of capelin eggs (73-100%) were consumed by mature capelin in 2016, when ice cover in the fjord delayed the initiation of sampling by similar to 10 days after spawning had begun, relative to 2015 (0-9%). Non-egg prey types primarily consisted of amphipods (77-100% by dry biomass, mostly ice-associated Apherusa glacialis) in 2016 and primarily pelagic Calanus copepods (64-99%) in 2015. As capelin diet was broadly similar to other Arctic forage fishes, such as polar cod (Boreogadus saida), high dietary overlap may occur. Findings provide baseline data to examine future changes in capelin diet as well as their trophic interactions in the Canadian Arctic.</t>
  </si>
  <si>
    <t>10.1007/s00300-020-02707-1</t>
  </si>
  <si>
    <t>Barton, MB; Litvin, SY; Vollenweider, JJ; Heintz, RA; Norcross, BL; Boswell, KM</t>
  </si>
  <si>
    <t>Experimental determination of tissue turnover rates and trophic discrimination factors for stable carbon and nitrogen isotopes of Arctic Sculpin (Myoxocephalus scorpioides): A common Arctic nearshore fish</t>
  </si>
  <si>
    <t>Stable isotope analysis; Trophic enrichment factor; Food web; Incorporation rate; Isotopic routing; Lipid correction</t>
  </si>
  <si>
    <t>FOOD-WEB STRUCTURE; SPATIAL VARIATION; DELTA-C-13; RATIOS; FRACTIONATION; EXTRACTION; DELTA-N-15; CHUKCHI; MODELS; ACIDIFICATION</t>
  </si>
  <si>
    <t>Rapid environmental changes occurring in the Arctic nearshore are expected to have significant effects on food web structures. Land-fast ice cover limits the effectiveness of monitoring methods during winter months, precluding understanding of how seasonal Arctic nearshore food webs operate. Tissue-dependent stable isotope analysis (SIA) offers an efficient and cost-effective approach to monitoring changes in food webs during ice-covered months but requires controlled laboratory experiments to determine isotopic turnover rates and trophic discrimination factors (TDFs) of different tissues. We propose that Arctic Sculpin (Myoxocephalus scorpioides) be used to investigate Arctic nearshore trophodynamics given its opportunistic feeding habits and consistent residence within nearshore Arctic habitats. We present the first tissue-dependent SIA experiment on an Arctic marine fish species and show that delta N-15 values of fin (or liver) and muscle of Arctic Sculpin may be used to identify shifts in low-trophic-level resource availability between 56 and 122 days before sacrifice. Furthermore, TDFs were determined for carbon isotopes (1.87 parts per thousand), but results for nitrogen (1.23 parts per thousand to 3.23 parts per thousand) suggest that TDFs in Arctic fish may be highly dependent on lipid content of their diet. We observed similar turnover rates between liver and fin tissues (56 and 58 days, respectively), and suggest it may not be necessary to sample both, making it possible to use Arctic Sculpin for tissue dependent analyses with potentially non-lethal sampling of fin and muscle tissues. The use of Arctic Sculpin as an indicator species can increase the understanding of food web structure and aid in monitoring changes to lower-trophic level prey availability as ecosystem dynamics are affected by climate change.</t>
  </si>
  <si>
    <t>10.1016/j.jembe.2018.11.005</t>
  </si>
  <si>
    <t>Navarro, AB; Magioli, M; Bogoni, JA; Moreira, MZ; Silveira, LF; Alexandrino, ER; da Luz, DTA; Pizo, MA; Silva, WR; de Oliveira, VC; Donatelli, RJ; Christianini, AV; Piratelli, AJ; Ferraz, KMPMB</t>
  </si>
  <si>
    <t>Human-modified landscapes narrow the isotopic niche of neotropical birds</t>
  </si>
  <si>
    <t>Carbon; Ecological niche; Nitrogen; Stable isotopes; Trophic ecology</t>
  </si>
  <si>
    <t>STABLE-ISOTOPES; LAND-USE; NITROGEN ISOTOPES; FOREST COVER; IMPACT; DIET; SPECIALIST; CONFIGURATION; BIODIVERSITY; DELTA-N-15</t>
  </si>
  <si>
    <t>Deforestation and habitat loss resulting from land use changes are some of the utmost anthropogenic impacts that threaten tropical birds in human-modified landscapes (HMLs). The degree of these impacts on birds' diet, habitat use, and ecological niche can be measured by isotopic analysis. We investigated whether the isotopic niche width, food resources, and habitat use of bird trophic guilds differed between HMLs and natural landscapes (NLs) using stable carbon (delta C-13) and nitrogen isotopes (delta N-15). We analyzed feathers of 851 bird individuals from 28 landscapes in the Brazilian Atlantic Forest. We classified landscapes into two groups according to the percentage of forest cover (HMLs &lt;= 30%; NLs &gt;= 47%), and compared the isotopic niche width and mean values of delta C-13 and delta N-15 for each guild between landscape types. The niches of frugivores, insectivores, nectarivores, and omnivores were narrower in HMLs, whereas granivores showed the opposite pattern. In HMLs, nectarivores showed a reduction of 44% in niche width, while granivores presented an expansion of 26%. Individuals in HMLs consumed more resources from agricultural areas (C-4 plants), but almost all guilds showed a preference for forest resources (C-3 plants) in both landscape types, except granivores. Degraded and fragmented landscapes typically present a lower availability of habitat and food resources for many species, which was reflected by the reduction in niche width of birds in HMLs. Therefore, to protect the diversity of guilds in HMLs, landscape management strategies that offer birds more diverse habitats must be implemented in tropical regions.</t>
  </si>
  <si>
    <t>10.1007/s00442-021-04908-9</t>
  </si>
  <si>
    <t>Milanovich, JR; Berland, A; Hopton, ME</t>
  </si>
  <si>
    <t>Influence of catchment land cover on stoichiometry and stable isotope compositions of basal resources and macroinvertebrate consumers in headwater streams</t>
  </si>
  <si>
    <t>stable isotopes; stoichiometry; basal resources; headwater streams; land cover; macroinvertebrate consumers</t>
  </si>
  <si>
    <t>TRACING CARBON PATHWAYS; FOOD WEBS; ECOLOGICAL STOICHIOMETRY; NITROGEN ISOTOPES; MISSISSIPPI RIVER; NATURAL-ABUNDANCE; ORGANIC-MATTER; URBAN; DELTA-N-15; PATTERNS</t>
  </si>
  <si>
    <t>Anthropogenic land use affects aquatic landscapes. For example, landscape-level conversion to urban or agricultural land can heavily influence nutrient cycles in headwater streams via increased nutrient loading and altered hydrologic patterns. Recent studies in headwater streams have found that the stoichiometry and stable isotope compositions of basal resources and consumers can vary as a result of landscape-level change. To this end, we examined the stoichiometry and stable isotope compositions (C-13 and N-15) of headwater stream flora and fauna in 16 streams located within forested, agricultural, urban, and mixed (urban, forested, and agricultural) catchments. Our results suggest basal resource stoichiometry varied across streams, with leaf litter being the most variable basal resource. Macroinvertebrate consumers maintained stoichiometric homeostasis across stream groups, but consumer stoichiometry differed across families. Values of C-13 did not vary across stream groups for basal resources; however, consumer C-13 did. Although N-15 did not differ among basal resources across stream groups, macroinvertebrate consumer N-15 differed because of the interaction between stream group and family. Our results show catchment land cover did not predictably alter the stoichiometry or stable isotope compositions of basal resources or consumers in headwater streams. The quality of basal resources in headwater streams could differ across catchments with varying land cover, but it is evident that differences in stoichiometry of basal resources did not lead to differences in stoichiometry of consumers in our study. Given the variability of stable isotope compositions, additional effort should be made to improve our understanding of the landscape factors that might influence isotopic data.</t>
  </si>
  <si>
    <t>10.1080/02705060.2014.933450</t>
  </si>
  <si>
    <t>Vander Zanden, HB; Bjorndal, KA; Reich, KJ; Bolten, AB</t>
  </si>
  <si>
    <t>Individual specialists in a generalist population: results from a long-term stable isotope series</t>
  </si>
  <si>
    <t>isotopic niche; resource use; sea turtles; specialist; stable isotopes</t>
  </si>
  <si>
    <t>SPECIALIZATION; ECOLOGY; NICHE; MIGRATION; ANIMALS; DIET</t>
  </si>
  <si>
    <t>Individual variation in resource use has often been ignored in ecological studies, but closer examination of individual patterns through time may reveal significant intrapopulation differences. Adult loggerhead sea turtles (Caretta caretta) are generalist carnivores with a wide geographical range, resulting in a broad isotopic niche. We microsampled scute, a persistent and continuously growing tissue, to examine longterm variation in resource use (up to 12 years) in 15 nesting loggerhead turtles. Using stable isotopes of nitrogen and carbon, we examined the resource use patterns (integration of diet, habitat and geographical location) and demonstrate that individual loggerheads are long-term specialists within a generalist population. We present our results in the context of a conceptual model comparing isotopic niches in specialist and generalist populations. Individual consistency may have important ecological, evolutionary and conservation consequences, such as the reduction of intraspecific competition.</t>
  </si>
  <si>
    <t>10.1098/rsbl.2010.0124</t>
  </si>
  <si>
    <t>Ferger, SW; Bohning-Gaese, K; Wilcke, W; Oelmann, Y; Schleuning, M</t>
  </si>
  <si>
    <t>Distinct carbon sources indicate strong differentiation between tropical forest and farmland bird communities</t>
  </si>
  <si>
    <t>Stable isotopes; Habitat fragmentation; Pest control; Feeding guilds; Foraging movements</t>
  </si>
  <si>
    <t>STABLE-ISOTOPES; MOVEMENT PATTERNS; LOCAL DISTURBANCE; SEED DISPERSAL; DELTA-C-13; NITROGEN; ECOLOGY; FRAGMENTATION; CONSERVATION; DELTA-N-15</t>
  </si>
  <si>
    <t>The conversion of forest into farmland has resulted in mosaic landscapes in many parts of the tropics. From a conservation perspective, it is important to know whether tropical farmlands can buffer species loss caused by deforestation and how different functional groups of birds respond to land-use intensification. To test the degree of differentiation between farmland and forest bird communities across feeding guilds, we analyzed stable C and N isotopes in blood and claws of 101 bird species comprising four feeding guilds along a tropical forest-farmland gradient in Kenya. We additionally assessed the importance of farmland insectivores for pest control in C-4 crops by using allometric relationships, C stable isotope ratios and estimates of bird species abundance. Species composition differed strongly between forest and farmland bird communities. Across seasons, forest birds primarily relied on C-3 carbon sources, whereas many farmland birds also assimilated C-4 carbon. While C sources of frugivores and omnivores did not differ between forest and farmland communities, insectivores used more C-4 carbon in the farmland than in the forest. Granivores assimilated more C-4 carbon than all other guilds in the farmland. We estimated that insectivorous farmland birds consumed at least 1,000 kg pest invertebrates km(-2) year(-1). We conclude that tropical forest and farmland understory bird communities are strongly separated and that tropical farmlands cannot compensate forest loss for insectivorous forest understory birds. In tropical farmlands, insectivorous bird species provide a quantitatively important contribution to pest control.</t>
  </si>
  <si>
    <t>10.1007/s00442-012-2422-9</t>
  </si>
  <si>
    <t>D'Iglio, C; Porcino, N; Savoca, S; Profeta, A; Perdichizzi, A; Minicante, EA; Salvati, D; Soraci, F; Rinelli, P; Giordano, D</t>
  </si>
  <si>
    <t>Ontogenetic shift and feeding habits of the European hake (Merluccius merluccius L., 1758) in Central and Southern Tyrrhenian Sea (Western Mediterranean Sea): A comparison between past and present data</t>
  </si>
  <si>
    <t>Central Mediterranean; energy flow; feeding habits; Merluccius merluccius; ontogenetic diet shift</t>
  </si>
  <si>
    <t>SPATIOTEMPORAL VARIATION; FISHERIES MANAGEMENT; TROPHIC ECOLOGY; STRAIT; GULF; DIET; ASSEMBLAGES; POPULATION; GADIFORMES; PISCES</t>
  </si>
  <si>
    <t>The present paper aims to investigate the ecological role of Merluccius merluccius, Linnaeus, 1758, in southern and central Tyrrhenian Sea (GSA 10, Resolution GFCM/33/2009/2 General Fisheries Commission for the Mediterranean), analyzing ontogenetic diet shifts, geographical variations on prey composition, and feeding habits. A total of 734 hake specimens ranging in size between 6 cm and 73 cm (Total Length, TL) were collected in 2018. In order to evaluate ontogenetic shifts in prey composition, samples were divided into five size classes and for each class the quantitative feeding indices have been calculated. The statistical analysis, based on index of relative importance percentage (%IRI), resulted in three trophic groups. The most abundant prey found in the immature hake specimens (size class I) were the Euphausiids, Stylocheiron longicorne and Mysidacea, while for samples with a total length over 10.5 cm were crustaceans and fish. Engraulis encrasicolus was the most abundant fish prey identified, followed by Boops boops and Myctophids. The high presence of Euphausiids, Mysids, Myctophidae, and Sternoptychidae in classes I, II, II, and IV (6-23 cm) showed the relevant role of mesopelagic fauna in hake diets, with an essential organic matter and energy flow from the mesopelagic to the epipelagic environment. Additionally, decapod crustaceans were found in the stomach contents of hakes belonging to class V (with size over 36 cm TL), which is notable considering that our study area includes an important decapod crustacean fishing area.</t>
  </si>
  <si>
    <t>e8634</t>
  </si>
  <si>
    <t>10.1002/ece3.8634</t>
  </si>
  <si>
    <t>Thunell, V; Lindmark, M; Huss, M; Gardmark, A</t>
  </si>
  <si>
    <t>Effects of Warming on Intraguild Predator Communities with Ontogenetic Diet Shifts</t>
  </si>
  <si>
    <t>temperature; food webs; competition; climate change; cultivation depensation; stage structure</t>
  </si>
  <si>
    <t>BODY-SIZE; TEMPERATURE-DEPENDENCE; CLIMATE-CHANGE; PREY; DYNAMICS; COMPETITION; GROWTH; MODEL; COEXISTENCE; ECOSYSTEMS</t>
  </si>
  <si>
    <t>Species interactions mediate how warming affects community composition via individual growth and population size structure. While predictions on how warming affects composition of size- or stage-structured communities have so far focused on linear (food chain) communities, mixed competition-predation interactions, such as intraguild predation, are common. Intraguild predation often results from changes in diet over ontogeny (ontogenetic diet shifts) and strongly affects community composition and dynamics. Here, we study how warming affects a community of intraguild predators with ontogenetic diet shifts, consumers, and shared prey by analyzing a stage-structured bioenergetics multispecies model with temperature- and body size-dependent individual-level rates. We find that warming can strengthen competition and decrease predation, leading to a loss of a cultivation mechanism (the feedback between predation on and competition with consumers exerted by predators) and ultimately predator collapse. Furthermore, we show that the effect of warming on community composition depends on the extent of the ontogenetic diet shift and that warming can cause a sequence of community reconfigurations in species with partial diet shifts. Our findings contrast previous predictions concerning individual growth of predators and the mechanisms behind predator loss in warmer environments and highlight how feedbacks between temperature and intraspecific size structure are important for understanding such effects on community composition.&lt;/p&gt;</t>
  </si>
  <si>
    <t>10.1086/716927</t>
  </si>
  <si>
    <t>Simpson, LT; Cherry, JA; Smith, RS; Feller, IC</t>
  </si>
  <si>
    <t>Mangrove Encroachment Alters Decomposition Rate in Saltmarsh Through Changes in Litter Quality</t>
  </si>
  <si>
    <t>Decay rate; Litter quality; Stable isotopes; Mangrove encroachment; delta N-15; Foundation species</t>
  </si>
  <si>
    <t>WOODY PLANT ENCROACHMENT; GULF-OF-MEXICO; AVICENNIA-GERMINANS; SPARTINA-ALTERNIFLORA; RHIZOPHORA-MANGLE; LEAF-LITTER; NITROGEN; CARBON; WETLAND; VEGETATION</t>
  </si>
  <si>
    <t>Global climate change is driving the expansion of mangroves into saltmarsh habitat, which may alter the rate and magnitude of organic matter decomposition and nutrient cycling due to differences in the structural complexity, litter quality, and other ecophysiological traits of foundation species. This work quantified and compared aboveground litter decomposition of the range-expanding mangrove,Avicennia germinans,and resident saltmarsh cordgrass,Spartina alterniflora, and decomposition of a standard substrate belowground, in the saltmarsh and saltmarsh-mangrove ecotone habitat along the Atlantic coast of Florida, USA. Plant and soil fractions were tested for natural abundances of delta C-13 and delta N-15 stable isotopes to elucidate soil nutrient sources. Although aboveground decomposition rates differed between marsh and mangrove species due to differences in litter quality, decomposition rates did not vary between saltmarsh and ecotonal habitats. Decay rates were higher forA. germinansleaf litter (0.007 +/- 0.0003 k day(-1)) than forS. alterniflora(0.004 +/- 0.0003 k day(-1)) regardless of habitat, which suggests that increasing inputs ofA. germinanslitter with encroachment may increase nutrient availability through rapid turnover. Furthermore, belowground decomposition was similar between habitats (0.015 +/- 0.0008 k day(-1)), whereas soil delta C-13 and delta N-15 stable isotopes differed significantly. Collectively, these results suggest that mangrove encroachment may not modify the environmental factors driving decomposition, but alterations in foundation plant species may ultimately alter nutrient cycling within habitats through shifts in litter quality.</t>
  </si>
  <si>
    <t>10.1007/s10021-020-00554-z</t>
  </si>
  <si>
    <t>Laws, J; Heppell, K; Sheahan, D; Liu, CF; Grey, J</t>
  </si>
  <si>
    <t>No such thing as a free meal: organotin transfer across the freshwater-terrestrial interface</t>
  </si>
  <si>
    <t>biomagnification; butyltin; ecosystem boundary; shallow lake; stable isotopes; trophic transfer</t>
  </si>
  <si>
    <t>NITROGEN ISOTOPE RATIOS; MARINE FOOD-WEB; STABLE-ISOTOPE; CHIRONOMID LARVAE; RIPARIAN PREDATORS; BUTYLTIN COMPOUNDS; SEASONAL-CHANGES; AQUATIC INSECTS; FISH COMMUNITY; SHALLOW LAKES</t>
  </si>
  <si>
    <t>Emergent aquatic insects can represent an important subsidy to terrestrial ecosystems but may also transport accumulated contaminants across ecosystem boundaries when larvae develop in contaminated sediments. We sampled tetragnathid spiders (terrestrial predators), larval chironomids (spider prey of aquatic origin) and terrestrial insects (terrestrial prey) from two contaminated and two control sites in the Norfolk Broads (U.K.) to determine whether the organotin compound tributyltin (TBT) is transferred by emergent aquatic insects. TBT, a biocide in antifoulant paints, was prohibited in the U.K. in 1987 and globally since 2008 but persists in sediments for decades. Combining stable-isotope analyses commonly used in ecology with ecotoxicological methods enabled us to test whether aquatic subsidies could transport organotin to terrestrial predators. Stable-isotope mixing models (N-15 and C-13) indicated that chironomids contributed 31-98% to spider biomass. Subsequent organotin analyses revealed consistent, low-level butyltin (dibutyltin; DBT) contamination of chironomids from the most contaminated site but not from the other three sites. Spiders from the most contaminated site had DBT concentrations similar to those of their chironomid prey. To assess bioaccumulation, we used N-15 values as a proxy for trophic position of sediments, chironomids and spiders, and correlated these values with the respective DBT concentrations. Notwithstanding indications of N-15-enrichment along this short food chain, chironomid DBT concentrations were significantly greater than those of their spider predators. Biota sediment accumulation factors (sediments to chironomids) and biomagnification factors (chironomids to spiders) were below the thresholds defining the occurrence of bioaccumulation and biomagnification. Although biomagnification was not detected, it is of concern that butyltins are still present in freshwater food webs c.25years since last known TBT use in the U.K., and continue to be transferred to terrestrial consumers.</t>
  </si>
  <si>
    <t>10.1111/fwb.12733</t>
  </si>
  <si>
    <t>Denk, TRA; Kraus, D; Kiese, R; Butterbach-Bahl, K; Wolf, B</t>
  </si>
  <si>
    <t>Constraining N cycling in the ecosystem model LandscapeDNDC with the stable isotope model SIMONE</t>
  </si>
  <si>
    <t>N-15 soil; biogeochemical modeling; isotope simulation; isotopes; isotopomers; modeling; N2O; natural abundance; nitrogen cycling; process validation; site preference; stable isotopes</t>
  </si>
  <si>
    <t>NITROUS-OXIDE EVOLUTION; N-15 NATURAL-ABUNDANCE; N2O ISOTOPOMERS; FOREST ECOSYSTEMS; RAINFALL EVENTS; SITE PREFERENCE; CLIMATE-CHANGE; GAS EMISSIONS; SOIL DRIVEN; FRACTIONATION</t>
  </si>
  <si>
    <t>The isotopic composition (ic) of soil nitrogen (N) and, more recently, the intramolecular distribution of N-15 in the N2O molecule (site preference, SP) are powerful instruments to identify dominant N turnover processes, and to attribute N2O emissions to their source processes. Despite the process information contained in the ic of N species and the associated potential for model validation, the implementation of isotopes in ecosystem models has lagged behind. To foster the validation of ecosystem models based on the ic of N species, we developed the stable isotope model for nutrient cycles (SIMONE). SIMONE uses fluxes between ecosystem N pools (soil organic N, mineral N, plants, microbes) calculated by biogeochemical models, and literature isotope effects for these processes to calculate the ic of N species. Here, we present the concept of SIMONE, apply it to simulations of the biogeochemical model LandscapeDNDC, and assess the capability of N-15-N2O and, to our knowledge for the first time, SP, to constrain simulated N fluxes by LandscapeDNDC. LandscapeDNDC successfully simulated N2O emission, soil nitrate, and ammonium, as well as soil environmental conditions of an intensively managed grassland site in Switzerland. Accordingly, the dynamics of N-15-N2O and SP of soil N2O fluxes as simulated by SIMONE agreed well with measurements, though N-15-N2O was on average underestimated and SP overestimated (root-mean-square error [RMSE] of 8.4&amp; and 7.3&amp;, respectively). Although N-15-N2O could not constrain the N cycling process descriptions of LandscapeDNDC, the overestimation of SP indicated an overestimation of simulated nitrification rates by 10-59% at low water content, suggesting the revision of the corresponding model parameterization. Our findings show that N isotope modeling in combination with only recently available high-frequency measurements of the N2O ic are promising tools to identify and address weaknesses in N cycling of ecosystem models. This will finally contribute to augmenting the development of model-based strategies for mitigating N pollution.</t>
  </si>
  <si>
    <t>e02675</t>
  </si>
  <si>
    <t>10.1002/ecy.2675</t>
  </si>
  <si>
    <t>Costa-Pereira, R; Araujo, MS; Souza, FL; Ingram, T</t>
  </si>
  <si>
    <t>Competition and resource breadth shape niche variation and overlap in multiple trophic dimensions</t>
  </si>
  <si>
    <t>individual specialization; niche partitioning; multidimensional; Leptodactylus; niche shift; stable isotopes</t>
  </si>
  <si>
    <t>VARIATION HYPOTHESIS; FOOD-LIMITATION; PREY; POPULATION; DIVERSITY; EVOLUTION; SPECIALIZATION; INDIVIDUALS; COEVOLUTION; EXPLANATION</t>
  </si>
  <si>
    <t>Competition plays a central role in the maintenance of biodiversity. A backbone of classic niche theory is that local coexistence of competitors is favoured by the contraction or divergence of species' niches. However, this effect should depend on the diversity of resources available in the local environment, particularly when resources vary in multiple ecological dimensions. Here, we investigated how available resource breadth (i.e. prey diversity) and competition together shape multidimensional niche variation (between and within individuals) and interspecific niche overlap in 42 populations of congeneric tropical frog species. We modelled realized niches in two key trophic dimensions (prey size and carbon stable isotopes) and sampled available food resources to quantify two-dimensional resource breadth. We found a 14-fold variation in multidimensional population niche width across populations, most of which was accounted for by within-individual diet variation. This striking variation was predicted by an interaction whereby individual niche breadth increased with resource breadth and decreased with the number of congeneric competitors. These ecological gradients also interact to influence the degree of niche overlap between species, which surprisingly decreased with population total niche width, providing novel insights on how similar species can coexist in local communities. Together, our results emphasize that patterns of exploitation of resources in multiple dimensions are driven by both competitive interactions and extrinsic factors such as local resource breadth.</t>
  </si>
  <si>
    <t>10.1098/rspb.2019.0369</t>
  </si>
  <si>
    <t>Kelly, B; Amundsen, PA; Power, M</t>
  </si>
  <si>
    <t>Thermal habitat segregation among morphotypes of whitefish (Coregonus lavaretus: Salmonidae) and invasive vendace (C-albula): a mechanism for co-existence?</t>
  </si>
  <si>
    <t>Coregonus albula; Coregonus lavaretus; invasive species; oxygen isotopes; thermal habitat</t>
  </si>
  <si>
    <t>STABLE ISOTOPIC COMPOSITION; DIEL VERTICAL MIGRATION; SUB-ARCTIC WATERCOURSE; FRESH-WATER FISH; FRACTIONATION EQUATION; LIFE-HISTORY; LAKE-ONTARIO; BROWN TROUT; OTOLITHS; TEMPERATURE</t>
  </si>
  <si>
    <t>1.Aquatic invasive species can have a variety of negative impacts on the ecosystems they invade. Carbon and nitrogen stable isotopes in the muscle tissue of aquatic organisms have proved useful for evaluating post-invasion dietary shifts among species. However, oxygen and carbon stable isotopes in fish otoliths have the potential to provide additional data on thermal habitat, diet and metabolism, when investigating interactions among sympatric native and invasive fishes. 2.We conducted oxygen and carbon stable isotope analysis on the otoliths of three morphotypes of native whitefish (Coregonus lavaretus) and invasive vendace (Coregonus albula) at two sites within the sub-Arctic Pasvik watercourse in northern Norway. 3.Mean temperature use among morphotypes and species over the course of the growing season ranged from 7.5 degrees C to 11.2 degrees C. Otolith C-13 was significantly positively correlated to fish muscle tissue C-13 (P&lt;0.05, r(2)=0.53). Significant differences in temperature use and C-13 among morphotypes and between species were found in the downstream site but not the upstream site. 4.Complementary partitioning of thermal and dietary resource use in the downstream site coincides with a higher abundance of whitefish, enabling the coexistence of both species. In contrast, vendace were dominant in the upstream site where no differentiation in resource use among morphotypes and between species was evident. 5.This study demonstrates the usefulness of stable oxygen and carbon otolith isotopes for characterising resource use and highlights the importance of investigating thermal habitat use as a factor influencing the success of invasive fishes.</t>
  </si>
  <si>
    <t>10.1111/fwb.12660</t>
  </si>
  <si>
    <t>Barton, BT</t>
  </si>
  <si>
    <t>Climate warming and predation risk during herbivore ontogeny</t>
  </si>
  <si>
    <t>climate warming; fitness effects; grasshopper behavior; indirect effects; Melanoplus femurrubrum; ontogeny; phenology; Pisaurina mira; predation risk; spider behavior</t>
  </si>
  <si>
    <t>TROPHIC CASCADES; PHENOLOGY; RESPONSES; HISTORY; SPIDERS</t>
  </si>
  <si>
    <t>Phenological effects of climate change are expected to differ among species, altering interactions within ecological communities. However, the nature and strength of these effects can vary during ontogeny, so the net community-level effects will be the result of integration over an individual's lifetime. I resolved the mechanism driving the effects of warming and spider predation risk on a generalist grasshopper herbivore at each ontogenetic stage and quantified the treatment effects on a measure of reproductive fitness. Spiders caused nymphal grasshoppers to increase the proportion of herbs in their diet, thus having a positive indirect effect on grasses and a negative indirect effect on herbs. Warming strengthened the top-down effect by affecting spiders and grasshoppers differently. In cooler, ambient conditions, grasshoppers and spiders had a high degree of spatial overlap within the plant canopy. Grasshopper position was unaffected by temperature, but spiders moved lower in the canopy in response to warming. This decreased the spatial overlap between predator and prey, allowing nymphal grasshoppers to increase daily feeding time. While spiders decreased grasshopper growth and reproductive fitness in ambient conditions, spiders had no effect on grasshopper fitness in warmed treatments. The study demonstrates the importance of considering the ontogeny of behavior when examining the effects of climate change on trophic interactions.</t>
  </si>
  <si>
    <t>10.1890/09-2278.1</t>
  </si>
  <si>
    <t>Dammhahn, M; Randriamoria, TM; Goodman, SM</t>
  </si>
  <si>
    <t>Broad and flexible stable isotope niches in invasive non-native Rattus spp. in anthropogenic and natural habitats of central eastern Madagascar</t>
  </si>
  <si>
    <t>Bayesian standard ellipse; Coexistence; Habitat use; Humid forest; Invasion ecology; Invasive species; Rattus rattus; Rattus norvegicus; Rodents; Fur; Stable carbon isotope; Stable nitrogen isotope</t>
  </si>
  <si>
    <t>TROPHIC NICHE; SHIP RATS; MICROHABITAT UTILIZATION; FOREST FRAGMENTS; CARBON ISOTOPES; HOME-RANGE; RODENTS; DIET; DIFFERENTIATION; COMPETITION</t>
  </si>
  <si>
    <t>Background: Rodents of the genus Rattus are among the most pervasive and successful invasive species, causing major vicissitudes in native ecological communities. A broad and flexible generalist diet has been suggested as key to the invasion success of Rattus spp. Here, we use an indirect approach to better understand foraging niche width, plasticity, and overlap within and between introduced Rattus spp. in anthropogenic habitats and natural humid forests of Madagascar. Results: Based on stable carbon and nitrogen isotope values measured in hair samples of 589 individual rodents, we found that Rattus rattus had an extremely wide foraging niche, encompassing the isotopic space covered by a complete endemic forest-dwelling Malagasy small mammal community. Comparisons of Bayesian standard ellipses, as well as (multivariate) mixed-modeling analyses, revealed that the stable isotope niche of R. rattus tended to change seasonally and differed between natural forests and anthropogenic habitats, indicating plasticity in feeding niches. In co-occurrence, R. rattus and Rattus norvegicus partitioned feeding niches. Isotopic mismatch of signatures of individual R. rattus and the habitat in which they were captured, indicate frequent dispersal movements for this species between natural forest and anthropogenic habitats. Conclusions: Since R. rattus are known to transmit a number of zoonoses, potentially affecting communities of endemic small mammals, as well as humans, these movements presumably increase transmission potential. Our results suggest that due to their generalist diet and potential movement between natural forest and anthropogenic habitats, Rattus spp. might affect native forest-dependent Malagasy rodents as competitors, predators, and disease vectors. The combination of these effects helps explain the invasion success of Rattus spp. and the detrimental effects of this genus on the endemic Malagasy rodent fauna.</t>
  </si>
  <si>
    <t>10.1186/s12898-017-0125-0</t>
  </si>
  <si>
    <t>Galindo-Rosado, MA; Galvan-Magana, F; Torres-Rojas, YE; Delgado-Huertas, A; Aguiniga-Garcia, S</t>
  </si>
  <si>
    <t>Use of delta(15)n and delta(13)c in reconstructing the ontogenetic feeding habits of silky shark (carcharhinus falciformis): reassessing their trophic role in the eastern tropical pacific ocean</t>
  </si>
  <si>
    <t>Energy requirements; ETPO; Growth rings; Industrial fisheries; IATTC</t>
  </si>
  <si>
    <t>BAJA-CALIFORNIA-SUR; STABLE-ISOTOPES; LIPID EXTRACTION; FISH-TISSUES; ECOLOGY; DIET; CARBON; ASSUMPTIONS; DELTA-N-15; DELTA-C-13</t>
  </si>
  <si>
    <t>The silky shark is important in commercial fisheries, but their population has declined in recent years. One of the major challenges for species under this scenario is to understand their trophic interactions as they grow and to apply this knowledge for their management and protection. Based on the analysis of delta N-15 and delta C-13 in muscle and vertebral tissue, the aim of this study is to assess the feeding habits (possible changes in resource and habitat use) of C. falciformis related to ontogeny (neonatal, juvenile, and adult stages), which may lead to the reassessment of the species' trophic role in the Eastern Tropical Pacific Ocean (ETPO). The isotopic composition of muscle (n = 60) and vertebrae (n = 44) was analyzed over 3 years (2003-2005). Significant differences were detected in delta N-15(muscle) between neonates and juveniles (H = 6.26, p &lt; 0.05) and in delta C-13(muscle) between juveniles and adults (H = 6.78, p &lt; 0.05). Significant differences were detected also in delta N-15(vertebrae) (F = 4.19, p &lt; 0.05) and delta C-13(vertebrae) (F = 6.59, p &lt; 0.05) among ontogenetic stages, particularly regarding females (H = 34.77, p &lt; 0.05), which may indicate: 1) that they consume different prey types as a result of changing energy requirements linked to their ontogeny (e.g., reproduction), and 2) different movement patterns. If the estimated trophic position of C. falciformis was 3.7, then the species could be classified as a tertiary predator. The data generated in this study indicate ontogenetic changes in the feeding behavior of C. falciformis, which is critical to understanding the role of this predator in the community structure of the ETPO.</t>
  </si>
  <si>
    <t>10.1007/s10641-023-01404-2</t>
  </si>
  <si>
    <t>Zhao, ST; Matthews, CJD; Davoren, GK; Ferguson, SH; Watt, CA</t>
  </si>
  <si>
    <t>Ontogenetic profiles of dentine isotopes (delta N-15 and delta C-13) reveal variable narwhal Monodon monoceros nursing duration</t>
  </si>
  <si>
    <t>Nursing duration; Narwhal; Growth layer groups; Stable nitrogen isotopes; Teeth; Weaning</t>
  </si>
  <si>
    <t>DOLPHINS TURSIOPS-TRUNCATUS; CAPELIN MALLOTUS-VILLOSUS; COD BOREOGADUS-SAIDA; STABLE-ISOTOPES; MATERNAL INVESTMENT; TEMPORAL VARIATION; BELUGA WHALES; WEANING AGE; FUR SEALS; CARBON</t>
  </si>
  <si>
    <t>Stable isotope analysis (SIA) of sequential dentine growth layer groups can be used to estimate the lifetime diet of individuals and infer major ontogenetic shifts such as the completion of nursing. We used SIA of dentine from narwhal Monodon monoceros embedded canine teeth to investigate ontogenetic dietary patterns, with a focus on nursing duration. We also determined whether nursing duration differed between sexes and between 2 periods during which nar-whals may have undergone dietary shifts due to warming. Embedded teeth from both sexes were collected near Pond Inlet, Nunavut, Canada, in 1982 and 1983 (n = 17) and 2015 and 2017 (n = 14). Nursing duration ranged from similar to 2 to similar to 6 yr, with 60% of narwhals being nursed beyond the previously published estimate of &lt; 2 yr. The proportion of individuals nursed &lt; 2 yr versus &gt; 2 yr did not differ between sexes or periods. This study not only revealed that narwhals vary extensively in their nursing duration, but also indicated that extended nursing (&gt; 2 yr) with gradual introduction of solid food over this period was common. These findings provide insights into narwhal life-history strategies, as extended nursing may be another feature of a long-lived, slow-reproducing mammal adapted to unique polar conditions that are threatened by global warming.</t>
  </si>
  <si>
    <t>10.3354/meps13738</t>
  </si>
  <si>
    <t>Guest, MA; Hirst, AJ; Nichols, PD; Frusher, SD</t>
  </si>
  <si>
    <t>Multi-scale spatial variation in stable isotope and fatty acid profiles amongst temperate reef species: implications for design and interpretation of trophic studies</t>
  </si>
  <si>
    <t>Stable isotopes; Fatty acid analysis; Nested hierarchical design; Multivariate variance components; Tasmania</t>
  </si>
  <si>
    <t>LOBSTER JASUS-EDWARDSII; SQUID MOROTEUTHIS-INGENS; CARBON-ISOTOPE; FOOD-WEB; ORGANIC-MATTER; STOMACH CONTENTS; NEW-ZEALAND; VARIABILITY; RATIOS; SEAGRASS</t>
  </si>
  <si>
    <t>Stable isotopes of carbon and nitrogen and fatty acid analyses are increasingly being used in combination to determine the trophic structure of marine systems. For stable isotopes, the variability in carbon and nitrogen isotopic signatures has long been recognised and has been characterised for some taxa. Whilst it is known that metabolic processes may influence fatty acid profiles, the spatial variability of fatty acid profiles has not been documented. Understanding at what scale these 2 biochemical tracers vary, and if the scale of variability corresponds between tracers, is crucial for the correct design and interpretation of combined tracers in trophic studies. This study is the first to examine spatial variability in fatty acid profiles per se, and in combination with stable isotope ratios in the same organisms at multiple spatial scales. We used a spatially hierarchical design which sampled across broad geographic regions, reefs within regions, and also between different parts of macroalgal plants common on temperate reefs. For stable isotopes of carbon and nitrogen, variability was greatest at intermediate spatial scales (between locations within regions, and sites within locations). In contrast, fatty acid profiles showed the greatest variation amongst individual replicates of lobster, abalone and macroalgae. This study demonstrates that for the increasing number of trophic studies using combined biochemical tracers, sampling design should cater to the differences in the variability of each tracer technique and allocate sampling accordingly.</t>
  </si>
  <si>
    <t>10.3354/meps08649</t>
  </si>
  <si>
    <t>Yan, YJ; Dai, QH; Yang, YQ; Yan, LB; Yi, XS</t>
  </si>
  <si>
    <t>Epikarst shallow fissure soil systems are key to eliminating karst drought limitations in the karst rocky desertification area of SW China</t>
  </si>
  <si>
    <t>epikarst; shallow fissure soil system; spatial variability; stable isotopes; water-use strategy</t>
  </si>
  <si>
    <t>WATER SOURCES; STABLE-ISOTOPES; SOUTHWESTERN CHINA; TEMPORAL STABILITY; HILLSLOPE SCALE; ROOTING DEPTH; ZONE; RUNOFF; TREE; VEGETATION</t>
  </si>
  <si>
    <t>Surface soil water shortages are among the primary factors limiting revegetation in most degraded regions with shallow soil, especially in karst areas. Finding water sources for plants is an urgent task to ensure maximum vegetation restoration in these areas. We combined soil water content monitoring and isotope tracing to reveal the principal water source supply systems for plants in karst areas. The results showed that the content and storage of water in the shallow fissure soil system (SFSS) of the epikarst zone were consistently higher and more temporally stable than that of the surface soil. Thus, epikarsts with dissolution voids and fissures are important, stable aquifers that provide water to plants. Moreover, the IsoSource results showed that the SFSS was the primary water source for three monitored tree species (Cupressus torulosa D. Don, Pyracantha fortuneana [Maxim.] Li and Rosa cymosa Tratt.), especially C. torulosa and P. fortuneana. The water-uptake patterns of C. torulosa and P. fortuneana changed from dominant SFSS and surface soil water sources during the rainy period to the dominant SFSS and transfer zone (TZ) of vadose zone water sources during the dry period. In contrast, Rhynchospora cymosa uses water from SFSS and TZ water sources only during drought. These results suggest that the SFSS is key to eliminating vegetation restoration limitations due to surface drought in karst areas. It is proposed that deeply rooted plants with dimorphic root systems are optimal for sustainable vegetation restoration in karst areas.</t>
  </si>
  <si>
    <t>e2372</t>
  </si>
  <si>
    <t>10.1002/eco.2372</t>
  </si>
  <si>
    <t>Bruschetti, CM; Addino, M; Luppi, T; Iribarne, O</t>
  </si>
  <si>
    <t>Effects of nutrient enrichment and grazing by an invasive filter feeder on phytoplankton biomass in a South West Atlantic coastal lagoon</t>
  </si>
  <si>
    <t>Filter-feeders; Nutrients; Top-down and bottom-up effect; Invasive reef-building polychaete; Grazing; Eutrophication</t>
  </si>
  <si>
    <t>REEF-BUILDING POLYCHAETE; STABLE-ISOTOPES; BIOLOGICAL INVASIONS; ORGANIC-MATTER; FOOD WEBS; MARINE; ECOSYSTEM; EUTROPHICATION; WATERS; MANAGEMENT</t>
  </si>
  <si>
    <t>Invasive species can exert strong effects on structure and function of marine ecosystem. In estuaries, nutrient enhancement due to anthropogenic activities can increase microalgal biomass but invading filter-feeders can eventually regulate their abundance. This is what we hypothesized that is happening in a SW Atlantic coastal lagoon (Mar Chiquita, 37 degrees 40'S, 57 degrees 23'W, Argentina) invaded by the polychaete Ficopomatus enigmaticus. Here, we experimentally evaluated this hypothesis in a mesocosms experiment. Four treatments were performed: (T1) with nutrients (NO3, PO4 and NH4), (T2) with reefs and nutrients, (T3) with reefs, and (T4) without reefs or nutrients. Water samples were obtained to determine in vivo chlorophyll a (Chla) and nutrients concentration. Additionally, to evaluate the trophic position and particle selectivity by the polychaete, analysis of stable isotopes of particulate organic matter (POM) of the water and individuals were performed. Stable isotopes analysis showed that the main resource used by F. enigmaticus was the fraction of POM between 62 and 250 mu m, showing particle selectivity and suggesting that the reefs have the potential to promote shifts in size, composition and biomass of local food source. Mesocosms experiments showed that nutrient supply increased the Chla concentration, but when reefs were added, the Chla decreased. Thus, nutrients increased the phytoplankton biomass but grazing by the reefs counteracted these increments. This indicates that an invader such as F. enigmaticus might modulate an anthropogenic impact via suspension feeding, and therefore its role in mitigate the consequences of eutrophication may be highly important.</t>
  </si>
  <si>
    <t>10.1007/s10530-018-1699-y</t>
  </si>
  <si>
    <t>Szejner, P; Belmecheri, S; Babst, F; Wright, WE; Frank, DC; Hu, J; Monson, RK</t>
  </si>
  <si>
    <t>Stable isotopes of tree rings reveal seasonal-to-decadal patterns during the emergence of a megadrought in the Southwestern US</t>
  </si>
  <si>
    <t>Multidecadal; Warming; Hot drought; Intrinsic water-use efficiency; Vapor pressure deficit</t>
  </si>
  <si>
    <t>NORTH-AMERICAN MONSOON; OXYGEN ISOTOPES; BLUE INTENSITY; CARBON; WATER; RECONSTRUCTIONS; PRECIPITATION; DROUGHT; VARIABILITY; DELTA-C-13</t>
  </si>
  <si>
    <t>Recent evidence has revealed the emergence of a megadrought in southwestern North America since 2000. Megadroughts extend for at least 2 decades, making it challenging to identify such events until they are well established. Here, we examined tree-ring growth and stable isotope ratios in Pinus ponderosa at its driest niche edge to investigate whether trees growing near their aridity limit were sensitive to the megadrought climatic pre-conditions, and were capable of informing predictive efforts. During the decade before the megadrought, trees in four populations revealed increases in the cellulose delta C-13 content of earlywood, latewood, and false latewood, which, based on past studies are correlated with increased intrinsic water-use efficiency. However, radial growth and cellulose delta O-18 were not sensitive to pre-megadrought conditions. During the 2 decades preceding the megadrought, at all four sites, the changes in delta C-13 were caused by the high sensitivity of needle carbon and water exchange to drought trends in key winter months, and for three of the four sites during crucial summer months. Such pre-megadrought physiological sensitivity appears to be unique for trees near their arid range limit, as similar patterns were not observed in trees in ten reference sites located along a latitudinal gradient in the same megadrought domain, despite similar drying trends. Our results reveal the utility of tree-ring delta C-13 to reconstruct spatiotemporal patterns during the organizational phase of a megadrought, demonstrating that trees near the arid boundaries of a species' distribution might be useful in the early detection of long-lasting droughts.</t>
  </si>
  <si>
    <t>10.1007/s00442-021-04916-9</t>
  </si>
  <si>
    <t>Oesterwind, D; Bock, C; Forster, A; Gabel, M; Henseler, C; Kotterba, P; Menge, M; Myts, D; Winkler, HM</t>
  </si>
  <si>
    <t>Predator and prey: the role of the round goby Neogobius melanostomus in the western Baltic</t>
  </si>
  <si>
    <t>Foodweb; invasive species; biodiversity; colonization; diet shift</t>
  </si>
  <si>
    <t>ACTINOPTERYGII PERCIFORMES GOBIIDAE; DREISSENID MUSSELS; 1ST RECORDS; RIVER; PALLAS; INVASION; POPULATION; IMPACTS; HABITAT; BIOLOGY</t>
  </si>
  <si>
    <t>Different studies on the position of the non-indigenous species Neogobius melanostomus within the coastal food web of the Pomeranian Bay (western Baltic) were performed, resulting in a quantitative and qualitative species list of prey organisms found in the stomachs of the invader and an estimation concerning the importance of round goby as prey for different resident predators. It seems that the colonization process is not fully completed yet, but the results reveal that the species is already established in the food web 16 years after the first observation within the study area. The results show that N. melanostomus feed upon a wide range of different resident organisms. While a direct predation effect on native fish species appears rather unlikely, indirect effects such as competition cannot yet be excluded. In addition, our results reveal an ontogenetic diet shift and that the round goby itself already serves as an important prey for piscivorous fish and seabirds. Finally, we formulate different hypotheses based on our results which will require further research.</t>
  </si>
  <si>
    <t>10.1080/17451000.2016.1241412</t>
  </si>
  <si>
    <t>Richerson, K; Driscoll, R; Mangel, M</t>
  </si>
  <si>
    <t>Increasing temperature may shift availability of euphausiid prey in the Southern Ocean</t>
  </si>
  <si>
    <t>Thysanoessa macrura; Euphausia superba; Growth; Temperature; Climate change; Krill predators; Southern Ocean; Euphausiids; Modeling</t>
  </si>
  <si>
    <t>THYSANOESSA-MACRURA EUPHAUSIACEA; WEST ANTARCTIC PENINSULA; CLIMATE-CHANGE; SEA-ICE; SPATIAL VARIABILITY; FORAGING BEHAVIOR; DEPENDENT GROWTH; ELEPHANT ISLAND; SUPERBA DANA; LAZAREV SEA</t>
  </si>
  <si>
    <t>Climate change is predicted to affect Southern Ocean biota in complex ways. Euphausiids play a crucial role in the trophodynamics of the ecosystem, and their status under future environmental scenarios is the subject of much concern. Thysanoessa macrura is the most widely distributed, numerically abundant, and ubiquitous euphausiid south of the Polar Front and may be an underappreciated prey species. T. macrura is eurythermic and may be better able to tolerate warming ocean temperatures in comparison to the more stenothermic Antarctic krill Euphausia superba. We use temperature-dependent growth models and biomass per recruit to investigate how the availability of this euphausiid to predators may change under a range of temperature scenarios. We contrast this with the availability of E. superba and find that, under some ranges of temperature change, increasing T. macrura growth may be able to partially compensate for decreasing E. superba growth in terms of biomass available for predators. However, in spite of its considerable biomass, other aspects of this species, such as its size and habitat, may limit its potential to replace E. superba in the diet of many predators.</t>
  </si>
  <si>
    <t>10.3354/meps12460</t>
  </si>
  <si>
    <t>Buse, J; Entling, MH; Ranius, T; Assmann, T</t>
  </si>
  <si>
    <t>Response of saproxylic beetles to small-scale habitat connectivity depends on trophic levels</t>
  </si>
  <si>
    <t>Forest management; Forest structure; Scattered trees; Trophic-rank hypothesis; Wood-inhabiting beetles</t>
  </si>
  <si>
    <t>ENDANGERED LONGHORN BEETLE; LANDSCAPE STRUCTURE; SCATTERED TREES; OLD OAKS; SPECIES RICHNESS; FOOD WEBS; FOREST; FRAGMENTATION; CONSERVATION; PATTERNS</t>
  </si>
  <si>
    <t>Context According to the trophic-rank hypothesis, species may be differentially affected by habitat isolation due to their trophic position in the food chain, i.e. high-order trophic levels may be more negatively affected than low-order levels. Objectives The aim of this paper is to study how species richness, abundance and composition of saproxylic beetle communities are affected by patch (=tree) quality and small-scale patch connectivity. Following the trophic-rank hypothesis, we expected predators to be more negatively affected by patch isolation than wood-feeding beetles. Methods We studied the beetle community, patch connectivity and patch quality on 28 large oaks. Different connectivity measures were calculated using 50 m-buffers around trees and using distances to the five nearest trees. Results Beetle species richness increased with the diameter of oaks, i.e. patch quality. No evidence of the trophic-rank hypothesis was found for species richness patterns. In accordance with the trophic-rank hypothesis, abundance of predatory beetles increased with patch connectivity but lower trophic levels were unaffected or even decreased with patch connectivity. Conclusions The structure of invertebrate communities on trees changes with small-scale patch connectivity due to a differential response of low-order and high-order trophic levels. Isolated trees are more exposed to the sun than the more connected trees, which may affect the beetles; however, it was impossible to distinguish the microclimatic from the spatial effects. Although scattered trees generally have a higher conservation value than trees in forests, we conclude that forest trees may be more important for certain trophic levels.</t>
  </si>
  <si>
    <t>10.1007/s10980-015-0309-y</t>
  </si>
  <si>
    <t>Jenerette, GD; Wu, JG; Grimm, NB; Hope, D</t>
  </si>
  <si>
    <t>Points, patches, and regions: scaling soil biogeochemical patterns in an urbanized arid ecosystem</t>
  </si>
  <si>
    <t>heterogeneity; land-use change; Monte Carlo; nitrogen; organic matter; Phoenix; scaling; stable isotopes; urbanization; uncertainty</t>
  </si>
  <si>
    <t>OAK LEAF-LITTER; LONG-TERM; MICROBIAL ACTIVITY; GLOBAL PATTERNS; NITROGEN; CARBON; PHOENIX; FLUXES; MODEL; DECOMPOSITION</t>
  </si>
  <si>
    <t>Cities are rapidly growing throughout the world and are altering biologic processes in many regions, with global consequences. Urbanization in the Phoenix, USA metropolitan region has dramatically altered regional ecosystem patterns, but little is known about how these changes have influenced soil organic matter, total nitrogen, and the distribution of nitrogen stable isotopes. Because urban development is a phenomenon occurring at multiple scales, ecological consequences of urbanization will likely differ between individual patches and the entire metropolitan region. To investigate such changes we conducted spatially explicit surveys including three dominant land-use types in this region: native desert, agriculture, and mesic residential. These data were combined for analysis with previously collected samples from a synoptic regional survey. A landscape scaling approach was implemented to compare the dependence of soil variability on the sampled extent and the uncertainty associated with scaling from points to patches, land-use types, and the Phoenix metropolitan region. The multiple-scale analysis of soil properties showed that variation in total soil nitrogen, soil organic matter, and delta N-5 content of soils differed between patch and regional scales. The majority of variation in the urbanized patch types was exhibited between patches while for the native desert the majority of variation was observed within individual patches. These differences show the impact of urbanization on the scaling relations of ecosystem components. Overall, urbanization in this region appears to have increased soil organic matter by 44%, total nitrogen by 48%, and has elevated delta N-15 by 21%.</t>
  </si>
  <si>
    <t>10.1111/j.1365-2486.2006.01182.x</t>
  </si>
  <si>
    <t>Studds, CE; Wunderle, JM; Marra, PP</t>
  </si>
  <si>
    <t>Strong differences in migratory connectivity patterns among species of Neotropical-Nearctic migratory birds revealed by combining stable isotopes and abundance in a Bayesian assignment analysis</t>
  </si>
  <si>
    <t>Bayesian assignments; Caribbean Basin; conservation; migratory connectivity; Neotropical&amp;#8208; Nearctic migratory birds; species distribution; stable isotopes</t>
  </si>
  <si>
    <t>WINTERING GROUNDS; BREEDING ORIGINS; GENETIC-MARKERS; MIGRANT; HYDROGEN</t>
  </si>
  <si>
    <t>Aim Conservation planning for migratory species requires knowing how populations are connected throughout the annual cycle. We measured migratory connectivity for five migratory songbird species by combining stable-hydrogen isotopes in feathers (delta H-2(F)) with citizen science data on breeding range abundance. Location Caribbean Basin and North America. Taxa Neotropical migratory birds: Mniotilta varia, Setophaga ruticilla, Seiurus aurocapilla, Setophaga americana, and Setophaga discolor. Methods We analyzed delta H-2(F) in feathers grown on North American breeding grounds and sampled at 20 Caribbean Basin sites across most of the non-breeding range of each species. We made Bayesian assignments to breeding origin by combining delta H-2(F) values and North American Breeding Bird Survey abundance data. For each species, we used cluster analysis to group Caribbean sites into non-breeding regions that shared birds with similar breeding ground assignment probabilities. We then mapped assignment probabilities for the non-breeding regions of each species onto breeding ground delta H-2(F) surfaces and estimated the strength of migratory connectivity. Results Apart from some general similarities, the five species demonstrated different patterns of migratory connectivity. Species with larger non-breeding ranges exhibited stronger migratory connectivity compared to those with smaller non-breeding ranges. Despite geographical overlap, birds from each non-breeding region had mostly unique breeding ground origins. Main conclusions The contrasting patterns of migratory connectivity shown by the five species suggest that geographic distribution during the non-breeding period is a poor indicator of breeding ground origin. Our results indicate that full annual cycle conservation planning, which requires migratory connectivity information, should proceed on a species-specific basis.</t>
  </si>
  <si>
    <t>10.1111/jbi.14111</t>
  </si>
  <si>
    <t>Gonzalez-Bergonzoni, I; Silva, I; de Mello, FT; D'Anatro, A; Boccardi, L; Stebniki, S; Brugnoli, E; Tesitore, G; Vidal, N; Naya, DE</t>
  </si>
  <si>
    <t>Evaluating the role of predatory fish controlling the invasion of the Asian golden mussel Limnoperna fortunei in a subtropical river</t>
  </si>
  <si>
    <t>biological invasion; boga Megaleporinus obtusidens; dams; fish exclusion; invasive mussel; origin of fish biomass; stable isotopes; top-down effect</t>
  </si>
  <si>
    <t>LOWER PARANA RIVER; DE-LA-PLATA; BIOLOGICAL INVASIONS; DREISSENA-POLYMORPHA; MYTILIDAE; BIVALVIA; DUNKER; CONSEQUENCES; BIODIVERSITY; CONSUMERS</t>
  </si>
  <si>
    <t>The invasive Asian golden mussel Limnoperna fortunei is continuously expanding through South America, altering aquatic ecosystem structure and functioning. While several native fish species predate on this mussel, these interactions, and their consequences for the food web, have not been studied in depth. We combine a survey of the fish assemblage trophic structure using gut contents and stable isotope analysis with an in situ exclusion experiment in order to: (a) determine the main fish species predating on L. fortunei; (b) estimate the contribution of L. fortunei to the biomass of fish assemblage; and (c) evaluate the role of fish on the density and maximum shell length of L. fortunei in the lower Uruguay River (the Rio de La Plata Basin). We found that about one third of fish species in the assemblage (28 out of 81 species) consumed L. fortunei, which was an important food item (&gt;10% of the dietary volume and &gt;30% of frequency of occurrence) for 11 fish species. Stable isotope mixing models consistently suggested that &gt;14% of the total biomass of the fish assemblage was derived directly from carbon derived from L. fortunei tissues. In addition, the exclusion experiment demonstrated that fish predation reduces the mussel density by c. 70% and the mussel maximum shell length by c. 40%. Synthesis and applications. Our research suggests a top-down effect of fish on the invasive Asian golden mussel's abundance. This work highlights the need to preserve the native fish communities, particularly in South America, where many vulnerable migratory fish are of key relevance as Limnoperna fortunei consumers. In the light of these findings, actions such as implementing efficient fish passage technologies in the actual (and projected) dams of the Uruguay River basin and elsewhere become essential to avoid local extinctions of these natural invasion controls upstream of the dams.</t>
  </si>
  <si>
    <t>10.1111/1365-2664.13573</t>
  </si>
  <si>
    <t>Jensen, PM; Madsen, P; Jensen, LS; Pipper, CB</t>
  </si>
  <si>
    <t>Differences in carbon and nitrogen stable isotope signatures amongst wild and released pheasant populations</t>
  </si>
  <si>
    <t>Pheasants; Stable isotopes; delta C-13; delta N-15; Wild populations; Bred and released</t>
  </si>
  <si>
    <t>Game birds such as pheasants Phasianus colchicus (Horsfield) are bred and released to supplement wild living populations prior to the hunting season. The total bag records of these birds are, therefore, not suitable for monitoring the development of wild populations because they are heavily influenced by game management. Wild and released pheasants can be expected to be genetically similar or identical to wild birds because wild birds are captured and used for breeding. It is, therefore, not possible to use genetic methods for identifying released individuals. Heavy stable isotopes are incorporated in animal tissues in a predictable manner and depend on the concentration of heavy isotopes in the diet. The heavy isotopes C-13 and N-15 accumulate in the food chain because the more common lighter isotopes are excreted at a higher rate than the heavy isotopes. Bred and released pheasant feed on a uniform plant-based diet, and it can, therefore, be expected that these animals have lower and less variable levels of heavy isotopes than individuals from a wild populations which feed on a diverse diet of plants and invertebrates. We investigated the isotope signatures in feathers from wild and released pheasant populations and compared the levels and variation in isotope signature amongst the populations. Bred and released pheasants are clearly identified in comparison to released pheasants as wild types have higher delta N-15.</t>
  </si>
  <si>
    <t>10.1007/s10344-012-0609-3</t>
  </si>
  <si>
    <t>Taipale, SJ; Ventela, AM; Litmanen, J; Anttila, L</t>
  </si>
  <si>
    <t>Poor nutritional quality of primary producers and zooplankton driven by eutrophication is mitigated at upper trophic levels</t>
  </si>
  <si>
    <t>benthic invertebrates; freshwater food web; ontogenetic diet shift; perch; phytoplankton; polyunsaturated fatty acids</t>
  </si>
  <si>
    <t>FATTY-ACID-COMPOSITION; PERCH PERCA-FLUVIATILIS; DOCOSAHEXAENOIC ACID; SIGNATURE ANALYSIS; FOOD SELECTION; BLUE-GREEN; LAKE; PHYTOPLANKTON; FISH; DIET</t>
  </si>
  <si>
    <t>Eutrophication and rising water temperature in freshwaters may increase the total production of a lake while simultaneously reducing the nutritional quality of food web components. We evaluated how cyanobacteria blooms, driven by agricultural eutrophication (in eutrophic Lake Koyliojarvi) or global warming (in mesotrophic Lake Pyhajarvi), influence the biomass and structure of phytoplankton, zooplankton, and fish communities. In terms of the nutritional value of food web components, we evaluated changes in the omega-3 and omega-6 polyunsaturated fatty acids (PUFA) of phytoplankton and consumers at different trophic levels. Meanwhile, the lakes did not differ in their biomasses of phytoplankton, zooplankton, and fish communities, lake trophic status greatly influenced the community structures. The eutrophic lake, with agricultural eutrophication, had cyanobacteria bloom throughout the summer months whereas cyanobacteria were abundant only occasionally in the mesotrophic lake, mainly in early summer. Phytoplankton community differences at genus level resulted in higher arachidonic acid, eicosapentaenoic acid (EPA), and docosahexaenoic acid (DHA) content of seston in the mesotrophic than in the eutrophic lake. This was also reflected in the EPA and DHA content of herbivorous zooplankton (Daphnia and Bosmina) despite more efficient trophic retention of these biomolecules in a eutrophic lake than in the mesotrophic lake zooplankton. Planktivorous juvenile fish (perch and roach) in a eutrophic lake overcame the lower availability of DHA in their prey by more efficient trophic retention and biosynthesis from the precursors. However, the most efficient trophic retention of DHA was found with benthivorous perch which prey contained only a low amount of DHA. Long-term cyanobacterial blooming decreased the nutritional quality of piscivorous perch; however, the difference was much less than previously anticipated. Our result shows that long-term cyanobacteria blooming impacts the structure of plankton and fish communities and lowers the nutritional quality of seston and zooplankton, which, however, is mitigated at upper trophic levels.</t>
  </si>
  <si>
    <t>e8687</t>
  </si>
  <si>
    <t>10.1002/ece3.8687</t>
  </si>
  <si>
    <t>Aslan, H; Polito, MJ</t>
  </si>
  <si>
    <t>Trophic ecology of the Atlantic blue crab Callinectes sapidus as an invasive non-native species in the Aegean Sea</t>
  </si>
  <si>
    <t>Callinectes sapidus; Invasive species; Diet; Mediterranean Sea; Gokceada</t>
  </si>
  <si>
    <t>RATHBUN 1896; FEEDING-HABITS; STABLE-ISOTOPES; FOOD-WEB; POSITION; DIET; MARINE; GULF; MANAGEMENT; ABUNDANCE</t>
  </si>
  <si>
    <t>Invasive non-native crustaceans are a biodiversity and management concern in the Mediterranean Sea. The Atlantic blue crab (Callinectes sapidus) was first recorded in the Mediterranean Sea in 1949, but may have arrived as early as in the 1930's. Blue crabs in the Mediterranean Sea are of concern due to their presumed potential for negative consumptive and competitive interactions with native fauna. The aim of this study was to provide a first assessment of the trophic ecology of non-native blue crab in the Northern Aegean Sea using stable carbon (delta C-13) and nitrogen isotope (delta N-15) analysis. We found limited isotopic niche overlap between blue crabs and seven native species examined at Gokceada Island in April, June, and August of 2017. In addition, the range of calculated trophic positions of blue crabs at Gokceada Island (2.0 to 4.4), while broad, is in general agreement with prior studies in both native and non-native ranges. We also observe that trophic position declined and the relative importance of pelagic carbon sources to blue crabs increased from April to August. However, we also found that differing assumptions as to the number and type of food web baselines and trophic discrimination factors led to differing estimates of trophic position in blue crabs at Gokceada Island by as much as one to two trophic levels. These methodical differences make it challenging to directly compare results within and between studies, and thus limit our ability to assess negative consumptive and competitive interactions of invasive blue crab with native coastal species in the Mediterranean Sea.</t>
  </si>
  <si>
    <t>10.1007/s10530-021-02506-7</t>
  </si>
  <si>
    <t>Rowell, K; Flessa, KW; Dettman, DL; Roman, MJ; Gerber, LR; Findley, LT</t>
  </si>
  <si>
    <t>Diverting the Colorado River Reads to a dramatic life history shift in an endangered marine fish</t>
  </si>
  <si>
    <t>oxygen isotopes; otoliths; freshwater inflow; marine fisheries; estuary; Totoaba</t>
  </si>
  <si>
    <t>GULF-OF-CALIFORNIA; FRESH-WATER; TOTOABA-MACDONALDI; STABLE-ISOTOPE; ESTUARINE; RECRUITMENT; OTOLITHS; CONSERVATION; BIODIVERSITY; CARBONATES</t>
  </si>
  <si>
    <t>Diversion of river water has diminished freshwater flow into many estuaries worldwide, yet the effects of these diversions on marine fisheries, many of which depend on estuaries, are largely unexplored. We document the impact of diverting Colorado River flow from the Gulf of California on the life history of a now-endangered marine fish (Totoaba macdonaldi, Sciaenidae). Growth increments in prehistoric (1000-5000 ybp) otoliths document that predam juveniles grew twice as fast and matured 1-5 years earlier than post-dam fish. Oxygen isotopes link these changes to elimination of estuarine habitat. This study provides evidence that river diversion can have a dramatic effect on life history of marine fishes by slowing growth during the juvenile stage, thus delaying maturation. These findings also provide valuable insight into the relative influence of habitat alteration versus fishing pressure on marine fishes. (c) 2008 Elsevier Ltd. All rights reserved.</t>
  </si>
  <si>
    <t>10.1016/j.biocon.2008.02.013</t>
  </si>
  <si>
    <t>de la Vega, C; Buchanan, PJ; Tagliabue, A; Hopkins, JE; Jeffreys, RM; Frie, AK; Biuw, M; Kershaw, J; Grecian, J; Norman, L; Smout, S; Haug, T; Mahaffey, C</t>
  </si>
  <si>
    <t>Multi-decadal environmental change in the Barents Sea recorded by seal teeth</t>
  </si>
  <si>
    <t>Arctic; Atlantification; atmospheric nitrogen deposition; harp seal; stable nitrogen isotopes</t>
  </si>
  <si>
    <t>PHOCA-GROENLANDICA; HARP SEAL; SEASONAL DISTRIBUTION; ISOTOPE ANALYSES; NITROGEN; MODEL; PHYTOPLANKTON; SIMULATION; PROTOCOLS; INSIGHTS</t>
  </si>
  <si>
    <t>Multiple environmental forcings, such as warming and changes in ocean circulation and nutrient supply, are affecting the base of Arctic marine ecosystems, with cascading effects on the entire food web through bottom-up control. Stable nitrogen isotopes (delta N-15) can be used to detect and unravel the impact of these forcings on this unique ecosystem, if the many processes that affect the delta N-15 values are constrained. Combining unique 60-year records from compound specific delta N-15 biomarkers on harp seal teeth alongside state-of-the-art ocean modelling, we observed a significant decline in the delta N-15 values at the base of the Barents Sea food web from 1951 to 2012. This strong and persistent decadal trend emerges due to the combination of anthropogenic atmospheric nitrogen deposition in the Atlantic, increased northward transport of Atlantic water through Arctic gateways and local feedbacks from increasing Arctic primary production. Our results suggest that the Arctic ecosystem has been responding to anthropogenically induced local and remote drivers, linked to changing ocean biology, chemistry and physics, for at least 60 years. Accounting for these trends in delta N-15 values at the base of the food web is essential to accurately detect ecosystem restructuring in this rapidly changing environment.</t>
  </si>
  <si>
    <t>10.1111/gcb.16138</t>
  </si>
  <si>
    <t>Lee, JY; Kim, JK; Owen, JS; Choi, Y; Shin, K; Jung, S; Kim, B</t>
  </si>
  <si>
    <t>Variation in carbon and nitrogen stable isotopes in POM and zooplankton in a deep reservoir and relationship to hydrological characteristics</t>
  </si>
  <si>
    <t>carbon; nitrogen; stable isotope; POM; zooplankton</t>
  </si>
  <si>
    <t>ORGANIC-MATTER; FOOD-WEB; MICROCYSTIS-AERUGINOSA; DELTA-N-15; VARIABILITY; DELTA-C-13; RATIOS; LAKES; N-15; FRACTIONATION</t>
  </si>
  <si>
    <t>We investigated the carbon and nitrogen stable isotope composition of particulate organic matter (POM) and zooplankton to understand the effects of highly variable hydrologic inputs with the onset of the summer monsoon season in Lake Soyang, Korea. The main characteristic separating pre-monsoon and post-monsoon seasons in Lake Soyang is the dramatic difference in hydrologic inflow. Pre-monsoon C-13-POM (range -32.4 to -21.8 parts per thousand) was lower than post-monsoon C-13-POM (range -25.5 to -19.9 parts per thousand). Epilimnetic C-13-POM was higher post-monsoon compared to pre-monsoon, except in 2007. In the metalimnion, pre-monsoon C-13-POM varied among years, while the variation in C-13-POM post-monsoon was small and was related to the inflow of organic matter during summer monsoon storms. C-13-zooplankton was lower post-monsoon (range -31.9 to -24.4 parts per thousand) compared to pre-monsoon (range -19.4 to -17.7 parts per thousand), while N-15-zooplankton showed the opposite pattern (pre- and post-monsoon average 6.6 +/- 2.0 parts per thousand and 4.3 +/- 1.5 parts per thousand, respectively). In Lake Soyang, the seasonal variation in C-13-zooplankton was closely related to annual succession in the phytoplankton community and C-13-phytoplankton. Thus, the results of this study provide some insights into the use of C-13 and N-15 measurements for understanding linkages between varying hydrologic characteristics and seasonal variation in the stable isotope composition of zooplankton. The dramatic seasonal change in hydrologic inputs in the monsoonal climate and consequent changes in turbid surface water inflow is linked with changes in the phytoplankton and zooplankton communities in Lake Soyang.</t>
  </si>
  <si>
    <t>10.1080/02705060.2012.689999</t>
  </si>
  <si>
    <t>Logan, JM; Golet, WJ; Lutcavage, ME</t>
  </si>
  <si>
    <t>Diet and condition of Atlantic bluefin tuna (Thunnus thynnus) in the Gulf of Maine, 2004-2008</t>
  </si>
  <si>
    <t>Carbon; Food web; Herring; Lipids; Nitrogen; Stable isotopes</t>
  </si>
  <si>
    <t>STABLE-ISOTOPE RATIOS; BODY-SIZE; POPULATION-STRUCTURE; TROPHIC POSITION; FEEDING ECOLOGY; FOOD-WEB; FRACTIONATION; CARBON; MOVEMENTS; NITROGEN</t>
  </si>
  <si>
    <t>Atlantic herring (Clupea harengus) are the primary forage for Atlantic bluefin tuna (Thunnus thynnus; ABFT) in the Gulf of Maine. Recent studies have documented significant declines in ABFT somatic condition and shifts in their size and spatial distribution in the Gulf of Maine, which may be linked to trophic changes. We collected stomachs (n = 122) as well as liver (n = 110) and white muscle (n = 382) samples for carbon and nitrogen stable isotope analysis and lipid analysis to determine if diet composition had changed relative to the late 1980's to early 2000's for large, commercially harvested ABFT (a parts per thousand yen185 cm curved fork length (CFL)). Samples of smaller ABFT (&lt; 185 cm CFL) were also collected (stomachs: n = 21; liver: n = 17; white muscle: n = 19) to compare diet between size classes. Large ABFT diet was similar among current and historic studies, Atlantic herring being the main prey (39.5 to 52.8 % weight). Small ABFT fed at a lower trophic position (TP = 3.9) than larger individuals (TP = 4.9) due to higher consumption of sand lance (Ammodytes spp.) and euphausiids (65.6 vs. 4.5 % weight). Mean and maximum lipid stores of large ABFT increased from spring through fall, but lean fish were observed in all seasons. In the fall, lean ABFT were lighter with lower nitrogen and higher carbon isotope values than co-occurring ABFT with higher lipid stores. These patterns are consistent with shelf vs. offshore isotope baseline differences in the western North Atlantic and variable arrival and residency patterns for ABFT in the Gulf of Maine.</t>
  </si>
  <si>
    <t>10.1007/s10641-014-0368-y</t>
  </si>
  <si>
    <t>Schroder, V; de Leaniz, CG</t>
  </si>
  <si>
    <t>Discrimination between farmed and free-living invasive salmonids in Chilean Patagonia using stable isotope analysis</t>
  </si>
  <si>
    <t>Stable isotope analysis; Invasive species; Salmonids; Aquaculture</t>
  </si>
  <si>
    <t>ATLANTIC SALMON; CHINOOK SALMON; ONCORHYNCHUS-TSHAWYTSCHA; BROOK TROUT; NEW-ZEALAND; TROPHIC INTERACTIONS; SOUTHERN CHILE; NATIVE FISHES; NEW-BRUNSWICK; SALAR L.</t>
  </si>
  <si>
    <t>In Chilean Patagonia relatively pristine aquatic environments are being modified by the introduction of exotic salmonids, initially through their deliberate release for sport fishing since the early twentieth century, and more recently via the accidental escape from fish farms. There is therefore a need to reliably distinguish between naturally reproducing and fugitive salmonids associated with the Chilean salmonid farming industry, the second largest in the world. We tested the ability of stable isotope analysis (SIA) and analysis of scale growth profiles to discriminate between farmed and free-living salmonids sampled around the Island of Chilo,. Juvenile Atlantic salmon (Salmo salar) and rainbow trout (Oncorhynchus mykiss) from aquaculture facilities were significantly more enriched in delta N-15 and lipid-corrected delta C-13 than river-caught individuals. Scale growth slopes during the first year in freshwater were significantly higher in farmed than in wild-caught rainbow trout, indicating faster somatic growth under hatchery conditions. Stable isotopes analysis classified 94% of juvenile Atlantic salmon and rainbow trout to their correct farm or free-living groups. Our results, therefore, can help to elucidate the origin and spread of exotic invasive salmonids in Chile, and address one of the biggest threats to native freshwater fishes in Patagonia and other temperate zones of the Southern Hemisphere.</t>
  </si>
  <si>
    <t>10.1007/s10530-010-9802-z</t>
  </si>
  <si>
    <t>Hoeinghaus, DJ; Agostinho, AA; Gomes, LC; Pelicice, FM; Okada, EK; Latini, JD; Kashiwaqui, EAL; Winemiller, KO</t>
  </si>
  <si>
    <t>Effects of River Impoundment on Ecosystem Services of Large Tropical Rivers: Embodied Energy and Market Value of Artisanal Fisheries</t>
  </si>
  <si>
    <t>ecological economics; ecosystem services; emergy; food webs; Itaipu Reservoir; sustainability; trophic position; Upper Parana River</t>
  </si>
  <si>
    <t>UPPER PARANA RIVER; FOOD WEBS; ECONOMIC VALUATION; INLAND WATERS; UNITED-STATES; BIODIVERSITY; FISH; CONSERVATION; MANAGEMENT; BRAZIL</t>
  </si>
  <si>
    <t>Applying the ecosystem services concept to conservation initiatives or in managing ecosystem services requires understanding how environmental impacts affect the ecology of key species or functional groups providing the services. We examined effects of river impoundments, one of the leading threats to freshwater biodiversity, on an important ecosystem service provided by large tropical rivers (i.e., artisanal fisheries). The societal and economic importance of this ecosystem service in developing countries may provide leverage to advance conservation agendas where future impoundments are being considered. We assessed impoundment effects on the energetic costs of fisheries production (embodied energy) and commercial market value of the artisanal fishery of the Parana River, Brazil, before and after formation of Itaipu Reservoir. High-value migratory species that dominated the fishery before the impoundment was built constituted a minor component of the contemporary fishery that is based heavily on reservoir-adapted introduced species. Cascading effects of river impoundment resulted in a mismatch between embodied energy and market value: energetic costs of fisheries production increased, whereas market value decreased. This was partially attributable to changes in species functional composition but also strongly linked to species identities that affected market value as a result of consumer preferences even when species were functionally similar. Similar trends are expected in other large tropical rivers following impoundment. In addition to identifying consequences of a common anthropogenic impact on an important ecosystem service, our assessment provides insight into the sustainability of fisheries production in tropical rivers and priorities for regional biodiversity conservation.</t>
  </si>
  <si>
    <t>10.1111/j.1523-1739.2009.01248.x</t>
  </si>
  <si>
    <t>Srayko, SH; Jardine, TD; Phillips, ID; Chivers, DP</t>
  </si>
  <si>
    <t>Seasonal Mass Migration of Water Boatmen (Hemiptera: Corixidae) as a Wetland-River Linkage and Dietary Subsidy to Riverine Fish</t>
  </si>
  <si>
    <t>ecosystem linkage; subsidy; insect flux; aquatic insect; Corixidae; seasonal migration; wetland; river; food web; fish diet</t>
  </si>
  <si>
    <t>FEEDING-HABITS; FOOD; MACROINVERTEBRATES; HETEROPTERA; ECOSYSTEM; ECOLOGY; PRODUCTIVITY; CONSEQUENCES; COMMUNITIES; DISPERSAL</t>
  </si>
  <si>
    <t>Cross-boundary movements of organisms can act as important ecosystem linkages by subsidizing food webs. We investigated the magnitude and implications of a little understood food web subsidy in the form of migrating aquatic insects, corixids (Hemiptera: Corixidae), that fly from geographically isolated wetlands into large rivers in the Prairie Pothole Region (PPR) of North America every fall, to overwinter. We found that these migrations can lead to drastically increased riverine corixid densities as high as similar to 3,000 individuals/m(2) within areas of standing or slow-moving water, with similar to 500 g of corixid material entering every meter of water immediately adjacent to the banks of rivers, where landings are concentrated. This movement shifts the species assemblage in rivers to one dominated by wetland-breeding species, namely Callicorixa audeni, Sigara bicoloripennis, and Sigara decoratella. Stomach content analyses of fish reveal that goldeye (Hiodon alosoides), mooneye (Hiodon tergisus), longnose sucker (Catostomus catostomus), and white sucker (Catostomus commersoni) make heavy use of this forage subsidy, with corixids occurring in 97% to 100% of these fishes and accounting for 38% to 97% of stomach contents by weight during the corixid migration period in fall. We estimate that seasonal migrations could result in similar to 1500 metric tons of corixids entering the North and South Saskatchewan rivers within Saskatchewan, and similar to 12,000 tons of biomass moving between wetlands and rivers across the entire PPR. Our study has demonstrated an extensive cross-boundary flux that occurs between spatially separated wetland and river ecosystems, highlighting a need for conservation to ensure that this connection is maintained. [GRAPHICS] .</t>
  </si>
  <si>
    <t>10.1007/s10021-021-00734-5</t>
  </si>
  <si>
    <t>Hilton, GM; Thompson, DR; Sagar, PM; Cuthbert, RJ; Cherel, Y; Bury, SJ</t>
  </si>
  <si>
    <t>A stable isotopic investigation into the causes of decline in a sub-Antarctic predator, the rockhopper penguin Eudyptes chrysocome</t>
  </si>
  <si>
    <t>climate change; primary productivity; sub-Antarctic; delta C-13; delta N-15</t>
  </si>
  <si>
    <t>LONG-TERM CHANGES; ENVIRONMENTAL-CHANGE; POPULATION-DYNAMICS; CAMPBELL-ISLAND; SOUTHERN-OCEAN; CLIMATE-CHANGE; GROWTH-RATE; C-13; CO2; DELTA-C-13</t>
  </si>
  <si>
    <t>The rockhopper penguin (Eudyptes chrysocome) is a conspicuous apex marine predator that has experienced marked population declines throughout most of its circumpolar breeding distribution. The cause(s) for the declines remain elusive, but the relatively large spatio-temporal scale over which population decreases have occurred implies that ecosystem-scale, at-sea factors are likely to be involved. We employ stable isotope analyses of carbon (C-13/C-12, expressed as delta C-13) and nitrogen (N-15/N-14, delta N-15) in time-series of rockhopper penguin feather samples, dating back to 1861, in order to reconstruct the species' ecological history. Specifically, we examine whether rockhopper penguin population decline has been associated with a shift towards lower primary productivity in the ecosystem in which they feed, or with a shift to a diet of lower trophic status and lower quality, and we use long-term temperature records to evaluate whether shifts in isotope ratios are associated with annual variations in sea surface temperature. Having controlled temporally for the Suess Effect and for increases in CO2 concentrations in seawater, we found that overall, delta C-13 signatures decreased significantly over time in rockhopper penguins from seven breeding sites, supporting the hypothesis that decreases in primary productivity, and hence, carrying capacity, for which delta C-13 signature is a proxy, have been associated with the decline of penguin populations. There was some evidence of a long-term decline in delta N-15 at some sites, and strong evidence that delta N-15 signatures were negatively related to sea surface temperatures across sites, indicative of a shift in diet to prey of lower trophic status over time and in warm years. However, a site-by-site analysis revealed divergent isotopic trends among sites: five of seven sites exhibited significant temporal or temperature-related trends in isotope signatures. This study highlights the utility of stable isotope analyses when applied over relatively long timescales to apex predators.</t>
  </si>
  <si>
    <t>10.1111/j.1365-2486.2006.01130.x</t>
  </si>
  <si>
    <t>Vermeulen, S; Sturaro, N; Gobert, S; Bouquegneau, JM; Lepoint, G</t>
  </si>
  <si>
    <t>Potential early indicators of anthropogenically derived nutrients: a multiscale stable isotope analysis</t>
  </si>
  <si>
    <t>NW Mediterranean; Stable isotopes; Eutrophication; Gastropods; Biofilms; Macroalgae; Patchiness</t>
  </si>
  <si>
    <t>FRESH-WATER; SPECIES COMPOSITION; PATELLA-VULGATA; NITROGEN; CARBON; MARINE; RATIOS; FOOD; SIGNATURES; SEWAGE</t>
  </si>
  <si>
    <t>Increasing human pressure along Mediterranean coastlines raises the need to define sensitive bioindicators that provide an early response to nutrient enrichment. We performed multiscale carbon and nitrogen stable isotope analyses on the limpet Patella caerulea, the snail Monodonta turbinata, epilithic biofilms, and the macroalga Rissoella verruculosa inhabiting the rocky midlittoral zone. Samples were seasonally collected in 2006 from 5 sites exposed to a range of anthropogenic discharges in the Revellata Bay area and in Marseille harbour (France). All bioindicators exhibited strongly elevated delta N-15 values at impacted sites compared to pristine ones, which revealed the biological availability of anthropogenically derived nutrients. Only epilithic biofilms tended to show both the occurrence of nutrient pulses during the tourist season and a delta C-13 response at impacted sites. In contrast to macroalgae, which exhibited a somewhat equivocal signal, gastropods and especially M. turbinata provided the best time-integrated picture of the graduated exposure of the 5 sites to anthropogenic impact. Results also showed first evidence of large isotopic variability at a scale of tens of metres, close to that found at the kilometre scale. The intra-and interspecific isotopic variability in gastropods may be explained by the patchiness of resources and specific morphological and behavioural features, but these factors do not greatly hamper their potential as early bioindicators of wastewater disturbances.</t>
  </si>
  <si>
    <t>10.3354/meps08919</t>
  </si>
  <si>
    <t>Welti, EAR; Prather, RM; Sanders, NJ; de Beurs, KM; Kaspari, M</t>
  </si>
  <si>
    <t>Bottom-up when it is not top-down: Predators and plants control biomass of grassland arthropods</t>
  </si>
  <si>
    <t>biomass; Exploitation Ecosystem Hypothesis; grasshopper; insect; katydid; leafhopper; prairie; spider</t>
  </si>
  <si>
    <t>COMMUNITY STRUCTURE; TROPHIC CASCADES; STABLE-ISOTOPES; EXPLOITATION ECOSYSTEMS; ANT ABUNDANCE; PRODUCTIVITY; TEMPERATURE; POPULATION; ORTHOPTERA; HERBIVORY</t>
  </si>
  <si>
    <t>We investigate where bottom-up and top-down control regulates ecological communities as a mechanism linking ecological gradients to the geography of consumer abundance and biomass. We use standardized surveys of 54 North American grasslands to test alternate hypotheses predicting 100-fold shifts in the biomass of four common grassland arthropod taxa-Auchenorrhyncha, sucking herbivores, Acrididae, chewing herbivores, Tettigoniidae, omnivores, and Araneae, predators. Bottom-up models predict that consumer biomass tracks plant quantity (e.g. productivity and standing biomass) and quality (nutrient content) and that ectotherm access to food increases with temperature. Each of the focal trophic groups responded differently to these drivers: the biomass of sucking herbivores and omnivores increased with plant biomass; that of chewing herbivores tracked plant quality; and predator biomass did not depend on plant quality, plant quantity or temperature. The Exploitation Ecosystem Hypothesis is a top-down hypothesis that predicts a shift from resource limitation of herbivores when plant production is low, to predator limitation when plant production is high. In grasslands where spider biomass was low, herbivore biomass increased with plant biomass, whereas bottom-up structuring was not evident when spiders were abundant. Furthermore, neither predator biomass nor trophic position (via stable isotope analysis) increased with plant biomass, suggesting predators themselves are top-down limited. Stable isotope analysis revealed that trophic position of the chewing herbivore and omnivore increased significantly with plant biomass, suggesting these groups increased scavenging and meat consumption in grasslands with higher carbohydrate availability. Taken together, our snapshot sampling documents gradients of food web structure across 54 grasslands, consistent with multiple hypotheses of bottom-up and top-down regulation.</t>
  </si>
  <si>
    <t>10.1111/1365-2656.13191</t>
  </si>
  <si>
    <t>ANGRADI, TR</t>
  </si>
  <si>
    <t>TROPHIC LINKAGES IN THE LOWER COLORADO RIVER - MULTIPLE STABLE-ISOTOPE EVIDENCE</t>
  </si>
  <si>
    <t>COLORADO RIVER; DAM; STABLE ISOTOPES; C-13; N-15; S-34; SESTON; FOOD WEBS; TROPHIC LEVEL; GAMMARUS; CLADOPHORA; FISH</t>
  </si>
  <si>
    <t>Trophic linkages in Glen and Grand Canyons of the lower Colorado River downstream from Glen Canyon Dam were examined using multiple stable isotope analysis. The deltaC-13 values of dissolved inorganic carbon (DIC), and the deltaC-13, deltaN-15, and deltaS-34 values of seston, aquatic and terrestrial plants, and aquatic animals were determined. The deltaC-13 value of DIC varied among sites. DIC from the epilimnion of the reservoir (Lake Powell) and from a tributary was more C-13-enriched than DIC in the Colorado River, probably as a result of variation in aquatic primary production and dissolution of carbonate among sites. Four potential bases of aquatic secondary production: upland vegetation, riparian vegetation, reservoir plankton, and benthic algae were isotopically (deltaC-13 and deltaN-15) distinct from each other. Analysis of deltaC-13, deltaN-15, and deltaS-34 showed that seston from the dam tailwater (Glen Canyon) consisted of lotic algae and zooplankton from Lake Powell, except for the ultra fine fraction (&lt;0.053 mm) which was derived from Lake Powell particulate organic matter. Longitudinal variation in the composition of Glen Canyon seston was generally small. Seston from a tributary (the Paria River) was derived from a mixture of upland and riparian vegetation and was isotopically distinct from Colorado River seston. Isotope analysis revealed three trophic levels in Glen Canyon: algae (Cladophora glomerata and diatoms), macroinvertebrates (e.g., Gammarus lacustris and chironomids), and fish (primarily rainbow trout, Oncorhynchus mykiss). Trout also consumed zooplankton exported from Lake Powell. Direct assimilation of algal N by trout was not indicated despite the high incidence of algae in trout stomachs. Isotope values of fishes (trout and speckled dace, Rhinichthys osculus) from Grand Canyon tributaries reflected variation in the trophic basis of fish production; one tributary fish population appeared to be supported by tributary autochthonous production or mainstem organic matter sources, and others were linked to riparian or upland organic matter inputs.</t>
  </si>
  <si>
    <t>10.2307/1467845</t>
  </si>
  <si>
    <t>Madigan, DJ; Brooks, EJ; Bond, ME; Gelsleichter, J; Howey, LA; Abercrombie, DL; Brooks, A; Chapman, DD</t>
  </si>
  <si>
    <t>Diet shift and site-fidelity of oceanic whitetip sharks Carcharhinus longimanus along the Great Bahama Bank</t>
  </si>
  <si>
    <t>Stable isotope; Elasmobranch; Endangered; Tag; Pelagic; Bayesian mixing model</t>
  </si>
  <si>
    <t>FINNED PILOT WHALES; APEX MARINE PREDATOR; RHINCODON-TYPUS; CARCHARODON-CARCHARIAS; DISCRIMINATION FACTORS; MIGRATION PATTERNS; NIGHTTIME BEHAVIOR; GLOBICEPHALA MELAS; STOMACH CONTENTS; STABLE-ISOTOPES</t>
  </si>
  <si>
    <t>Identifying the driving forces behind oceanic pelagic shark movements is key to a better understanding of their life history. Some oceanic pelagic shark species have been shown to aggregate in specific regions to mate and/or exploit abundant food resources. The oceanic whitetip shark Carcharhinus longimanus, a subtropical, ectothermic, oceanic pelagic shark that has experienced severe population declines, aggregates seasonally around Cat Island (CI) in The Bahamas. Large pelagic teleosts (e. g. billfish, tunas, and dolphinfish) are abundant in this region and oceanic whitetips are anecdotally reported to feed heavily on recreationally caught teleosts. However, it was unknown whether feeding habits at CI substantially differ from longer-term feeding habits. We used tag-recapture to assess site-fidelity of adult oceanic whitetips to CI and stable isotope analysis (SIA) of 2 different tissues (blood plasma and white muscle) to compare short-and long-term feeding patterns. The relatively high recapture rate (20.3%) confirmed that individual whitetips exhibit site-fidelity to CI. The aggregation consisted of adult individuals; females were more common, more than half were gravid, and no physical or behavioral evidence of mating or parturition was observed at CI. SIA-based Bayesian mixing model estimates of short-term (near CI) diets showed more large pelagic teleosts (72%) than in long-term diets (47%), showing a spatiotemporal difference in oceanic whitetip feeding habits. This suggests that availability of large teleost prey is a possible mechanism underpinning site-fidelity and aggregation of whitetips at CI. These results provide insight into the function of one of the last known aggregations of this once-abundant top predator.</t>
  </si>
  <si>
    <t>10.3354/meps11302</t>
  </si>
  <si>
    <t>Woodland, RJ; Magnan, P; Glemet, H; Rodriguez, MA; Cabana, G</t>
  </si>
  <si>
    <t>Variability and directionality of temporal changes in delta C-13 and delta N-15 of aquatic invertebrate primary consumers</t>
  </si>
  <si>
    <t>Stable isotope; Temporal effects; Seasonality; Trophic state; Isotopic baselines</t>
  </si>
  <si>
    <t>CARBON-ISOTOPE RATIOS; STABLE NITROGEN ISOTOPES; FOOD-WEB; INORGANIC NITROGEN; TROPHIC POSITION; MIXING MODELS; LAKE; PERIPHYTON; FRACTIONATION; UNCERTAINTY</t>
  </si>
  <si>
    <t>Seasonal oscillations in the carbon (delta C-13) and nitrogen (delta N-15) isotope signatures of aquatic algae can cause seasonal enrichment-depletion cycles in the isotopic composition of planktonic invertebrates (e.g., copepods). Yet, there is growing evidence that seasonal enrichment-depletion cycles also occur in the isotope signatures of larger invertebrate consumers, taxa used to define reference points in isotope-based trophic models (e.g., trophic baselines). To evaluate the general assumption of temporal stability in non-zooplankton aquatic invertebrates, delta C-13 and delta N-15 time series data from the literature were analyzed for seasonality and the influence of biotic (feeding group) and abiotic (trophic state, climate regime) factors on isotope temporal patterns. The amplitude of delta C-13 and delta N-15 enrichment-depletion cycles was negatively related to body size, although all size-classes of invertebrates displayed a winter-to-summer enrichment in delta C-13 and depletion in delta N-15. Among feeding groups, periphytic grazers were more variable and displayed larger temporal changes in delta C-13 than detritivores. For nitrogen, temporal variability and magnitude of directional change of delta N-15 was most strongly related to ecosystem trophic state (eutrophic &gt; mesotrophic, oligotrophic). This study provides evidence of seasonality in the isotopic composition of aquatic invertebrates across very broad geographical and ecological gradients as well as identifying factors that are likely to modulate the strength and variability of seasonality. These results emphasize the need for researchers to recognize the likelihood of temporal changes in non-zooplankton aquatic invertebrate consumers at time scales relevant to seasonal studies and, if present, to account for temporal dynamics in isotope trophic models.</t>
  </si>
  <si>
    <t>10.1007/s00442-011-2178-7</t>
  </si>
  <si>
    <t>Schaub, J; McLaskey, AK; Forster, I; Hunt, BPV</t>
  </si>
  <si>
    <t>Experimentally derived estimates of turnover and modification for stable isotopes and fatty acids in scyphozoan jellyfish</t>
  </si>
  <si>
    <t>Jellyfish; Fatty acid; Stable isotope; Turnover; Trophic enrichment factor; Calibration coefficient</t>
  </si>
  <si>
    <t>BIOCHEMICAL-COMPOSITION; TROPHIC INTERACTIONS; PELAGIA-NOCTILUCA; AURELIA-AURITA; FOOD-CHAIN; SCYPHOMEDUSAE; CARBON; LIPIDS; DIET; FRACTIONATION</t>
  </si>
  <si>
    <t>Stable isotopes (SIs) and fatty acids (FAs) are biomarkers that are commonly used in ecology to investigate trophic relationships, energy pathways over time, and food quality. To use these trophic markers to model complex in situ data, accurate parameters should ideally be estimated from feeding studies performed in controlled laboratory settings. Two key parameters are turnover times and modification between trophic levels. However, food web studies for jellyfish that employ biomarkers typically apply generic parameter values because jellyfish-specific estimates are scarce. To address this, we implemented a controlled laboratory feeding study to measure turnover time and modification of FAs and SIs of carbon (delta C-13) and nitrogen (delta N-15) in Aurelia aurita and Chrysaora pacifica. Two diet switch experiments were conducted and resulted in three feeding scenarios: (i) Aurelia aurita and Chrysaora pacifica feeding on the same crustacean prey, Artemia, (ii) Aurelia aurita feeding on two different crustacean prey treatments, Artemia and Euphausia superba, and (iii) Chrysaora pacifica feeding on Aurelia aurita. Turnover time was variable among markers, ranging from 17 to 34 days in Aurelia aurita for FAs. We were unable to estimate SI turnover time for Aurelia aurita. In Chrysaora pacifica, half-life for delta C-13 (15 days) was similar to some FAs (8 to 15 days) but was half as long as delta N-15 (36 days). We estimated trophic enrichment factors for specific predator and prey combinations, including jellyfish feeding on crustacean zooplankton (Delta delta C-13 = 1.19 +/- 0.37% and Delta delta N-15 = 2.09 +/- 0.52%) and jellyfish feeding on interspecific jellyfish (Delta delta C-13 = 1.59 +/- 0.69% and Delta delta N-15 = 1.35 +/- 1.70%). Modification of FAs was widespread and should be considered when applying FAs to investigate jellyfish ecology. A pattern emerged in predators compared to their prey, where proportions of 18-carbon FAs decreased and proportions of 20-carbon FAs almost always increased. This suggests the possibility of a 2-carbon elongation pathway in jellyfish, similar to what has been found in other marine zooplankton. Total mu g of FA per mg of sample dry weight in predators decreased over time when switched to prey with lower total FA than the initial prey. The parameter estimates provided here expand current applications of SIs and FAs for jellyfish trophic ecology, improve parameterization of jellyfish food web models, and ultimately expand our understanding of the complex role that jellyfish have in food webs.</t>
  </si>
  <si>
    <t>10.1016/j.jembe.2021.151631</t>
  </si>
  <si>
    <t>Knighton, J; Kuppel, S; Smith, A; Soulsby, C; Sprenger, M; Tetzlaff, D</t>
  </si>
  <si>
    <t>Using isotopes to incorporate tree water storage and mixing dynamics into a distributed ecohydrologic modelling framework</t>
  </si>
  <si>
    <t>EcH(2)O-iso; plant dynamics; residence times; rooting zone; water-stable isotopes</t>
  </si>
  <si>
    <t>STABLE-ISOTOPES; RESIDENCE TIMES; STORED WATER; LEAF-AREA; SAP FLOW; SOIL; TRANSPORT; PATTERNS; HYDROLOGY; DIAMETER</t>
  </si>
  <si>
    <t>Root water uptake (RWU) by vegetation influences the partitioning of water between transpiration, evaporation, percolation, and surface runoff. Measurements of stable isotopes in water have facilitated estimates of the depth distribution of RWU for various tree species through methodologies based on end member mixing analysis (EMMA). EMMA often assumes that the isotopic composition of tree-stored xylem water (delta(XYLEM)) is representative of the isotopic composition of RWU (delta(RWU)). We tested this assumption within the framework of EcH(2)O-iso, a process-based distributed tracer-aided ecohydrologic model, applied to a small temperate catchment with a vegetation cover of coniferous eastern hemlock (Tsuga canadensis) and deciduous American beech (Fagus grandifolia). We simulated three scenarios for tree water storage and mixing: (a) zero storage (ZS), (b) storage with a well-mixed reservoir (WM), and (c) storage with piston flow (PF). Simulating tree storage (WM and PF) improved the fit to delta(XYLEM) observations over ZS in the summer and fall seasons and substantially altered calibrated RWU depths and stomatal conductance. Our results suggest that there are likely to be advantages to considering tree storage and internal mixing when attempting to interpret delta(XYLEM) in the estimation of RWU depths and critical zone water residence times, particularly during periods of low transpiration. Improved representations of tree water dynamics could yield more accurate ecohydrologic and earth system model representations of the critical zone.</t>
  </si>
  <si>
    <t>e2201</t>
  </si>
  <si>
    <t>10.1002/eco.2201</t>
  </si>
  <si>
    <t>Sherwood, OA; Thresher, RE; Fallon, SJ; Davies, DM; Trull, TW</t>
  </si>
  <si>
    <t>Multi-century time-series of N-15 and C-14 in bamboo corals from deep Tasmanian seamounts: evidence for stable oceanographic conditions</t>
  </si>
  <si>
    <t>Tasmanian seamounts; Deep-sea corals; Stable isotopes; Radiocarbon; Biogeochemistry</t>
  </si>
  <si>
    <t>LATE HOLOCENE RADIOCARBON; BOMB RADIOCARBON; ISOTOPIC COMPOSITION; AGE VALIDATION; GORGONIAN CORALS; SOUTHERN-OCEAN; NE ATLANTIC; SEA CORALS; FOOD-WEB; DELTA-N-15</t>
  </si>
  <si>
    <t>Bamboo corals (Family Isididae) are an important component of seamount benthos south of Tasmania. Besides having lifespans of up to 400 yr, little is known about their basic ecology, nor how to decode potential climate signals encoded in their skeletons. We explored the stable nitrogen isotope and radiocarbon compositions of the skeletal organic fraction of the genera Isidella, Keratoisis and Lepidisis collected from 3 Tasmanian seamounts. Analyses were performed on tissues and organic node growth rings sampled at a temporal resolution of 1 to 4 yr. Radiocarbon chronologies exhibited nuclear bomb signals characteristic of surface waters and constrained radial growth rates to similar to 35 +/- 10 mu m yr(-1) for 3 specimens of the genus Lepidisis and 113 +/- 17 mu m yr(-1) for 1 specimen of Isidella. delta N-15 values of the living tissue and underlying gorgonin were similar and averaged 9 to 12 parts per thousand. Records of delta N-15 from 8 different specimens showed subtle, quasi-decadal patterns over the last similar to 100 yr, although the amplitude of these features (similar to 1 parts per thousand) was similar to the average intra- and inter-colony reproducibility. These results demonstrate the utility of deep-sea corals to track seamount bio-geochemical processes over long time scales, and suggest that the extent of nutrient depletion of surface waters and associated trophic dynamics have remained relatively constant in this region over centuries. This provides an important baseline for the evaluation of the impacts of anthropogenic climate change.</t>
  </si>
  <si>
    <t>10.3354/meps08166</t>
  </si>
  <si>
    <t>Doll, AC; Taras, BD; Stricker, CA; Rea, LD; O'Hara, TM; Cyr, AP; McDermott, S; Loomis, TM; Fadely, BS; Wunder, MB</t>
  </si>
  <si>
    <t>Temporal records of diet diversity dynamics in individual adult female Steller sea lion (Eumetopias jubatus) vibrissae</t>
  </si>
  <si>
    <t>Stable isotope; Carbon; Nitrogen; Trophic; Kernel density</t>
  </si>
  <si>
    <t>MARINE PLANKTON; WESTERN STOCK; CARBON; FRACTIONATION; PATTERNS; WASHINGTON; ISOTOPES; NITROGEN; ALASKA</t>
  </si>
  <si>
    <t>Detailed information on the nutrition of free-ranging mammals contributes to the understanding of life history requirements, yet is often quite limited temporally for most species. Reliable dietary inferences can be made by analyzing the stable carbon (C) and nitrogen (N) isotopic values (delta C-13 and delta N-15) of some consumer tissues; exactly which tissue is utilized dictates the inferential scope. Steller sea lion (SSL) vibrissae are grown continuously without shedding and thus provide a continuous multi-year record of dietary consumption. We applied a novel kernel density approach to compare the delta C-13 and delta N-15 values along the length of SSL vibrissae with delta C-13 and delta N-15 distributions of potential prey species. This resulted in time-series of proportion estimates of dietary consumption for individual SSL. Substantial overlap in delta C-13 and delta N-15 distributions for prey species prevented a discrete species-scale assessment of SSL diets; however, a post hoc correlational analysis of diet proportion estimates revealed grouping by trophic level. Our findings suggest that adult female SSL diets in the western and central Aleutian Islands shift significantly according to season: diets contain a higher proportion of lower trophic level species (Pacific Ocean perch, northern rockfish, Atka mackerel and walleye pollock) in the summer, whereas in the winter SSL consume a much more diverse diet which includes a greater proportion of higher trophic level species (arrowtooth flounder, Kamchatka flounder, darkfin sculpin, Pacific cod, Pacific octopus, rock sole, snailfish, and yellow Irish lord).</t>
  </si>
  <si>
    <t>10.1007/s00442-018-4173-8</t>
  </si>
  <si>
    <t>de Carvalho, DR; Sparks, JP; Flecker, AS; Alves, CBM; Moreira, MZ; Pompeu, PS</t>
  </si>
  <si>
    <t>Nitrogen pollution promotes changes in the niche space of fish communities</t>
  </si>
  <si>
    <t>Stable isotopes; Nitrate; Ammonium; Trophic niche; Food web</t>
  </si>
  <si>
    <t>STABLE-ISOTOPE RATIOS; FOOD WEBS; FRESH-WATER; ORGANIC-MATTER; DELTA-N-15; CARBON; ECOSYSTEMS; NUTRIENT; TISSUE; ALGAE</t>
  </si>
  <si>
    <t>Historically, anthropogenic fixed nitrogen has been purposely increased to benefit food production and global development. One consequence of this increase has been to raise concentrations of nitrogen in aquatic ecosystems. To evaluate whether nitrogen pollution promotes changes in the estimates of niche space of fish communities, we examined 16 sites along a Brazilian river basin highly impacted by anthropogenic activities, especially discharge of domestic and industrial sewage from a region with more than 5 million inhabitants. We analysed the carbon (delta C-13) and nitrogen (delta N-15) isotope ratios of fish species and both autochthonous (periphyton) and allochthonous (course and fine particulate organic matter) basal food resources. To estimate the magnitude of nitrogen pollution, we measured the nitrate and ammonium concentrations at each site. Sampling was conducted in the dry and wet seasons to evaluate the influence of seasonality. Nitrogen pollution generally increased estimates of niche space, and seasonality influenced only the niche estimates of fish communities from polluted sites. In addition, isotopic analyses of nitrogen polluted sites yielded unrealistic estimates of trophic positioning (detritivores at the top of the food web). We conclude that changes in niche space estimates reflect both alterations in baseline isotopic values and differential trophic behaviour among fishes. Our study suggests that under conditions of high pollution, other factors appear to influence isotopic estimates of niche, such as isotopically distinct sources that have not been sampled, and/or differences in delta N-15 turnover rates between fish tissue and basal resources, creating isotopic baselines that are challenging to interpret.</t>
  </si>
  <si>
    <t>10.1007/s00442-021-05029-z</t>
  </si>
  <si>
    <t>Seco, J; Roberts, J; Ceia, FR; Baeta, A; Ramos, JA; Paiva, VH; Xavier, JC</t>
  </si>
  <si>
    <t>Distribution, habitat and trophic ecology of Antarctic squid Kondakovia longimana and Moroteuthis knipovitchi: inferences from predators and stable isotopes</t>
  </si>
  <si>
    <t>Dissostichus eleginoides; Dissostichus mawsoni; Cephalopod; South Sandwich Islands; Southern Ocean; delta C-13 and delta N-15</t>
  </si>
  <si>
    <t>SCOTIA SEA; DISSOSTICHUS-ELEGINOIDES; SOUTH GEORGIA; PATAGONIAN TOOTHFISH; STOMACH-CONTENTS; FORAGING AREAS; CEPHALOPODS; DIET; ONYCHOTEUTHIDAE; INFORMATION</t>
  </si>
  <si>
    <t>Cephalopods have a key role in the marine environment though knowledge of their distribution and trophic ecology is limited by a lack of observations. This is particularly true for Antarctic species. Toothfish species are key predators of cephalopods and may be viewed as ideal biological samplers of these species. A total of 256 cephalopod lower beaks were identified from the stomachs of Patagonian toothfish (Dissostichus eleginoides) and Antarctic toothfish (Dissostichus mawsoni), captured in fisheries of South Georgia and the South Sandwich Islands in the South Atlantic between March and April 2009. Long-armed octopus squid (Kondakovia longimana) and smooth-hooked squid (Moroteuthis knipovitchi) were the main cephalopod prey and both were predated upon wherever toothfish were captured, though this cephalopod species appear to inhabit deeper waters at the South Sandwich Islands than at South Georgia. Measurements of delta C-13 from beak material indicated a clear segregation of habitat use comparing adult and sub-adult sized K. longimana. Variation in delta N-15 with size indicated an ontogenetic shift in the diet of cephalopods and also suggested some trophic plasticity among years. This study provides new insights into the private life of some elusive Antarctic cephalopods in an underexplored region of the South Atlantic.</t>
  </si>
  <si>
    <t>10.1007/s00300-015-1675-2</t>
  </si>
  <si>
    <t>Iho, A; Ahlvik, L; Ekholm, P; Lehtoranta, J; Kortelainen, P</t>
  </si>
  <si>
    <t>Optimal Phosphorus Abatement Redefined: Insights From Coupled Element Cycles</t>
  </si>
  <si>
    <t>Phosphorus; Agriculture; Terminal electron acceptor; Dynamic optimization; Eutrophication</t>
  </si>
  <si>
    <t>LAKE-ERIE; EUTROPHICATION; SOIL; ECOSYSTEMS; MANAGEMENT; NITROGEN; CONSEQUENCES; NUTRIENTS; ECONOMICS; POLLUTION</t>
  </si>
  <si>
    <t>To successfully combat eutrophication caused by agricultural P loads, we need to understand how various forms of P respond to mitigation measures and thus how they contribute to algal growth. Failure to balance mitigation measures targeting dissolved inorganic P (DIP) and Pin eroded soil (PP) may lead to economically inefficient measures at best, and to aggravated eutrophication at worst. We model dynamically optimal eutrophication management in a P-limited and SO4-containing water body by taking into account the O-2 available and the coupling between the C, Fe, S and P cycles. We show that optimal management would put more weight on mitigating DIP than PP, and that the emphasis on DIP should be particularly strong in eutrophic water bodies. To foster influential and cost-efficient policies, we urge defining water body-specific multipliers to commensurate the main P forms into eutrophying phosphorus, much as greenhouse gases are converted to their CO2 equivalents. (C) 2017 Elsevier B.V. All rights reserved.</t>
  </si>
  <si>
    <t>10.1016/j.ecolecon.2017.02.023</t>
  </si>
  <si>
    <t>Scheuerell, MD; Moore, JW; Schindler, DE; Harvey, CJ</t>
  </si>
  <si>
    <t>Varying effects of anadromous sockeye salmon on the trophic ecology of two species of resident salmonids in southwest Alaska</t>
  </si>
  <si>
    <t>diet subsidy; marine-derived; stable isotope; nitrogen; bioenergetics</t>
  </si>
  <si>
    <t>ELEMENTS TRANSPORTED UPSTREAM; WHOLE-RIVER FERTILIZATION; FRESH-WATER ECOSYSTEMS; STABLE-CARBON ISOTOPES; PACIFIC SALMON; FOOD WEBS; SOUTHEASTERN ALASKA; ONCORHYNCHUS-NERKA; COHO SALMON; DELTA-C-13 EVIDENCE</t>
  </si>
  <si>
    <t>1. Anadromous salmon transport marine-derived nutrients and carbon to freshwater and riparian ecosystems upon their return to natal spawning systems. The ecological implications of these subsidies on the trophic ecology of resident fish remain poorly understood despite broad recognition of their potential importance. 2. We studied the within-year changes in the ration size, composition and stable isotope signature of the diets of two resident salmonids (rainbow trout, Oncorhynchus mykiss; Arctic grayling, Thymallus arcticus) before and after the arrival of sockeye salmon (Oncorhynchus nerka) to their spawning grounds in the Bristol Bay region of southwest Alaska. 3. Ration size and energy intake increased by 480-620% for both species after salmon arrived. However, the cause of the increases differed between species such that rainbow trout switched to consuming salmon eggs, salmon flesh and blowflies that colonized salmon carcasses, whereas grayling primarily ate more benthic invertebrates that were presumably made available because of physical disturbances by spawning salmon. 4. We also observed an increase in the delta N-15 of rainbow trout diets post-salmon, but not for grayling. This presumably led to the observed increase in the delta N-15 of rainbow trout with increasing body mass, but not for grayling. 5. Using a bioenergetics model, we predicted that salmon-derived resources contributed a large majority of the energy necessary for growth in this resident fish community. Furthermore, the bioenergetics model also showed how seasonal changes in diet affected the stable isotope ratios of both species. These results expand upon a growing body of literature that highlights the different pathways whereby anadromous salmon influence coastal ecosystems, particularly resident fish.</t>
  </si>
  <si>
    <t>10.1111/j.1365-2427.2007.01823.x</t>
  </si>
  <si>
    <t>Minnaar, C; Boyles, JG; Minnaar, IA; Sole, CL; McKechnie, AE</t>
  </si>
  <si>
    <t>Stacking the odds: light pollution may shift the balance in an ancient predator-prey arms race</t>
  </si>
  <si>
    <t>arms race; Cape serotine bat; co-evolution; eared moth; Lepidoptera; light pollution; Neoromicia capensis; predator-prey interactions; prey selection</t>
  </si>
  <si>
    <t>ARTIFICIAL-LIGHT; SPECTRAL COMPOSITION; INSECTIVOROUS BATS; INSECTS; MOTHS; BRITAIN; ENERGY; TIME</t>
  </si>
  <si>
    <t>1. Artificial night lighting threatens to disrupt strongly conserved light-dependent processes in animals and may have cascading effects on ecosystems as species interactions become altered. Insectivorous bats and their prey have been involved in a nocturnal, co-evolutionary arms race for millions of years. Lights may interfere with anti-bat defensive behaviours in moths, and disrupt a complex and globally ubiquitous interaction between bats and insects, ultimately leading to detrimental consequences for ecosystems on a global scale. 2. We combined experimental and mathematical approaches to determine effects of light pollution on a free-living bat-insect community. We compared prey selection by Cape serotine bats Neoromicia capensis in naturally unlit and artificially lit conditions using a manipulative field experiment, and developed a probabilistic model based on a suite of prey-selection factors to explain differences in observed diet. 3. Moth consumption by N. capensis was low under unlit conditions (mean percentage volume +/- SD: 5.91 +/- 6.25%), while moth consumption increased sixfold (mean percentage volume +/- SD: 35.42 +/- 17.90%) under lit conditions despite a decrease in relative moth abundance. Predictive prey-selection models that included high-efficacy estimates for eared-moth defensive behaviour found most support given diet data for bats in unlit conditions. Conversely, models that estimated eared-moth defensive behaviour as absent or low found more support given diet data for bats in lit conditions. Our models therefore suggest the increase in moth consumption was a result of light-induced, decreased eared-moth defensive behaviour. 4. Policy implications. In the current context of unyielding growth in global light pollution, we predict that specialist moth-eating bats and eared moths will face ever-increasing challenges to survival through increased resource competition and predation risk, respectively. Lights should be developed to be less attractive to moths, with the goal of reducing effects on moth behaviour. Unfortunately, market preference for broad-spectrum lighting and possible effects on other taxa make development of moth-friendly lighting improbable. Mitigation should therefore focus on the reduction of temporal, spatial and luminance redundancy in outdoor lighting. Restriction of light inside nature reserves and urban greenbelts can help maintain dark refugia for moth-eating bats and moths, and may become important for their persistence.</t>
  </si>
  <si>
    <t>10.1111/1365-2664.12381</t>
  </si>
  <si>
    <t>Wild, R; Gucker, B; Brauns, M</t>
  </si>
  <si>
    <t>Agricultural land use alters temporal dynamics and the composition of organic matter in temperate headwater streams</t>
  </si>
  <si>
    <t>aquatic-terrestrial coupling; agriculture; organic matter; organic carbon spiraling; retention</t>
  </si>
  <si>
    <t>LEAF-LITTER DECOMPOSITION; ECOSYSTEM; BREAKDOWN; METABOLISM; RETENTION; RESOURCE; GRADIENT; DETRITUS; MACROINVERTEBRATES; DISTURBANCE</t>
  </si>
  <si>
    <t>Intensification of agricultural land use leads to riparian clear cutting, which disrupts stream aquatic-terrestrial linkages through the loss of terrestrial particulate organic matter (POM). POM is important for structuring habitats and serves as a basal resource for food webs. We studied the effects of agricultural land use on the fate and temporal dynamics of POM inputs and standing crops by comparing 2 agricultural and 2 forested reference streams for 15 mo. We used the C spiraling metrics downstream velocity of organic C (V-OC) and index of retention (IR) to integrate information on the dynamics of benthic organic matter (BOM) with physical characteristics of the streams. Daily POM inputs into reference streams were 15 to 39x higher than inputs into agricultural streams, and mean standing crops of total BOM were significantly lower in agricultural streams than in reference streams. Agricultural streams had significantly higher standing crops of fine benthic organic matter (FBOM), but 1.8 to 3x lower coarse benthic organic matter (CBOM) than reference streams. The temporal dynamics of BOM standing crops differed between landuse types. BOM varied seasonally in reference streams but varied stochastically over time in agricultural streams. V-OC was significantly faster and IR was significantly lower in agricultural than in reference streams. Further, V-OC was mainly determined by benthic organic carbon (BOC) and transported organic carbon (TOC). Analyses of BOM and carbon spiraling metrics suggested that reference streams were more retentive because of terrestrial POM inputs and higher habitat complexity, whereas high discharge and hydrological variability limited the retentive capacity of the agricultural headwaters. However, total litter decomposition rates were high in agricultural streams. Our use of spiraling metrics to integrate physical stream characteristics with temporal dynamics of BOM provides a mechanistic understanding of how agricultural land use affects POM dynamics in temperate headwaters and highlights the importance of natural riparian vegetation to restoration efforts. This understanding is important in light of the growing concerns about the effects of intensive agriculture on stream ecosystems.</t>
  </si>
  <si>
    <t>10.1086/704828</t>
  </si>
  <si>
    <t>Zhang, XF; Liu, ZW; Jeppesen, E; Taylor, WD; Rudstam, LG</t>
  </si>
  <si>
    <t>Effects of benthic-feeding common carp and filter-feeding silver carp on benthic-pelagic coupling: Implications for shallow lake management</t>
  </si>
  <si>
    <t>Habitat coupling; Shift; Fish; Nutrients; Light</t>
  </si>
  <si>
    <t>HYPOPHTHALMICHTHYS-MOLITRIX; PLANKTON COMMUNITY; CYPRINUS-CARPIO; SEDIMENT RESUSPENSION; RESTORATION TOOL; PERIPHYTIC ALGAE; BOTTOM FEEDERS; WATER-QUALITY; FISH; PHYTOPLANKTON</t>
  </si>
  <si>
    <t>Benthic-pelagic coupling is a key factor in the dynamics of shallow lakes. A 12-week mesocosm experiment was set up to test the hypotheses that benthic-feeding common carp (Cyprinus carpio) reduce the growth of benthic algae and promote eutrophication and that filter-feeding silver carp (Hypophthalmichthys molitrix) stimulate benthic algae growth and promote the establishment of a clear-water state. Compared to the controls, the common carp treatment had higher concentrations of total nitrogen (TN) and total phosphorus (TP) in the water column, higher biomass of pelagic algae (measured as chlorophyll a), higher total suspended solids (TSS) concentrations, lower light intensity, and lower biomass of benthic algae at the sediment surface. Silver carp did not change the chlorophyll a of pelagic algae relative to the controls, but they did decrease the biomass of benthic algae and increase TP and TSS. A microcosm experiment using P-32 radiotracer was conducted to examine effects of the two carp species on the release of sediment phosphorus (P). The P release to the water column was higher with common carp present than without common carp. This was not the case in the silver carp experiments. Our findings show that both common carp and silver carp deteriorate water quality by increasing TP and TSS concentrations and decreasing the biomass of benthic algae at the sediment surface. Common carp had a larger negative effect on water quality than silver carp, perhaps because only common carp enhanced P release from the sediment. The implications for lake management are that removal of both common carp and silver carp from shallow lakes may enhance the growth of benthic algae and help promote the establishment of a clear-water state. (C) 2015 Elsevier B.V. All rights reserved.</t>
  </si>
  <si>
    <t>10.1016/j.ecoleng.2015.12.039</t>
  </si>
  <si>
    <t>O'Grady, A; Schmidt, O; Breen, J</t>
  </si>
  <si>
    <t>Trophic relationships of grassland ants based on stable isotopes</t>
  </si>
  <si>
    <t>Formicidae; Myrmica; Lasius; Formica; Leptothorax</t>
  </si>
  <si>
    <t>NITROGEN; CARBON; DELTA-C-13; ECOLOGY; PHLOEM; INSECT; RATIOS</t>
  </si>
  <si>
    <t>As keystone species in many ecosystems, ants are important predators of insects and other invertebrates, which are fed mainly to the ant larvae. Honeydew is important in the diet of adult worker ants and some ant species collect seeds as food items. Differences in the natural abundance ratios of the stable isotopes of carbon and nitrogen were used to investigate the trophic relationships of eight species of ants in limestone grassland near Limerick, mid-west Ireland. During July 2005, samples of adult workers and larvae were collected from ten nests of each of eight sympatric species (Myrmica ruginodis, M. scabrinodis, M. sabuleti, M. schencki, Leptothorax acervorum, Lasius flavus, L niger, and Formica lemani) and analysed using Elemental Analysis-Isotope Ratio Mass Spectrometry (EA-IRMS). Myrmica ruginodis workers had the highest delta(15)N, and M. schencki the lowest delta(15)N. The delta(15)N spacing between these two species was 2.6 parts per thousand, which represents a difference of almost one trophic level. High delta(15)N values for adult Lash's flavus were unexpected as they suggest a more predatory diet for L flavus workers than is implied in the literature, or possibly a diet including Collembola which can have higher delta(15)N values than herbivorous arthropods. The results for Formica lemani indicate that its diet is more generalist than field observations and the literature suggest. The larvae of L. acervorum had the lowest values for delta(15)N and delta(13)C (probably reflecting a high lipid content) and the values for the workers were also low, suggesting that the food sources of this species, which are little known, are different from those of the other co-occurring ant species in the study. (C) 2010 Elsevier GmbH. All rights reserved.</t>
  </si>
  <si>
    <t>10.1016/j.pedobi.2009.12.002</t>
  </si>
  <si>
    <t>Andersen, DC; Shafroth, PB</t>
  </si>
  <si>
    <t>Beaver dams, hydrological thresholds, and controlled floods as a management tool in a desert riverine ecosystem, Bill Williams River, Arizona</t>
  </si>
  <si>
    <t>beaver dam; Castor canadensis; ecohydrology; habitat conversion; lotic-lentic ratio; managed flood; riverine ecosystem; Sonoran Desert</t>
  </si>
  <si>
    <t>SURFACE-WATER INTERACTIONS; RIPARIAN VEGETATION; CASTOR-CANADENSIS; FLOW; DISTURBANCE; COMMUNITY; PATTERNS; CLIMATE; STREAMS; BIRDS</t>
  </si>
  <si>
    <t>Beaver convert lotic stream habitat to lentic through darn construction, and the process is reversed when a flood or other event causes darn failure. We investigated both processes on a regulated Sonoran Desert stream, using the criterion that average current velocity is &lt;0.2 m s(-1) in a lentic reach. We estimated temporal change in the lotic : lentic stream length ratio by relating beaver pond length (determined by the upstream lentic-lotic boundary position) to dam size, and coupling that to the dam-size frequency distribution and repeated censuses of dams along the 58-km river. The ratio fell from 19: 1 when no beaver dams were present to &lt;3 : 1 after 7 years of flows favourable for beaver. We investigated the dam failure-flood intensity relationship in three independent trials (experimental floods) featuring peak discharge ranging from 37 to 65 m(3) s(-1). Major damage (breach &gt;= 3-m wide) occurred at &gt;= 20% of monitored dams (n = 7-86) and a similar or higher proportion was moderately damaged. We detected neither a relationship between dam size and damage level nor a flood discharge threshold for initiating major damage. Dam constituent materials appeared to control the probability of major damage at low (attenuated) flood magnitude. We conclude that environmental flows prescribed to sustain desert riparian forest will also reduce beaver-created lentic habitat in a non-linear manner determined by both beaver dam and flood attributes. Consideration of both desirable and undesirable consequences of ecological engineering by beaver is important when optimizing environmental flows to meet ecological and socioeconomic goals. Published in 2010 by John Wiley &amp; Sons, Ltd.</t>
  </si>
  <si>
    <t>10.1002/eco.113</t>
  </si>
  <si>
    <t>McLeod, RJ; Wing, SR; Davis, JP</t>
  </si>
  <si>
    <t>Habitat conversion and species loss alters the composition of carbon sources to benthic communities</t>
  </si>
  <si>
    <t>Notolabrus celidotus; Stable isotopes; Fatty acid biomarkers; Compound specific delta C-13; Food web</t>
  </si>
  <si>
    <t>NEW-ZEALAND FJORDS; FOOD WEBS; STABLE-ISOTOPES; ORGANIC-MATTER; DOUBTFUL SOUND; POPULATION-STRUCTURE; MARINE; DELTA-C-13; SEAGRASS; SULFUR</t>
  </si>
  <si>
    <t>Generalist fishes provide an effective measure of the composition of basal carbon source pools fueling benthic communities, by integrating inputs across major consumer groups. In Doubtful Sound, New Zealand, shallow water invertebrate communities differ from those in other areas in Fiordland due to low salinity caused by freshwater output of a hydroelectric power station. To investigate whether the composition of basal carbon sources supporting this benthic community differed from that in unaltered sites, we sampled a generalist wrasse, Notolabrus celidotus, from altered and unaltered habitats throughout Fiordland, and quantified its delta C-13, delta N-15, delta S-34 and the abundance of its fatty acids. N. celidotus from the altered sites in Doubtful Sound had significantly lower delta C-13, delta N-15 and delta S-34 than those collected from similar habitats throughout the Fiordland region, indicating a higher proportion of chemosynthetically fixed organic matter for Doubtful Sound N. celidotus and the invertebrate community upon which they feed. Relatively high abundances of cis-vaccenic acid (18:1 omega 7c) in fish from Doubtful Sound and delta C-13 values that were similar to-33% for 18: 1 isomers confirmed the incorporation of chemosynthetic bacteria, and indicated that the original source of carbon was forest litter. Despite these differences in carbon supply to N. celidotus, analysis of otolith sections revealed no differences in growth rates among sites. The results of this study demonstrate that a shift in invertebrate composition can be indicated by higher order consumers. In Doubtful Sound, decreased abundance of filter-feeding bivalves has reduced the flux of marine derived carbon through the benthic community to higher trophic levels relative to more pristine sites in Fiordland.</t>
  </si>
  <si>
    <t>10.3354/meps08677</t>
  </si>
  <si>
    <t>Carrasco, NK; Perissinotto, R</t>
  </si>
  <si>
    <t>Spatial and temporal variations in the diet of the mysid Mesopodopsis africana in the St. Lucia Estuary (South Africa)</t>
  </si>
  <si>
    <t>Stable isotopes; South Africa; iSimangaliso Wetland Park; Trophic relations; Key species</t>
  </si>
  <si>
    <t>STABLE-ISOTOPE ANALYSIS; NEOMYSIS-INTEGER; ZOOPLANKTON COMMUNITY; TROPHIC POSITION; CARBON ISOTOPES; PELAGIC MYSIDS; BALTIC SEA; PREDATION; SYSTEM; LAKE</t>
  </si>
  <si>
    <t>This study presents one of the few known examples where a mysid species has been observed modifying its diet rapidly and under natural conditions in response to environmental changes. Mesopodopsis africana is a dominant mysid in many estuaries along the east coast of South Africa, and a key species in the St. Lucia Estuary, Africa's largest estuarine lake. St. Lucia is currently undergoing severe desiccation owing to freshwater deprivation. Lack of freshwater input has dampened the effect of temporal variations, while different regions have become more spatially heterogeneous. The mixed model SIAR v 4.0 (stable isotope analysis in R) was used to determine the likely contribution of each of the available carbon sources to the diet of M. africana. The copepod Pseudodiaptomus stuhlmanni made a significant contribution to M. africana's diet in the Mouth region. At Catalina Bay, mysids mostly utilized particulate organic matter (POM), while at Charters Creek they were most closely associated with the macroalga Cladophora sp. The sensitivity of Charters Creek to drought effects is emphasized here, as well as the important role M. africana plays in this habitat as an omnivore, increasing the connectance and, hence, sustaining its food web. While the Mouth and Narrows are partly protected from drought effects, the northern lakes have experienced further increases in salinity during the past decade, forcing the periodical exclusion of this mysid from much of the system. This has lead to severe effects on the food webs that the mysid supports under normal conditions.</t>
  </si>
  <si>
    <t>10.3354/meps08799</t>
  </si>
  <si>
    <t>Arosio, T; Ziehmer, MM; Nicolussi, K; Schluchter, C; Leuenberger, M</t>
  </si>
  <si>
    <t>Alpine Holocene tree-ring dataset: age-related trends in the stable isotopes of cellulose show species-specific patterns</t>
  </si>
  <si>
    <t>WATER-USE EFFICIENCY; CARBON-ISOTOPE; CLIMATIC SIGNIFICANCE; PINUS-SYLVESTRIS; OXYGEN ISOTOPES; SUMMER DROUGHTS; DELTA-C-13; RATIOS; HYDROGEN; RECORD</t>
  </si>
  <si>
    <t>Stable isotopes in tree-ring cellulose are important tools for climatic reconstructions even though their interpretation could be challenging due to nonclimate signals, primarily those related to tree aging. Previous studies on the presence of tree-age-related trends during juvenile as well as adult growth phases in delta D, delta O-18, and delta C-13 time series yielded variable results that are not coherent among different plant species. We analyzed possible trends in the extracted cellulose of tree rings of 85 larch trees and 119 cembran pine trees, i.e., in samples of one deciduous and one evergreen conifer species collected at the tree line in the Alps, covering nearly the whole Holocene. The age trend analyses of all tree-ring variables were conducted on the basis of mean curves established by averaging the cambial-age-aligned tree series. For cambial ages over 100 years, our results prove the absence of any age-related effect in the delta D, delta O-18, and delta C-13 time series for both the evergreen and the deciduous conifer species, with the only exception being larch delta D. However, for lower cambial ages, we found trends that differ for each isotope and species; i.e., mean delta C-13 values in larch do not vary with aging and can be used without detrending, whereas those in cembran pine show a juvenile effect, and the data should be detrended. Mean delta O-18 values present two distinct aging phases for both species, complicating detrending. Similarly, mean delta D values in larch change in the first 50 years, whereas cembran pine changes between 50 and 100 years. Values for these two periods of cambial age for delta D and delta O-18 should be used with caution for climatic reconstructions, ideally complemented by additional information regarding mechanisms for these trends.</t>
  </si>
  <si>
    <t>10.5194/bg-17-4871-2020</t>
  </si>
  <si>
    <t>Winemiller, KO; Andrade, MC; Arantes, CC; Bokhutlo, T; Bower, LM; Cunha, ER; Keppeler, FW; Lopez-Delgado, EO; Quintana, Y; Saenz, DE; Mayes, KB; Robertson, CR</t>
  </si>
  <si>
    <t>Can spatial food web subsidies associated with river hydrology and lateral connectivity be detected using stable isotopes?</t>
  </si>
  <si>
    <t>Carbon; Fluvial ecology; Fish; Guadalupe River; Isospace; Mussel; Nitrogen; Source polygon</t>
  </si>
  <si>
    <t>FLOODPLAIN RIVERS; TERRESTRIAL MATERIAL; TROPHIC POSITION; ENERGY-FLOW; FISH; CARBON; DYNAMICS; HABITAT; DRY; VARIABILITY</t>
  </si>
  <si>
    <t>During and following lateral connections, aquatic organisms residing in the river channel may assimilate material from sources imported from oxbows, and oxbow residents may consume and assimilate material imported from the channel. Hydrology, lateral connectivity, and stable isotope ratios of fishes and mussels were analyzed for evidence of spatial food web subsidies between the active channel and oxbow lakes in the floodplain of the Guadalupe River, Texas. During surveys conducted between March 2016 and April 2017, fish, mussel, periphyton, seston, and riparian plant samples were collected in and around two oxbows and adjacent channel sites for analysis of stable isotope ratios. Biplots of 813C and 815N were graphed for basal sources and specimens of six common fish species, four sunfish species (Lepomis spp. combined), and two mussel species (Unionidae combined) captured from oxbows and the channel. Within each graph, polygons were drawn to indicate the space occupied by animals that could have assimilated feasible combinations of source materials originating from either oxbows or the river channel. Based on positions of animals within source polygons, riparian C4 grasses were not an important source of organic matter supporting biomass of fishes and mussels within the channel or oxbows. Overall, 84% of organisms had isotopic signatures consistent with assimilation of in situ sources, but also 76% of all organisms were inconclusive with regards to cross-habitat exchanges. Outliers that may have assimilated ex situ source material were observed for only 4% of 313 organisms from oxbows and 9% of 232 organisms from the channel, and some but not all of these cases followed high flow pulses that connected oxbows for extended periods. Several issues that compromise inferences from stable isotope analysis were identified, and estimation of spatial food web subsidies in fluvial systems could be enhanced by analyzing additional biomarkers, such as isotopic ratios of other elements and compound-specific stable isotopes, as well as additional sources, timespecific biotracers, and experimental approaches that directly track movement of sources and organisms in spatially structured food webs.</t>
  </si>
  <si>
    <t>e00264</t>
  </si>
  <si>
    <t>10.1016/j.fooweb.2022.e00264</t>
  </si>
  <si>
    <t>Ross, TR; Thiemann, GW; Young, BG; Ferguson, SH</t>
  </si>
  <si>
    <t>Complimentary diet analyses reveal intraspecific and temporal variation in ringed seal (Pusa hispida) foraging in the Canadian high arctic</t>
  </si>
  <si>
    <t>Ringed seal; Diet; Foraging; Gulf of Boothia; Fatty acid signature; Stable isotope</t>
  </si>
  <si>
    <t>COD BOREOGADUS-SAIDA; CAPELIN MALLOTUS-VILLOSUS; FATTY-ACID-COMPOSITION; STABLE-ISOTOPE RATIOS; PHOCA-HISPIDA; TROPHIC RELATIONSHIPS; POLAR BEARS; PHYTOPLANKTON BLOOMS; LIPID EXTRACTION; CARBON ISOTOPES</t>
  </si>
  <si>
    <t>Warming ocean temperatures and loss of Arctic sea ice have contributed to shifts in the distribution of endemic forage species important to the diets of marine carnivores, such as ringed seals (Pusa hispida). Given the heterogeneous way in which these changes are projected to occur throughout the Arctic, it is important to gain an understanding of predator diets and how they may change over time and space. We present the first study of ringed seal foraging ecology in the Gulf of Boothia, located in the central Canadian Arctic, using three diet estimation techniques: stomach contents, stable isotopes, and fatty acid signature analyses. Samples of ringed seal blubber and muscle were collected during subsistence harvests in Kugaaruk, Nunavut, Canada between 2012 and 2016. Stomach contents were collected in 2012 and differed amongst seals of different age classes, with polar cod (Boreogadus saida) comprising the largest proportion of both adult and juvenile seal diets. Mysids (Mysis oculata) were the main prey consumed by young of the year. Overall, FA signatures differed amongst age classes and exhibited significant interannual variation, but were not influenced by sea ice phenology, whilst values of delta C-13, an indication of foraging habitat, changed in relation to the dates of annual sea ice breakup and freeze-up. Our results offer novel insights into the foraging habits of ringed seals in the Gulf of Boothia and demonstrate that ringed seal diets vary temporally, although not solely in response to sea ice concentration, which remains relatively high in this region of the central Canadian Arctic.</t>
  </si>
  <si>
    <t>10.1007/s00300-021-02999-x</t>
  </si>
  <si>
    <t>Lin, GH; Ehleringer, JR; Rygiewicz, PT; Johnson, MG; Tingey, DT</t>
  </si>
  <si>
    <t>Elevated CO2 and temperature impacts on different components of soil CO2 efflux in Douglas-fir terracosms</t>
  </si>
  <si>
    <t>elevated CO2; forest ecosystem; global warming; soil respiration; stable isotopes</t>
  </si>
  <si>
    <t>TRACE GAS FLUXES; ATMOSPHERIC CO2; CARBON-DIOXIDE; PONDEROSA PINE; RESPIRATION; RHIZOSPHERE; RESPONSES; TURNOVER; DECOMPOSITION; VEGETATION</t>
  </si>
  <si>
    <t>Although numerous studies indicate that increasing atmospheric CO2 or temperature data are available on the responses of three major components of soil respiration [i.e. rhizosphere respiration (root and root exudates), litter decomposition, and oxidation of soil organic matter] to different CO2 and temperature conditions. In this study, we applied a dual stable isotope approach to investigate the impact of elevated CO2 and elevated temperature on these components of soil CO2 efflux in Douglas-fir terracosms. We measured both soil CO2 efflux rates and the C-13 and O-18 isotopic compositions of soil CO2 efflux in 12 sun-lit and environmentally controlled terracosms with 4-year-old Douglas fir seedlings and reconstructed forest soils under two CO2 concentrations (ambient and 200 ppmv above ambient) and two air temperature regimes (ambient and 4 degrees C above ambient). The stable isotope data were used to estimate the relative contributions of different components to the overall soil CO2 efflux. In most cases, litter decomposition was the dominant component of soil CO2 efflux in this system, followed by rhizosphere respiration and soil organic matter oxidation. Both elevated atmospheric CO2 concentration and elevated temperature stimulated rhizosphere respiration and litter decomposition. The oxidation of soil organic matter was stimulated only by increasing temperature. Release of newly fixed carbon as root respiration was the most responsive to elevated CO2, while soil organic matter decomposition was most responsive to increasing temperature. Although some assumptions associated with this new method need to be further validated, application of this dual-isotope approach can provide new insights into the responses of soil carbon dynamics in forest ecosystems to future climate changes.</t>
  </si>
  <si>
    <t>10.1046/j.1365-2486.1999.00211.x</t>
  </si>
  <si>
    <t>Bergstrom, U; Sundblad, G; Downie, AL; Snickars, M; Bostrom, C; Lindegarth, M</t>
  </si>
  <si>
    <t>Evaluating eutrophication management scenarios in the Baltic Sea using species distribution modelling</t>
  </si>
  <si>
    <t>Baltic Sea Action Plan; ensemble modelling; GAM; Maxent; Random Forest; scenario analysis; Secchi depth; species distribution models</t>
  </si>
  <si>
    <t>ZOSTERA-MARINA L.; FUCUS-VESICULOSUS; CLIMATE-CHANGE; ENVIRONMENTAL VARIABLES; ECOSYSTEM SERVICES; HABITAT; PREDICTION; COMMUNITIES; CLASSIFICATION; DIVERSITY</t>
  </si>
  <si>
    <t>Eutrophication is severely affecting species distributions and ecosystem functioning in coastal areas. Targets for eutrophication reduction have been set in the Baltic Sea Action Plan (BSAP) using Secchi depth, a measure of water transparency, as the main status indicator. Despite the high economic costs involved, the potential effects of this political decision on key species and habitats have not been assessed. In a case study including species central to coastal ecosystem functioning, we modelled the effects of changing Secchi depth on the distribution of bladderwrack Fucus vesiculosus and eelgrass Zostera marina vegetation as well as recruitment areas of the main predatory fish species, perch Perca fluviatilis and pikeperch Sander lucioperca. Specifically, we explored the effects of changing Secchi depth on species distributions under a set of scenarios based on the BSAP, using three fundamentally different modelling techniques: maximum entropy, generalized additive and random forest modelling. Improved Secchi depth (reduced eutrophication) was predicted to cause a substantial increase in the distribution of bladderwrack, while the distribution of eelgrass remained largely unaffected. For the fish, a large increase in perch recruitment areas was predicted and a concurrent decrease in recruitment areas of pikeperch. These changes are likely to have effects on biodiversity and ecosystem services. The three modelling methods exposed differences in the quantitative predictions for species with a weaker coupling to Secchi depth. Qualitatively, however, the results were consistent for all species. Synthesis and applications. We show how ecological effects of environmental policies can be evaluated in an explicit spatial context using species distribution modelling. The model-specific responses to changes in eutrophication status emphasize the importance of using ensemble modelling for exploring how species distributions may respond to alternative management regimes. A pronounced difference in response between species suggests that eutrophication mitigation will have consequences for ecosystem functioning, and thus ecosystem goods and services, by inducing changes in the simple food webs of the Baltic Sea. These model predictions form a basis for spatially explicit cost-benefit estimates under different scenarios, providing valuable information for both decision-makers and the wider society.</t>
  </si>
  <si>
    <t>10.1111/1365-2664.12083</t>
  </si>
  <si>
    <t>Moran, LLK; Dorr, BS; Hanson-Dorr, KC; Moore, RJ; Rush, SA</t>
  </si>
  <si>
    <t>Using stable isotopes to examine movement and prey usage of cormorants breeding in the southeastern United States</t>
  </si>
  <si>
    <t>Double-crested Cormorant; delta C-13; delta N-15; delta S-34; Nannopterum auritum; Resource assimilation</t>
  </si>
  <si>
    <t>DOUBLE-CRESTED CORMORANTS; DELTA REGION; MIGRATION; AQUACULTURE; PATTERNS; BIRDS</t>
  </si>
  <si>
    <t>Double-crested Cormorant (Nannopterum auritum) numbers have significantly increased in North America since the late 1970s. Analyses of stable isotopes of carbon, nitrogen, and sulfur were conducted on the liver and pectoral muscle sampled from cormorants collected on Guntersville Reservoir, Alabama to infer whether individuals consumed cultured catfish and whether this population was subject to immigration during the spring sampling period. Potential food sources were also sampled from this system and aquaculture farms in west Alabama. Relationships among isotopic values measured in cormorants and prey illustrate that birds sampled from Guntersville Reservoir included both those that assimilated prey from this system long term and individuals that obtained resources elsewhere. Collectively, these results indicate that Guntersville Reservoir could be a migratory stopover site for cormorants and that these birds likely contribute little damage to aquaculture facilities. Management enacted to remediate effects associated with nuisance populations should be tailored throughout this species range focusing on areas where damage is occurring, and evidence supports culpability.</t>
  </si>
  <si>
    <t>e00220</t>
  </si>
  <si>
    <t>10.1016/j.fooweb.2022.e00220</t>
  </si>
  <si>
    <t>Nasto, MK; McLeod, ML; Bullington, L; Lekberg, Y; Stark, JM</t>
  </si>
  <si>
    <t>The effect of plant invasion on soil microbial carbon-use efficiency in semi-arid grasslands of the Rocky Mountain West</t>
  </si>
  <si>
    <t>Bromus tectorum; carbon-use efficiency; Centaurea stoebe; Euphorbia esula; nitrogen cycling; plant invasion; Potentilla recta; stable isotopes</t>
  </si>
  <si>
    <t>NITROGEN AVAILABILITY; COMMUNITIES; INCREASES; DECOMPOSITION; ABUNDANCE; REGION; SHIFTS</t>
  </si>
  <si>
    <t>Grassland ecosystems invaded by exotic plant species often exhibit substantially higher above-ground productivity and soil nitrogen (N) than the native communities they replace. These shifts are likely associated with altered microbial carbon (C) and N cycling, but we know surprisingly little about how these processes change with plant invasion. Targeting four invasive plant species common in the Rocky Mountain West, we collected soils from invaded and adjacent uninvaded grassland field plots, as well as from an experimental garden. We used a laboratory incubation of soils with C-13- and N-15-labelled substrates to examine how microbial C respiration, C assimilation and N cycling differed among plant communities. To assess how these rates corresponded with plant productivity and microbial communities, we measured above-ground plant biomass and characterized bacterial and fungal communities using Illumina sequencing. In the paired observational plots, soil microbial communities associated with invaders generally had higher respiration rates and lower growth rates than those associated with the native plant communities, leading to a lower microbial carbon-use efficiency (CUE). Overall, soil substrate with a lower C:N was related to decreased CUE, and lower CUE was related to increased gross and net N mineralization. In turn, faster gross N mineralization was related to greater above-ground biomass. These patterns coincided with significant differences in fungal communities, whereas bacterial communities varied by site. Invasive plants also altered microbial communities in the experimental plots, but this was not associated with shifts in microbial CUE, which was low overall. Synthesis. Our results provide evidence that invasive plants alter bacterial and fungal communities. These shifts were not associated with changes in microbial CUE and, thus, the often-assumed link between compositional and functional shifts was not apparent in this study. However, lower CUE was associated with elevated rates of N cycling and productivity, which, in low-productivity systems, could help explain the increased growth and success of exotic plant invaders.</t>
  </si>
  <si>
    <t>10.1111/1365-2745.13815</t>
  </si>
  <si>
    <t>Plumlee, JD; Wells, RJD</t>
  </si>
  <si>
    <t>Feeding ecology of three coastal shark species in the northwest Gulf of Mexico</t>
  </si>
  <si>
    <t>Feeding ecology; Stable isotopes; Stomach contents; Gulf of Mexico</t>
  </si>
  <si>
    <t>JUVENILE BLACKTIP SHARKS; ATLANTIC SHARPNOSE SHARK; SPHYRNA-TIBURO; STABLE-ISOTOPES; CARCHARHINUS-LIMBATUS; RHIZOPRIONODON-TERRAENOVAE; TROPHIC POSITION; CALLINECTES-SAPIDUS; MOVEMENT PATTERNS; BONNETHEAD SHARKS</t>
  </si>
  <si>
    <t>The feeding ecology of 3 coastal shark species-Atlantic sharpnose Rhizoprionodon terraenovae, bonnethead Sphyrna tiburo, and blacktip Carcharhinus limbatus shark-was examined in the northwest Gulf of Mexico (GOM). A total of 601 sharks (305 Atlantic sharpnose, 239 bonnethead, and 57 blacktip) were collected over 2 yr from recreational anglers in Galveston, TX. All individuals had stomach contents examined and a subset (50 Atlantic sharpnose, 50 bonnethead, and 36 blacktip sharks) was analyzed for stable isotopes (carbon, nitrogen, and sulfur) in muscle tissue, revealing short-term and long-term feeding strategies. Both blacktip and Atlantic sharpnose shark stomach contents consisted of teleost fishes with percent index of relative importance (%IRI) of 98.95 and 91.16, respectively, whereas bonnethead diets were dominated by crustaceans (%IRI = 87.20). Stable isotope analysis revealed bonnetheads had higher mean carbon (delta C-13) and lower sulfur (delta S-34) values, indicating inshore feeding and a preference for benthic invertebrates, respectively. Atlantic sharpnose and blacktip sharks were shown to feed on similar prey using stomach content analysis, yet Atlantic sharpnose sharks had a broader diet, including cephalopods and crustaceans in addition to teleost fishes. Differences were further established using nitrogen (delta N-15) values, which were significantly lower for Atlantic sharpnose than blacktip sharks. Collectively, stomach contents and stable isotope analyses supported different feeding strategies of 3 common shark species. delta S-34 appeared to serve as a natural tracer, distinguishing benthic versus pelagic feeding patterns in elasmobranchs. This study provides important ecosystem-based feeding information of upper trophic-level predators in coastal waters of the northwestern GOM.</t>
  </si>
  <si>
    <t>10.3354/meps11723</t>
  </si>
  <si>
    <t>Crowley, BE; Godfrey, LR; Bankoff, RJ; Perry, GH; Culleton, BJ; Kennett, DJ; Sutherland, MR; Samonds, KE; Burney, DA</t>
  </si>
  <si>
    <t>Island-wide aridity did not trigger recent megafaunal extinctions in Madagascar</t>
  </si>
  <si>
    <t>SMALL MAMMALS; ENVIRONMENTAL-CHANGE; COLLAGEN EXTRACTION; NATURAL-ABUNDANCE; STABLE-ISOTOPES; GLOBAL PATTERNS; GIANT LEMURS; NITROGEN; DELTA-N-15; FOREST</t>
  </si>
  <si>
    <t>Researchers are divided about the relative importance of people versus climate in triggering the Late Holocene extinctions of the endemic large-bodied fauna on the island of Madagascar. Specifically, a dramatic and synchronous decline in arboreal pollen and increase in grass pollen ca 1000 yr ago has been alternatively interpreted as evidence for aridification, increased human activity, or both. As aridification and anthropogenic deforestation can have similar effects on vegetation, resolving which of these factors (if either) led to the demise of the megafauna on Madagascar has remained a challenge. We use stable nitrogen isotope (delta N-15) values from radiocarbon-dated subfossil vertebrates to disentangle the relative importance of natural and human-induced changes. If increasing aridity were responsible for megafaunal decline, then we would expect an island-wide increase in delta N-15 values culminating in the highest values at the time of proposed maximum drought at ca 1000 yr ago. Alternatively, if climate were relatively stable and anthropogenic habitat alteration explains the palynological signal, then we would anticipate little or no change in habitat moisture, and no systematic, directional change in delta N-15 values over time. After accounting for the confounding influences of diet, geographic region, and coastal proximity, we find no change in delta N-15 values over the past 10 000 yr, and no support for a period of marked, geographically widespread aridification culminating 900-950 yr ago. Instead, increases in grasses at around that time may signal a transition in human land use to a more dedicated agro-pastoralist lifestyle, when megafaunal populations were already in decline. Land use changes ca 1000 yr ago would have simply accelerated the inevitable loss of Madagascar's megafauna.</t>
  </si>
  <si>
    <t>10.1111/ecog.02376</t>
  </si>
  <si>
    <t>Figuerola, B; Grossman, EL; Lucey, N; Leonard, ND; O'Dea, A</t>
  </si>
  <si>
    <t>Millennial-scale change on a Caribbean reef system that experiences hypoxia</t>
  </si>
  <si>
    <t>Caribbean sea; environmental proxies; historical ecology; microgastropods; palaeoindicators; stable isotopes</t>
  </si>
  <si>
    <t>BOCAS-DEL-TORO; COASTAL EUTROPHICATION; STABLE-ISOTOPES; MASS MORTALITY; GLOBAL OCEAN; DEAD ZONES; CORAL; NUTRIENT; HISTORY; ENVIRONMENTS</t>
  </si>
  <si>
    <t>Coastal hypoxia has become an increasingly acknowledged threat to coral reefs that is potentially intensifying because of increased input of anthropogenic nutrients. Almirante Bay (Caribbean Panama) is a semi-enclosed system that experiences hypoxia in deeper waters which occasionally shoals onto shallow coral reefs, suffocating most aerobic benthic life. To explore the long-term history of reefs in the bay we extracted reef matrix cores from two reefs that today experience contrasting patterns of oxygenation. We constructed a 1800-year-long record of gastropod assemblages and isotope compositions from six U-Th chronologically-constrained reef matrix cores. We extracted two cores from each reef at 3 m water depth and two additional cores from a deeper part (4.8 m) of the hypoxia-exposed reef. Results show that the deeper part of the hypoxic reef slowed in growth and stopped accreting approximately 1500 years BP while the shallow part of the reef continued to accrete to the present day, in agreement with a model of expanding hypoxia at this time. Our proxy-based approach suggests that the patterns of increasing herbivores and decreasing carbon isotope values in the deeper part of the hypoxic reef may have been driven by an increase in hypoxia via eutrophication caused by either natural changes or human impacts. Similar patterns in these paleoindicators occurred in the shallow part of the hypoxic reef during the last few decades. This suggests that the deep water hypoxia may be expanding to depths as shallow as 3 m and that shallow reefs are at greater risk due to increased human activity.</t>
  </si>
  <si>
    <t>10.1111/ecog.05606</t>
  </si>
  <si>
    <t>Chen, Q; Chen, J; Andersen, MN; Cheng, XL</t>
  </si>
  <si>
    <t>Elevational shifts in foliar-soil delta N-15 in the Hengduan Mountains and different potential mechanisms</t>
  </si>
  <si>
    <t>altitude; forestland; microbial assimilation; nitrogen cycle; stable isotope</t>
  </si>
  <si>
    <t>N-15 NATURAL-ABUNDANCE; MYCORRHIZAL FUNGI; ECOENZYMATIC STOICHIOMETRY; NITROGEN LIMITATION; ISOTOPE COMPOSITION; STABLE-ISOTOPES; PLANT; FOREST; CARBON; CLIMATE</t>
  </si>
  <si>
    <t>The natural abundance of stable nitrogen isotopes (delta N-15) provides insights into the N dynamics of terrestrial ecosystems, the determination of which is considered an effective approach for gaining a better understanding ecosystem N cycling. However, there is currently little information available regarding the patterns and mechanisms underlying the variation in foliar-soil delta N-15 among mountain ecosystems. In this study, we examined the determinants of foliar-soil delta N-15 in association with N transportation rates along an elevational gradient in the Hengduan Mountains. Despite the relatively high levels of available N produced from high N fixation and mineralization, we detected the lowest levels of foliar delta N-15 at 3500 m a.s.l., reflecting the stronger vegetation N limitation at medium high elevations. The enhanced vegetation N limitation was driven by the combined effects of higher microbial immobilization and inherent plant dynamic (the shifts of delta N-15 in vegetation preference, including vegetation community) with changing climate along the elevational gradient. Unexpectedly, we established that soil delta N-15 was characterized by an undulating rise and uncoupled correlation with foliar delta N-15 with increasing elevation, thereby indicating that litter input might not be a prominent driver of soil delta N-15. Conversely, soil nitrification and denitrification were found to make a more pronounced contribution to the pattern of soil delta N-15 along the elevational gradient. Collectively, our results serve to highlight the importance of microbial immobilization in soil N dynamics and provide novel insights that will contribute to enhancing our understanding of N cycling as indicated by foliar-soil delta N-15 along elevational gradients.</t>
  </si>
  <si>
    <t>10.1111/gcb.16306</t>
  </si>
  <si>
    <t>Koch, PL; Fox, LR</t>
  </si>
  <si>
    <t>Browsing impacts on the stable isotope composition of chaparral plants</t>
  </si>
  <si>
    <t>biological nitrogen fixation; Ceanothus; herbivory; maritime chaparral; Odocoileus; stable isotopes</t>
  </si>
  <si>
    <t>SYMBIOTIC NITROGEN-FIXATION; N-15 NATURAL-ABUNDANCE; ACTINORHIZAL PLANTS; TEMPORAL VARIATIONS; WATER AVAILABILITY; GLOBAL PATTERNS; SOIL; GROWTH; CEANOTHUS; HERBIVORES</t>
  </si>
  <si>
    <t>We assessed the effects of herbivory on competition, water stress, and potentially biological nitrogen fixation on three species of endemic shrubs using variations in the stable isotope ratios (C-13/C-12 and N-15/N-14) in leaves of chaparral shrubs in a long-term field experiment. While variations in isotopic ratios of plants are often attributed to abiotic stresses, impacts of biotic interactions are rarely evaluated. Our site was a low-nutrient, chaparral community on the central California coast. In this system, deer browsing on Ceanothus rigidus, which have symbiotic N-fixing bacteria (Frankia), was intense and suppressed growth, while the two non-fixing shrubs (Arctostaphylos pumila and Ericameria ericoides) were not browsed heavily. For Ceanothus, excluding deer increased both plant size and the delta N-15 value to similar to 0 parts per thousand; delta C-13 values also increased as the plants increased in mass. In Arctostaphylos and Ericameria, stable isotope values did not change, while plant sizes remained the same or even declined when deer were excluded. We interpret the change in Ceanothus delta N-15 values as due to increased N fixation after evaluating possible alternative explanations. The increase in Ceanothus delta C-13 values may be due to increased water stress with substantial shrub growth. More broadly, herbivore suppression of N fixation may impact ecosystem processes such as productivity and N cycling, as well as an ecosystem's ability to respond to increased CO2.</t>
  </si>
  <si>
    <t>e01686</t>
  </si>
  <si>
    <t>10.1002/ecs2.1686</t>
  </si>
  <si>
    <t>Haak, CR; Power, M; Wilson, ADM; Danylchuk, AJ</t>
  </si>
  <si>
    <t>Stable isotopes and foraging behaviors support the role of antipredator benefits in driving the association between two marine fishes</t>
  </si>
  <si>
    <t>Heterospecific shoals; Mixed species groups; Antipredator vigilance; Eavesdropping; Niche partitioning</t>
  </si>
  <si>
    <t>RELATIVE PREDATION RISK; FEEDING-BEHAVIOR; ECOLOGICAL CONSEQUENCES; INTERMITTENT LOCOMOTION; SOCIAL INFORMATION; ORGANIC-MATTER; ACTIVITY LEVEL; PREY CAPTURE; FOOD WEBS; VIGILANCE</t>
  </si>
  <si>
    <t>Research from terrestrial communities shows that diminished predation risk is a principal driver of heterospecific grouping behavior, with foraging ecology predicting the roles that species play in groups, as more vulnerable foragers preferentially join more vigilant ones from whom they can benefit. Meanwhile, field studies examining the adaptive significance of heterospecific shoaling among marine fish have focused disproportionately on feeding advantages such as scrounging or prey-flushing. Juvenile bonefish (Albula vulpes) occur almost exclusively among mojarras (Eucinostomus spp.) and even elect to join them over conspecifics, suggesting they benefit from doing so. We evaluated the roles of risk-related and food-related factors in motivating this pattern of affiliation, estimating: (1) the relative levels of risk associated with each species' search and prey capture activities, via behavioral vulnerability traits discerned from in situ video of heterospecific shoals, and (2) resource use redundancy, using stable isotopes (delta C-13, delta N-15, and delta S-34) to quantify niche overlap. Across four distinct metrics, bonefish behaviors implied a markedly greater level of risk than those of mojarras, typified by higher activity levels and a reduced capacity for overt vigilance; consistent with expectations if their association conformed to patterns of joining observed in terrestrial habitats. Resource use overlap inferred from stable isotopes was low, indicating that the two species partitioned resources and making it unlikely that bonefish derived substantive food-related benefits. Collectively, these findings suggest that the attraction of juvenile bonefish to mojarras is motivated primarily by antipredator advantages, which may include the exploitation of risk-related social cues.</t>
  </si>
  <si>
    <t>10.1007/s00442-023-05390-1</t>
  </si>
  <si>
    <t>Roger, N; Moerman, R; Carvalheiro, LG; Aguirre-Guitierrez, J; Jacquemart, AL; Kleijn, D; Lognay, G; Moquet, L; Quinet, M; Rasmont, P; Richel, A; Vanderplanck, M; Michez, D</t>
  </si>
  <si>
    <t>Impact of pollen resources drift on common bumblebees in NW Europe</t>
  </si>
  <si>
    <t>bumblebee; diet performance; floral resources; food choices; land-use change; pollen</t>
  </si>
  <si>
    <t>BOMBUS-TERRESTRIS; CLIMATE SURFACES; NUTRITIVE-VALUE; HYMENOPTERA; PREFERENCES; HONEYBEES; PATTERNS; SURVIVAL; DATABASE; CHOICE</t>
  </si>
  <si>
    <t>Several bee species are experiencing significant population declines. As bees exclusively rely on pollen for development and survival, such declines could be partly related to changes in their host plant abundance and quality. Here, we investigate whether generalist bumblebee species, with stable population trends over the past years, adapted their diets in response to changes in the distribution and chemical quality of their pollen resources. We selected five common species of bumblebee in NW Europe for which we had a precise description of their pollen diet through two time periods ('prior to 1950' and '2004-2005'). For each species, we assessed whether the shift in their pollen diet was related with the changes in the suitable area of their pollen resources. Concurrently, we evaluated whether the chemical composition of pollen resources changed over time and experimentally tested the impact of new major pollen species on the development of B. terrestris microcolonies. Only one species (i.e. B. lapidarius) significantly included more pollen from resources whose suitable area expanded. This opportunist pattern could partly explain the expansion of B. lapidarius in Europe. Regarding the temporal variation in the chemical composition of the pollen diet, total and essential amino acid contents did not differ significantly between the two time periods while we found significant differences among plant species. This result is driven by the great diversity of resources used by bumblebee species in both periods. Our bioassay revealed that the shift to new major pollen resources allowed microcolonies to develop, bringing new evidence on the opportunist feature of bumblebee in their diets. Overall, this study shows that the response to pollen resource drift varies among closely related pollinators, and a species-rich plant community ensures generalist species to select a nutrient-rich pollen diet.</t>
  </si>
  <si>
    <t>10.1111/gcb.13373</t>
  </si>
  <si>
    <t>Steenweg, RJ; Crossin, GT; Kyser, TK; Merkel, FR; Gilchrist, HG; Hennin, HL; Robertson, GJ; Provencher, JF; Flemming, JM; Love, OP</t>
  </si>
  <si>
    <t>Stable isotopes can be used to infer the overwintering locations of prebreeding marine birds in the Canadian Arctic</t>
  </si>
  <si>
    <t>biomarker; carbon; carryover; claw; k-means cluster analysis; nitrogen; population delineation; seabird; toenail; tracking</t>
  </si>
  <si>
    <t>SOMATERIA-MOLLISSIMA-BOREALIS; CONDITION-DEPENDENT MODEL; MIGRATORY BIRD; INDIVIDUAL OPTIMIZATION; HYDROGEN; CARBON; EIDERS; REPRODUCTION; FEATHERS; NITROGEN</t>
  </si>
  <si>
    <t>Although assessments of winter carryover effects on fitness-related breeding parameters are vital for determining the links between environmental variation and fitness, direct methods of determining overwintering distributions (e.g., electronic tracking) can be expensive, limiting the number of individuals studied. Alternatively, stable isotope analysis in specific tissues can be used as an indirect means of determining individual overwintering areas of residency. Although increasingly used to infer the overwintering distributions of terrestrial birds, stable isotopes have been used less often to infer overwintering areas of marine birds. Using Arctic-breeding common eiders, we test the effectiveness of an integrated stable isotope approach (13-carbon, 15-nitrogen, and 2-hydrogen) to infer overwintering locations. Knowing the overwinter destinations of eiders from tracking studies at our study colony at East Bay Island, Nunavut, we sampled claw and blood tissues at two known overwintering locations, Nuuk, Greenland, and Newfoundland, Canada. These two locations yielded distinct tissue-specific isotopic profiles. We then compared the isotope profiles of tissues collected from eiders upon their arrival at our breeding colony, and used a k-means cluster analysis approach to match arriving eiders to an overwintering group. Samples from the claws of eiders were most effective for determining overwinter origin, due to this tissue's slow growth rate relative to the 40-day turnover rate of blood. Despite taking an integrative approach using multiple isotopes, k-means cluster analysis was most effective when using 13-carbon alone to assign eiders to an overwintering group. Our research demonstrates that it is possible to use stable isotope analysis to assign an overwintering location to a marine bird. There are few examples of the effective use of this technique on a marine bird at this scale; we provide a framework for applying this technique to detect changes in the migration phenology of birds' responses to rapid changes in the Arctic.</t>
  </si>
  <si>
    <t>10.1002/ece3.3410</t>
  </si>
  <si>
    <t>Martinelli, LAA; Abdalla, ALL; Gomes, TFF; Lins, SRM; Mariano, E; Soltangheisi, A; de Camargo, PBB; Vieira, SAA; Higuchi, N; Nardoto, GBB</t>
  </si>
  <si>
    <t>Partitioning of Environmental and Taxonomic Controls on Brazilian Foliar Content of Carbon and Nitrogen and Stable Isotopes</t>
  </si>
  <si>
    <t>Neotropics; variance; site; taxonomy; Fabaceae; wood density</t>
  </si>
  <si>
    <t>N-15 NATURAL-ABUNDANCE; NET PRIMARY PRODUCTIVITY; COASTAL ATLANTIC FOREST; WOOD DENSITY; C-13 DISCRIMINATION; GLOBAL PATTERNS; LEGUME TREES; PLANT; LEAF; FIXATION</t>
  </si>
  <si>
    <t>The Neotropics harbor some of the most diversified woody species in the world, and to understand the nutrient dynamics in these ecosystems, it is crucial to understand the role of plant taxonomy. In addition, biological nitrogen (N) fixation (BNF) in the tropics is one of the key processes affecting the global N cycle. Our objective was to (i) investigate the role of taxonomy and sampling site as predictors of foliar carbon (C) and N concentration and its stable isotopes (i.e., delta C-13 and delta N-15); (ii) assess differences in foliar N, C:N ratio, and delta N-15 among three functional groups: species of N-2-fixers and non-fixers of the Fabaceae family, as well as non-Fabaceae species; and (iii) examine the effect of wood density on tree foliar properties. We hypothesized that Fabaceae specimens in symbiosis with N-2-fixers would possess a higher foliar N than non-fixing plants, including those of the Fabaceae family, as well as high-density trees would have higher foliar C and C:N ratio relative to low-density trees, where the latter invest in nutrients instead of structural C. We used a data set composed of 3,668 specimens sampled in three main biomes of Brazil: Amazon, Atlantic Forest, and Cerrado. The partitioning of variance had a higher influence of taxonomy on leaf C, N, and C:N ratio. Conversely, foliar delta C-13 and delta N-15 were environmentally constrained. While family was the most important taxonomy level for C, N, and C:N ratio, species played a major role for delta C-13 and delta N-15. Foliar N followed the pattern fixers &gt; non-fixers &gt; non-Fabaceae, while C:N ratio had an opposite trend. In addition, foliar C was correlated with wood density, where high-density &gt; medium-density and low-density woods. The large variability of delta N-15 was observed among Fabaceae species, demonstrates the complexity of using delta N-15 as an indicator of BNF. The higher foliar N of Fabaceae non-fixers than non-Fabaceae specimens support the hypothesis that an N-demanding lifestyle is an inherent pattern in this family. Lastly, although observed in some studies, the prediction of foliar properties using wood density is challenging, and future research on this topic is needed.</t>
  </si>
  <si>
    <t>10.3389/ffgc.2021.662801</t>
  </si>
  <si>
    <t>Yin, C; Yang, HQ; Wang, JF; Guo, JY; Tang, XY; Chen, JG</t>
  </si>
  <si>
    <t>Combined use of stable nitrogen and oxygen isotopes to constrain the nitrate sources in a karst lake</t>
  </si>
  <si>
    <t>Nitrate sources; delta N-15; delta O-18; Agricultural activities; Caohai Lake</t>
  </si>
  <si>
    <t>DUAL ISOTOPES; SOUTHWEST CHINA; RIVER-BASIN; WATER; DENITRIFICATION; STREAM; TRANSFORMATIONS; CATCHMENT; PLATEAU; QUALITY</t>
  </si>
  <si>
    <t>Nitrate is a highly concerned pollutant in global aquatic ecosystem, resulting in eutrophication and water quality deterioration. As a result of the dissolved inorganic carbon fertilization effect, lake ecosystem is expected to respond more sensitively to nitrogen (N) addition in karst region than in non-karst region. Identifying accurately the sources of nitrate in lake system is an important prerequisite for formulating effective strategies on reducing nitrate and restoring water ecosystem. Quantitative identification of nitrate sources to lakes in karst region is limited until now. In this study, delta N-15-NO3- and delta O-18-NO3- were jointly used to identify the nitrate sources in Caohai Lake, a typical karst lake. The delta N-15-NO3- and delta O-18-NO3- of lake water displayed significant seasonal variations. The average delta N-15-NO3- values during normal, dry and wet seasons were 6.6 parts per thousand, 12.7 parts per thousand and 0.9 parts per thousand, respectively. Accordingly, the average delta O-18-NO3(-) values were 11 parts per thousand, 13 parts per thousand and 16 parts per thousand, respectively. The average contribution percentages of nitrate from agricultural activities, precipitation and sewage were 42 %, 41 % and 17 %, respectively. Strict measures should be taken to prohibit unreasonable agricultural activities and to improve nutrient use efficiency through optimized fertilization and irrigation management. In view of the sensitivity of karst lake ecosystem to N/P addition, higher discharge standard requirement is necessary for restoring water ecosystem and maintaining good water quality. This study proved that the combined use of delta N-15-NO3 and delta O-18-NO3- is a promising method for identifying quantitatively the nitrate sources in karst lake system.</t>
  </si>
  <si>
    <t>10.1016/j.agee.2020.107089</t>
  </si>
  <si>
    <t>Crystal-Ornelas, R; Lockwood, JL</t>
  </si>
  <si>
    <t>Cumulative meta-analysis identifies declining but negative impacts of invasive species on richness after 20 yr</t>
  </si>
  <si>
    <t>cumulative meta-analysis; decline effect; evidence synthesis; invasive species; species richness; stability; sufficiency</t>
  </si>
  <si>
    <t>ECOLOGICAL IMPACTS; PUBLICATION BIAS; RESPONSE RATIOS; TEMPORAL TRENDS; PLANT INVASIONS; COMMUNITIES; DISSEMINATION; EXTINCTION; ECOSYSTEMS; TIME</t>
  </si>
  <si>
    <t>A principal impact of invasive species is that they reduce local species richness. However, it is unknown whether the magnitude of the richness decrease has been consistent over the past two decades of published research. We used cumulative meta-analysis to synthesize evidence from 240 articles evaluating whether this cumulative evidence base generally supports, or refutes, the association between invasive species presence and richness declines. First, we determined whether evidence accumulation lowered the mean effect size of invasive species on local native richness through time; termed the decline effect. Then, as mean effect sizes changed over time, we identified when accumulated evidence reached sufficiency, indicating that the mean effect direction (positive or negative) was unlikely to be reversed by unpublished research. We also assessed whether the mean effect size reached a threshold of stability over publication years. To date, no research has tested mechanisms of the decline effect, and here we determine whether publication bias, sample size, time since invasion, or invader trophic position are driving a decline effect in the published evidence base. We found a clear decline in the cumulative mean effect of invasive species on local native species richness as published evidence accumulated between 1999 and 2016. Despite this decline, an average negative association was stable and sufficiently robust to unpublished studies by 2007, showing a 21% mean richness decrease by 2016. Contrary to our expectation, the decline effect manifested consistently regardless of invasive species trophic position, time since invasion, or journal rank. Within taxonomic subgroups, trees, insects, and herbaceous plants exhibit a decline effect, yet still show sufficient and stable negative impacts on richness. However, many other taxonomic subgroups (e.g., crustaceans, fish, mammals) lack evidence for average negative impacts on richness, or have not met sufficiency or stability thresholds.</t>
  </si>
  <si>
    <t>10.1002/ecy.3082</t>
  </si>
  <si>
    <t>Mourente, G; Quintero, O; Canavate, J</t>
  </si>
  <si>
    <t>Trophic links of Atlantic Bluefin tuna (Thunnus thynnus L.) inferred by fatty acid signatures</t>
  </si>
  <si>
    <t>Trophic links; Atlantic Bluefin tuna; Thunnus thynnus; Fatty acid signature; Multivariate analysis</t>
  </si>
  <si>
    <t>MARINE ECOSYSTEMS; STABLE-ISOTOPE; BIOMARKERS; PHYTOPLANKTON; ZOOPLANKTON; GROUNDS; MARKERS; TISSUES; EASTERN; DIET</t>
  </si>
  <si>
    <t>Fatty acid profiles were obtained from perigonadal fat of 98 adult Atlantic Bluefin tuna sampled from 2008 to 2010 at their confluence near the Gibraltar Strait as a consequence of their reproductive migration to the Mediterranean. Ten additional individuals caught, at the same season, off the Canary Islands, a place where no sexual migratory confluence occurred, were also sampled for their fatty acid signatures. Gender was not significant in explaining differences in fatty acids, and other biological traits such as weight, gonad index and fat/gonad ratio all together only accounted for 13.4% of total variation. Body weight was the more relevant factor and showed maximum positive correlation with 18:1n-9 and the 22:6n-3/20:5n-3 ratio (as camivoy and higher trophic position markers), and maximum negative correlation with the flagellate marker fatty acid, 18:4n-3. Multivariate analysis of fatty acid trophic markers revealed a main source of data variation (66.9%) due to segregation of individuals in which part of the tuna population showed signatures characteristic of trophic resources from high latitude Atlantic ecosystems as revealed by elevated contents of the marker fatty acids, 20:1n-9 and 22:1n-11. The vast majority of tuna individuals were characterized by fatty acid profiles enriched in n-3 polyunsaturated fatty acids and more associated to temperate and subtropical Atlantic ecosystems in which haptophyte/dinophyte markers prevailed over those for diatoms at the base of their corresponding food webs. Fatty acid profiles of tuna from the Canary Islands were less dispersed than those caught at the Gibraltar Strait, reinforcing the assumption of the possible tuna confluence from different trophic grounds in this zone. (C) 2014 Elsevier B.V. All rights reserved.</t>
  </si>
  <si>
    <t>10.1016/j.jembe.2014.11.002</t>
  </si>
  <si>
    <t>Steffan, SA; Chikaraishi, Y; Dharampal, PS; Pauli, JN; Guedot, C; Ohkouchi, N</t>
  </si>
  <si>
    <t>Unpacking brown food-webs: Animal trophic identity reflects rampant microbivory</t>
  </si>
  <si>
    <t>detritivory; detritus; food chain; microbe; microbiome; omnivore</t>
  </si>
  <si>
    <t>AMINO-ACIDS; TERRESTRIAL ECOSYSTEMS; SOIL; MICROBES; DETRITUS; BACTERIA; FOREST; BIODIVERSITY; DROSOPHILA; DISPERSAL</t>
  </si>
  <si>
    <t>Detritivory is the dominant trophic paradigm in most terrestrial, aquatic, and marine ecosystems, yet accurate measurement of consumer trophic position within detrital (=brown) food webs has remained unresolved. Measurement of detritivore trophic position is complicated by the fact that detritus is suffused with microbes, creating a detrital complex of living and nonliving biomass. Given that microbes and metazoans are trophic analogues of each other, animals feeding on detrital complexes are ingesting other detritivores (microbes), which should elevate metazoan trophic position and should be rampant within brown food webs. We tested these hypotheses using isotopic (15N) analyses of amino acids extracted from wild and laboratory-cultured consumers. Vertebrate (fish) and invertebrate detritivores (beetles and moths) were reared on detritus, with and without microbial colonization. In the field, detritivorous animal specimens were collected and analyzed to compare trophic identities among laboratory-reared and free-roaming detritivores. When colonized by bacteria or fungi, the trophic positions of detrital complexes increased significantly over time. The magnitude of trophic inflation was mediated by the extent of microbial consumption of detrital substrates. When detrital complexes were fed to vertebrate and invertebrate animals, the consumers registered similar degrees of trophic inflation, albeit one trophic level higher than their diets. The wild-collected detritivore fauna in our study exhibited significantly elevated trophic positions. Our findings suggest that the trophic positions of detrital complexes rise predictably as microbes convert nonliving organic matter into living microbial biomass. Animals consuming such detrital complexes exhibit similar trophic inflation, directly attributable to the assimilation of microbe-derived amino acids. Our data demonstrate that detritivorous microbes elevate metazoan trophic position, suggesting that detritivory among animals is, functionally, omnivory. By quantifying the impacts of microbivory on the trophic positions of detritivorous animals and then tracking how these effects propagate up food chains, we reveal the degree to which microbes influence consumer groups within trophic hierarchies. The trophic inflation observed among our field-collected fauna further suggests that microbial proteins represent an immense contribution to metazoan biomass. Collectively, these findings provide an empirical basis to interpret detritivore trophic identity, and further illuminate the magnitude of microbial contributions to food webs.</t>
  </si>
  <si>
    <t>10.1002/ece3.2951</t>
  </si>
  <si>
    <t>Haase, K; Orio, A; Pawlak, J; Pachur, M; Casini, M</t>
  </si>
  <si>
    <t>Diet of dominant demersal fish species in the Baltic Sea: Is flounder stealing benthic food from cod?</t>
  </si>
  <si>
    <t>Diet; Stomach content; Food competition; Cod; Flounder; Temporal changes; Baltic Sea</t>
  </si>
  <si>
    <t>WHITING MERLANGIUS-MERLANGUS; HERRING CLUPEA-HARENGUS; PLATICHTHYS-FLESUS; GADUS-MORHUA; FEEDING-HABITS; COMMUNITIES; FLATFISH; STOCKS; GOBY</t>
  </si>
  <si>
    <t>Knowledge about ecological interactions between species is of paramount importance in ecology and ecosystem-based fisheries management. To understand species interactions, studies of feeding habits are required. In the Baltic Sea, there is good knowledge of the diet of cod, but little is known about the diet of flounder, the second most abundant demersal fish in the region. In this study, we investigated the diets of cod and flounder for the first time using stomach content data collected simultaneously in 2015-2017 over a large offshore area of the southern Baltic Sea. The diet of flounder was relatively constant between sizes and seasons and was dominated by benthos, with a high proportion in weight of the benthic isopod Saduria entomon. The diet of cod differed between seasons and showed an ontogenetic shift with a relative decrease of benthic prey and an increase of fish prey with size. Historic diet data of cod were used to explore cod diet changes over time, revealing a shift from a specialized to generalist feeding mode paralleled by a large relative decline in benthic prey, especially S. entomon. Flounder populations have increased in the past 2 decades in the study area, and therefore we hypothesized that flounder have deprived cod of important benthic resources through competition. This competition could be exacerbated by the low benthic prey productivity due to increased hypoxia, which could contribute to explaining the current poor status of the Eastern Baltic cod. The results of this study point to the importance of including flounder in multispecies end ecosystem models.</t>
  </si>
  <si>
    <t>10.3354/meps13360</t>
  </si>
  <si>
    <t>Wen, B; Gao, QF; Dong, SL; Hou, YR; Yu, HB; Li, WD</t>
  </si>
  <si>
    <t>Uptake of benthic matter by sea cucumber Apostichopus japonicus (Selenka): Insights from carbon stable isotopes and fatty acid profiles</t>
  </si>
  <si>
    <t>Apostichopus japonicus; Benthic matter; Macroalga; Stable isotope; Fatty acid</t>
  </si>
  <si>
    <t>GREEN-LIPPED MUSSELS; ATLANTIC SALMON; TROPHIC RELATIONSHIPS; PARTICULATE MATTER; FEEDING ECOLOGY; TURNOVER RATES; FOOD SOURCES; DIETARY; SEDIMENT; MARKERS</t>
  </si>
  <si>
    <t>Carbon stable isotopes combined with fatty acid (FA) profiles were used as trophic markers to investigate the uptake of different food sources, including brown alga Sargassum muticum, red alga Gracilaria lemaneiformis, green alga Ulva lactuca and benthic matter mainly consisted of microalgae, bacteria and fine clay particles by sea cucumber Apostichopus japonicus. A 70-day feeding experiment was conducted to examine the carbon isotopic signatures and FA profiles of A. japonicus feeding on 4 different types of diets with the ingredient of mixture of algal powder and benthic matter, i.e., mixture (1:1) of S. muticum and benthic matter (SB), mixture (1:1) of G. lemaneiformis and benthic matter (GB), mixture (1:1) of U. lactuca and benthic matter (UB) and mixture (1:1:1:1) of S. muticum, G. lemaneiformis, and U. lactuca and benthic matter (SGUB). The carbon isotope compositions and FA profiles of A. japonicus showed obvious changes over the experimental period and were remarkably affected by corresponding diets. Based on the isotope mixing model, the proportional contributions of benthic matter to the diet of A. japonicus fed with SB, GB, UB and SGUB were 35.58%, 67.01%, 31.98% and 17.40%, respectively. FA trophic markers revealed that the contribution of benthic matter was mainly derived from diatoms and bacteria. Results of the present study suggested that green alga U. lactuca and brown alga S. muticum constituted the highly preferred food sources of A. japonicus, followed by autotrophic diatoms and heterotrophic bacteria present in benthic matter. Sea cucumber A. japonicus tended to reject red alga G. lemaneiformis in the presence of multiple food choices. (C) 2015 Elsevier B.V. All rights reserved.</t>
  </si>
  <si>
    <t>10.1016/j.jembe.2015.10.003</t>
  </si>
  <si>
    <t>Caut, S; Jowers, MJ; Michel, L; Lepoint, G; Fisk, AT</t>
  </si>
  <si>
    <t>Diet- and tissue-specific incorporation of isotopes in the shark Scyliorhinus stellaris, a North Sea mesopredator</t>
  </si>
  <si>
    <t>Diet; Discrimination factor; Fractionation; Large-spotted dogfish; Nitrogen enrichment; SIAR; Turnover</t>
  </si>
  <si>
    <t>INTERPRETING STABLE-ISOTOPES; DISCRIMINATION FACTORS; TROPHIC POSITION; FEEDING ECOLOGY; NITROGEN; CARBON; DELTA-N-15; DELTA-C-13; TURNOVER; ELASMOBRANCHS</t>
  </si>
  <si>
    <t>Elucidating predator-prey relationships is an important part of understanding and assessing the structure and function of ecosystems. Sharks are believed to play a significant role in marine ecosystems, although their specific trophic ecology is largely unexplored. Stable isotopes of nitrogen (delta N-15) and carbon (delta C-13) are a widely applied tool in food-web studies, but there is a need to quantify stable isotope dynamics in animals, particularly sharks. In this study, diet-tissue discrimination factors (DTDF = stable isotope in consumer tissue - stable isotope in diet) and turnover rates (time for the isotope to be assimilated into the consumer's tissue) of stable isotopes were estimated in blood, fin, and muscle tissue for the shark species Scyliorhinus stellaris fed 2 diets with different isotope values. Subsequently, these diet-and tissue-specific DTDFs were used in isotopic mixing models to quantify the diet of Scyliorhinus canicula caught in the North Sea and were compared with stomach content data. DTDFs for delta N-15 (Delta N-15) and delta C-13 (Delta C-13) ranged from -1.95 to 3.49 parts per thousand and from 0.52 to 5.14 parts per thousand, respectively, and varied with tissue and diet type. Isotope turnover rates in plasma and red blood cells, expressed as half-lives, ranged from 39 to 135 d. Most of the variability in DTDFs reported in this and other studies with sharks can be explained by linear relationships between DTDF and dietary isotopic values. From these relationships, we propose a method for isotope mixing models using diet-specific DTDFs, which improves diet reconstruction estimates for animals, particularly mesopredator sharks that consume a large range of prey types.</t>
  </si>
  <si>
    <t>10.3354/meps10478</t>
  </si>
  <si>
    <t>Ferenc, J; Liu, WC; Mike, A</t>
  </si>
  <si>
    <t>Trophic field overlap: A new approach to quantify keystone species</t>
  </si>
  <si>
    <t>Ecological network; Indirect effects; Keystone species; Trophic field; Redundancy; Centrality index; Kuosheng Bay, Taiwan; ECEM 07</t>
  </si>
  <si>
    <t>NETWORK STRUCTURE; FOOD WEBS; POPULATIONS; ROBUSTNESS; PREDATORS; ECOPATH; ECOSIM; QUEST</t>
  </si>
  <si>
    <t>It is a current challenge to better understand the relative importance of species in ecosystems, and the network perspective is able to offer quantitative tools for this. It is plausible to assume, in general, that well-linked species, being key interactors, are also more important for the community. Recently a number of methods have been suggested for quantifying the network position of species in ecological networks (like the topological importance metric, TI). Most of them are based on node centrality indices and it may happen that the two most important species in a food web have very similar interaction structure and they can essentially replace each other if one becomes extinct. For conservation considerations it is a challenge to identify species that are richly connected and, at the same time, have a relatively unique and irreplaceable interaction pattern. We present a new method and illustrate our approach by using the Kuosheng Bay trophic network in Taiwan. The new method is based on the interaction matrix, where the strength of the interaction between nodes i and j depends only on topology. By defining a threshold separating weak and strong interactors, we define the effective range of interactions for each graph node. If the overlaps between pairs of these ranges are quantified, we gain a metric expressing how unique is the interaction pattern of a focal node (TO). The combination of centrality (TI) and uniqueness (TO) is called topological functionality (TF). We compare the nodal importance rank provided by this metric to others based on a variety of centrality measures. The main conclusion is that shrimps seem to have the most unique interaction pattern despite that their structural importance has been underestimated by all conventional centrality indices. Also, our network analysis suggests that fisheries disturb the ecosystem in a more critical network position than the impingement by the local power plant. (C) 2008 Elsevier B.V. All rights reserved.</t>
  </si>
  <si>
    <t>10.1016/j.ecolmodel.2008.12.003</t>
  </si>
  <si>
    <t>Huang, SP; Lin, JW; Chou, CC; Liao, CP; Hsu, JY; Tsai, JF; Liu, SL; Huang, WS</t>
  </si>
  <si>
    <t>Dances with wolves: The demographic consequence of asymmetric competition and intraguild predation in a native-invasive skink system</t>
  </si>
  <si>
    <t>behaviour plasticity; competition exclusion; demographic consequences; niche overlap; species invasion</t>
  </si>
  <si>
    <t>ANOLIS-CAROLINENSIS; MABUYA-LONGICAUDATA; PARENTAL CARE; HABITAT USE; EVOLUTION; IMPACTS; COMMUNITIES; REGRESSION; BEHAVIOR; SUCCESS</t>
  </si>
  <si>
    <t>1. Currently, we lack enough knowledge to fully explain how the impacts of species invasion on native communities are attributed to multifaceted, individual -based behavioural outcomes.2. Here, we illustrate the long -term population dynamics of the native long-tailed sun skink (Eutropis longicaudata) before and after the invasion of the common sun skink (Eutropis multifasciata). We conducted diet investigation, morphological measurement, and a series of behavioural experiments both in the field and laboratory. We explained how the impacts of the invasive skink on the native skink can cascade towards the population level based on these individual -level behavioural data.3. We present evidence of competition exclusion of the native skink population resulting from the invasion of the common sun skink. The drastic decline found in the native skink population was largely accounted for by low recruitment, as shown by the decrease in its clutch numbers correspondingly.4. We also found dominance of the invasive skink in both exploitation competition and intraguild predation. Considering the highly overlapping morphological and dietary niches between the two species, our findings imply that the native skink has undergone strong food competition and predation pressure on its eggs and juveniles.5. Interestingly, the native skink started to display parental care behaviour 2 years after the invasion event, and its clutch survival rate has recovered since then. The shift in parental care behaviour may help the native skink cope with this new predation pressure from the invasive skink.6. Overall, the two competitive skinks showed low chances of coexisting. The negative population growth of this native skink species may be primarily derived from poor reproductive performance, given a sharp decline in its clutch numbers and its inferiority in exploitation competition, despite rebounding clutch survival rates.</t>
  </si>
  <si>
    <t>10.1111/1365-2435.14276</t>
  </si>
  <si>
    <t>Einsiedl, F; Wunderlich, A; Sebilo, M; Coskun, OK; Orsi, WD; Mayer, B</t>
  </si>
  <si>
    <t>Biogeochemical evidence of anaerobic methane oxidation and anaerobic ammonium oxidation in a stratified lake using stable isotopes</t>
  </si>
  <si>
    <t>FRESH-WATER LAKE; DEPENDENT DENITRIFICATION; WASTE-WATER; FRACTIONATION; NITROGEN; NITRITE; NITRATE; BACTERIA; ANAMMOX; COOCCURRENCE</t>
  </si>
  <si>
    <t>Nitrate pollution of freshwaters and methane emissions into the atmosphere are crucial factors in deteriorating the quality of drinking water and in contributing to global climate change. The n-damo (nitrite-dependent anaerobic methane oxidation), nitrate-dependent anaerobic methane oxidation and the anaerobic oxidation of ammonium (anammox) represent two microbially mediated processes that can reduce nitrogen loading of aquatic ecosystems and associated methane emissions to the atmosphere. Here, we report vertical concentration and stable-isotope profiles of CH4, NO3-, NO2-, and NH4+ in the water column of Fohnsee (lake in southern Bavaria, Germany) that may indicate linkages between denitrification, anaerobic oxidation of methane (AOM), and anammox. At a water depth from 12 to 20 m, a methane-nitrate transition zone (NMTZ) was observed, where delta C-13 values of methane and delta N-15 and delta O-18 of dissolved nitrate markedly increased in concert with decreasing concentrations of methane and nitrate. These data patterns, together with the results of a simple 1-D diffusion model linked with a degradation term, show that the nonlinear methane concentration profile cannot be explained by diffusion and that microbial oxidation of methane coupled with denitrification under anaerobic conditions is the most parsimonious explanation for these data trends. In the methane zone at the bottom of the NMTZ (20 to 22 m) delta N-15 of ammonium increased by 4 parts per thousand, while ammonium concentrations decreased. In addition, a strong N-15 enrichment of dissolved nitrate was observed at a water depth of 20 m, suggesting that anammox is occurring together with denitrification. The conversion of nitrite to N-2 and nitrate during anammox is associated with an inverse N isotope fractionation and may explain the observed increasing offset (Delta delta N-15) of 26 parts per thousand between delta N-15 values of dissolved nitrate and nitrite at a water depth of 20m compared to the Delta delta N-15(nitrate-nitrite) of 11 parts per thousand obtained in the NMTZ at a water depth between 16 and 18 m. The associated methane concentration and stable-isotope profiles indicate that some of the denitrification may be coupled to AOM, an observation supported by an increased concentration of bacteria known to be involved in n-damo/denitrification with AOM (NC10 and Crenothrix) and anammox (Candidatus Anammoximicrobium) whose concentrations were highest in the methane and ammonium oxidation zones, respectively. This study shows the potential for a coupling of microbially mediated nitrate-dependent methane oxidation with anammox in stratified freshwater ecosystems, which may be important for affecting both methane emissions and nitrogen concentrations in lakes.</t>
  </si>
  <si>
    <t>10.5194/bg-17-5149-2020</t>
  </si>
  <si>
    <t>Mobley, KB; Fleeger, W</t>
  </si>
  <si>
    <t>Diet of Scartella cristata: An artificial habitat-associated blenny (Pisces : Blenniidae)</t>
  </si>
  <si>
    <t>diet; blennies; gut-content; behavior; ontogenetic shift; invertebrate prey</t>
  </si>
  <si>
    <t>REDLIP BLENNY; FOOD; FISHES; ECOLOGY; FIELD; PREY; ZOOPLANKTON; EMERGENCE; MEIOFAUNA; PREDATORS</t>
  </si>
  <si>
    <t>Ontogenetic feeding shifts, diel feeding and differential feeding between sexes in the molly miller, Scartella cristata (Family Blenniidae), were characterized by dietary analysis. Gut-content analysis was performed on juvenile and adult S. cristata (n = 62) based on 24-h collections from two rock jetties in northwestern Florida. Direct observation suggested that sexes have different activity regimes; males were encountered more frequently during day collections while females were encountered more frequently during night collections. S. cristata was observed biting algal turf, and its diet consisted of algae and associated invertebrates with a lesser contribution from benthic and demersal invertebrates. An ontogenetic shift from predation on demersal and benthic invertebrates among juveniles to a fuller exploitation of the algal turf as adults was observed. ANOVA was employed to examine the influence of site, sex and time of collection on total gut-content biomass (including algae) and total invertebrate prey biomass. Although there was no site effect in total biomass comparisons, differences between sampling sites contributed significantly to variation in male and female total invertebrate biomass suggesting that local abundance of invertebrates may influence feeding by S. cristata. Although no differences in total gut-content biomass among females collected during the day and night were detected, females contained a significantly higher invertebrate biomass during the night than during the day due to foraging on demersal invertebrates. During the day, males and females ingested similar invertebrate prey taxa, and total gut-content biomass estimates and total invertebrate biomass did not differ in males and females. Males were observed to actively nest guard clutches of eggs and this behavior may have lead to a reduced activity regime thereby decreasing male foraging on demersal invertebrates.</t>
  </si>
  <si>
    <t>Tate, HM; Studholme, KR; Domalik, AD; Drever, MC; Romero, LM; Gormally, BMG; Hobson, KA; Hipfner, JM; Crossin, GT</t>
  </si>
  <si>
    <t>Interannual measures of nutritional stress during a marine heatwave (the Blob) differ between two North Pacific seabird species</t>
  </si>
  <si>
    <t>the Blob; stable isotopes; Pacific Decadal Oscillation; nutritional stress; feather corticosterone; Alcidae</t>
  </si>
  <si>
    <t>FEATHER CORTICOSTERONE; CLIMATE-CHANGE; SURVIVAL; SUMMER; GLUCOCORTICOIDS; PERFORMANCE; AUSTRALIA; MORTALITY; ISOTOPES; QUALITY</t>
  </si>
  <si>
    <t>'The Blob', a mass of anomalously warm water in the Northeast Pacific Ocean peaking from 2014 to 2016, caused a decrease in primary productivity with cascading effects on the marine ecosystem. Among the more obvious manifestations of the event were seabird breeding failures and mass mortality events. Here, we used corticosterone in breast feathers (fCort), grown in the winter period during migration, as an indicator of nutritional stress to investigate the impact of the Blob on two sentinel Pacific auk species (family Alcidae). Feathers were collected from breeding females over 8 years from 2010 to 2017, encompassing the Blob period. Since Pacific auks replace body feathers at sea during the migratory period, measures of fCort provide an accumulated measure of nutritional stress or allostatic load during this time. Changes in diet were also measured using delta N-15 and delta C-13 values from feathers. Relative to years prior to the Blob, the primarily zooplanktivorous Cassin's auklets (Ptychoramphus aleuticus) had elevated fCort in 2014-2017, which correlated with the occurrence of the Blob and a recovery period afterwards, with relatively stable feather isotope values. In contrast, generalist rhinoceros auklets (Cerorhinca monocerata) displayed stable fCort values across years and increased delta N-15 values during the Blob. As marine heatwaves increase in intensity and frequency due to climate change, this study provides insight into the variable response of Pacific auks to such phenomena and suggests a means for monitoring population-level responses to climatological variation.</t>
  </si>
  <si>
    <t>coab090</t>
  </si>
  <si>
    <t>10.1093/conphys/coab090</t>
  </si>
  <si>
    <t>Audzijonyte, A; Kuparinen, A</t>
  </si>
  <si>
    <t>The role of life histories and trophic interactions in population recovery</t>
  </si>
  <si>
    <t>ecosystem modeling; fisheries-induced evolution; per capita population growth rate; recovery; size-based predation; depredacion por tamanos; evolucion inducida por las pesquerias; modelado de ecosistemas; tasa de crecimiento poblacional per capita</t>
  </si>
  <si>
    <t>FISHERIES-INDUCED EVOLUTION; EXTINCTION RISK; ATLANTIC COD; GROWTH RATES; CONSEQUENCES; PRODUCTIVITY; HARVEST</t>
  </si>
  <si>
    <t>Factors affecting population recovery from depletion are at the focus of wildlife management. Particularly, it has been debated how life-history characteristics might affect population recovery ability and productivity. Many exploited fish stocks have shown temporal changes towards earlier maturation and reduced adult body size, potentially owing to evolutionary responses to fishing. Whereas such life-history changes have been widely documented, their potential role on stock's ability to recover from exploitation often remains ignored by traditional fisheries management. We used a marine ecosystem model parameterized for Southeastern Australian ecosystem to explore how changes towards faster life histories might affect population per capita growth rate r. We show that for most species changes towards earlier maturation during fishing have a negative effect (3-40% decrease) on r during the recovery phase. Faster juvenile growth and earlier maturation were beneficial early in life, but smaller adult body sizes reduced the lifetime reproductive output and increased adult natural mortality. However, both at intra- and inter-specific level natural mortality and trophic position of the species were as important in determining r as species longevity and age of maturation, suggesting that r cannot be predicted from life-history traits alone. Our study highlights that factors affecting population recovery ability and productivity should be explored in a multi-species context, where both age-specific fecundity and survival schedules are addressed simultaneously. It also suggests that contemporary life-history changes in harvested species are unlikely to increase their resilience and recovery ability. El Papel de las Historias de Vida y las Interacciones Troficas en la Recuperacion Poblacional Los factores que afectan la reduccion de la recuperacion poblacional son el foco del manejo de vida silvestre. Particularmente, se ha debatido como las caracteristicas de la historia de vida pueden afectar la habilidad de recuperacion de la poblacion y su productividad. Muchos stocks de peces explotados han mostrado cambios temporales que van hacia la maduracion temprana y la reduccion del tamano adulto, potencialmente como respuesta evolutiva a la pesca. Aunque dichos cambios en la historia de vida han sido documentados ampliamente, su papel potencial en la habilidad de los stocks para recuperarse de la explotacion es comunmente ignorado por el manejo de las pesqueras tradicionales. Usamos un modelo de ecosistema marino parametrizado con el ecosistema del sureste australiano para explorar como los cambios hacia una historia de vida mas rapida pueden afectar la tasa de crecimiento poblacional per capita (r). Para la mayoria de las especies, los cambios que van hacia la maduracion temprana durante la fase de pesca tuvieron un efecto negativo (disminucion del 3-40%) sobre r durante la suspension de la pesca. El crecimiento juvenil mas rapido y la maduracion temprana fueron beneficiales durante la vida temprana, aunque las tallas corporales mas pequenas en los adultos redujeron la produccion reproductiva total e incrementaron la mortalidad natural adulta. Sin embargo, a niveles intra- e inter-especificos, la mortalidad y la posicion trofica de las especies fueron importantes en la determinacion de r como longevidad de especie y edad de maduracion, lo que sugiere que r no puede predecirse solamente a partir de los caracteres de la historia de vida. Nuestros resultados resaltan que los factores que afectan la habilidad de recuperacion de la poblacion y su productividad deberian ser explorados en un contexto de especies multiples, en el que tanto la fecundidad especifica de edad y la programacion de supervivencia son atendidos simultaneamente. Tambien sugieren que los cambios contemporaneos en las historias de vida de las especies cosechadas tienen poca probabilidad de incrementar su resiliencia y su habilidad de recuperacion. Resumen</t>
  </si>
  <si>
    <t>10.1111/cobi.12651</t>
  </si>
  <si>
    <t>Verde, JA; St Andre, NR; Belk, MC</t>
  </si>
  <si>
    <t>Variation in trophic niches of fish in Lake Powell prior to full colonization by quagga mussel (Dreissena rostriformis bugensis)</t>
  </si>
  <si>
    <t>WESTERN NORTH AMERICAN NATURALIST</t>
  </si>
  <si>
    <t>STABLE-ISOTOPE ANALYSES; FOOD-WEB STRUCTURE; TOTAL PHOSPHORUS; CARBON ISOTOPES; DIET; INVASIONS; WHITEFISH; POSITION; SHIFTS; HYBRIDIZATION</t>
  </si>
  <si>
    <t>Invasive species can cause disruption of the trophic niche of resident species such that patterns of energy flow through ecological systems are altered. Quagga mussel Dreissena rostriformis bugensis Andrusov, 1897, a notorious invasive species, was introduced to Lake Powell (Utah and Arizona, USA) in 2012 and colonized the entire reservoir by 2017. To help understand potential effects of this invasive species on the trophic niche of fishes in Lake Powell, we characterized trophic niche of fishes and other organisms, as well as sources of variation in trophic niche, using stable isotope analysis of carbon and nitrogen prior to full colonization by quagga mussels. Trophic niche positions of fishes and other organisms in Lake Powell were consistent with other large lake or reservoir systems, consisting of 4 trophic levels and pelagic and littoral energy pathways. Trophic niche size decreased with increased trophic level among fishes, and there was high overlap in trophic niche among top predators. Trophic niche of fishes varied between northern and southern regions of the lake, among seasons, and, in some species, with body size. Basal trophic species (algae and chironomids) varied little between northern and southern regions and across years. Quagga mussels occupied a position in the food web where they were likely to directly impact the pelagic energy pathway, but resulting effects on trophic niche of fishes may be variable between regions of the lake.</t>
  </si>
  <si>
    <t>OKSANEN, L; MOEN, J; LUNDBERG, PA</t>
  </si>
  <si>
    <t>THE TIME-SCALE PROBLEM IN EXPLOITER-VICTIM MODELS - DOES THE SOLUTION LIE IN RATIO-DEPENDENT EXPLOITATION</t>
  </si>
  <si>
    <t>3 TROPHIC LEVELS; PRIMARY PRODUCTIVITY; ECOSYSTEMS; COMMUNITIES; POPULATIONS; STABILITY; DYNAMICS; PREY; PARASITES; PREDATORS</t>
  </si>
  <si>
    <t>Standard exploiter-victim models assume an instantaneous connection between foraging and population dynamics. However, in nature this connection is inevitably time-delayed: it takes time to convert food into offspring. R. Arditi and L. R. Ginzburg proposed that this time delay implies ratio-dependent exploitation. Models with ratio-dependent exploitation predict that primary productivity has no impact on food chain length and that the standing crop of all trophic levels increases linearly with increasing primary productivity. Conversely, the traditional victim-dependent models imply that food chain length increases with increasing primary productivity and that only top trophic levels and trophic levels that are an even number of links below the top respond positively to increasing primary productivity. We study the impact of time-delayed numerical responses on predator isoclines, and we do not find support of the theoretical arguments of Arditi and Ginzburg. We also review data on biomass patterns in plants and herbivores, which seem to support the predictions of the victim-dependent model.</t>
  </si>
  <si>
    <t>10.1086/285449</t>
  </si>
  <si>
    <t>Krull, E; Bray, S; Harms, B; Baxter, N; Bol, R; Farquhar, G</t>
  </si>
  <si>
    <t>Development of a stable isotope index to assess decadal-scale vegetation change and application to woodlands of the Burdekin catchment, Australia</t>
  </si>
  <si>
    <t>C-13; Burdekin catchment; isotopes; land use; soil organic carbon; soil organic matter; tropical woodlands; turnover time; vegetation thickening</t>
  </si>
  <si>
    <t>SOIL ORGANIC-MATTER; LAND-USE CHANGE; C-13 NATURAL ABUNDANCE; CENTRAL ARNHEM-LAND; CARBON DYNAMICS; SUBTROPICAL SAVANNA; AERIAL-PHOTOGRAPHY; CENTRAL QUEENSLAND; TEMPERATE FOREST; TURNOVER</t>
  </si>
  <si>
    <t>Forty-four study sites were established in remnant woodland in the Burdekin River catchment in tropical north-east Queensland, Australia, to assess recent (decadal) vegetation change. The aim of this study was further to evaluate whether wide-scale vegetation 'thickening' (proliferation of woody plants in formerly more open woodlands) had occurred during the last century, coinciding with significant changes in land management. Soil samples from several depth intervals were size separated into different soil organic carbon (SOC) fractions, which differed from one another by chemical composition and turnover times. Tropical (C-4) grasses dominate in the Burdekin catchment, and thus 613 C analyses of SOC fractions with different turnover times can be used to assess whether the relative proportion of trees (C-3) and grasses (C4) had changed over time. However, a method was required to permit standardized assessment of the 613 C data for the individual sites within the 13 Mha catchment, which varied in soil and vegetation characteristics. Thus, an index was developed using data from three detailed study sites and global literature to standardize individual isotopic data from different soil depths and SOC fractions to reflect only the changed proportion of trees (C3) to grasses (C4) over decadal timescales. When applied to the 44 individual sites distributed throughout the Burdekin catchment,, 64% of the sites were shown to have experienced decadal vegetation thickening, while 29% had remained stable and the remaining 7% had thinned. Thus, the development of this index enabled regional scale assessment and comparison of decadal vegetation patterns without having to rely on prior knowledge of vegetation changes or aerial photography.</t>
  </si>
  <si>
    <t>10.1111/j.1365-2486.2007.01376.x</t>
  </si>
  <si>
    <t>Powers, SP; Peterson, CH; Christian, RR; Sullivan, E; Powers, MJ; Bishop, MJ; Buzzelli, CP</t>
  </si>
  <si>
    <t>Effects of eutrophication on bottom habitat and prey resources of demersal fishes</t>
  </si>
  <si>
    <t>benthic invertebrates; essential fish habitat; habitat degradation; hypoxia; secondary production; trophic linkages; Neuse River Estuary</t>
  </si>
  <si>
    <t>NEUSE RIVER ESTUARY; MARINE BENTHIC HYPOXIA; CLAM MACOMA-BALTHICA; NORTH-CAROLINA; WATER HYPOXIA; TROPHIC INTERACTIONS; DISSOLVED-OXYGEN; RESPONSES; ECOSYSTEM; DEGRADATION</t>
  </si>
  <si>
    <t>Estuarine benthic habitats serve as essential feeding grounds for demersal finfishes and shellfishes and provide a link between the water column and demersal fisheries in coastal foodwebs. We hypothesize that the cascading linkages of water-column conditions to benthic invertebrates and from benthic invertebrates (as prey) to demersal fishes are a primary mechanism by which water-quality degradation affects sustainable production of demersal fisheries in coastal ecosystems. To evaluate these linkages, we related changes in water quality to changes in bottom-habitat quality for fishes (defined by the availability of prey resources) and assessed how changes in habitat quality affect fish diet. We examined the first link (water-column conditions to benthos) by intensively sampling the benthic community in the Neuse River Estuary, North Carolina, during 2 summers (1997 and 1998) in which depletion of bottom-water oxygen occurred. Dramatic decreases in the abundance of benthic macroinvertebrates were evident after hypoxia/anoxia in both years. Abundances of the clam Macoma balthica, a key prey item for fishes and crabs and the biomass dominant in the benthos, decreased by over 90% in deep and mid-depth areas (&gt; 2 m) throughout the estuary after hypoxia/anoxia in 1997. Although summer decreases in benthic macroinvertebrates were also exhibited in 1998, a year of less frequent and less severe hypoxia, the magnitude of decline was less than that of 1997. To evaluate how these changes in prey abundance may affect demersal fishes, we analyzed the diet of Atlantic croaker Micropagonias undulatus, the most abundant demersal fish in the system, prior to and after summer hypoxia of 1998. This analysis demonstrated a shift in croaker diet away from clams, an abundant item before hypoxia, to less nutritional items such as plant and detrital material afterwards. This dietary shift reflects the decreased abundance of clams as a result of hypoxia/anoxia. We conclude from our study of the Neuse River Estuary that hypoxia/anoxia events degrade essential fish habitat and that this degradation has the potential to reduce the capacity of the system to support production of demersal fisheries.</t>
  </si>
  <si>
    <t>10.3354/meps302233</t>
  </si>
  <si>
    <t>Hetherington, ED; Seminoff, JA; Dutton, PH; Robison, LC; Popp, BN; Kurle, CM</t>
  </si>
  <si>
    <t>Long-term trends in the foraging ecology and habitat use of an endangered species: an isotopic perspective</t>
  </si>
  <si>
    <t>N-15; Foraging ecology; Leatherback turtle; Trophic position</t>
  </si>
  <si>
    <t>LEATHERBACK-SEA-TURTLES; FOOD-WEB STRUCTURE; DERMOCHELYS-CORIACEA; AMINO-ACIDS; NITROGEN-FIXATION; ANTHROPOGENIC NITROGEN; ZOOPLANKTON BIOMASS; MOVEMENT PATTERNS; TROPHIC POSITION; STABLE-ISOTOPES</t>
  </si>
  <si>
    <t>Evaluating long-term drivers of foraging ecology and population productivity is crucial for providing ecological baselines and forecasting species responses to future environmental conditions. Here, we examine the trophic ecology and habitat use of North Atlantic leatherback turtles (St. Croix nesting population) and investigate the effects of large-scale oceanographic conditions on leatherback foraging dynamics. We used bulk and compound-specific nitrogen isotope analysis of amino acids (CSIA-AA) to estimate leatherback trophic position (TP) over an 18-year period, compare these estimates with TP estimates from a Pacific leatherback population, and elucidate the pre-nesting habitat use patterns of leatherbacks. Our secondary objective was to use oceanographic indices and nesting information from St. Croix leatherbacks to evaluate relationships between trophic ecology, nesting parameters, and regional environmental conditions measured by the North Atlantic Oscillation (NAO) and Atlantic Multidecadal Oscillation. We found no change in leatherback TP over time and no difference in TP between Atlantic and Pacific leatherbacks, indicating that differences in trophic ecology between populations are an unlikely driver of the population dichotomy between Pacific and Atlantic leatherbacks. Isotope data suggested that St. Croix leatherbacks inhabit multiple oceanic regions prior to nesting, although, like their conspecifics in the Pacific, individuals exhibit fidelity to specific foraging regions. Leatherback nesting parameters were weakly related to the NAO, which may suggest that positive NAO phases benefit St. Croix leatherbacks, potentially through increases in resource availability in their foraging areas. Our data contribute to the understanding of leatherback turtle ecology and potential mechanistic drivers of the dichotomy between populations of this protected species.</t>
  </si>
  <si>
    <t>10.1007/s00442-018-4279-z</t>
  </si>
  <si>
    <t>de Araujo, ME; Lunaidon-Branco, MJ; Verani, JR; Branco, JO; Bareiros, JP; Christoffersen, ML</t>
  </si>
  <si>
    <t>A TROPHIC ANALYSIS OF TARGET SPECIES OF MACROBENTHOS IN A SUBTROPICAL COASTAL COMMUNITY: A TAXA RELATIONSHIP ESSAY</t>
  </si>
  <si>
    <t>CLADOGRAM; COMMON FOOD ITEMS; TROPHIC RELATIONS</t>
  </si>
  <si>
    <t>SHRIMP FARFANTEPENAEUS-PAULENSIS; CLATHRATA SAY ECHINODERMATA; CALLINECTES DANAE SMITH; PATOS LAGOON ESTUARY; PREY SIZE SELECTION; FOOD-WEB PATTERNS; NATURAL DIET; CONTINENTAL-SHELF; FEEDING-HABITS; INSHORE LIZARDFISH</t>
  </si>
  <si>
    <t>Studies on the feeding habits of aquatic organisms are a requirement for the management and sustainable use of marine ecosystems. The aim of the present research was to analyze the habits and trophic similarities of decapods, starfish and fish in order to propose trophic relationships between taxa, using Hennigian methods of phylogenetic systematics. This new grouping hypothesis, based on shared and exclusive food items and food types, corresponds to the broad taxonomic groups used in the analysis. Our results indicate that algae, Mollusca, Polychaeta, Crustacea, Echinodermata and Actinopterygii are the most exploited common resources among the species studied. Starfish were differentiated from other organisms for being stenophagic, and were grouped for feeding on bivalve mollusks. A larger group of fish and crustaceans shares algae and mainly crustaceans as food items. A third group united all eight species of Actinopterygii. This largest subgroup of fish is typically carnivorous, feeding on Anthozoa and a great quantity of Crustacea. Synodus foetens has a special position among fishes, due to its unique feeding on nematodes. A Euclidean distance dendrogram obtained in a previous publication grouped S. foetens with starfish. That result was based on a few non-exclusive shared similarities in feeding modes, as well as on shared absences of items, which are not an adequate grouping factor. Starfish are stenophagic, eating bivalves almost exclusively. Synodus foetens and Isopisthus parvipinnis have restricted food items, and are thus intermediary in relation to starfish, decapods, and other fish, which are euryphagous. The trophic cladogram displays details of food items, whether or not shared by all species. The resulting trophic analysis is consistent with known historical relationships.</t>
  </si>
  <si>
    <t>Vuaridel, M; Cherubini, P; Mettra, F; Vennemann, T; Lane, SN</t>
  </si>
  <si>
    <t>Climate-driven change in the water sourced by trees in a de-glaciating proglacial fore-field, Torres del Paine, Chile</t>
  </si>
  <si>
    <t>dendrochronology; glacier recession; groundwater; hydrogen isotopes; proglacial; recolonization; vegetation</t>
  </si>
  <si>
    <t>STABLE-ISOTOPES; PRIMARY SUCCESSION; GLACIER; VEGETATION; TEMPERATURE; FLUCTUATIONS; HYDROGEN; ICELAND; IMPACTS; PATTERN</t>
  </si>
  <si>
    <t>The colonization of proglacial margins by vegetation following glacier recession is a slow process, not least because glacially produced sediments are commonly well drained. Following from human-induced climate change, warming could increase both growth rates and water availability because of glacier melting, so compensating for situations where climate change reduces precipitation. Compensation is likely a function of location, which will control access to meltwater and groundwater, themselves spatially variable. For the Olguin glacier (Torres del Paine, Chile), we test the hypothesis that as climate has warmed and precipitation has fallen, tree growth rate response is dependent upon the access of trees to glacial meltwater. Cores were taken from trees in three revegetating zones: (Z1) proglacial stream proximal, (Z3) proglacial stream distal, and (Z2) intermediate between Z1 and Z3. For trees within each zone, we measured annual tree-ring widths and delta H-2 values. Z1 growth rates were strongly correlated with temperature and Z3 with precipitation, and Z2 showed a shift from precipitation correlation (i.e., following Z3) to temperature correlation (i.e., following Z1) through time. delta H-2 values were lowest at Z1, reflecting water of glacial origin, were highest at Z3, reflecting meteoric water supply, and shifted through time at Z2 from meteoric to glacial. Increased water supply associated with temperature-driven glacier recession may compensate for decreasing water supply from precipitation to influence tree growth. This compensation is likely related to the spatial organization of the subsurface flux of glacial melt and leads to different revegetation processes to those envisaged in the classical chronosequence model of vegetation following glacier recession.</t>
  </si>
  <si>
    <t>e2133</t>
  </si>
  <si>
    <t>10.1002/eco.2133</t>
  </si>
  <si>
    <t>Fraterrigo, JM; Strickland, MS; Keiser, AD; Bradford, MA</t>
  </si>
  <si>
    <t>Nitrogen uptake and preference in a forest understory following invasion by an exotic grass</t>
  </si>
  <si>
    <t>Plant-microbe competition; Plant-soil feedbacks; Resource partitioning; Stable isotopes</t>
  </si>
  <si>
    <t>EASTERN DECIDUOUS FORESTS; MAPLE ACER-PLATANOIDES; MICROSTEGIUM-VIMINEUM; PLANT INVASIONS; SOIL-MICROORGANISMS; LIGHT ENVIRONMENTS; ALLIARIA-PETIOLATA; HERBACEOUS LAYER; HARDWOOD FOREST; CARBON</t>
  </si>
  <si>
    <t>Plant-soil interactions have been proposed as a causative mechanism explaining how invasive plant species impact ecosystem processes. We evaluate whether an invasive plant influences plant and soil-microbe acquisition of nitrogen to elucidate the mechanistic pathways by which invaders might alter N availability. Using a (15)N tracer, we quantify differences in nitrogen uptake and allocation in communities with and without Microstegium vimineum, a shade-tolerant, C(4) grass that is rapidly invading the understories of eastern US deciduous forests. We further investigate if plants or the microbial biomass exhibit preferences for certain nitrogen forms (glycine, nitrate, and ammonium) to gain insight into nitrogen partitioning in invaded communities. Understory native plants and M. vimineum took up similar amounts of added nitrogen but allocated it differently, with native plants allocating primarily to roots and M. vimineum allocating most nitrogen to shoots. Plant nitrogen uptake was higher in invaded communities due primarily to the increase in understory biomass when M. vimineum was present, but for the microbial biomass, nitrogen uptake did not vary with invasion status. This translated to a significant reduction (P &lt; 0.001) in the ratio of microbial biomass to plant biomass nitrogen uptake, which suggests that, although the demand for nitrogen has intensified, microbes continue to be effective nitrogen competitors. The microbial biomass exhibited a strong preference for ammonium over glycine and nitrate, regardless of invasion status. By comparison, native plants showed no nitrogen preferences and M. vimineum preferred inorganic nitrogen species. We interpret our findings as evidence that invasion by M. vimineum leads to changes in the partitioning of nitrogen above and belowground in forest understories, and to decreases in the microbial biomass, but it does not affect the outcome of plant-microbe-nitrogen interactions, possibly due to functional shifts in the microbial community as a result of invasion.</t>
  </si>
  <si>
    <t>10.1007/s00442-011-2030-0</t>
  </si>
  <si>
    <t>Woodland, RJ; Warry, FY; Zhu, YF; Mac Nally, R; Reich, P; Jenkins, GP; Brehm, D; Cook, PLM</t>
  </si>
  <si>
    <t>Role of benthic habitat structure and riverine connectivity in controlling the spatial distribution and ecology of estuarine fish</t>
  </si>
  <si>
    <t>Macroalgae; Seagrass; 3D hydrodynamic model; Stable isotope; Connectivity</t>
  </si>
  <si>
    <t>BREAM ACANTHOPAGRUS-BUTCHERI; STABLE-ISOTOPE RATIOS; CLIMATE-CHANGE; FOOD WEBS; NUTRIENT ENRICHMENT; COMMUNITY STRUCTURE; EPIPHYTIC ALGAE; ORGANIC-MATTER; NITROGEN LOADS; STRIPED BASS</t>
  </si>
  <si>
    <t>Estuaries are among the most productive ecosystems per unit area, but this productivity is unevenly distributed across a complex mosaic of habitats. Identifying the qualities of different habitats that influence the composition and productivity of biotic communities is fundamental to understanding the dynamics of these ecosystems. We combined field surveys, hydrological modelling and stable isotope analysis to understand the roles of habitat, hydrological connectivity, salinity and temperature in determining assemblage composition, species abundance and trophic ecology of an estuarine fish community. Hydrodynamics, vegetation matrices of macroalgae and seagrass and the presence of epiphytes on vegetation explained spatial patterns in taxonomic biodiversity, multivariate assemblage structure and the occurrence of juvenile black bream Acanthopagrus butcheri, a species that possesses ecological traits common to many demersal estuarine fish species. Juvenile bream abundance was related to vegetation composition (particularly epiphyte presence), supporting the hypothesis that juvenile habitats that provided resources or conditions that extended beyond just structure conferred more ecological advantages. This was further evidenced by stable isotope-based estimates of basal resource contributions of epiphytes. Our findings suggest that hydrodynamic connectivity with riverine water masses acts as a coarse determinant for estuarine fish communities at large spatial scales. At smaller scales, habitat-level associations influence local abundances and the identity and importance of specific trophic resources. Coupling hydrodynamic modelling with natural biomarkers provides a powerful approach for assessing the spatial context of habitat use that can help resource managers prioritize monitoring and habitat preservation efforts for coastal fish communities in a changing global environment.</t>
  </si>
  <si>
    <t>10.3354/meps13116</t>
  </si>
  <si>
    <t>Wang, LX; Kgope, B; D'Odorico, P; Macko, SA</t>
  </si>
  <si>
    <t>Carbon and nitrogen parasitism by a xylem-tapping mistletoe (Tapinanthus oleifolius) along the Kalahari Transect: a stable isotope study</t>
  </si>
  <si>
    <t>carbon-13; Kalahari transect; mistletoe; nitrogen-15; parasitism; stable isotopes</t>
  </si>
  <si>
    <t>ARIDITY GRADIENT; WATER</t>
  </si>
  <si>
    <t>The present study explores the xylem-tapping parasitism by mistletoe (Tapinanthus oleifolius) on native tree species along the Kalahari Transect (KT) using the stable isotopes of carbon and nitrogen. Mistletoe-host pairs were collected at three geographical locations along the KT rainfall gradient in the 2005 and 2006 wet seasons. Foliar total carbon, total nitrogen and their stable isotope compositions (delta C-13 and delta N-15) were measured. Heterotrophy (H) was calculated using foliar delta C-13 values of mistletoes and their hosts as an indicator of proportion of carbon in the mistletoes derived from host photosynthate. Based on the mistletoe H-value and relationship between the mistletoe foliar delta N-15 and their host foliar delta N-15, the results showed that mistletoes along the KT derived both nitrogen and carbon from their hosts. Mistletoes may regulate water use in relation to nitrogen supply. The proportion of carbon in the mistletoes derived from host photosynthate was between 35% and 78%, and the degree of heterotrophy was species-specific with only limited annual variation. The study emphasizes the importance of incorporating parasitic associations in future studies on studying carbon, water and nutrient cycling along the Kalahari.</t>
  </si>
  <si>
    <t>10.1111/j.1365-2028.2007.00895.x</t>
  </si>
  <si>
    <t>Rollin, O; Vray, S; Dendoncker, N; Michez, D; Dufrene, M; Rasmont, P</t>
  </si>
  <si>
    <t>Drastic shifts in the Belgian bumblebee community over the last century</t>
  </si>
  <si>
    <t>Bombus; Species richness change; Area of occupancy; Habitat preference; Nesting strategy</t>
  </si>
  <si>
    <t>AGRI-ENVIRONMENT SCHEMES; LAND-USE; DISTRIBUTION TRENDS; BEES HYMENOPTERA; CLIMATE-CHANGE; DIET BREADTH; HABITAT; APIDAE; DECLINES; RARITY</t>
  </si>
  <si>
    <t>Bumblebees are undergoing strong declines in Europe caused by habitat loss and fragmentation, agricultural intensification, and climate change. Long-term records are necessary to estimate population trends precisely and to propose appropriate mitigation strategies. Based on an original database of 173,788 specimens from museum collections, scientific monitoring, and opportunistic citizen data from 1810 to 2016, we compared changes in species richness and area of occupancy of Belgian bumblebee species through three time-periods (1910-1930, 1970-1989, and 1990-2016). We also assessed if the observed trends are related to species-specific ecological traits and spatial scales (local, regional and national). Overall, species richness decreased over the last century in Belgium, but some regions retained relatively species-rich communities. A strong shift in community composition occurred. Three species remained among the top five in terms of species occurrence (area of occupancy) between the three time-periods (B. pascuorum, B. lapidarius, and B. pratorum), but several species that were once widespread declined drastically (B. muscorum, B. humilis, B. ruderatus, and B. veteranus), while a few species increased their distribution (e.g. B. hypnorum and B. terrestris). Habitat preferences significantly explained the observed trends, with declining species preferring open habitats and increasing species preferring wooded habitats.</t>
  </si>
  <si>
    <t>10.1007/s10531-020-01988-6</t>
  </si>
  <si>
    <t>Edwards, MA; Derocher, AE; Hobson, KA; Branigan, M; Nagy, JA</t>
  </si>
  <si>
    <t>Fast carnivores and slow herbivores: differential foraging strategies among grizzly bears in the Canadian Arctic</t>
  </si>
  <si>
    <t>Diet specialization; Grizzly bear; Niche width; Trophic position; Ursus arctos</t>
  </si>
  <si>
    <t>NITROGEN ISOTOPIC FRACTIONATION; STABLE-ISOTOPES; SEXUAL-DIMORPHISM; SITE FIDELITY; URSUS-ARCTOS; BROWN BEARS; SEA OTTERS; FOOD-WEB; DIET; CARBON</t>
  </si>
  <si>
    <t>Categorizing animal populations by diet can mask important intrapopulation variation, which is crucial to understanding a species' trophic niche width. To test hypotheses related to intrapopulation variation in foraging or the presence of diet specialization, we conducted stable isotope analysis (delta C-13, delta N-15) on hair and claw samples from 51 grizzly bears (Ursus arctos) collected from 2003 to 2006 in the Mackenzie Delta region of the Canadian Arctic. We examined within-population differences in the foraging patterns of males and females and the relationship between trophic position (derived from delta N-15 measurements) and individual movement. The range of delta N-15 values in hair and claw (2.0-11.0aEuro degrees) suggested a wide niche width and cluster analyses indicated the presence of three foraging groups within the population, ranging from near-complete herbivory to near-complete carnivory. We found no linear relationship between home range size and trophic position when the data were continuous or when grouped by foraging behavior. However, the movement rate of females increased linearly with trophic position. We used multisource dual-isotope mixing models to determine the relative contributions of seven prey sources within each foraging group for both males and females. The mean bear dietary endpoint across all foraging groups for each sex fell toward the center of the mixing polygon, which suggested relatively well-mixed diets. The primary dietary difference across foraging groups was the proportional contribution of herbaceous foods, which decreased for both males and females from 42-76 to 0-27% and 62-81 to 0-44%, respectively. Grizzlies of the Mackenzie Delta live in extremely harsh conditions and identifying within-population diet specialization has improved our understanding of varying habitat requirements within the population.</t>
  </si>
  <si>
    <t>10.1007/s00442-010-1869-9</t>
  </si>
  <si>
    <t>Dimitrijevic, D; Paiva, VH; Ramos, JA; Seco, J; Ceia, FR; Chipev, N; Valente, T; Barbosa, A; Xavier, JC</t>
  </si>
  <si>
    <t>Isotopic niches of sympatric Gentoo and Chinstrap Penguins: evidence of competition for Antarctic krill?</t>
  </si>
  <si>
    <t>Isotopic niche; Pygoscelis antarctica; Pygoscelis papua; Stable isotopes; Trophic interactions</t>
  </si>
  <si>
    <t>SOUTH-SHETLAND ISLANDS; KING-GEORGE-ISLAND; STABLE-ISOTOPES; EUPHAUSIA-SUPERBA; PYGOSCELIS-ANTARCTICA; FORAGING-NICHE; CLIMATE-CHANGE; ENVIRONMENTAL VARIABILITY; POPULATION-CHANGES; SEA-ICE</t>
  </si>
  <si>
    <t>As climate change, among other factors, is increasingly affecting Antarctic marine systems, competition for prey may increase between predators, particularly in the Antarctic Peninsula which has warmed more than elsewhere. Under such a context, we tested the feeding and trophic ecology of Gentoo (Pygoscelis papua) and Chinstrap (Pygoscelis antarctica) penguins breeding in sympatry at Livingston Island (Antarctic Peninsula) in a single season. We compared the diets of adults (from faecal samples, and stable isotopes in feathers and blood) and chicks (from stomach contents, and stable isotopes in down feathers, toenails and muscles of chicks that had died of unknown causes). Antarctic hill Euphausia superba dominated the diet of both species, although Gentoo Penguins fed on larger Antarctic hill than did Chinstrap Penguins. Stable isotope analyses of adult tissues revealed that both species fed at different niches in successive years, as depicted by the different levels delta C-13 in feathers (showing values from the previous breeding season) and whole blood (showing values from the current season). Tissues collected from chicks confirmed their diet over different time scales (i.e. days to weeks): Gentoo Penguins fed at a higher trophic level (possibly due to a more varied diet) and in different habitats than Chinstrap Penguins, providing evidence of isotopic niche separation of penguins. Our results may be relevant to the monitoring programmes of the Convention on the Conservation of Antarctic Marine Living Resources (CCAMLR) and suggest that adult scats, and stomach contents and tissues of recently died chicks, can be used in such programmes</t>
  </si>
  <si>
    <t>10.1007/s00300-018-2306-5</t>
  </si>
  <si>
    <t>Hobart, BK; Jones, GM; Roberts, KN; Dotters, BP; Whitmore, SA; Berigan, WJ; Raphael, MG; Keane, JJ; Gutierrez, RJ; Peery, MZ</t>
  </si>
  <si>
    <t>Trophic interactions mediate the response of predator populations to habitat change</t>
  </si>
  <si>
    <t>Ecological mechanisms; Foraging; Forest management; Predator conservation; Spotted owl; Stable isotope analysis</t>
  </si>
  <si>
    <t>CALIFORNIA SPOTTED OWLS; STABLE-ISOTOPES; CLIMATE-CHANGE; LARGE CARNIVORE; SITE OCCUPANCY; ECOLOGY; MODELS; FOREST; DIETS; ASSOCIATIONS</t>
  </si>
  <si>
    <t>Identifying the mechanisms by which globally pervasive changes in habitat affect predators is a central, yet challenging, endeavor in applied ecology. Cryptic shifts in trophic interactions are potentially important but widely underappreciated mechanisms shaping predator population response to habitat change. Here, we assessed the extent to which variation in trophic interactions explained differences in predator populations at both local and landscape scales. We integrated stable isotope analyses, GPS tagging, and long-term territory occupancy information to characterize the trophic ecology of spotted owls in the Sierra Nevada, California, USA where population trends and densities vary among forest landscapes with contrasting land uses and disturbance regimes. Trophic interactions appeared to influence spotted owl space use and territory occupancy rates with emergent consequences for landscape-scale patterns in population abundance and trends. Specifically, consumption of woodrats and pocket gophers, which varied with habitat conditions, was associated with smaller home ranges and lower territory extinction probabilities. Moreover, spotted owls consumed significantly more woodrats and pocket gophers in landscapes with stable (national parks) and high-occupancy (private lands) populations than in landscapes with declining owl populations (national forests). Collectively, our results suggest that trophic responses to local habitat conditions can affect predators at multiple spatial scales and that managing for important prey species habitat may benefit predator populations. Because trophic interactions mediate species' responses to anthropogenic pressures in many ecological systems, our approach to integrating stable isotopes with behavioral, fitness, occupancy, and demographic data offers a tractable avenue for researchers elsewhere to quantify such relationships.</t>
  </si>
  <si>
    <t>10.1016/j.biocon.2019.108217</t>
  </si>
  <si>
    <t>McDowell, NG; Bowling, DR; Schauer, A; Irvine, J; Bond, BJ; Law, BE; Ehleringer, JR</t>
  </si>
  <si>
    <t>Associations between carbon isotope ratios of ecosystem respiration, water availability and canopy conductance</t>
  </si>
  <si>
    <t>carbon isotopes; climate; ecosystem respiration; Keeling plot; Pinus ponderosa; Pseudotsuga menziesii; stomatal conductance</t>
  </si>
  <si>
    <t>PONDEROSA PINE FORESTS; SOIL RESPIRATION; OLD-GROWTH; TERRESTRIAL BIOSPHERE; C-13 DISCRIMINATION; PACIFIC-NORTHWEST; NATURAL-ABUNDANCE; CO2 EXCHANGE; PHOTOSYNTHESIS; DELTA-C-13</t>
  </si>
  <si>
    <t>We tested the hypothesis that the stable carbon isotope signature of ecosystem respiration (delta(13)C(R)) was regulated by canopy conductance (G(c)) using weekly Keeling plots (n=51) from a semiarid old-growth ponderosa pine (Pinus ponderosa) forest in Oregon, USA. For a comparison of forests in two contrasting climates we also evaluated trends in delta(13)C(R) from a wet 20-year-old Douglas-fir (Pseudotsuga menziesii) plantation located near the Pacific Ocean. Intraannual variability in delta(13)C(R) was greater than 8.0parts per thousand at both sites, was highest during autumn, winter, and spring when rainfall was abundant, and lowest during summer drought. The delta(13)C(R) of the dry pine forest was consistently more positive than the wetter Douglas-fir forest (mean annual delta(13)C(R): -25.41parts per thousand vs. -26.23parts per thousand, respectively, P=0.07). At the Douglas-fir forest, delta(13)C(R)-climate relationships were consistent with predictions based on stomatal regulation of carbon isotope discrimination (Delta). Soil water content (SWC) and vapor pressure deficit (vpd) were the most important factors governing delta(13)C(R) in this forest throughout the year. In contrast, delta(13)C(R) at the pine forest was relatively insensitive to SWC or vpd, and exhibited a smaller drought-related enrichment (similar to2parts per thousand) than the enrichment observed during drought at the Douglas-fir forest (similar to5parts per thousand). Groundwater access at the pine forest may buffer canopy-gas exchange from drought. Despite this potential buffering, delta(13)C(R) at the pine forest was significantly but weakly related to canopy conductance (G(c)), suggesting that delta(13)C(R) remains coupled to canopy-gas exchange despite groundwater access. During drought, delta(13)C(R) was strongly correlated with soil temperature at both forests. The hypothesis that canopy-level physiology is a critical regulator of delta(13)C(R) was supported; however, belowground respiration may become more important during rain-free periods.</t>
  </si>
  <si>
    <t>10.1111/j.1365-2486.2004.00837.x</t>
  </si>
  <si>
    <t>Clark, CT; Fleming, AH; Calambokidis, J; Kellar, NM; Allen, CD; Catelani, KN; Robbins, M; Beaulieu, NE; Steel, D; Harvey, JT</t>
  </si>
  <si>
    <t>Heavy with child? Pregnancy status and stable isotope ratios as determined from biopsies of humpback whales</t>
  </si>
  <si>
    <t>Blubber; hormones; humpback whale; pregnancy; progesterone; stable isotopes</t>
  </si>
  <si>
    <t>SEALS CALLORHINUS-URSINUS; MEGAPTERA-NOVAEANGLIAE; PROGESTERONE LEVELS; POLAR BEARS; NITROGEN; RATES; ECOLOGY; HABITAT; BLUBBER; GLYCOPROTEIN</t>
  </si>
  <si>
    <t>Understanding reproductive rates of wild animal populations is crucially important for management and conservation. Assessing pregnancy status of free-ranging cetaceans has historically been difficult; however, recent advances in analytical techniques have allowed the diagnosis of pregnancy from small samples of blubber tissue. The primary objectives of this study were as follows: (i) to test the efficacy of blubber progesterone assays as a tool for diagnosing pregnancy in humpback whales (Megaptera novaeangliae); (ii) to estimate the pregnancy rate of humpback whales in Monterey Bay, California; and (iii) to investigate the relationship between stable isotopes and reproductive status of these whales. Progesterone concentrations of female whales fell into two distinct groups, allowing for diagnostic separation of pregnant and non-pregnant individuals. Pregnancy rate varied between years of the study (48.4%% in 2011 and 18.5% in 2012), but fell within the range of other estimates of reproductive success for this population. Stable carbon and nitrogen isotope ratios were examined to investigate the impacts of pregnancy on these values. Neither delta N-15 nor delta C-13 varied in a consistent way among animals of different sex or reproductive status. The relationship between delta N-15 and delta C-13 was strongly positive for male and non-pregnant female humpbacks; however, no relationship existed for pregnant whales. This difference may be indicative of the effects of pregnancy on delta N-15, resulting from tissue synthesis and reduced excretion of nitrogenous waste, as well as on delta C-13 through increased mobilization of lipid stores to meet the energetic demands of pregnancy. Ultimately, our results support the use of blubber progesterone assays for diagnosing pregnancy in humpback whales and indicate that, when paired with other approaches (e.g. stable isotope analysis), pregnancy status can be an informative tool for addressing questions about animal physiology, ecology and population biology. This information will provide for more effective management and conservation efforts in a rapidly changing world.</t>
  </si>
  <si>
    <t>cow050</t>
  </si>
  <si>
    <t>10.1093/conphys/cow050</t>
  </si>
  <si>
    <t>Tan, HB; Liu, ZH; Rao, WB; Wei, HZ; Zhang, YD; Jin, B</t>
  </si>
  <si>
    <t>Stable isotopes of soil water: Implications for soil water and shallow groundwater recharge in hill and gully regions of the Loess Plateau, China</t>
  </si>
  <si>
    <t>Soil water; Groundwater; Stable isotopes of hydrogen and oxygen; Recharge; Hill and gully regions; Loess Plateau</t>
  </si>
  <si>
    <t>MECHANISM</t>
  </si>
  <si>
    <t>There is relatively abundant groundwater in some hill and gully regions of the Loess Plateau aquifer. The region has an arid to semiarid climate with low precipitation and high potential evaporation, and thus, groundwater recharge processes remain unclear. This study aimed to investigate recharge mechanisms and soil water movement in the Loess Plateau aquifer and to assess the recharge to shallow loess aquifers using soil profiles. In general, we found that the delta O-18 and delta H-2 values of soil water varied both with season and with soil profile depth. The seasonal stable isotopic values in the soil profiles also differed between wet and dry years. In particular, soil water and groundwater isotopic values responded to precipitation. This response suggests that seasonal precipitation is the main source of recharge to soil water and groundwater and that soil water is involved in groundwater recharge. The precipitation infiltration, soil water replenishment, and groundwater recharge are complicated processes. Two main modes of infiltration allow water to move downward through the unsaturated zone and recharge groundwater can be concluded. The primary mode is preferential infiltration through microtopographic features. This channel-like infiltration can rapidly move precipitation downward to deep soil layers, greatly reducing evaporation even under the arid to semiarid conditions of the study area. The secondary mode is a combination of matrix flow, which includes inside preferential infiltration though finger-like flow in the upper layer and piston-like flow in the deeper layer. The upper finger-like flow can cause rapid infiltration to below the root zone during less intense rain or snowmelt. The annual precipitation through preferential flow is the dominant recharge mode for the shallow groundwater in the loess aquifers. These two modes of recharge maintain perennial groundwater in the arid to semiarid hill and gully regions of the Loess Plateau.</t>
  </si>
  <si>
    <t>10.1016/j.agee.2017.04.001</t>
  </si>
  <si>
    <t>Gong, XY; Ma, WT; Yu, YZ; Fang, KY; Yang, YS; Tcherkez, G; Adams, MA</t>
  </si>
  <si>
    <t>Overestimated gains in water-use efficiency by global forests</t>
  </si>
  <si>
    <t>atmospheric CO2; carbon stable isotope; land carbon uptake; mesophyll conductance; photosynthesis; stomatal conductance; tree rings; water-use efficiency</t>
  </si>
  <si>
    <t>CARBON-ISOTOPE DISCRIMINATION; CO2 ENRICHMENT FACE; MESOPHYLL CONDUCTANCE; GAS-EXCHANGE; STABLE-ISOTOPES; LEAF; RESPONSES; CLIMATE; FRACTIONATION; RESPIRATION</t>
  </si>
  <si>
    <t>Increases in terrestrial water-use efficiency (WUE) have been reported in many studies, pointing to potential changes in physiological forcing of global carbon and hydrological cycles. However, gains in WUE are of uncertain magnitude over longer (i.e. &gt;10 years) periods of time largely owing to difficulties in accounting for structural and physiological acclimation. C-13 signatures (i.e. delta C-13) of plant organic matter have long been used to estimate WUE at temporal scales ranging from days to centuries. Mesophyll conductance is a key uncertainty in estimated WUE owing to its influence on diffusion of CO2 to sites of carboxylation. Here we apply new knowledge of mesophyll conductance to 464 delta C-13 chronologies in tree-rings of 143 species spanning global biomes. Adjusted for mesophyll conductance, gains in WUE during the 20th century (0.15 ppm year(-1)) were considerably smaller than those estimated from conventional modelling (0.26 ppm year(-1)). Across the globe, mean sensitivity of WUE to atmospheric CO2 was 0.15 ppm ppm(-1). Ratios of internal-to-atmospheric CO2 (on a mole fraction basis; c(i)/c(a)) in leaves were mostly constant over time but differed among biomes and plant taxa-highlighting the significance of both plant structure and physiology. Together with synchronized responses in stomatal and mesophyll conductance, our results suggest that ratios of chloroplastic-to-atmospheric CO2 (c(c)/c(a)) are constrained over time. We conclude that forest WUE may have not increased as much as previously suggested and that projections of future climate forcing via CO2 fertilization may need to be adjusted accordingly.</t>
  </si>
  <si>
    <t>10.1111/gcb.16221</t>
  </si>
  <si>
    <t>Fraley, KM; Robards, MD; Rogers, MC; Vollenweider, J; Smith, B; Whiting, A; Jones, T</t>
  </si>
  <si>
    <t>Freshwater input and ocean connectivity affect habitats and trophic ecology of fishes in Arctic coastal lagoons</t>
  </si>
  <si>
    <t>Coastal lagoons; Fish ecology; Arctic; Stable isotope analysis; Subsistence fisheries</t>
  </si>
  <si>
    <t>CISCO COREGONUS-AUTUMNALIS; HERRING CLUPEA-PALLASI; CLIMATE-CHANGE; BEAUFORT SEA; STABLE-ISOTOPES; ORGANIC-MATTER; FOOD WEBS; SUBSISTENCE; RIVER; SIZE</t>
  </si>
  <si>
    <t>Arctic coastal lagoons are important habitats for unique assemblages of diadromous and marine fishes. Many of these fishes are vital to the food security of rural and indigenous communities. However, human impacts on coastal Arctic habitats, as well as climate change, weaken ecosystem resiliency and threaten the sustainability of fish stocks as a component of local food security. Identifying how habitat characteristics influence fish ecology may allow for predictions of changes in fish abundance and availability in response to these threats, and may help illuminate strategies for responding to negative impacts. Consequently, we endeavored to link habitat characteristics likely to be most-impacted by climate change to fish assemblage trophic metrics in four lagoons within Cape Krusenstern National Monument, Alaska where subsistence fishing commonly occurs. This was done through calculating trophic metrics including mean nitrogen (delta N-15) and carbon (delta C-13) stable isotope values from fish muscle tissue samples collected from the study lagoons. Lagoon habitat characteristics were quantified including ocean connectivity, freshwater input, and surface area using satellite imagery. Finally, associations between fish assemblage trophic metrics and habitat characteristics were evaluated using linear regressions, and trophic metrics were compared between lagoons with ANOVA and Tukey post-hoc tests. Model results showed that increased freshwater input resulted in longer duration of lagoon ocean connectivity. Additionally, longer duration of ocean connectivity was associated with an increase in mean delta N-15 and delta C-13 across all lagoon fish species. Finally, there were significant species-specific differences in fish trophic metrics among lagoons with varying habitat characteristics. Overall, freshwater input and ocean connectivity of coastal Arctic lagoons appear to be important drivers of fish trophic ecology, and should be carefully monitored in the face of anticipated changes in the region, to conserve important subsistence harvest species.</t>
  </si>
  <si>
    <t>10.1007/s00300-021-02895-4</t>
  </si>
  <si>
    <t>Stribling, JM; Cornwell, JC; Currin, C</t>
  </si>
  <si>
    <t>Variability of stable sulfur isotopic ratios in Spartina alterniflora</t>
  </si>
  <si>
    <t>Spartina alterniflora; sulfur; stable isotopes; oligohaline marshes</t>
  </si>
  <si>
    <t>ORGANIC-MATTER FLOW; ENGLAND SALT-MARSH; FOOD-WEBS; SULFATE REDUCTION; CARBON ISOTOPES; NITROGEN; MARINE; DIAGENESIS; SEDIMENTS; OXIDATION</t>
  </si>
  <si>
    <t>The sulfur stable isotopic composition of Spartina alterniflora in a low salinity tidal creek system was related to differences in porewater sulfur chemistry determined by salinity, hydrodynamics, and season. The extent of porewater sulfide accumulation, the reoxidation of sulfide minerals, and sulfate limitation of sulfate reduction were important processes controlling the delta(34)S Of the sulfur available for plant uptake. The influence of sedimentary sulfate reduction rates on S. alterniflora delta(34)S was demonstrated in the comparison of 2 sites with similar sulfate supply but differing hydrology; plant delta(34)S values were heavier where sediments were more oxidized relative to plant delta(34)S values from a frequently flooded marsh with more reduced sediments The role of sulfate supply in determining S. alterniflora delta(34)S values was apparent in the comparison of 3 sites with similar hydrology but differing salinity; shoot delta(34)S decreased with increasing salinity. In low salinity marshes, oxidation of stored sulfide minerals in winter and spring led to Lighter shoot delta(34)S values, while sulfate depletion in late summer was associated with isotopically heavier shoot sulfur. Variability on spatial and temporal scales in sulfur stable isotopic composition of S, alterniflora has implications for the use of its delta(31)S values in studies of trophic dynamics in estuarine marshes. The sulfur chemistry of the marsh sediments and the sampling season may both influence the stable isotopic signature of this important primary producer.</t>
  </si>
  <si>
    <t>10.3354/meps166073</t>
  </si>
  <si>
    <t>Dehnhard, N; Voigt, CC; Poisbleau, M; Demongin, L; Quillfeldt, P</t>
  </si>
  <si>
    <t>Stable isotopes in southern rockhopper penguins: foraging areas and sexual diVerences in the non-breeding period</t>
  </si>
  <si>
    <t>Southern rockhopper penguin; Stable isotope analysis; Non-breeding season; Winter distribution</t>
  </si>
  <si>
    <t>EUDYPTES-CHRYSOCOME-CHRYSOCOME; C.-CHRYSOCOME; INTERANNUAL VARIATION; FALKLAND-ISLANDS; CLIMATE-CHANGE; STATEN-ISLAND; WINTER; DIET; DELTA-N-15; SEABIRDS</t>
  </si>
  <si>
    <t>Southern rockhopper penguins (Eudyptes chrysocome chrysocome) have experienced severe population declines across their distribution area, potentially in response to bottom-up effects following elevated sea surface temperatures, changes in the food web and prey availability. We conducted stable isotope analysis to compare trophic levels and distribution patterns in the non-breeding period over three consecutive years, and between males and females, using egg membranes, blood cells and feathers of parent birds. Tissues representing the non-breeding season had lower delta C-13 values than prey sampled around the Falklands and red blood cells from breeding rockhopper penguins. In contrast, delta N-15 values were higher in red blood cells from the end of winter compared to those from the breeding season and compared to feathers. This indicated that rockhopper penguins left the Falkland Island area in the non-breeding season and foraged either around Burdwood Bank further south, or over the Patagonian Shelf. In winter, only males took more prey of higher trophic level than females. Inter-annual differences in isotopic values partly correlated with sea surface temperatures. However, as prey isotope samples were collected only in 1 year, inter-annual differences in penguin isotopic values may result from different foraging sites, different prey choice or different isotopic baseline values. Our study highlights the potential for stable isotope analyses to detect seasonal and gender-specific differences in foraging areas and trophic levels, while stressing the need for more sampling of isotopic baseline data.</t>
  </si>
  <si>
    <t>10.1007/s00300-011-1026-x</t>
  </si>
  <si>
    <t>Serrano-Grijalva, L; Sanchez-Carrillo, S; Angeler, DG; Sanchez-Andres, R; Alvarez-Cobelas, M</t>
  </si>
  <si>
    <t>Effects of shrimp-farm effluents on the food web structure in subtropical coastal lagoons</t>
  </si>
  <si>
    <t>Anthropogenic stress; Coastal lagoons; Ecosystem ecology; Gulf of California; Stable isotopes; Trophic relationships</t>
  </si>
  <si>
    <t>GULF-OF-CALIFORNIA; STABLE CARBON; PRIMARY PRODUCERS; ORGANIC-MATTER; FISH FARM; ISOTOPE BIOGEOCHEMISTRY; MANGROVE ESTUARY; SCHELDT ESTUARY; NITROGEN; DELTA-N-15</t>
  </si>
  <si>
    <t>Although numerous studies have reported the negative effects of shrimp aquaculture on water quality, little is known about the ecological effects of these practices in coastal lagoons and near-shore marine habitats. The impact of shrimp-farm effluents on the food webs of an impacted subtropical coastal lagoon in the Gulf of California was evaluated through measurements of isotopic (delta C-13, delta N-15) signatures in sediments, plants and animals, and compared with the results of a near-pristine reference site. Degradation was manifested in a strong reduction on fish diversity at the perturbed site. delta C-13 signatures provided ambiguous evidence of degradation while delta N-15 was a better descriptor of shrimp-farm effluent impact on coastal lagoon food webs. The site receiving nutrient-rich discharges showed significant enrichment of delta N-15 (approximate to 5 parts per thousand) in sediments, macroalgae, benthic algae, filterfeeders and omnivorous feeders, resulting in qualitative differences in foodweb structure between both lagoons. The food web in the perturbed site was sustained by sediment detritus and dominated by opportunistic species. The lowest influence on delta N-15 signatures by aquaculture discharges recorded in the upper trophic levels could be explained by the shift in the composition of biotic communities, and associated feeding strategies. While alterations in resource availability do not affect directly food chain length, trophic linkages between food web compartments can be reduced as a result of shrimp farm impacts. Our study demonstrates that nutrient-enriched discharges from shrimp-farm aquaculture generate changes in the availability of food sources, which reduce biodiversity and alter structural and functional food web characteristics. (C) 2011 Elsevier B.V. All rights reserved.</t>
  </si>
  <si>
    <t>10.1016/j.jembe.2011.03.019</t>
  </si>
  <si>
    <t>Venkiteswaran, JJ; Wassenaar, LI; Schiff, SL</t>
  </si>
  <si>
    <t>Dynamics of dissolved oxygen isotopic ratios: a transient model to quantify primary production, community respiration, and air-water exchange in aquatic ecosystems</t>
  </si>
  <si>
    <t>dissolved oxygen; stable isotopes; respiration; modelling; productivity</t>
  </si>
  <si>
    <t>REAERATION COEFFICIENTS; ATMOSPHERIC OXYGEN; STREAM METABOLISM; STABLE-ISOTOPES; SAGAMI BAY; FRACTIONATION; PHOTOSYNTHESIS; SOLUBILITY; O-18/O-16; NITROGEN</t>
  </si>
  <si>
    <t>Dissolved O-2 is an important aquatic ecosystem health indicator. Metabolic and gas exchange (G) rates, which control O-2 concentration, are affected by nutrient loading and other environmental factors. Traditionally, aquatic metabolism has been reported as primary production:community respiration (P:R) ratios using diel measurements and interpretations of dissolved O-2 and/or CO2 concentrations, and recently using stable isotopes (delta O-18, Delta P-17) and steady state assumptions. Aquatic ecosystems, such as rivers and ponds, are not at steady state and exhibit diel changes, so steady state approaches are often inappropriate. A dynamic O-2 stable isotope model (photosynthesis-respiration-gas exchange; PoRGy) is presented here, requiring a minimum of parameters to quantify daily averaged P, R, and G rates under transient field conditions. Unlike steady state approaches, PoRGy can address scenarios with 100% O-2 saturation but with delta O-18-O-2 values that are not at air equilibrium. PoRGy successfully accounts for isotopic G when applied to an oxygen isotope equilibration laboratory experiment. PoRGy model results closely matched the diel O-2 and delta O-18-O-2 data from three field sites with different P:R:G ratios and various P, R and G rates. PoRGy provides a new research tool to assess ecosystem health and to pose environmental impact-driven questions. Using daily averaged rates was successful and thus they can be used to compare ecosystems across seasons and landscapes.</t>
  </si>
  <si>
    <t>10.1007/s00442-007-0744-9</t>
  </si>
  <si>
    <t>Bjorndal, KA; Bolten, AB; Chaloupka, M; Saba, VS; Bellini, C; Marcovaldi, MAG; Santos, AJB; Bortolon, LFW; Meylan, AB; Meylan, PA; Gray, J; Hardy, R; Brost, B; Bresette, M; Gorham, JC; Connett, S; Crouchley, BV; Dawson, M; Hayes, D; Diez, CE; van Dam, RP; Willis, S; Nava, M; Hart, KM; Cherkiss, MS; Crowder, AG; Pollock, C; Hillis-Starr, Z; Teneria, FAM; Herrera-Pavon, R; Labrada-Martagon, V; Lorences, A; Negrete-Philippe, A; Lamont, MM; Foley, AM; Bailey, R; Carthy, RR; Scarpino, R; McMichael, E; Provancha, JA; Brooks, A; Jardim, A; Lopez-Mendilaharsu, M; Gonzalez-Paredes, D; Estrades, A; Fallabrino, A; Martinez-Souza, G; Velez-Rubio, GM; Boulon, RH; Collazo, JA; Wershoven, R; Hernandez, VG; Stringell, TB; Sanghera, A; Richardson, PB; Broderick, AC; Phillips, Q; Calosso, M; Claydon, JAB; Metz, TL; Gordon, AL; Landry, AM; Shaver, DJ; Blumenthal, J; Collyer, L; Godley, BJ; McGowan, A; Witt, MJ; Campbell, CL; Lagueux, CJ; Bethel, TL; Kenyon, L</t>
  </si>
  <si>
    <t>Ecological regime shift drives declining growth rates of sea turtles throughout the West Atlantic</t>
  </si>
  <si>
    <t>Caretta caretta; Chelonia mydas; ecological regime shifts; Eretmochelys imbricata; multivariate ENSO index; sea surface temperature; seagrass; somatic growth rates</t>
  </si>
  <si>
    <t>CLIMATE-CHANGE; SOMATIC GROWTH; CONSERVATION IMPLICATIONS; TROPICAL ATLANTIC; CHELONIA-MYDAS; CORAL-REEFS; TEMPERATURE; RECOVERY; OCEAN; PHOTOSYNTHESIS</t>
  </si>
  <si>
    <t>Somatic growth is an integrated, individual-based response to environmental conditions, especially in ectotherms. Growth dynamics of large, mobile animals are particularly useful as bio-indicators of environmental change at regional scales. We assembled growth rate data from throughout the West Atlantic for green turtles, Chelonia mydas, which are long-lived, highly migratory, primarily herbivorous mega-consumers that may migrate over hundreds to thousands of kilometers. Our dataset, the largest ever compiled for sea turtles, has 9690 growth increments from 30 sites from Bermuda to Uruguay from 1973 to 2015. Using generalized additive mixed models, we evaluated covariates that could affect growth rates; body size, diet, and year have significant effects on growth. Growth increases in early years until 1999, then declines by 26% to 2015. The temporal (year) effect is of particular interest because two carnivorous species of sea turtles-hawksbills, Eretmochelys imbricata, and loggerheads, Caretta caretta-exhibited similar significant declines in growth rates starting in 1997 in the West Atlantic, based on previous studies. These synchronous declines in productivity among three sea turtle species across a trophic spectrum provide strong evidence that an ecological regime shift (ERS) in the Atlantic is driving growth dynamics. The ERS resulted from a synergy of the 1997/1998 El Nino Southern Oscillation (ENSO)-the strongest on record-combined with an unprecedented warming rate over the last two to three decades. Further support is provided by the strong correlations between annualized mean growth rates of green turtles and both sea surface temperatures (SST) in the West Atlantic for years of declining growth rates (r = -.94) and the Multivariate ENSO Index (MEI) for all years (r = .74). Granger-causality analysis also supports the latter finding. We discuss multiple stressors that could reinforce and prolong the effect of the ERS. This study demonstrates the importance of region-wide collaborations.</t>
  </si>
  <si>
    <t>10.1111/gcb.13712</t>
  </si>
  <si>
    <t>Espinoza, M; Matley, J; Heupel, MR; Tobin, AJ; Fisk, AT; Simpfendorfer, CA</t>
  </si>
  <si>
    <t>Multi-tissue stable isotope analysis reveals resource partitioning and trophic relationships of large reef-associated predators</t>
  </si>
  <si>
    <t>Trophic ecology; Shark; Food web; Coral reef; Spatial ecology; Great Barrier Reef</t>
  </si>
  <si>
    <t>GREAT-BARRIER-REEF; ONTOGENIC DIETARY SHIFTS; CARCHARHINUS-AMBLYRHYNCHOS; DISCRIMINATION FACTORS; ACOUSTIC TELEMETRY; TEMPORAL VARIATION; MARINE PREDATORS; ECOLOGICAL ROLE; SHARK DECLINES; FOOD-HABITS</t>
  </si>
  <si>
    <t>Defining the role of reef predators is particularly important given the rapid rate at which some species are declining, yet knowledge of trophic relationships is often lacking, particularly for large wide-ranging species that may use coral reefs seasonally or opportunistically. We used a multi-tissue stable isotope approach to investigate the trophic ecology of common reef predators in the central Great Barrier Reef of Australia. Our study revealed significant trophic separation among reef predators, especially when considering isotopic data from muscle, a slower turnover tissue. Based on muscle data, the bull shark Carcharhinus leucas, a large wide-ranging coastal species, occupied a higher trophic position and had a larger isotopic niche breadth (19.1 parts per thousand(2)) relative to smaller predators, including resident sharks (4.5 +/- 0.7 parts per thousand(2)) and large-bodied teleosts (4.4 +/- 1.8 parts per thousand(2)). Spanish mackerel Scomberomorus commerson and bull sharks had the largest unique total areas of isotopic niche space (expressed as a percentage) that did not overlap with any other species, 95% and 69.4 %, respectively, which means they had lower isotopic overlap. In general, faster turnover tissues such as whole blood and plasma showed higher isotopic overlap and smaller niche breadth for all reef predators. These results suggest that bull sharks use similar prey resources to large and small resident predators, at least during short periods. Our findings highlight the importance of investigating dietary changes in faster-turnover tissues of reef predators, particularly large wide-ranging species, which may have key roles in coral reef food webs through direct predation and competition.</t>
  </si>
  <si>
    <t>10.3354/meps12915</t>
  </si>
  <si>
    <t>Angerbjorn, A; Borjesson, P; Brandberg, K</t>
  </si>
  <si>
    <t>Stable isotope analysis of harbour porpoises and their prey from the Baltic and Kattegat/Skagerrak Seas</t>
  </si>
  <si>
    <t>Baltic; carbon isotopes; cod; diet; harbour porpoises; herring; movements; nitrogen isotopes</t>
  </si>
  <si>
    <t>KATTEGAT-SKAGERRAK SEAS; PHOCOENA-PHOCOENA; BONE-COLLAGEN; WEST-COAST; FOOD WEBS; NORTH-SEA; CARBON; MARINE; DELTA-C-13; PATTERNS</t>
  </si>
  <si>
    <t>The by-caught harbour porpoises in commercial fisheries have raised concerns over their conservation status in the Baltic region. One important aspect for management purposes is porpoise movements within the region. We measured stable isotopes in cod, herring and hagfish, species that are important prey for harbour porpoises in the Baltic region. Bone collagen in fish from the marine Kattegat/Skagerrak was significantly enriched in C-13 compared with collagen in fish from the brackish Baltic Sea. However, despite the isotopic variation seen in their prey, we found no difference in C-13 in harbour porpoise collagen from the two areas. In fact, only eight of 24 porpoises had isotope signatures corresponding to those estimated for the diet in the area where they were caught. Our general conclusion is that porpoises move between the Baltic and Kattegat/Skagerrak Seas. Future studies are needed to evaluate the magnitude of these movements.</t>
  </si>
  <si>
    <t>10.1080/17451000601023896</t>
  </si>
  <si>
    <t>Goedkoop, W; Akerblom, N; Demandt, MH</t>
  </si>
  <si>
    <t>Trophic fractionation of carbon and nitrogen stable isotopes in Chironomus riparius reared on food of aquatic and terrestrial origin</t>
  </si>
  <si>
    <t>aquatic food webs; deposit feeders; fractionation; microbial conditioning; stable isotopes</t>
  </si>
  <si>
    <t>ORGANIC-MATTER; PLUMOSUS L; DELTA-N-15; LAKE; ENRICHMENT; SEDIMENTS; VARIABILITY; ASSUMPTIONS; DELTA-C-13; TOXICITY</t>
  </si>
  <si>
    <t>1. Trophic fractionation was studied in short-term laboratory feeding experiments with larvae of the deposit-feeding midge Chironomus riparius. Larvae were fed food of terrestrial (oats, peat) and aquatic origin (Spirulina, Tetraphyll(R)). 2. By analysing both whole larvae and isolated gut contents we were able to distinguish between the isotopic signature of recently ingested food and that of assimilated carbon and nitrogen in body tissue. Additionally we studied the effects of microbial conditioning, i.e. the colonisation and growth on food particles of microbes, on the isotopic signal of food resources. 3. Nitrogen fractionation for the different food types ranged from 0.67% to 2.68% between consumer and diet and showed that isotopic fractionation can be much lower than the value of 3.4% that is commonly assumed. 4. Microbial degradation of food particles resulted in an approximate doubling of the delta N-15 in 8 days, from 6.24 +/- 0.05% to 11.36 +/- 0.56%. Values for delta C-13 increased only marginally, from -20.66 +/- 0.11% to -20.34 +/- 0.12%. These results show that microbial conditioning of food may affect dietary isotope signatures (in particular N) and, unless accounted for, could introduce an error in measures of trophic fractionation. Microbial conditioning could well account for some of the variation in fractionation reported in the literature.</t>
  </si>
  <si>
    <t>10.1111/j.1365-2427.2006.01539.x</t>
  </si>
  <si>
    <t>Deng, L; Wang, KB; Tang, ZS; Shangguan, ZP</t>
  </si>
  <si>
    <t>Soil organic carbon dynamics following natural vegetation restoration: Evidence from stable carbon isotopes (delta C-13)</t>
  </si>
  <si>
    <t>Carbon sequestration; Carbon isotopes; Farmland abandonment; New carbon; Old carbon; Organic carbon decomposition; The Loess plateau</t>
  </si>
  <si>
    <t>LAND-USE CHANGE; LOESS PLATEAU; MICROBIAL BIOMASS; AGGREGATE FRACTIONS; MATTER DYNAMICS; NITROGEN; FOREST; SEQUESTRATION; CHRONOSEQUENCE; AFFORESTATION</t>
  </si>
  <si>
    <t>Knowledge of soil carbon (C) dynamics following vegetation restoration is essential for evaluating carbon budgets and cycles at regional and global scales. In this study, we investigated the dynamics of soil organic carbon (OC) following farmland abandonment along with similar to 160 years of vegetation restoration on the Loess Plateau, China. Our specific objectives were to examine the variation of soil OC decomposition rates, to quantify the changes in the proportion of new and old soil OC, and to explore the factors controlling soil OC stock patterns. The results showed that the rate of new soil OC increase was higher in the early stage (similar to 10 years) after land-use change. The rate of new soil OC increase ranged from 109.17 to 41.88 g m(-2) year(-1) in the early (similar to 10 years) and later stages (similar to 160 years), respectively. It took about 30 years for the amount of new soil OC to reach the same level as old OC in the top 20 cm of soil following farmland abandonment. Also, soil OC decomposition rate was higher (decomposition rate constants = 0.04) in the early stage (similar to 10 years) and showed a non-significant difference after &gt;30 years of vegetation restoration. Our results suggested that soil C/N is the most factor to effect on soil OC sequestration following vegetation restoration, and the proportions of new soil OC was mainly determined by fine roots, soil OC decomposition rate constants were mainly determined by soil silt content, and the rates of new soil OC increase were mainly determined by soil sand content that these observations were made out of considering many other soil properties. (C) 2016 Elsevier B.V. All rights reserved.</t>
  </si>
  <si>
    <t>10.1016/j.agee.2016.01.048</t>
  </si>
  <si>
    <t>Kellman, LM; Hillaire-Marcel, C</t>
  </si>
  <si>
    <t>Evaluation of nitrogen isotopes as indicators of nitrate contamination sources in an agricultural watershed</t>
  </si>
  <si>
    <t>nitrate contamination; nitrogen isotopes; denitrification; agricultural contamination</t>
  </si>
  <si>
    <t>GROUNDWATER NITRATE; DENITRIFICATION; AQUIFER; POLLUTION; TRANSPORT; OXYGEN</t>
  </si>
  <si>
    <t>Determining the relative contributions of nitrate contamination in agricultural watersheds characterized by applications of both mineral and animal waste nitrogen to fields is important in evaluating the environmental consequences of these practices. Here, the use of nitrate-nitrogen (NO3--N) stable isotopes to identify contaminant sources was examined in surface waters of an agricultural watershed to investigate whether NO3--delta(15)N fractionation processes obscure source signatures. This study was conducted in a 500 ha headwater agricultural watershed within the St. Lawrence lowlands where fertilization with mineral N and hog manure is a common practice. Sampling within the watershed was designed to monitor NO3- concentrations and delta(15)N temporal trends at a series of locations that allowed evaluation of water flowing in watershed streams and entering these streams via different hydrological pathways. This required analysis of stream water, tile drain water, and streamside water transported through the soil matrix. These data demonstrated that NO3--delta(15)N values often exceeded the maximum delta(15)N source of approximately +12.5parts per thousand that was associated with hog manure in the watershed. The delta(15)N values and NO3- concentrations during such periods were consistent with a pattern of denitrification between precipitation events within the watershed, with values repeatedly exceeding +15parts per thousand in tile drain and stream samples during extended periods with little rainfall. Tile drain NO3- concentrations were consistently elevated (4-38 mg l(-1) N) relative to streamside soil and shallow groundwater exiting the same field (0.013-0.812 mg l(-1) N). These data suggest that NO3--N stable isotopes cannot be used as contaminant source indicators in the surface waters of this watershed between precipitation events, and that further evaluation of their use during storm events is required. (C) 2002 Elsevier Science B.V. All rights reserved.</t>
  </si>
  <si>
    <t>10.1016/S0167-8809(02)00168-8</t>
  </si>
  <si>
    <t>Logan, JM</t>
  </si>
  <si>
    <t>Salt Marsh Aboveground Production in New England Estuaries in Relation to Nitrogen Loading and Environmental Factors</t>
  </si>
  <si>
    <t>Eutrophication; N-15; Spartina; Stem biomass; Stem density</t>
  </si>
  <si>
    <t>SPARTINA-ALTERNIFLORA; SEA-LEVEL; CAPE-COD; COASTAL EUTROPHICATION; PHRAGMITES-AUSTRALIS; MULTIMODEL INFERENCE; NUTRIENT ENRICHMENT; BEHAVIORAL ECOLOGY; MODEL SELECTION; STABLE-ISOTOPES</t>
  </si>
  <si>
    <t>Aboveground production responses of Spartina alterniflora and S. patens in estuaries in Massachusetts, USA were assessed in relation to temporal (date) and physical (elevation and distance from creek edge) factors as well as nitrogen loading using stem N-15, water column dissolved inorganic nitrogen (DIN), and upland nitrogen loading as nitrogen input proxies. All nitrogen input proxies had negative relationships with S. alterniflora stem density while stem height and biomass increased or were unaffected. Nitrogen content of S. alterniflora increased with stem N-15 but was not related to DIN or upland nitrogen loading proxies. For S. patens, stem density, biomass, and height all increased with stem N-15 while nitrogen content decreased. Stem density and biomass also varied with elevation. For S. alterniflora, this relationship was parabolic for stem density and declined linearly for biomass. Both stem density and biomass increased linearly for S. patens. Across the growing season, S. alterniflora stem density decreased, S. patens biomass increased, and nitrogen content declined for both Spartina species. S. alterniflora stem height also decreased with distance from the creek edge. Results show different responses for Spartina species to upland and water column nitrogen inputs and provide complementary information to results from controlled fertilization experiments.</t>
  </si>
  <si>
    <t>10.1007/s13157-018-1056-z</t>
  </si>
  <si>
    <t>Liu, ZQ; Jia, GD; Yu, XX; Lu, WW; Zhang, JM</t>
  </si>
  <si>
    <t>Water use by broadleaved tree species in response to changes in precipitation in a mountainous area of Beijing</t>
  </si>
  <si>
    <t>Water use patterns; Quercus variabilis; Stable isotopes; Iso-Source mixing model</t>
  </si>
  <si>
    <t>STABLE ISOTOPIC COMPOSITION; HYDRAULIC LIFT; SOIL-WATER; SUMMER PRECIPITATION; STOMATAL CONTROL; NATIVE PLANTS; USE PATTERNS; IN-DEPTH; RAINFALL; REDISTRIBUTION</t>
  </si>
  <si>
    <t>Extreme weather events are expected to occur more frequently in the future, which may influence water distribution and uptake patterns in rocky mountainous areas of North China. To examine how plants respond and adapt to the extreme environment, we investigated water sources of the broadleaved tree species Quercus variabilis under a precipitation gradient (A: no natural precipitation, B: half of natural precipitation, C: natural precipitation, and D: twice the natural precipitation) using the stable isotope approach in the Beijing mountainous area. The results indicated that Q. variabilis exhibited considerable plasticity in the depth of water uptake and showed a strong dependence on deeper soil layers under the precipitation gradient. Q. variabilis mainly absorbed water from the 0-20 cm (20.02-28.61%) and 60-80 cm (22.81-29.44%) soil layers, and also used groundwater (26.32-30.54%) under the low soil water conditions of the A treatment. In the B treatment, Q. variabilis absorbed water from the groundwater (29.60-33.53%) and 60-80 cm (26.05-29.44%) soil layers and a small amount of water from 0 to 20 cm (10.67-12.25%). In the C and D treatments, the soil water content was greater than that of the B treatment; Q. variabilis still predominantly absorbed water from the 60-80 cm (26.88% and 27.35%, respectively) soil layer and groundwater (33.52% and 46.17%, respectively), and took minimal water from the 0-20 cm and 20-40 cm soil layers. We found that Q. variabilis showed no obvious responses to precipitation under the precipitation gradient, and its dimorphic root system allowed it to uptake different water sources under drought and humid environmental conditions and thus maintain its transpiration. Therefore, we can infer that Q. variabilis is well adapted to extreme precipitation events and has a strong adaptability to both extreme drought and flood conditions.</t>
  </si>
  <si>
    <t>10.1016/j.agee.2017.09.021</t>
  </si>
  <si>
    <t>Watkinson, CJ; Rees, GO; Hofem, S; Michely, L; Gasson, P; Boner, M</t>
  </si>
  <si>
    <t>A Case Study to Establish a Basis for Evaluating Geographic Origin Claims of Timber From the Solomon Islands Using Stable Isotope Ratio Analysis</t>
  </si>
  <si>
    <t>stable isotopes; Solomon Islands; tropical timber; EUTR; Lacey Act amendment; EA-IRMS</t>
  </si>
  <si>
    <t>LIGNIN METHOXYL GROUPS; HYDROGEN; WOOD; DISCRIMINATION; MULTIELEMENT; SULFUR; CARBON; OXYGEN; TRACE; FOOD</t>
  </si>
  <si>
    <t>Global demand for low-cost forest products is leading manufacturers and traders to source timber and wood products from vulnerable nations and delicate ecosystems. One small island nation, the Solomon Islands, is seeing exploitation of natural resources accelerating to such a point that its natural forests may be exhausted by 2036. The main causes of natural forest loss on the archipelago are unsustainable or illegal logging practices. Various laws in consumer countries require that members of industry ensure that only legally sourced timber is placed onto their respective national markets. Those that break these laws or fail to act in a way that is compliant may be subject to harsh penalties. This study aims to establish scientific data to evaluate claims that timber has originated from the Solomon Islands. This will enable Operators to carry out due diligence analysis and permit members of Law Enforcement to conduct forensic investigations. Eighty timber core samples comprising 13 different genera of tropical trees were obtained from mature trees in two sites in the Solomon Islands (Guadalcanal and Kolombangara islands) during the period August 2019 to November 2019 using a Pickering Punch sampling device. Homogenised core samples were subject to delta O-18, delta H-2, delta C-13, and delta S-34 stable isotope analysis using elemental analysis-isotope ratio mass spectrometry. Additional stable isotope data from relevant taxa and geographic origins (elevation, geographic co-ordinates) were also included in this research as an initial assessment of differences in stable isotope ratios between countries. Results show that significant differences are evident in the stable isotope ratios of the sampled taxa within the Solomon Islands (Guadalcanal and Kolombangara Islands) and between other countries. These data can be used as a basis of evaluation to evaluate origin claims of timber or wood products from the Solomon Islands, particularly Kolombangara Island. Furthermore, in the right context, these data can also be used to establish whether timber or wood products declared to be from origins other than the Solomon Islands have stable isotope ratios that are consistent with data from the Solomon Islands. If not, this would suggest foreign timber/forest products are from elsewhere and are being passed-off as originating from the Solomon Islands.</t>
  </si>
  <si>
    <t>10.3389/ffgc.2021.645222</t>
  </si>
  <si>
    <t>Zhu, Q; Hobson, KA; Zhao, QS; Zhou, YQ; Damba, I; Batbayar, N; Natsagdorj, T; Davaasuren, B; Antonov, A; Guan, J; Wang, X; Fang, L; Cao, L; Fox, AD</t>
  </si>
  <si>
    <t>Migratory connectivity of Swan Geese based on species' distribution models, feather stable isotope assignment and satellite tracking</t>
  </si>
  <si>
    <t>Anser cygnoides; deuterium; isoscape; migratory provenance; species distribution model; stable isotopes; Swan Goose</t>
  </si>
  <si>
    <t>GOOSE ANSER-CYGNOIDES; CITIZEN SCIENCE; GENETIC DIVERSITY; BIRDS; CONSERVATION; HYDROGEN; COMPLEXITY; PHILOPATRY; WILDLIFE; QUALITY</t>
  </si>
  <si>
    <t>Aim Understanding connectivity between avian breeding and non-breeding areas is essential to understand processes affecting threatened migrants throughout their annual cycle. We attempted to establish migratory connectivity and flyway structure of the IUCN vulnerable Swan Geese (Anser cygnoides) by combining citizen science species' distribution models (SDMs) and feather stable isotope analysis. Locations Russia, Mongolia and China. Methods We established migratory origins and movements of 46 Swan Geese from five wintering locations by integrating citizen science SDMs and feather stable hydrogen isotope (delta H-2) measurements by linking feathers to precipitation isoscapes in a Bayesian probability framework. Results We determined multiple summering origins among Swan Geese from the most important wintering location, Poyang Lake, Jiangxi Province, China. As predicted, we found no evidence for sex-biased differences in delta H-2 measurements. Four geese tracked with GPS/GSM loggers all migrated to moulting areas, which confirmed the accuracy of our predictions from delta H-2 assignments. Differences between summering ranges inferred from historical and modern samples coincided with major wetland loss in northeastern China since the 1950s. Despite limited historical data, we contend that this supports the hypothesis that the summering range prior to 1950 was much wider than that of the current population. Main conclusions This was the first Asian study to establish migratory origins of wintering Anatidae based on stable isotopes and citizen science SDMs. We advocate the wider combined application of SDMs, telemetry studies and stable isotopes to investigate effectively avian migratory connectivity, as the results from this study provided important contributions to the development of conservation measures for this threatened and declining species in East Asia.</t>
  </si>
  <si>
    <t>10.1111/ddi.13077</t>
  </si>
  <si>
    <t>Baker, DM; Webster, KL; Kim, K</t>
  </si>
  <si>
    <t>Caribbean octocorals record changing carbon and nitrogen sources from 1862 to 2005</t>
  </si>
  <si>
    <t>agriculture; carbon; Caribbean; coral; delta 13C; delta 15N; gorgonian; nitrogen; stable isotope</t>
  </si>
  <si>
    <t>SEA-SURFACE TEMPERATURE; STABLE-ISOTOPES; GORGONIAN CORALS; DELTA-N-15; DELTA-C-13; C-13; RADIOCARBON; YUCATAN; VARIABILITY; ENRICHMENT</t>
  </si>
  <si>
    <t>During the last century, the global biogeochemical cycles of carbon (C) and nitrogen (N) have been drastically altered by human activities. A century of land-clearing and biomass burning, followed by fossil fuel combustion have increased the concentration of atmospheric CO2 by approximately 20%, and since the mid-1900s, the use of agricultural fertilizers has been the primary driver of an approximate 90% increase in bioavailable N. Geochemical records obtained through stable isotope analysis of terrestrial and marine biota effectively illustrate rising anthropogenic C inputs. However, there are fewer records of anthropogenic N, despite the enormous magnitude of change and the known negative effects of N on ecosystem health. We used stable isotope values from independent octocorals (gorgonians) sampled across the Western Atlantic over the last 143 years to document human perturbations of the marine C and N pools. Here, we demonstrate that in sea plumes delta 13C values and in both sea plumes and sea fans delta 15N values declined significantly from 1862 to 2005. Sea plume delta 13C values were negatively correlated with increasing atmospheric CO2 concentrations and corroborate known rates of change resulting from global fossil fuel combustion, known as the Suess effect. We suggest that widespread input of agricultural fertilizers to near-shore coastal waters is the dominant driver for the decreasing delta 15N trend, though multiple anthropogenic sources are likely affecting this trend. Given the interest in using delta 15N as an indicator for N pollution in aquatic systems, we highlight the risk of underestimating contributions of pollutants as a result of source mixing as demonstrated by a simple isotope-mixing model. We conclude that signals of major human-induced perturbations of the C and N pools are detectable in specimens collected over wide geographic scales, and that archived materials are invaluable for establishing baselines against which we can assess environmental change.</t>
  </si>
  <si>
    <t>10.1111/j.1365-2486.2010.02167.x</t>
  </si>
  <si>
    <t>Pasotti, F; Troch, M; Raes, M; Vanreusel, A</t>
  </si>
  <si>
    <t>Feeding ecology of shallow water meiofauna: insights from a stable isotope tracer experiment in Potter Cove, King George Island, Antarctica</t>
  </si>
  <si>
    <t>West Antarctic Peninsula; Feeding ecology; Meiobenthos; Stable isotopes</t>
  </si>
  <si>
    <t>DEEP-SEA NEMATODES; HARPACTICOID COPEPODS; ORGANIC-MATTER; MARTEL INLET; TROPHIC STRUCTURE; SIGNY ISLAND; FOOD-WEB; CARBON; PHYTOPLANKTON; DELTA-C-13</t>
  </si>
  <si>
    <t>Antarctic meiofauna is still strongly understudied, and so is its trophic position in the food web. Primary producers, such as phytoplankton, and bacteria may represent important food sources for shallow water metazoans, and the role of meiobenthos in the benthic-pelagic coupling represents an important brick for food web understanding. In a laboratory, feeding experiment C-13-labeled freeze-dried diatoms (Thalassiosira weissflogii) and bacteria were added to retrieved cores from Potter Cove (15-m depth, November 2007) in order to investigate the uptake of 3 main meiofauna taxa: nematodes, copepods and cumaceans. In the surface sediment layers, nematodes showed no real difference in uptake of both food sources. This outcome was supported by the natural delta C-13 values and the community genus composition. In the first centimeter layer, the dominant genus was Daptonema which is known to be opportunistic, feeding on both bacteria and diatoms. Copepods and cumaceans on the other hand appeared to feed more on diatoms than on bacteria. This may point at a better adaptation to input of primary production from the water column. On the other hand, the overall carbon uptake of the given food sources was quite low for all taxa, indicating that likely other food sources might be of relevance for these meiobenthic organisms. Further studies are needed in order to better quantify the carbon requirements of these organisms.</t>
  </si>
  <si>
    <t>10.1007/s00300-012-1203-6</t>
  </si>
  <si>
    <t>Gea-Izquierdo, G; Aranda, I; Canellas, I; Dorado-Linan, I; Olano, JM; Martin-Benito, D</t>
  </si>
  <si>
    <t>Contrasting species decline but high sensitivity to increasing water stress on a mixed pine-oak ecotone</t>
  </si>
  <si>
    <t>climate change; drought; isohydric-anisohydric; non-structural carbohydrates; pine-oak; water-use efficiency</t>
  </si>
  <si>
    <t>CARBON-ISOTOPE DISCRIMINATION; NONSTRUCTURAL CARBOHYDRATE DYNAMICS; USE EFFICIENCY; SCOTS PINE; STABLE-ISOTOPES; TREE-RINGS; STOMATAL REGULATION; SEVERE DROUGHT; WHOLE WOOD; CLIMATE</t>
  </si>
  <si>
    <t>Forest decline under environmental stress is expressed by regeneration failure and accelerated mortality in all ontogenic stages at the population level. Characterizing functional traits and mechanisms that best capture species decline and mortality is essential to assess forest dynamics. We analysed sensitivity to increasing water stress in two species with different water-use strategies on a mixedQuercus pyrenaica-Pinus sylvestrisforest where adult pines express vulnerability to climate change but oaks do not. We compared the dynamics of radial growth, wood delta C-13 and sapwood non-structural carbohydrates (NSCs) in response to drought at different time-scales in both species and two age cohorts in pine. Both species were very sensitive to water stress, which influenced trait phenotypic plasticity at short- and long time-scales. Water-use strategy in pines of both ages was more conservative than in the more drought-tolerant oak. Both species showed negative growth trends despite increasing intrinsic water-use efficiency. Recent growth of pines is slower than it was in the past. Carbon isotope discrimination trends in young pines suggested increasing leaf gas exchange constraints. NSCs were far from depletion in both species and all pine ages. Intra- and inter-annual NSC variability was higher in oaks than in pines and in soluble sugars (SS) than in starch. SS were lowest in young pines. Sensitivity of NSCs to contrasting climatic years was low in pines, and NSC levels mostly remained homeostatic for this species. The sensitivity to climate expressed suggests different C allocation strategies, with less coupling between radial growth and current-year photosynthesis in young pines. Synthesis. Pines expressed negative responses to increased water stress regardless of age, showing rising gas exchange constraints through tighter stomatal control of water losses than oaks. Young pines showed similar functional responses to water stress than old pines in decline, which suggests species-level vulnerability and could be regarded as early warning signals anticipating mortality in pines. Yet, given the high sensitivity to drought also expressed by the non-declining oak, it would have been difficult to unequivocally disentangle species decline based only on the functional traits analysed.</t>
  </si>
  <si>
    <t>10.1111/1365-2745.13450</t>
  </si>
  <si>
    <t>Ceradini, JP; Chalfoun, AD</t>
  </si>
  <si>
    <t>Species' traits help predict small mammal responses to habitat homogenization by an invasive grass</t>
  </si>
  <si>
    <t>community ecology; conservation; demography/life history; disturbance; grasses; mammals; North America; prairie/grasslands; rodents; species interactions</t>
  </si>
  <si>
    <t>BIOLOGICAL INVASIONS; LONG-TERM; ECOLOGICAL IMPACTS; RODENT COMMUNITIES; CHEATGRASS; PREDATION; RISK; DESERT; FIRE; HETEROGENEITY</t>
  </si>
  <si>
    <t>Invasive plants can negatively affect native species, however, the strength, direction, and shape of responses may vary depending on the type of habitat alteration and the natural history of native species. To prioritize conservation of vulnerable species, it is therefore critical to effectively predict species' responses to invasive plants, which may be facilitated by a framework based on species' traits. We studied the population and community responses of small mammals and changes in habitat heterogeneity across a gradient of cheatgrass (Bromus tectorum) cover, a widespread invasive plant in North America. We live-trapped small mammals over two summers and assessed the effect of cheatgrass on native small mammal abundance, richness, and species-specific and trait-based occupancy, while accounting for detection probability and other key habitat elements. Abundance was only estimated for the most common species, deer mice (Peromyscus maniculatus). All species were pooled for the trait-based occupancy analysis to quantify the ability of small mammal traits (habitat association, mode of locomotion, and diet) to predict responses to cheatgrass invasion. Habitat heterogeneity decreased with cheatgrass cover. Deer mouse abundance increased marginally with cheatgrass. Species richness did not vary with cheatgrass, however, pocket mouse (Perognathus spp.) and harvest mouse (Reithrodontomys spp.) occupancy tended to decrease and increase, respectively, with cheatgrass cover, suggesting a shift in community composition. Cheatgrass had little effect on occupancy for deer mice, 13-lined ground squirrels (Spermophilus tridecemlineatus), and Ord's kangaroo rat (Dipodomys ordii). Species' responses to cheatgrass primarily corresponded with our a priori predictions based on species' traits. The probability of occupancy varied significantly with a species' habitat association but not with diet or mode of locomotion. When considered within the context of a rapid habitat change, such as caused by invasive plants, relevant species' traits may provide a useful framework for predicting species' responses to a variety of habitat disturbances. Understanding which species are likely to be most affected by exotic plant invasion will help facilitate more efficient, targeted management and conservation of native species and habitats.</t>
  </si>
  <si>
    <t>10.1002/eap.1535</t>
  </si>
  <si>
    <t>Hu, YK; Liu, GF; Pan, X; Song, YB; Dong, M; Cornelissen, JHC</t>
  </si>
  <si>
    <t>Contrasting nitrogen cycling between herbaceous wetland and terrestrial ecosystems inferred from plant and soil nitrogen isotopes across China</t>
  </si>
  <si>
    <t>large environmental gradients; mycorrhizal types; nitrogen availability; nitrogen dynamics; plant functional types; plant-soil systems; stable isotopes; wetlands</t>
  </si>
  <si>
    <t>N-15 NATURAL-ABUNDANCE; MYCORRHIZAL FUNGI; STABLE-ISOTOPES; FOLIAR; CARBON; DELTA-N-15; PATTERNS; CLIMATE; NITRATE; ECTOMYCORRHIZAL</t>
  </si>
  <si>
    <t>Understanding nitrogen (N) cycling in different ecosystems is crucial to predicting and mitigating the global effects of altered N inputs. Although wetlands have always been assumed to differ largely from terrestrial ecosystems in N cycling, evidence from direct comparison from the field along wide environmental gradients is lacking. Here, we hypothesized strong coupling of plant and soil delta N-15 in terrestrial ecosystems due to lower N inputs and losses but weak coupling of plant and soil delta N-15 in wetlands because of higher N inputs and losses. We performed a large-scale field investigation on 26 pairs of herbaceous wetland and terrestrial sites across China covering 21 degrees of latitude and determined natural abundance of nitrogen isotopes (delta N-15) in soils and leaves of 346 dominant and subordinate plant species. We analysed the relationships between leaf and soil delta N-15 and their drivers including plant functional types in these two types of ecosystems. Plant functional types including mycorrhizal type and N-2-fixing status had consistently significant influences on leaf delta N-15 in herbaceous wetland and terrestrial ecosystems. Leaf delta N-15 increased significantly with soil delta N-15 within and across mycorrhizal types in both ecosystems, and, as hypothesized, the relationships were stronger and steeper in terrestrial than in wetland ecosystems. Moreover, leaf and soil delta N-15 were positively and significantly correlated within both N-2-fixers and non-N-2-fixers in terrestrial ecosystems and within only non-N-2-fixers in wetlands. At the community level, we also found more highly significant relationships between leaf and soil delta N-15 in terrestrial than in wetland ecosystems. Besides plant functional types, climatic and soil factors contributed to the variation in leaf delta N-15 in both ecosystems. Synthesis. Weaker relationships between plant and soil delta N-15 in wetlands at species and community levels support the hypothesis that larger N inputs and losses lead to weaker coupling in the plant-soil systems in wetlands than in terrestrial ecosystems. This provides strong evidence from a large spatial scale for contrasting N cycling in these two types of ecosystems regardless of plant functional type in terms of nutrient uptake strategy. Our findings add to our predictive power of ecosystem N dynamics under environmental changes, for example, land-use changes and elevated N inputs.</t>
  </si>
  <si>
    <t>10.1111/1365-2745.13866</t>
  </si>
  <si>
    <t>Godiksen, JA; Svenning, MA; Sinnatamby, RN; Dempson, JB; Borgstrom, R; Power, M</t>
  </si>
  <si>
    <t>Stable isotope-based determinations of the average temperatures experienced by young-of-the-year Svalbard Arctic charr (Salvelinus alpinus (L.))</t>
  </si>
  <si>
    <t>Salvelinus alpinus; Svalbard; Thermal habitat; Young-of-the-year growth; Oxygen isotopes</t>
  </si>
  <si>
    <t>BROWN TROUT; FISH OTOLITHS; SALMO-TRUTTA; FRESH-WATER; OXYGEN; FRACTIONATION; POPULATIONS; CHEMISTRY; HABITAT; LAKE</t>
  </si>
  <si>
    <t>Mean ambient water temperatures experienced by individual young-of-the-year (YOY) Arctic charr, Salvelinus alpinus (L.), from a Svalbard lake were estimated using measurements of oxygen stable isotopes (delta O-18) derived from fish otoliths. Otolith-derived water temperatures differed significantly from temperatures recorded at the outlet river of the Dieset watercourse but were consistent with temperatures previously recorded in shallow littoral areas of other Svalbard lakes where YOY charr are commonly found. This indicates that fixed-point monitoring does not necessarily represent the temperatures and thermal habitats used by individual fish. Otolith-derived water temperatures were also positively related to fish length-at-capture and otolith size, although much of the variation remained unexplained. Differences among individuals could be related to variability in food availability and food intake as well as variation in the initial fish size at hatching. Implications for subsequent investigations into how YOY charr respond and adapt to future climate change are discussed.</t>
  </si>
  <si>
    <t>10.1007/s00300-010-0907-8</t>
  </si>
  <si>
    <t>Doi, H; Chang, KH; Ando, T; Imai, H; Nakano, SI; Kajimoto, A; Katano, I</t>
  </si>
  <si>
    <t>Drifting plankton from a reservoir subsidize downstream food webs and alter community structure</t>
  </si>
  <si>
    <t>stable isotope; IsoSource mixing model; macroinvertebrates; dam reservoir; functional feeding groups</t>
  </si>
  <si>
    <t>MULTIPLE STABLE-ISOTOPES; RIVER; CARBON; STREAM; TERRESTRIAL; ABUNDANCE; DYNAMICS; FLOW; TRANSPORT; ECOLOGY</t>
  </si>
  <si>
    <t>Subsidy between ecosystems has been considered in many natural ecosystems, and should alter food webs and communities in human-impacted ones. We estimated how drifting plankton from a reservoir contribute to downstream food webs and showed that they alter community structures over a 10-km reach below the dam. To estimate the contribution of the drifting plankton to macroinvertebrates, we used C and N isotopes and an IsoSource mixing model. In spring and autumn, contributions of plankton to collector-filterer species were highest 0.2 km downstream of the dam, and clearly decreased from 0.2 to 10 km. At 0.2 km, the contribution of plankton to a predator stonefly was remarkably high. These results indicated that drifting plankton from a dam reservoir could subsidize downstream food webs and alter their energy base, but the importance of this subsidy decreased as distance from the reservoir increased. The general linear models indicated that the abundance of collector-filterers and predators was related positively to zooplankton density in stream water. Thus, food source alteration by drifting plankton also influenced the community structures downstream of the dam.</t>
  </si>
  <si>
    <t>10.1007/s00442-008-0988-z</t>
  </si>
  <si>
    <t>Gonzalez, IS; Hopper, GW; Bucholz, JR; Kubala, ME; Lozier, JD; Atkinson, CL</t>
  </si>
  <si>
    <t>Niche specialization and community niche space increase with species richness in filter-feeder assemblages</t>
  </si>
  <si>
    <t>freshwater mussels; niche partitioning; species coexistence; stable isotopes</t>
  </si>
  <si>
    <t>STABLE ISOTOPIC SIGNATURES; TROPHIC POSITION; BIODIVERSITY LOSS; PRODUCTIVITY; MUSSELS; STREAM; COMPLEMENTARITY; ECOLOGY; PACKING</t>
  </si>
  <si>
    <t>Ecological theory posits that higher species richness should be associated with greater exploitation of resources and niche packing resulting from either increasing species niche overlap or specialization of species' niches. Research evaluating niche theory in animals tends to focus on organisms among functional feeding guilds, while resource partitioning might be more critical within functional groups. Freshwater mussels (Family: Unionidae) are a diverse and imperiled group of animals that are ideal models to test niche occupancy due to their functional similarity as filter-feeders and their occurrence in spatially and temporally stable multispecies aggregations. We evaluated the relationship between species richness and the trophic niche area for 25 mussel species occurring in 22 aggregations in the southeastern United States using stable isotope analysis (d(13)C and d(15)N) of soft tissue (n = 1057). Mean species standard ellipse area decreased with species richness, whereas ellipse overlap was not related to richness, indicating increased niche specialization may be the primary mechanism allowing coexistence in species-rich communities. Total community isotopic area increased with richness, suggesting species-rich communities also use a broader range of resources and may not be species-saturated. Overall, our data support the niche-packing hypothesis by illustrating the importance of niche partitioning within a species-rich guild of aquatic animals.</t>
  </si>
  <si>
    <t>e4495</t>
  </si>
  <si>
    <t>10.1002/ecs2.4495</t>
  </si>
  <si>
    <t>Hess, LJT; Austin, AT</t>
  </si>
  <si>
    <t>Pinus ponderosa alters nitrogen dynamics anddiminishes the climate footprint in natural ecosystems of Patagonia</t>
  </si>
  <si>
    <t>Nothofagus spp.; Argentina; rainfall gradient; plant-soil (belowground) interactions; delta 13C; temperate forest; stable isotopes; ectomycorrhizae; delta 15N; carbon cycling</t>
  </si>
  <si>
    <t>NET PRIMARY PRODUCTIVITY; LAND-USE CHANGE; PRECIPITATION GRADIENT; CARBON SEQUESTRATION; MYCORRHIZAL FUNGI; GLOBAL PATTERNS; SOIL CARBON; LITTER DECOMPOSITION; METROSIDEROS-POLYMORPHA; BIOGEOCHEMICAL CYCLES</t>
  </si>
  <si>
    <t>Understanding climate effects on plant-soil interactions in terrestrial ecosystems remains challenging due to the fact that floristic composition covaries with climate, particularly along rainfall gradients. It is difficult to separate effects of precipitation per se from those mediated indirectly through changes in species composition. As such, afforestation (the intentional planting of woody species) in terrestrial ecosystems provides an ecological opportunity to assess the relative importance of climate and vegetation controls on ecosystem processes. We investigated the impacts of 35years of afforestation on ecosystem N dynamics, in ecosystems ranging from arid shrub-steppe to closed-canopy forest in Patagonia, Argentina. Sites of natural vegetation and adjacent sites planted with a single exotic species, Pinus ponderosa, were identified in five precipitation regimes along a continuous gradient of 250-2200mm mean annual precipitation (MAP). We evaluated C and N parameters of vegetation and soil, as well as natural abundance of C-13 and N-15 in leaves, roots, ectomycorrhizae (EcM) and soils. In natural vegetation, most leaf traits (%N, C:N ratios, leaf mass per area, delta N-15 values) demonstrated strong significant relationships with MAP, while these relationships were nearly absent in afforested sites. In addition, the EcM of native southern beech and pine trees were significantly enriched in N-15 relative to leaves at all sites where they were present. While soil C and N pools in both vegetation types increased with MAP, overall pool sizes were significantly reduced in afforested sites. Synthesis. Observed relationships between leaf traits and precipitation in natural vegetation may be driven largely by shifts in species composition and plant-soil interactions, rather than direct effects of precipitation. Our results suggest that a change in the species composition of the dominant vegetation is sufficient to alter C and N cycling independently of climate constraints: pine afforestation homogenized N dynamics across sites spanning an order of magnitude of MAP. These results highlight the important control of ectomycorrhizal associations in affecting C and N dynamics. Additionally, they serve to demonstrate that altering natural species composition alone is sufficient to cause large, detectable impacts on N turnover independently of direct climate effects.</t>
  </si>
  <si>
    <t>10.1111/1365-2745.12228</t>
  </si>
  <si>
    <t>Tarin, T; Nolan, RH; Medlyn, BE; Cleverly, J; Eamus, D</t>
  </si>
  <si>
    <t>Water-use efficiency in a semi-arid woodland with high rainfall variability</t>
  </si>
  <si>
    <t>Acacia; Australia; carbon flux; eddy covariance; optimal stomatal behaviour; photosynthesis; stable isotopes</t>
  </si>
  <si>
    <t>CARBON-ISOTOPE DISCRIMINATION; NET ECOSYSTEM EXCHANGE; STOMATAL CONDUCTANCE; EDDY COVARIANCE; PLANT CARBON; EVAPOTRANSPIRATION; PHOTOSYNTHESIS; RESPONSES; FOREST; LEAF</t>
  </si>
  <si>
    <t>As the ratio of carbon uptake to water use by vegetation, water-use efficiency (WUE) is a key ecosystem property linking global carbon and water cycles. It can be estimated in several ways, but it is currently unclear how different measures of WUE relate, and how well they each capture variation in WUE with soil moisture availability. We evaluated WUE in an Acacia-dominated woodland ecosystem of central Australia at various spatial and temporal scales using stable carbon isotope analysis, leaf gas exchange and eddy covariance (EC) fluxes. Semi-arid Australia has a highly variable rainfall pattern, making it an ideal system to study how WUE varies with water availability. We normalized our measures of WUE across a range of vapour pressure deficits using g(1), which is a parameter derived from an optimal stomatal conductance model and which is inversely related to WUE. Continuous measures of whole-ecosystem g(1) obtained from EC data were elevated in the 3 days following rain, indicating a strong effect of soil evaporation. Once these values were removed, a close relationship of g(1) with soil moisture content was observed. Leaf-scale values of g(1) derived from gas exchange were in close agreement with ecosystem-scale values. In contrast, values of g(1) obtained from stable isotopes did not vary with soil moisture availability, potentially indicating remobilization of stored carbon during dry periods. Our comprehensive comparison of alternative measures of WUE shows the importance of stomatal control of fluxes in this highly variable rainfall climate and demonstrates the ability of these different measures to quantify this effect. Our study provides the empirical evidence required to better predict the dynamic carbon-water relations in semi-arid Australian ecosystems.</t>
  </si>
  <si>
    <t>10.1111/gcb.14866</t>
  </si>
  <si>
    <t>Lucia, M; Strom, H; Bustamante, P; Herzke, D; Gabrielsen, GW</t>
  </si>
  <si>
    <t>Contamination of ivory gulls (Pagophila eburnea) at four colonies in Svalbard in relation to their trophic behaviour</t>
  </si>
  <si>
    <t>Ivory gull; Perfluorinated alkyl substances; Persistent organic pollutants; Arctic; Isotopes</t>
  </si>
  <si>
    <t>PERSISTENT ORGANIC POLLUTANTS; BROMINATED FLAME RETARDANTS; GLAUCOUS GULLS; FOOD-WEB; LARUS-HYPERBOREUS; ORGANOCHLORINE CONTAMINANTS; PERFLUOROOCTANE SULFONATE; ALKYL SUBSTANCES; ISOTOPE ANALYSIS; CLIMATE-CHANGE</t>
  </si>
  <si>
    <t>The ivory gull (Pagophila eburnea) is a high-Arctic species considered endangered in most parts of its breeding range. Ivory gulls must cope with not only the reduction in sea ice cover triggered by climate change but also increasing contaminant loads due to changes in global contaminant pathways and the release of previously stored pollutants from melting snow and ice. This top predator may be affected by biomagnification processes of a variety of compounds with concentrations dramatically increasing from water to higher trophic levels. The objective of this study was therefore to assess the contaminant bioaccumulation of this species in four colonies located on Barentsoya, Svalbard, in link with its trophic behaviour. To that end, contaminants, including organochlorines (OCs), brominated flame retardants (BFRs), and perfluorinated alkyl substances (PFASs), were determined in the blood (plasma and whole blood) of ivory gulls sampled over several years. Carbon- and nitrogen-stable isotopes were also determined in different tissues (feathers, plasma and red blood cells, or whole blood) to infer the trophic level (delta N-15) and feeding habitat (delta C-13) during both the breeding and moulting periods. The most quantitatively abundant contaminants found in the ivory gull were p,p'-DDE (dichlorodiphenyldichloroethylene), I PCB pound (polychlorobiphenyl), and PFOS (perfluorooctane sulphonate). Several compounds including most of the PFASs, trans-nonachlor, cis-nonachlor, and BDE-28 were correlated with nitrogen values. This study highlighted variability in trophic behaviour among individuals during the breeding and the moulting periods. Overall, similar feeding habitats and strategies were used between breeding sites which was echoed by similar contaminant levels.</t>
  </si>
  <si>
    <t>10.1007/s00300-016-2018-7</t>
  </si>
  <si>
    <t>Ploquin, EF; Herrera, JM; Obeso, JR</t>
  </si>
  <si>
    <t>Bumblebee community homogenization after uphill shifts in montane areas of northern Spain</t>
  </si>
  <si>
    <t>Bombus spp.; Elevation; Global change; Lower boundary; Upper boundary</t>
  </si>
  <si>
    <t>BIOTIC HOMOGENIZATION; CLIMATE-CHANGE; DIET BREADTH; RANGE; IMPACTS; DECLINE; TRAITS; NICHE; BIRDS; DISTRIBUTIONS</t>
  </si>
  <si>
    <t>Widespread alterations in species distribution and abundance as a result of global environmental change include upwards and polewards shifts driven by local extinctions in the south or at lower elevations and colonizations of newly available habitat elements in the north or at higher elevations. Although cumulative changes on patterns of community composition are also expected, studies following a community-level approach are still scarce. Here, we estimate changes in abundance and distribution of bumblebee (Bombus spp.) species over two decades along an elevational gradient to test whether these changes entailed concomitant alterations on patterns of community composition. Bumblebee species showed an overall trend to shift uphill their upper- or lower-elevational boundaries, resulting in narrower elevational ranges from one period to another, coincident with a regional warming of ca. 0.9 A degrees C. Changes in elevational ranges were, however, mainly related to retractions of the lower limit of species distribution, rather than to variations in their upper elevational limit. Species turnover was associated with colonization and extinction events and also with variability in the relative abundance of short-, medium- and long-tongued species along the elevational gradient. Extinctions were especially relevant at medium elevations, while only communities at higher elevations had a positive net outcome between colonization and extinction events. The combination of these effects resulted in the homogenization of bumblebee assemblages, especially between medium and upper elevations. The changes reported in our study strongly match with predictions of global change driving elevational shifts in species distribution and provide the first evidence of elevational changes in bumblebees at both species and community level.</t>
  </si>
  <si>
    <t>10.1007/s00442-013-2731-7</t>
  </si>
  <si>
    <t>He, H; Li, QS; Li, J; Han, YQ; Cao, Y; Liu, W; Yu, JL; Li, KY; Liu, ZW; Jeppesen, E</t>
  </si>
  <si>
    <t>Turning up the heat: warming influences plankton biomass and spring phenology in subtropical waters characterized by extensive fish omnivory</t>
  </si>
  <si>
    <t>Warming; Plankton; Omnivory; Food chain; Phenology; Mismatch</t>
  </si>
  <si>
    <t>FOOD-CHAIN LENGTH; TOP-DOWN; COMMUNITY STRUCTURE; LAKE TAIHU; BOTTOM-UP; CONTRASTING TEMPERATURES; INTERACTION STRENGTH; TROPHIC CASCADES; DEVELOPMENT TIME; CLIMATE-CHANGE</t>
  </si>
  <si>
    <t>Understanding how biological communities respond to climate change is a major challenge in ecology. The response of ectotherms to changes in temperature depends not only on their species-specific thermal tolerances but also on temperature-mediated interactions across different trophic levels. Warming is predicted to reinforce trophic cascades in linear aquatic food chains, but little is known about how warming might affect the lower trophic levels of food webs involving extensive fish omnivory, a common scenario in subtropical and tropical waterbodies. In this study, a mesocosm warming experiment was conducted involving a pelagic food chain (fish-zooplankton-phytoplankton) topped by the omnivorous bighead carp [Aristichthys nobilis(Richardson)]. We found that temperature elevation significantly enhanced the growth of fish and suppressed zooplankton, including both metazooplankton and ciliates, while abundances of phytoplankton, despite disruption of temporal dynamics, did not increase correspondingly-likely due to fish predation. Our results suggest that trophic cascades are less unlikely to be reinforced by warming in food chains involving significant omnivory. Moreover, we found that warming advanced the spring abundance peak of phytoplankton abundance and that of the parthenogenetic rotiferBrachionus quadridentatus; whereas, it had no effect on the only sexually reproducing copepod,Mesocyclops leuckarti, presumably due to its prolonged life history. Our study also confirmed that warming may lead to a phenological mismatch between some predators and their prey because of the distinct life histories among taxa, with potentially severe consequences for resource flow in the food chain, at least in the short term.</t>
  </si>
  <si>
    <t>10.1007/s00442-020-04758-x</t>
  </si>
  <si>
    <t>Hu, J; Moore, DJP; Burns, SP; Monson, RK</t>
  </si>
  <si>
    <t>Longer growing seasons lead to less carbon sequestration by a subalpine forest</t>
  </si>
  <si>
    <t>growing season length; isotope; net ecosystem productivity; SIPNET; subalpine forest</t>
  </si>
  <si>
    <t>HIGH-ELEVATION; CLIMATIC INFLUENCES; DECIDUOUS FOREST; CO2 EXCHANGE; MODEL; DIOXIDE; CANOPY; GROWTH; EVAPOTRANSPIRATION; PHOTOSYNTHESIS</t>
  </si>
  <si>
    <t>As global temperatures increase, the potential for longer growing seasons to enhance the terrestrial carbon sink has been proposed as a mechanism to reduce the rate of further warming. At the Niwot Ridge AmeriFlux site, a subalpine forest in the Colorado Rocky Mountains, we used a 9-year record (1999-2007) of continuous eddy flux observations to show that longer growing season length (GSL) actually resulted in less annual CO2 uptake. Years with a longer GSL were correlated with a shallower snow pack, as measured using snow water equivalent (SWE). Furthermore, years with a lower SWE correlated with an earlier start of spring. For three years, 2005, 2006, and 2007, we used observations of stable hydrogen isotopes (delta D) of snow vs. rain, and extracted xylem water from the three dominant tree species, lodgepole pine, Engelmann spruce, and subalpine fir, to show that the trees relied heavily on snow melt water even late into the growing season. By mid-August, 57% to 68% of xylem water reflected the isotopic signature of snow melt. By coupling the isotopic water measurements with an ecosystem model, SIPNET, we found that annual forest carbon uptake was highly dependent on snow water, which decreases in abundance during years with longer growing seasons. Once again, for the 3 years 2005, 2006, and 2007, annual gross primary productivity, which was derived as an optimized parameter from the SIPNET model was estimated to be 67% 77%, and 71% dependent on snow melt water, respectively. Past studies have shown that the mean winter snow pack in mountain ecosystems of the Western US has been declining for decades and is correlated with positive winter temperature anomalies. Since climate change models predict continuation of winter warming and reduced snow in mountains of the Western US, the strength of the forest carbon sink is likely to decline further.</t>
  </si>
  <si>
    <t>10.1111/j.1365-2486.2009.01967.x</t>
  </si>
  <si>
    <t>Zhao, LZ; Colman, AS; Irvine, RJ; Karlsen, SR; Olack, G; Hobbie, EA</t>
  </si>
  <si>
    <t>Isotope ecology detects fine-scale variation in Svalbard reindeer diet: implications for monitoring herbivory in the changing Arctic</t>
  </si>
  <si>
    <t>Stable isotopes; Climate change; Rangifer; Lag effect</t>
  </si>
  <si>
    <t>NITROGEN ISOTOPES; CLIMATE-CHANGE; POPULATION-DYNAMICS; INTERANNUAL VARIATION; DENSITY-DEPENDENCE; MYCORRHIZAL FUNGI; C-13/C-12 RATIOS; STABLE-ISOTOPES; AMINO-ACIDS; CARBON</t>
  </si>
  <si>
    <t>The Arctic is experiencing rapid climatic and environmental changes, which could alter diets of nonmigratory herbivores both within and between populations. Here, we used carbon and nitrogen stable isotope analysis (C-13 and N-15) in hair to infer summer dietary differences of Rangifer tarandus platyrhynchus (nonmigratory reindeer) in Nordenskioldland, Svalbard and used regression models to predict how reindeer dietary intake depend on climatic variables. In linear regression models, current-year and last-year July temperatures positively correlated with both the C-13 and N-15 of reindeer hair, and were stronger predictors of isotopic signatures than July precipitation. C-13 and N-15 analysis indicated robust dietary differences between populations separated by less than 50km and within these valley systems in the proportions of nonmycorrhizal vascular plants and mosses. Remote sensing (NDVI) and isotopic data together suggested an early-season switch from moss to vascular plant dependence in valleys closer to the sea, suggesting both high site fidelity and localized differences in forage availability related to the onset of the growing season. C-13 photosynthetic discrimination increased with the rising atmospheric pCO(2), indicating that Svalbard plants are already responding physiologically to rising CO2 concentrations. Calves were higher in C-13 and N-15 than adults, consistent with a weak trophic effect. We also determined how hair C:N correlated with C-13 and N-15 patterns. Overall, these data provide evidence that C-13 and N-15 measurements can detect dietary shifts over short time periods and fine spatial scales, indicating that isotopic studies can help monitor herbivory in the changing Arctic.</t>
  </si>
  <si>
    <t>10.1007/s00300-019-02474-8</t>
  </si>
  <si>
    <t>Sallaberry-Pincheira, P; Galvez, P; Molina-Burgos, BE; Fernandoy, F; Melendez, R; Klarian, SA</t>
  </si>
  <si>
    <t>Diet and food consumption of the Patagonian toothfish (Dissostichus eleginoides) in South Pacific Antarctic waters</t>
  </si>
  <si>
    <t>Stable isotopes; Evacuation rate; Daily ration; Chilean sea bass</t>
  </si>
  <si>
    <t>DEEP-SEA FISHERIES; GASTRIC EVACUATION; FALKLAND ISLANDS; STOMACH CONTENTS; STABLE-ISOTOPES; IONIAN SEA; FISH; ECOLOGY; ASSUMPTIONS; BATHYAL</t>
  </si>
  <si>
    <t>The Patagonian toothfish, Dissostichus eleginoides, is a fish with high commercial value in all countries bordering the southern cone of Pacific and Atlantic waters. Like most fishing landings, the fishing status of the toothfish has collapsed, and thus ecosystem-based fisheries management is needed in Antarctic waters. Therefore, the stomach contents, stable isotopes, and gastric evacuation and food consumption rates were analyzed to describe the diet and infer possible prey species of individuals of Dissostichus eleginoides in the Antarctic Pacific Ocean. The results show that rattails and hakes were the most important prey in the diet of the Patagonian toothfish, composing 54.1 and 33.3% of the diet, respectively. The gastric evacuation rate was 1.8 g h(-1), and the rate of food consumption was 2.1% of the body weight, which indicates that D. eleginoides is a predator with frequent feeding behavior and a high predation rate in the deep waters above the continental platform.</t>
  </si>
  <si>
    <t>10.1007/s00300-018-2360-z</t>
  </si>
  <si>
    <t>Fowler, DN; Webb, EB; Vrtiska, MP; Hobson, KA</t>
  </si>
  <si>
    <t>Winter carry-over effects on spring body condition driven by agricultural subsidies to Lesser Snow Geese (Anser caerulescens caerulescens)</t>
  </si>
  <si>
    <t>Arctic geese; stable isotopes</t>
  </si>
  <si>
    <t>STABLE-ISOTOPES; HABITAT QUALITY; MIGRATION; SURVIVAL; FITNESS; BIRDS; NUTRITION; ABUNDANCE; DYNAMICS; ORIGINS</t>
  </si>
  <si>
    <t>Anthropogenic changes to landscapes associated with intensive agriculture often have deleterious effects on avian abundance. However, some species like the Lesser Snow Goose (Anser caerulescens caerulescens), can benefit from increases in agricultural crops on both wintering and migratory stopover sites. We investigated the influence of winter habitat use on spring body condition in Lesser Snow Goose, a species that has increased in population following expansion into agriculturally based winter habitats. We used stable isotope measurements of four elements (delta H-2, delta C-13, delta N-15, and delta S-34) to determine likely prior winter habitat use of snow geese collected during spring migration across Arkansas, Missouri, and Nebraska in 2016. We evaluated differences in body size, lipid, and protein reserves from individuals with isotope values that suggested winter habitat use in traditional coastal marsh and non-coastal /agriculture habitat. Inferred winter habitat influenced total body lipid levels in snow geese collected during spring migration. Adult and juvenile individuals inferred to have overwintered in coastal marsh (n = 60) had, on average, 33.4 g (95% Confidence Interval: 0.4 g, 66.4 g) less lipid than counterparts wintering in non-coastal / agricultural habitat (n = 77). Waterfowl foods found in marshes typically have low true metabolizable energy values as a consequence of their high fiber content, which likely increases daily consumption rates. Increased energy expenditure related to greater time spent foraging, paired with lower energetic rewards, may result in lower lipid reserves among geese using coastal marsh habitats compared to birds using agricultural landscapes. Consequently, carry-over effects based on winter habitat use could explain variation in lipid reserves among individuals during spring migration and may ultimately explain differential fitness rates or susceptibility to harvest. Our results have implications for the conservation and management of this species as historic wetland landscapes become more intensively converted and used for agricultural purposes.</t>
  </si>
  <si>
    <t>10.5751/ACE-01743-150221</t>
  </si>
  <si>
    <t>Herbeck, LS; Unger, D</t>
  </si>
  <si>
    <t>Pond aquaculture effluents traced along back-reef waters by standard water quality parameters, delta N-15 in suspended matter and phytoplankton bioassays</t>
  </si>
  <si>
    <t>Aquaculture; Shrimp- and fish-pond effluents; Nitrogen stable isotopes; delta N-15; Phytoplankton bioassay; Back-reef area; Eutrophication; China</t>
  </si>
  <si>
    <t>PARTIAL MASS BUDGET; GREAT-BARRIER-REEF; FISH FARMS; PHYSIOLOGICAL-RESPONSES; ENVIRONMENTAL-IMPACT; NUTRIENT ENRICHMENT; SHRIMP AQUACULTURE; STABLE-ISOTOPES; NITROGEN; NITRATE</t>
  </si>
  <si>
    <t>Despite the enormous growth in aquaculture in recent years, little is known of the impact of effluents from large-scale pond agglomerations on tropical coastal ecosystems. The aim of the present study was to evaluate the dispersal and ecological impact of effluents from fish and shrimp ponds along 3 seagrass-covered back-reef areas on Hainan Island, tropical China, with pond areas in their hinterland differing in extent (Yelin: 0.04 km(2); Qingge: 2.4 km(2); Changqi: 8.7 km(2)). Concentrations of dissolved and particulate nitrogen, chlorophyll a (chl a) and stable nitrogen isotopes of ammonium (delta N-15-NH4+), nitrate (delta N-15-NO3-) and suspended matter (delta N-15-TSM) were used to trace pond effluents along transects perpendicular to the shore. Additionally, delta N-15-TSM and chl a samples were taken from a phytoplankton bioassay experiment, during which offshore surface water was incubated in dialysis bags at stations along these transects. High nutrient concentrations, particularly ammonium, in combination with high chl a (similar to 10 mu g l(-1)) and elevated chl a levels in the bioassays after incubation indicate eutrophication of the effluent-exposed back-reef areas Qingge and Changqi, with decreasing intensity in the offshore direction. We report the first delta N-15-NH4+ of pond effluents which were as high as 17 parts per thousand. Consequently, elevated delta N-15 values in TSM (5 to 12 parts per thousand) and a delta N-15 increase from &lt;7 up to 14 parts per thousand over time in the phyto plankton bioassays specified pond effluents as the predominant nutrient source. The effluents affect the entire back-reef areas over a distance of at least 2.5 km from shore. Our results show that analysis of delta N-15 in phytoplankton bioassays is a powerful bioindicator for tracing pond-derived nutrient dispersal and eutrophication effects.</t>
  </si>
  <si>
    <t>10.3354/meps10170</t>
  </si>
  <si>
    <t>Shipley, ON; Matich, P; Hussey, NE; Brooks, AML; Chapman, D; Frisk, MG; Guttridge, AE; Guttridge, TL; Howey, LA; Kattan, S; Madigan, DJ; O'Shea, O; Polunin, NV; Power, M; Smukall, MJ; Schneider, EVC; Shea, BD; Talwar, BS; Winchester, M; Brooks, EJ; Gallagher, AJ</t>
  </si>
  <si>
    <t>Energetic connectivity of diverse elasmobranch populations - implications for ecological resilience</t>
  </si>
  <si>
    <t>ecosystem connectivity; food-web; seascape; ecosystem function; functional diversity; stable isotope analysis</t>
  </si>
  <si>
    <t>STABLE-ISOTOPE ANALYSIS; DISCRIMINATION FACTORS; NITROGEN ISOTOPES; TURNOVER RATES; MIXING MODELS; DEEP; SHARKS; CARBON; INSIGHTS; OCEAN</t>
  </si>
  <si>
    <t>Understanding the factors shaping patterns of ecological resilience is critical for mitigating the loss of global biodiversity. Throughout aquatic environments, highly mobile predators are thought to serve as important vectors of energy between ecosystems thereby promoting stability and resilience. However, the role these predators play in connecting food webs and promoting energy flow remains poorly understood in most contexts. Using carbon and nitrogen isotopes, we quantified the use of several prey resource pools (small oceanic forage, large oceanics, coral reef, and seagrass) by 17 species of elasmobranch fishes (n = 351 individuals) in The Bahamas to determine their functional diversity and roles as ecosystem links. We observed remarkable functional diversity across species and identified four major groups responsible for connecting discrete regions of the seascape. Elasmobranchs were responsible for promoting energetic connectivity between neritic, oceanic and deep-sea ecosystems. Our findings illustrate how mobile predators promote ecosystem connectivity, underscoring their functional significance and role in supporting ecological resilience. More broadly, strong predator conservation efforts in developing island nations, such as The Bahamas, are likely to yield ecological benefits that enhance the resilience of marine ecosystems to combat imminent threats such as habitat degradation and climate change.</t>
  </si>
  <si>
    <t>10.1098/rspb.2023.0262</t>
  </si>
  <si>
    <t>Niemeier, S; Muller, J; Struck, U; Rodel, MO</t>
  </si>
  <si>
    <t>Superfrogs in the city: 150 year impact of urbanization and agriculture on the European Common Frog</t>
  </si>
  <si>
    <t>amphibians; Anthropocene; eco-evolution; historical data; intraspecific trait variation; land-use change; long-term data; morphology; rapid; urban dwellers</t>
  </si>
  <si>
    <t>FLUCTUATING ASYMMETRY; ENVIRONMENTAL-HEALTH; AMPHIBIAN DECLINE; PHENOTYPIC CHANGE; BODY-SIZE; LAND-USE; URBAN; BIODIVERSITY; PATTERNS; HABITAT</t>
  </si>
  <si>
    <t>Despite growing pressure on biodiversity deriving from increasing anthropogenic disturbances, some species successfully persist in altered ecosystems. However, these species' characteristics and thresholds, as well as the environmental frame behind that process are usually unknown. We collected data on body size, fluctuating asymmetry (FA), as well as nitrogen stable isotopes (delta N-15) from museum specimens of the European Common Frog,Rana temporaria, all originating from the Berlin-Brandenburg area, Germany, in order to test: (a) if specimens have changed over the last 150 years (1868-2018); and (b) if changes could be attributed to increasing urbanization and agricultural intensity. We detected that after the Second World War, frogs were larger than in pre-war Berlin. In rural Brandenburg, we observed no such size change. FA analysis revealed a similar tendency with lower levels in Berlin after the war and higher levels in Brandenburg. Enrichment of delta N-15 decreased over time in both regions but was generally higher and less variable in sites with agricultural land use. Frogs thus seem to encounter favorable habitat conditions after pollution in postwar Berlin improved, but no such tendencies were observable in the predominantly agricultural landscape of Brandenburg. Urbanization, characterized by the proportion of built-up area, was not the main associated factor for the observed trait changes. However, we detected a relationship with the amount of urban greenspace. Our study exemplifies that increasing urbanization must not necessarily worsen conditions for species living in urban habitats. The Berlin example demonstrates that public parks and other urban greenspaces have the potential to serve as suitable refuges for some species. These findings underline the urgency of establishing, maintaining, and connecting such habitats, and generally consider their importance for future urban planning.</t>
  </si>
  <si>
    <t>10.1111/gcb.15337</t>
  </si>
  <si>
    <t>Mechanisms of Araucaria (Atlantic) Forest Expansion into Southern Brazilian Grasslands</t>
  </si>
  <si>
    <t>ecotone; forest; grassland; microbial biomass; nutrients; soil-plant feedbacks; stable isotopes</t>
  </si>
  <si>
    <t>SOIL ORGANIC-MATTER; LATE-QUATERNARY VEGETATION; RAIN-FOREST; ISOTOPE DISCRIMINATION; MULTIVARIATE-ANALYSIS; DISPERSAL STRATEGIES; MIGRATION CAPACITY; CLIMATE DYNAMICS; CARBON ISOTOPES; SEED DISPERSAL</t>
  </si>
  <si>
    <t>Recent studies have shown that tropical and subtropical forests expanded during the late Holocene, but rates and mechanisms of expansion are still unknown. Here, we investigate how a forest-grassland mosaic changed over the past 10,000 years at the southernmost limit of the Brazilian Atlantic forest. We used soil organic matter carbon isotopes (delta C-13 and C-14) to quantify and date changes in vegetation, examining soil properties and leaf traits of tree species (nutrient content, delta C-13, delta N-15, and specific leaf area-SLA) to describe potential mechanisms of expansion. Our results show that after several millennia of stability, forests have been expanding over grasslands through continuous, but very slow, border dynamics and patch formation (&lt; 100 m since similar to 4,000 YBP). This process of expansion coincided with past changes in climate, but biotic feedback mechanisms also appear to be important for the long-term persistence and expansion of forests. Soil fertility and microbial biomass match current rather than past vegetation distribution, increasing progressively across the gradient: grasslands &lt; isolated trees &lt; forest patches &lt; forests. Foliar delta N-15 values of trees that are able to colonize the grassland are consistently lower across this vegetation gradient, suggesting an increasingly greater reliance on symbiotic nutrient uptake from grasslands to forests. No significant relationships were found between soil and leaf nutrients, but SLA explained variation in leaf N, P, and K (positive relationships) and in leaf delta C-13 (negative relationship). These findings suggest that a tradeoff between tree growth and water use efficiency is an important regulator of forest-grassland dynamics in the study region.</t>
  </si>
  <si>
    <t>10.1007/s10021-011-9486-y</t>
  </si>
  <si>
    <t>Gillson, L</t>
  </si>
  <si>
    <t>Evidence of hierarchical patch dynamics in an east African savanna?</t>
  </si>
  <si>
    <t>Kenya; pollen; non-equilibrium; savanna ecology; stable isotopes; tsavo</t>
  </si>
  <si>
    <t>VEGETATION; LANDSCAPE; COEXISTENCE; FIRE; DELTA-C-13; SEDIMENTS; ELEPHANT; IMPACTS; CLIMATE; SCALE</t>
  </si>
  <si>
    <t>The Hierarchical Patch Dynamics Paradigm provides a conceptual framework for linking pattern, process and scale in ecosystems, but there have been few attempts to test this theory because most ecological studies focus on only one spatial scale, or are limited in their temporal scope. Here I use palaeoecological techniques (analysis of fossil pollen and stable carbon isotopes) to compare vegetation heterogeneity in an east African savanna at three spatial scales, over hundreds of years. The data show that patterns of vegetation change are different at the three spatial scales of observation, and suggest that different ecological processes dominate tree abundance at micro, local and landscape scales. Interactions between plants, disturbance (e.g., by fire and herbivores), climate and soil type may influence tree density at differing spatial and temporal scales. This hierarchical explanation of savanna vegetation dynamics could inform future biodiversity conservation and management in savannas.</t>
  </si>
  <si>
    <t>10.1007/s10980-004-0248-5</t>
  </si>
  <si>
    <t>Newman, SJ; Allsop, Q; Ballagh, AC; Garrett, RN; Gribble, N; Meeuwig, JJ; Mitsopoulos, GEA; Moore, BR; Pember, MB; Rome, BM; Saunders, T; Skepper, CL; Stapley, JM; van Herwerden, L; Welch, DJ</t>
  </si>
  <si>
    <t>Variation in stable isotope (delta O-18 and delta C-13) signatures in the sagittal otolith carbonate of king threadfin, Polydactylus macrochir across northern Australia reveals multifaceted stock structure</t>
  </si>
  <si>
    <t>King threadfin; Polydactylus macrochir; Polynemidae; Otolith isotope chemistry; Stock structure</t>
  </si>
  <si>
    <t>WESTERN-AUSTRALIA; RATIO ANALYSIS; FISH OTOLITHS; PINK SNAPPER; IDENTIFICATION; TEMPERATURE; DELINEATION; CHEMISTRY; SALINITY; PISCES</t>
  </si>
  <si>
    <t>Otoliths of king threadfin, Polydactylus macrochir were collected from 2007 to 2009 at nine locations across northern Australia representing most of their distributional range and areas where fisheries are active. Measurement of the stable isotope ratios of delta O-18 and delta C-15 in the sagittal otolith carbonate from assemblages of P. macrochir revealed location-specific signatures and indicated that adult fish sampled from representative sites across their range were significantly different. The significant differences in the isotopic signatures of P. macrochir demonstrated that population subdivision is evident and there is unlikely to be substantial movement of fish among these distinct adult assemblages. The stable isotopic signatures for the fish from the different locations were persistent through time, and therefore it could be concluded that they comprise separate stocks for many of the purposes of fisheries management. The spatial separation of these populations indicates a complex stock structure across northern Australia with stocks of P. macrochir associated with large coastal beaches and embayments on a fine spatial scale. These results indicate that in order to achieve optimal fisheries management, the current spatial management arrangements need to be reviewed, particularly the potential for localised depletion of stocks on small spatial scales. This study has provided further evidence that measurement of the stable isotopes ratios in teleost sagittal otolith carbonate can be a valuable tool in the delineation of fishable stocks or fishery management units of adult fish and that widely distributed fish can nonetheless show strong localised population structure. Crown Copyright (c) 2010 Published by Elsevier B.V. All rights reserved.</t>
  </si>
  <si>
    <t>10.1016/j.jembe.2010.09.011</t>
  </si>
  <si>
    <t>Phillips, RA; Bearhop, S; Mcgill, RAR; Dawson, DA</t>
  </si>
  <si>
    <t>Stable isotopes reveal individual variation in migration strategies and habitat preferences in a suite of seabirds during the nonbreeding period</t>
  </si>
  <si>
    <t>Geolocation; Isoscape; Seabird; Sexual segregation; Tracking</t>
  </si>
  <si>
    <t>ALBATROSSES DIOMEDEA-EXULANS; SEXUAL SIZE DIMORPHISM; SOUTHERN-OCEAN; WANDERING ALBATROSSES; PROVISIONING STRATEGIES; MACRONECTES-GIGANTEUS; TROPHIC RELATIONSHIPS; FORAGING STRATEGIES; PLANKTON DELTA-C-13; MARINE PLANKTON</t>
  </si>
  <si>
    <t>Information on predator and prey distributions is integral to our understanding of migratory connectivity, food web dynamics and ecosystem structure. In marine systems, although large animals that return to land can be fitted with tracking devices, minimum instrument sizes preclude deployments on small seabirds that may nevertheless be highly abundant and hence major consumers. An increasingly popular approach is to use N and C stable isotope analysis of feathers sampled at colonies to provide information on distribution and trophic level for the preceding, and generally little-known, nonbreeding period. Despite the burgeoning of this research, there have been few attempts to verify such relationships. In this study, we demonstrate a clear correspondence between isotope ratios of feathers and nonbreeding distributions of seven species from South Georgia tracked using loggers. This generated a rudimentary isoscape that was used to infer the habitat preferences of eight other species ranging in size from storm petrels to albatrosses, and which could be applied, with caveats, in other studies. Differences in inferred distribution within and between species had major implications for relative exposure to anthropogenic threats, including climate change and fisheries. Although there were no differences in isotope values between sexes in any of the smaller petrels, mean stable C (delta C-13), but not stable N isotope ratios (delta N-15), tended to be greater in females than males of the larger, and more sexually size-dimorphic species. This indicates a difference in C source (distribution), rather than trophic level, and a correspondence between the degree of sexual size dimorphism in Procellariiformes and the level of between-sex niche segregation.</t>
  </si>
  <si>
    <t>10.1007/s00442-009-1342-9</t>
  </si>
  <si>
    <t>Link, J</t>
  </si>
  <si>
    <t>Does food web theory work for marine ecosystems?</t>
  </si>
  <si>
    <t>connectivity; stability; species interactions; continental shelf; predator; prey; food web dynamics</t>
  </si>
  <si>
    <t>TROPHIC INTERACTIONS; TEMPORAL VARIATION; SHELF ECOSYSTEM; CHAIN LENGTH; COMMUNITY; COMPLEXITY; STABILITY; PATTERNS; ORGANIZATION; RESOLUTION</t>
  </si>
  <si>
    <t>More recent and extensive food web studies have questioned some of the prevailing paradigms of food web theory. Yet with few exceptions, most food webs and associated metrics are reported for freshwater or terrestrial systems. I analyzed the food web of the Northeast US Shelf ecosystem across a large spatial and temporal extent. This speciose food web exhibits a predator:prey ratio (0.95) and percentage of intermediate species (89%) similar to most other food webs. Other statistics, such as the percentage of omnivory (62%), percentage of cannibalistic species (31%), number of cycles (5%), and the total number of links (L; 1562) and species (S; 81) are similar to more recent and extensively studied food webs. Finally, this food web exhibits a linkage density (L/S; 19.3), connectivity (C; 48.2%), and Lyapunov stability proxy (S x C; 39.1) that are an order of magnitude higher than other webs or are disproportionate to the number of species observed in this system. Although the exact S and C relationship is contentious, the connectivity of food webs with more than 40 species is approximately 10%, which is very different from the near 50% observed for this ecosystem. The openness of marine ecosystems, lack of specialists, long lifespans, and large size changes across the life histories of many marine species can collectively make marine food webs more highly connected than their terrestrial and freshwater counterparts, contrary to food web theory. Changes in connectivity also have ramifications for ecosystem functioning and Lyapunov stability. The high connectivity of this food web and the mathematical determinants for stability are consistent with the weak nature of species interactions that have been observed and that are required for system persistence, Yet the historically high exploitation rates-of marine organisms obfuscate our understanding of marine food web stability. It is possible that marine food webs are inherently very different from their terrestrial or freshwater counterparts, implying the need for modified paradigms of food web theory.</t>
  </si>
  <si>
    <t>10.3354/meps230001</t>
  </si>
  <si>
    <t>Delevaux, JMS; Stamoulis, KA; Whittier, R; Jupiter, SD; Bremer, LL; Friedlander, A; Kurashima, N; Giddens, J; Winter, KB; Blaich-Vaughan, M; Burnett, KM; Geslani, C; Ticktin, T</t>
  </si>
  <si>
    <t>Place-based management can reduce human impacts on coral reefs in a changing climate</t>
  </si>
  <si>
    <t>bleaching; coastal development; coral reef; groundwater; impact; land-sea models; land-use; management; nutrients; ridge-to-reef; scenario planning</t>
  </si>
  <si>
    <t>SUBMARINE GROUNDWATER DISCHARGE; WATER-QUALITY; SPECIES DISTRIBUTION; FISH ASSEMBLAGES; PROTECTED AREAS; SEDIMENT YIELD; PHASE-SHIFTS; MARINE; COASTAL; RESILIENCE</t>
  </si>
  <si>
    <t>Declining natural resources have contributed to a cultural renaissance across the Pacific that seeks to revive customary ridge-to-reef management approaches to protect freshwater and restore abundant coral reef fisheries. We applied a linked land-sea modeling framework based on remote sensing and empirical data, which couples groundwater nutrient export and coral reef models at fine spatial resolution. This spatially explicit (60 x 60 m) framework simultaneously tracks changes in multiple benthic and fish indicators as a function of community-led marine closures, land-use and climate change scenarios. We applied this framework in Ha'ena and Ka'upulehu, located at opposite ends of the Hawaiian Archipelago to investigate the effects of coastal development and marine closures on coral reefs in the face of climate change. Our results indicated that projected coastal development and bleaching can result in a significant decrease in benthic habitat quality and community-led marine closures can result in a significant increase in fish biomass. In general, Ka'upulehu is more vulnerable to land-based nutrients and coral bleaching than Ha'ena due to high coral cover and limited dilution and mixing from low rainfall and wave power, except for the shallow and wave-sheltered back-reef areas of Ha'ena, which support high coral cover and act as nursery habitat for fishes. By coupling spatially explicit land-sea models with scenario planning, we identified priority areas on land where upgrading cesspools can reduce human impacts on coral reefs in the face of projected climate change impacts.</t>
  </si>
  <si>
    <t>e01891</t>
  </si>
  <si>
    <t>10.1002/eap.1891</t>
  </si>
  <si>
    <t>Beasley, JC; Olson, ZH; DeVault, TL</t>
  </si>
  <si>
    <t>Carrion cycling in food webs: comparisons among terrestrial and marine ecosystems</t>
  </si>
  <si>
    <t>DEEP-SEA; VERTEBRATE SCAVENGERS; COMMUNITY DYNAMICS; REAL DIFFERENCES; CLIMATE-CHANGE; CARCASSES; DECOMPOSITION; SOIL; YELLOWSTONE; RESOURCE</t>
  </si>
  <si>
    <t>In light of current global changes to ecosystem function (e.g. climate change, trophic downgrading, and invasive species), there has been a recent surge of interest in exploring differences in nutrient cycling among ecosystem types. In particular, a growing awareness has emerged concerning the importance of scavenging in food web dynamics, although no studies have focused specifically on exploring differences in carrion consumption between aquatic and terrestrial ecosystems. In this forum we synthesize the scavenging literature to elucidate differences in scavenging dynamics between terrestrial and marine ecosystems, and identify areas where future research is needed to more clearly understand the role of carrion consumption in maintaining ecosystem function within each of these environments. Although scavenging plays a similar functional role in terrestrial and aquatic food webs, here we suggest that several fundamental differences exist in scavenging dynamics among these ecosystem types due to the unique selection pressures imposed by the physical properties of water and air. In particular, the movement of carcasses in marine ecosystems (e.g. wave action, upwelling, and sinking) diffuses biological activity associated with scavenging and decomposition across large, three-dimensional spatial scales, creating a unique spatial disconnect between the processes of production, scavenging, and decomposition, which in contrast are tightly linked in terrestrial ecosystems. Moreover, the limited role of bacteria and temporal stability of environmental conditions on the sea floor appears to have facilitated the evolution of a much more diverse community of macrofauna that relies on carrion for a higher portion of its nutrient consumption than is present in terrestrial ecosystems. Our observations are further discussed as they pertain to the potential impacts of climate change and trophic downgrading (i.e. removal of apex consumers from ecosystems) on scavenging dynamics within marine and terrestrial ecosystems.</t>
  </si>
  <si>
    <t>10.1111/j.1600-0706.2012.20353.x</t>
  </si>
  <si>
    <t>Kruger, M; Eller, G; Conrad, R; Frenzel, P</t>
  </si>
  <si>
    <t>Seasonal variation in pathways of CH4 production and in CH4 oxidation in rice fields determined by stable carbon isotopes and specific inhibitors</t>
  </si>
  <si>
    <t>aerenchyma; gas bubbles; inhibitor; methane emission; porewater; stable carbon isotope</t>
  </si>
  <si>
    <t>METHANE OXIDATION; METHYL-FLUORIDE; METHANOTROPHIC BACTERIA; PADDY SOIL; EMISSION; ACETATE; METHANOGENESIS; HYDROGEN; FRACTIONATION; MARINE</t>
  </si>
  <si>
    <t>Flooded rice fields, which are an important source of the atmospheric methane, have become a model system for the study of interactions between various microbial processes. We used a combination of stable carbon isotope measurements and application of specific inhibitors in order to investigate the importance of various methanogenic pathways and of CH4 oxidation for controlling CH4 emission. The fraction of CH4 produced from acetate and H-2 /CO2 was calculated from the isotopic signatures of acetate, carbon dioxide (CO2 ) and methane (CH4 ) measured in porewater, gas bubbles, in the aerenchyma of the plants and/or in incubation experiments. The calculated ratio between both pathways reflected well the ratio determined by application of methyl fluoride (CH3 F) as specific inhibitor of acetate-dependent methanogenesis. Only at the end of the season, the theoretical ratio of acetate: H-2 = 2 : 1 was reached, whereas at the beginning H-2 /CO2 -dependent methanogenesis dominated. The isotope discrimination was different between rooted surface soil and unrooted deep soil. Root-associated CH4 production was mainly driven by H-2 /CO2 . Porewater CH4 was found to be a poor proxy for produced CH4 . The fraction of CH4 oxidised was calculated from the isotopic signature of CH4 produced in vitro compared to CH4 emitted in situ , corrected for the fractionation during the passage from the aerenchyma to the atmosphere. Isotope mass balances and in situ inhibition experiments with difluoromethane (CH2 F-2 ) as specific inhibitor of methanotrophic bacteria agreed that CH4 oxidation was quantitatively important at the beginning of the season, but decreased later. The seasonal pattern was consistent with the change of potential CH4 oxidation rates measured in vitro . At the end of the season, isotope techniques detected an increase of oxidation activity that was too small to be measured with the flux-based inhibitor technique. If porewater CH4 was used as a proxy of produced CH4 , neither magnitude nor seasonal pattern of in situ CH4 oxidation could be reproduced. An oxidation signal was also found in the isotopic signature of CH4 from gas bubbles that were released by natural ebullition. In contrast, bubbles stirred up from the bulk soil had preserved the isotopic signature of the originally produced CH4 .</t>
  </si>
  <si>
    <t>10.1046/j.1365-2486.2002.00476.x</t>
  </si>
  <si>
    <t>Curry, RA; Gautreau, MD; Culp, JM</t>
  </si>
  <si>
    <t>Fin tissues as surrogates of white muscle when assessing carbon and nitrogen stable isotope levels for Arctic and brook char</t>
  </si>
  <si>
    <t>Arctic; Brook; Char; Stable isotopes; Fin; Muscle; Tissue; Models</t>
  </si>
  <si>
    <t>SALVELINUS-ALPINUS; CLIMATE-CHANGE; DELTA-N-15 SIGNATURES; S-FONTINALIS; FRESH-WATER; DELTA-C-13; PRESERVATION; MODELS</t>
  </si>
  <si>
    <t>Arctic char (Salvelinus alpinus) are a fish species ubiquitous to the fresh waters of Arctic region and brook char (Salvelinus fontinalis) are similarly common across the sub-Arctic region of eastern Canada. Populations can be small in numbers, especially farther north thus it is important to develop non-lethal methods of sampling these fish to minimize the invasiveness and impact of scientific research. We examined the stable isotopes of nitrogen and carbon in white muscle, caudal fin, and adipose fin tissues of Arctic char and brook char ( S. fontinalis) from northern Quebec and Labrador, Canada. Our results revealed several broad conclusions. First, differences among muscle, caudal fin, and adipose fin tissues were 1 parts per thousand for freshwater Arctic and brook char. Second, the two species within the same drainage had similar stable isotope levels and tissue differences. Third, anadromous Arctic char show similar, nonsignificant differences among these tissues for delta N-15, but muscle delta C-13 was highly enriched. Fourth, the stable isotope levels and tissue differences were the same for anadromous Arctic char from two watersheds where char use distinctly different ocean environments. Overall, it appears that caudal fin tissue in particular is a useful surrogate for white muscle delta C-13 and delta N-15 levels for Arctic and brook char in this region and thus, a non-lethal collection of a small sample of caudal fin tissue will provide an accurate measure of white muscle isotope levels.</t>
  </si>
  <si>
    <t>10.1007/s10641-013-0165-z</t>
  </si>
  <si>
    <t>de Andres, EG; Camarero, JJ; Blanco, JA; Imbert, JB; Lo, YH; Sanguesa-Barreda, G; Castillo, FJ</t>
  </si>
  <si>
    <t>Tree-to-tree competition in mixed European beech-Scots pine forests has different impacts on growth and water-use efficiency depending on site conditions</t>
  </si>
  <si>
    <t>atmospheric CO2 concentration; basal area increment; biotic interactions; drought; Fagus sylvatica; Pinus sylvestris; stable carbon isotopes</t>
  </si>
  <si>
    <t>FAGUS-SYLVATICA L.; CARBON-ISOTOPE DISCRIMINATION; DIVERSITY-PRODUCTIVITY RELATIONSHIPS; SYLVESTRIS FORESTS; SPECIES RICHNESS; RING DELTA-C-13; STAND DENSITY; RADIAL GROWTH; GAS-EXCHANGE; RESPONSES</t>
  </si>
  <si>
    <t>Mixed conifer-hardwood forests can be more productive than pure forests and they are increasingly considered as ecosystems that could provide adaptation strategies in the face of global change. However, the combined effects of tree-to-tree competition, rising atmospheric CO2 concentrations and climate on such mixtures remain poorly characterized and understood. To fill this research gap, we reconstructed 34-year series (1980-2013) of growth (basal area increment, BAI) and intrinsic water-use efficiency (iWUE) of Scots pine (Pinus sylvestris L.)-European beech (Fagus sylvatica L.) mixed stands at two climatically contrasting sites located in the southwestern Pyrenees. We also gathered data on tree-to-tree competition and climate variables in order to test the hypotheses that (1) radial growth will be greater when exposed to inter- than to intraspecific competition, that is, when species complementarity occurs and (2) enhanced iWUE could be linked to improved stem radial growth. Growth of both species was reduced when intraspecific competition increased. Species complementarity was linked to improved growth of Scots pine at the continental site, while competition overrode any complementarity advantage at the drought-prone Mediterranean site. Beech growth did not show any significant response to pine admixture likely due to shade tolerance and the highly competitive nature of this species. Increasing interspecific competition drove recent iWUE changes, which increased in Scots pine but decreased in European beech. The iWUE enhancement did not involve any growth improvement in Scots pine. However, the positive BAI-iWUE relationship found for beech suggests an enhanced beech growth in drought-prone sites due to improved water use.Synthesis. Complementarity may enhance growth in mixed forests. However, water scarcity can constrict light-related complementarity for shade intolerant species (Scots pine) in drought-prone sites. Basal area increment-intrinsic water-use efficiency relationships were negative for Scots pine and positive for European beech. These contrasting behaviours have got implications for coping with the expected increasing drought events in Scots pine-European beech mixtures located near the ecological limit of the two species. Complementarity effects between tree species should be considered to avoid overestimating the degree of future carbon uptake by mixed conifer-broadleaf forests.</t>
  </si>
  <si>
    <t>10.1111/1365-2745.12813</t>
  </si>
  <si>
    <t>Reynolds, LV; Cooper, DJ</t>
  </si>
  <si>
    <t>Environmental tolerance of an invasive riparian tree and its potential for continued spread in the southwestern US</t>
  </si>
  <si>
    <t>Exotic plant species; Floodplains; Invasion; Invasive species; Russian olive</t>
  </si>
  <si>
    <t>RUSSIAN-OLIVE; TAMARIX-RAMOSISSIMA; PLANT-COMMUNITIES; NATIVE POPULUS; CLIMATE-CHANGE; ESTABLISHMENT; ANGUSTIFOLIA; FACILITATION; ZONES; RIVER</t>
  </si>
  <si>
    <t>Questions Exotic plant invasion may be aided by facilitation and broad tolerance of environmental conditions, yet these processes are poorly understood in species-rich ecosystems such as riparian zones. In the southwestern United States (US) two plant species have invaded riparian zones: tamarisk (Tamarix ramosissima, T. chinensis, and their hybrids) and Russian olive (Elaeagnus angustifolia). We addressed the following questions: (1) is Russian olive able to tolerate drier and shadier conditions than cottonwood and tamarisk? (2) Can tamarisk and cottonwood facilitate Russian olive invasion? Location Arid riparian zones, southwestern US. Methods We analyzed riparian tree seedling requirements in a controlled experiment, performed empirical field studies, and analyzed stable oxygen isotopes to determine the water sources used by Russian olive. Results Russian olive survival was significantly higher in dense shade and low moisture conditions than tamarisk and cottonwood. Field observations indicated Russian olive established where flooding cannot occur, and under dense canopies of tamarisk, cottonwood, and Russian olive. Tamarisk and native riparian plant species seedlings cannot establish in these dry, shaded habitats. Russian olive can rely on upper soil water until 15 years of age, before utilizing groundwater. Conclusions We demonstrate that even though there is little evidence of facilitation by cottonwood and tamarisk, Russian olive is able to tolerate dense shade and low moisture conditions better than tamarisk and cottonwood. There is great potential for continued spread of Russian olive throughout the southwestern US because large areas of suitable habitat exist that are not yet inhabited by this species.</t>
  </si>
  <si>
    <t>10.1111/j.1654-1103.2010.01179.x</t>
  </si>
  <si>
    <t>Connolly, RM; Waltham, NJ</t>
  </si>
  <si>
    <t>Spatial analysis of carbon isotopes reveals seagrass contribution to fishery food web</t>
  </si>
  <si>
    <t>Australia; carbon; crustacean; food web; isotope; mangroves; portunid; saltmarsh; Scylla serrata; seagrass; SIAR; spatial analysis</t>
  </si>
  <si>
    <t>SCYLLA-SERRATA DECAPODA; ORGANIC-MATTER; STABLE-ISOTOPES; ESTUARINE HABITATS; MANGROVE CRAB; DELTA-N-15; DELTA-C-13; MARINE; ENRICHMENT; MOVEMENT</t>
  </si>
  <si>
    <t>Despite the widespread use of carbon stable isotopes to distinguish among potential energy pathways in food webs, their usefulness is limited where potential basal carbon sources are numerous and diverse. We measured carbon isotope values of the major fisheries species, the mostly carnivorous Scylla serrata (giant mud crab), and potential basal, autotrophic sources supporting the food web. Conventional mixing modelling of autotroph and crab isotope data could not differentiate contributions from different sources. Pooling of modelled contributions from sources with similar isotope values indicated a role for organic matter from seagrass meadows or saltmarshes, but still did not define contributions well. Crab isotope data from a subsequent, spatially explicit survey of 14 sites, selected to represent different distances from key habitats, were analyzed using multiple regression. Crab isotope values showed a significant relationship with distance from seagrass (R-2 = 0.87), but not with distance from mangroves or saltmarsh grass. Alongside seagrass meadows, crabs had very enriched isotope values, demonstrating their reliance on sources with enriched isotope values (seagrass and algae epiphytic on seagrass, 65-90% of their energy intake). At the site furthest from seagrass (21 km), crabs assimilated carbon primarily from depleted sources such as mangroves and terrestrial organic matter from coastal catchments (70-85%). Explicit spatial analysis of isotope data following a comprehensive survey revealed energy pathways not evident in conventional analyses.</t>
  </si>
  <si>
    <t>10.1890/ES14-00243.1</t>
  </si>
  <si>
    <t>Geffen, AJ</t>
  </si>
  <si>
    <t>Otolith oxygen and carbon stable isotopes in wild and laboratory-reared plaice (Pleuronectes platessa)</t>
  </si>
  <si>
    <t>delta C-13; delta O-18; Otolith isotope fractionation; Irish sea; Flatfish; Temperature proxy</t>
  </si>
  <si>
    <t>STOCK STRUCTURE; BLUEFIN TUNA; FRACTIONATION; FISH; RECORDS; WATER; COD; NORTHERN; PISCES; RATIOS</t>
  </si>
  <si>
    <t>The relationship between water temperature, growth rate, and otolith isotopic ratios was measured for juvenile plaice (Pleuronectes platessa) reared at two temperatures (11 and 17A degrees C) and two feeding regimes (1 and 3 prey items center dot ml(-1)). The otolith isotope ratios in individual fish ranged from -2 to -4 for carbon isotope ratios (delta C-13) and from 0.2 to 1.9 for oxygen isotope ratios (delta O-18). The otolith oxygen isotope ratios were significantly affected by water temperature, but not by feeding level, and there were no significant synergistic effects. The fractionation of oxygen isotopes during otolith growth was independent of individual growth rate. Carbon isotope ratios were not significantly affected by food ration or water temperature, but were related to fish growth rate. The carbon isotope ratios were negatively correlated with fish length in the colder water treatments, and tended to increase with fish length in the warm water treatments. The laboratory-determined relationship between otolith oxygen isotope ratio and water temperature was applied to individuals of five species (plaice, cod, whiting, haddock, gurnard) collected in a single trawl sample. The otolith derived temperatures often overestimated measured water temperatures. The difference between real and estimated water temperatures varied between species, and the closest fit was for field-caught plaice.</t>
  </si>
  <si>
    <t>10.1007/s10641-012-0033-2</t>
  </si>
  <si>
    <t>Liu, WG; Yang, H</t>
  </si>
  <si>
    <t>Multiple controls for the variability of hydrogen isotopic compositions in higher plant n-alkanes from modern ecosystems</t>
  </si>
  <si>
    <t>global variation; hydrogen isotopes; n-alkane; plant leave wax</t>
  </si>
  <si>
    <t>DELTA-D VALUES; LEAF WATER; D/H RATIOS; LACUSTRINE SEDIMENTS; TERRESTRIAL PLANTS; LIPID BIOSYNTHESIS; STABLE-ISOTOPES; C-4; FRACTIONATION; CLIMATE</t>
  </si>
  <si>
    <t>We performed a global scale analysis of available leaf wax n-alkane delta D data compiled from our new results, as well as from the literature and expressed as average values of D/H ratios from three common lipids of n-alkanes with odd carbon numbers (n-C-27, n-C-29, and n-C-31) from living higher plants. Our results clearly indicate multiple controls of hydrogen isotope composition and its variability in plants leaf wax. (1) At the global scale, precipitation delta D values play a dominating factor that exercises the first order of control for hydrogen isotopic compositions in plant leaf wax. The hydrogen isotopic composition of plant leaf wax tracks the decreasing trend of precipitation delta D with increasing latitude. (2) Because of different water acquisition systems, plant life form influences the hydrogen isotopic composition of leaf wax n-alkanes with woody plants and grasses having different responses to the change of global precipitation delta D. (3) Physiological difference, due to different photosynthesis pathways or different water usage strategies, can leave an imprint on delta D patterns of plant leaf waxes, causing delta D variations among plants using the same source water. While these results better explain the variability of hydrogen isotope composition in leaf wax, they also have important implications for the interpretation of n-alkane delta D data from fossils and ancient sediments.</t>
  </si>
  <si>
    <t>10.1111/j.1365-2486.2008.01608.x</t>
  </si>
  <si>
    <t>Ock, G; Takemon, Y</t>
  </si>
  <si>
    <t>Effect of reservoir-derived plankton released from dams on particulate organic matter composition in a tailwater river (Uji River, Japan): source partitioning using stable isotopes of carbon and nitrogen</t>
  </si>
  <si>
    <t>POM composition; reservoir plankton; stable isotope mixing model; delta C-13 and delta N-15; dam impact</t>
  </si>
  <si>
    <t>FOOD WEBS; MIXING MODELS; DYNAMICS; ZOOPLANKTON; DELTA-C-13; TRANSPORT; COMMUNITY; DIET; DOWNSTREAM; FLOODPLAIN</t>
  </si>
  <si>
    <t>We estimated the contribution of reservoir-derived plankton released from an upstream dam to particulate organic matter (POM) relative to terrestrial allochthonous (fallen leaves) and instream autochthonous (downstream epilithic algae) sources in the Uji River, Japan, to investigate the influence of the reservoir plankton on downstream POM composition. Four types of POM such as suspended fine, suspended coarse, benthic fine and benthic coarse POM were collected and then analyzed using two types of mixing models combining delta C-13-delta N-15: a standard linear model (SLM) and a concentration-weighted model (CWM), which are compared with the microscopic examination. Results demonstrate that the three trophic sources were isotopically distinct, and all POM samples are plotted inside the mixing triangle defined by the three end members in the delta C-13-delta N-15 biplot. SLM underestimated the terrestrial source contribution and overestimated that of the reservoir plankton, suggesting that despite popular application of the SLM method, CWM was more appropriate for the source partitioning of riverine POM particularly in the case where large differences in source concentrations of C and N are present. Reservoir plankton contribution was highest in suspended fine POM (S-FPOM), accounting for 47%. Nitrogen in S-FPOM was found to be supplied mostly by the reservoir plankton (68%). These results collectively suggest that reservoir plankton from dams can greatly influence downstream S-FPOM composition and play a role in supplying nitrogen to tailwater ecosystems. Our findings on the riverine POM source partitioning in a tailwater channel should be useful in assessing downstream heterotrophic food webs and nutrient transport in response to the plankton-derived POM originating from upstream reservoirs. Copyright (C) 2013 John Wiley &amp; Sons, Ltd.</t>
  </si>
  <si>
    <t>10.1002/eco.1448</t>
  </si>
  <si>
    <t>Li, GL; Yin, BF; Li, J; Wang, J; Wei, WH; Bolnick, DI; Wan, XR; Zhu, BL; Zhang, ZB</t>
  </si>
  <si>
    <t>Host-microbiota interaction helps to explain the bottom-up effects of climate change on a small rodent species</t>
  </si>
  <si>
    <t>ISME JOURNAL</t>
  </si>
  <si>
    <t>CHAIN FATTY-ACIDS; POPULATION-DYNAMICS; GUT MICROBIOTA; INNER-MONGOLIA; FRUCTOSE; DIET; DIVERSITY; GROWTH; BIFIDOBACTERIUM; ABSORPTION</t>
  </si>
  <si>
    <t>The population cycles of small rodents have puzzled biologists for centuries. There is a growing recognition of the cascading effects of climate change on the population dynamics of rodents. However, the ultimate cause for the bottom-up effects of precipitation is poorly understood, from a microbial perspective. Here, we conducted a precipitation manipulation experiment in the field, and three feeding trials with controlled diets in the laboratory. We found precipitation supplementation facilitated the recovery of a perennial rhizomatous grass (Leymus chinensis) species, which altered the diet composition and increase the intake of fructose and fructooligosaccharides for Brandt's vole. Lab results showed that this nutrient shift was accompanied by the modulation of gut microbiota composition and functional pathways (especially for the degradation or biosynthesis of L-histidine). Particularly, the relative abundance of Eubacterium hallii was consistently increased after feeding voles with more L. chinensis, fructose or fructooligosaccharide. These modulations ultimately increased the production of short chain fatty acids (SCFAs) and boosted the growth of vole. This study provides evidence that the precipitation pulses cascades through the plant community to affect rodent gut microbiome. Our results highlight the importance of considering host-microbiota interaction when investigating rodent population responses to climate change.</t>
  </si>
  <si>
    <t>10.1038/s41396-020-0646-y</t>
  </si>
  <si>
    <t>Bratton, RM; Legett, HD; Shannon, P; Yakola, KC; Gerson, AR; Staudinger, MD</t>
  </si>
  <si>
    <t>Pre-breeding foraging ecology of three tern species nesting in the Gulf of Maine</t>
  </si>
  <si>
    <t>eggshells; foraging ecology; Gulf of Maine; stable isotopes; Sterna sp.; Terns; trophic niche breadth</t>
  </si>
  <si>
    <t>STABLE-ISOTOPE ANALYSIS; EGG COMPONENTS; COMMON TERNS; MARINE; SEABIRDS; CLIMATE; DIETS; PATTERNS; HABITAT; CARBON</t>
  </si>
  <si>
    <t>A variety of seabird species migrate annually from wintering grounds in the Southern Hemisphere to the Gulf of Maine, USA to breed and raise their young. Post-migration, adult seabirds depend on the spatio-temporal match of reliable food resources to replenish energy reserves before breeding. However, the conditions during this critical window of time are becoming increasingly uncertain given the magnitude and pace at which climate change is impacting the Gulf of Maine region. We investigated the prebreeding foraging ecology of Arctic Terns (Sterna paradisaea), Common Terns (S. hirundo), and the federally endangered Roseate Tern (S. dougallii) by analyzing stable carbon (d13C) and nitrogen (d15N) isotopes in eggshell tissues collected from seven islands in the Gulf of Maine from 2016 to 2018. Results show at the interspecific level, adult foraging patterns are consistent with expectations based on chick diets. At interisland and interannual scales, variation in isotopic values and niche breadths suggest foraging habits are highly localized. Although uncertainty remains, interannual trends also suggest warmer ocean conditions are either affecting tern foraging behaviors and/or prey resource availability during the late spring and early summer. Overall, results provide new information on adult tern foraging ecology in an important breeding area experiencing rapid environmental change.</t>
  </si>
  <si>
    <t>10.5751/ACE-02112-170119</t>
  </si>
  <si>
    <t>Eloranta, AP; Johnsen, SI; Power, M; Baerum, KM; Sandlund, OT; Finstad, AG; Rognerud, S; Museth, J</t>
  </si>
  <si>
    <t>Introduced European smelt (Osmerus eperlanus) affects food web and fish community in a large Norwegian lake</t>
  </si>
  <si>
    <t>Alien species; Energy flow pathways; Lake food web; Predatory fish; Resource competition; Stable isotope analysis</t>
  </si>
  <si>
    <t>CHARR SALVELINUS-ALPINUS; INVASIVE RAINBOW SMELT; TROPHIC POSITION; ARCTIC CHARR; STABLE-ISOTOPES; TOP PREDATOR; CLIMATE; RECRUITMENT; POPULATION; NICHE</t>
  </si>
  <si>
    <t>Invasive and introduced fishes can affect recipient ecosystems and native species via altered competitive and predatory interactions, potentially leading to top-down and bottom-up cascading impacts. Here, we describe a case from a large lake in southern Norway, StorsjOen, where the illegal introduction of a small, predominantly planktivorous fish species, European smelt (Osmerus eperlanus), has led to changes in the native fish community and lake food web. Survey fishing data collected before (2007) and after (2016) the introduction indicates that smelt has become the numerically dominant fish species both in benthic and pelagic habitats, with concurrent reductions in the relative abundance of native European whitefish (Coregonus lavaretus) and Arctic charr (Salvelinus alpinus) populations. Stable isotope (C-13 and N-15) data indicate minor changes in the trophic niches of native whitefish and Arctic charr despite partly overlapping niches with the introduced smelt. In contrast, brown trout (Salmo trutta) showed an earlier shift to piscivory, a more pelagic niche and increased growth rate, likely because of the smelt induced increase in pelagic prey fish abundance. The main trophic pathway supporting top predators (i.e., large brown trout) in StorsjOen has, therefore, shifted from a littoral to a more pelagic base. Our study demonstrates that small-sized introduced fishes can alter lake food-web dynamics, with contrasting impacts on native fishes. This knowledge is vital for future evaluation and mitigation of potential impacts of smelt introductions on lake ecosystems.</t>
  </si>
  <si>
    <t>10.1007/s10530-018-1806-0</t>
  </si>
  <si>
    <t>Rogers, TL; Kimbro, DL</t>
  </si>
  <si>
    <t>Causes and consequences of historical multi-trophic diversity change in an intertidal seagrass bed</t>
  </si>
  <si>
    <t>Biodiversity; Historical ecology; Non-random diversity change; Predator-prey interactions; Seagrass; Gastropods</t>
  </si>
  <si>
    <t>FOOD-CHAIN LENGTH; SPECIES-DIVERSITY; COASTAL ECOSYSTEMS; BIODIVERSITY; SIZE; FRAGMENTATION; EXTINCTIONS; CONSUMPTION; PREDICTORS; COMPLEXITY</t>
  </si>
  <si>
    <t>To understand and predict patterns of diversity loss in response to global changes, combining historical ecological datasets with modern experimentation can be a valuable approach. In an intertidal seagrass community in northern Florida, USA, we used current and historical quantitative data and a factorial field experiment to investigate diversity changes within and across trophic levels from 1959 to 2013.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Triplofusus giganteus) had the greatest predatory effect on the 2 species that had disappeared from the community (lace murex Chicoreus florifer and true tulip Fasciolaria tulipa)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empirical and theoretical investigation.</t>
  </si>
  <si>
    <t>10.3354/meps11526</t>
  </si>
  <si>
    <t>Zimmer, KD; Grow, RC; Tipp, AR; Herwig, BR; Staples, DF; Cotner, JB; Jacobson, PC</t>
  </si>
  <si>
    <t>Stable isotope patterns in lake food webs reflect productivity gradients</t>
  </si>
  <si>
    <t>delta C-13; delta N-15; denitrification; eutrophication; food webs; fractionation; microbial processing; primary production; respiration</t>
  </si>
  <si>
    <t>SEASONAL-VARIATION; MARINE ECOSYSTEMS; TROPHIC POSITION; FRESH-WATER; DELTA C-13; CARBON; ZOOPLANKTON; NITROGEN; NICHE; TEMPERATURE</t>
  </si>
  <si>
    <t>Stable isotopes C-13 and N-15 are often used in lake ecosystems to assess energy sources and trophic positions, respectively. However, delta C-13 and delta N-15 are also influenced by internal biogeochemical processes in epilimnetic and hypolimnetic habitats in lakes, but the extent to which biogeochemical processing mediates isotope values between these two habitats, and whether these patterns are influenced by lake productivity is not known. We sampled delta C-13 and delta N-15 in epilimnetic mussels, Chaoborus, cisco (Coregonus artedi), and seston and zooplankton in the epilimnia and hypolimnia of 22 Minnesota (USA) lakes ranging from oligotrophic to eutrophic. We also measured lake temperature-oxygen profiles and light levels to assess factors influencing isotope patterns. isotope samples were baseline-corrected using epilimnetic mussels in each lake (sample-mussel) to control for watershed-level differences in isotope values. Results showed delta C-13 in epilimnetic and hypolimnetic zooplankton, hypolimnetic seston, Chaoborus, and cisco became more depleted in delta C-13 relative to epilimnetic mussels in low-productivity lakes where light penetrated into the hypolimnion, while epilimnetic seston delta C-13 stayed similar to mussel delta C-13 in all lakes. This pattern was likely due to hypolimnetic phytoplankton in Clearwater lakes incorporating more respired CO2, which is depleted in delta C-13, and subsequently passing depleted delta C-13 values up the food chain. Results also showed habitat differences in delta N-15 with epilimnetic and hypolimnetic zooplankton, hypolimnetic seston, Chaoborus, and cisco becoming more enriched relative to epilimnetic mussels in low-productivity lakes with higher O-2 levels in the hypolimnion, while epilimnetic seston delta N-15 remained similar to mussel values. The delta N-15 pattern is consistent with the idea that denitrification and microbial degradation enriched hypolimnetic seston relative to epilimnetic seston in low nutrient lakes, while enhanced epilimnetic primary production enriched epilimnetic delta N-15 seston relative to hypolimnetic seston in high nutrient lakes. Our results indicate isotopic differences between epilimnetic and hypolimnetic organisms that change along productivity gradients and suggest that microbial processes and the light regime are important drivers.</t>
  </si>
  <si>
    <t>e03244</t>
  </si>
  <si>
    <t>10.1002/ecs2.3244</t>
  </si>
  <si>
    <t>Jeanbille, M; Clemmensen, K; Juhanson, J; Michelsen, A; Cooper, EJ; Henry, GHR; Hofgaard, A; Hollister, RD; Jonsdottir, IS; Klanderud, K; Tolvanen, A; Hallin, S</t>
  </si>
  <si>
    <t>Site-specific responses of fungal and bacterial abundances to experimental warming in litter and soil across Arctic and alpine tundra(1)</t>
  </si>
  <si>
    <t>tundra; warming; litter; soil; microbial abundance; stable isotopes</t>
  </si>
  <si>
    <t>MICROBIAL COMMUNITY STRUCTURE; CLIMATE-CHANGE; CARBON; TEMPERATURE; NITROGEN; VEGETATION; DECOMPOSITION; METAANALYSIS; GRASSLAND; RATIOS</t>
  </si>
  <si>
    <t>Vegetation change of the Arctic tundra due to global warming is a well-known process, but the implication for the belowground microbial communities, key in nutrient cycling and decomposition, is poorly understood. We characterized the fungal and bacterial abundances in litter and soil layers across 16 warming experimental sites at 12 circumpolar locations. We investigated the relationship between microbial abundances and nitrogen (N) and carbon (C) isotopic signatures, indicating shifts in microbial processes with warming. Microbial abundances were 2 -3 orders of magnitude larger in litter than in soil. Local, site-dependent responses of microbial abundances were variable, and no general effect of warming was detected. The only generalizable trend across sites was a dependence between the warming response ratios and C:N ratio in controls, highlighting a legacy of the vegetation on the microbial response to warming. We detected a positive effect of warming on the litter mass and d15N, which was linked to bacterial abundance under warmed conditions. This effect was stronger in experimental sites dominated by deciduous shrubs, suggesting an altered bacterial N-cycling with increased temperatures, mediated by the vegetation, and with possible consequences on ecosystem feedbacks to climate change.</t>
  </si>
  <si>
    <t>10.1139/as-2020-0053</t>
  </si>
  <si>
    <t>Bridier, G; Meziane, T; Grall, J; Chauvaud, L; Sejr, MK; Menneteau, S; Olivier, F</t>
  </si>
  <si>
    <t>Coastal waters freshening and extreme seasonality affect organic matter sources, quality, and transfers in a High Arctic fjord (Young Sound, Greenland)</t>
  </si>
  <si>
    <t>Arctic ecosystems; Benthic-pelagic coupling; Organic matter; Climate change; Fatty acids; Stable isotopes; Young Sound</t>
  </si>
  <si>
    <t>FOOD-WEB STRUCTURE; FATTY-ACID-COMPOSITION; TEMPORAL VARIATIONS; TROPHIC MARKERS; ISOTOPE VALUES; LIPID CLASSES; SPRING BLOOM; ANATOMICAL DISTRIBUTIONS; PHYTOPLANKTON BLOOMS; NORTHEAST GREENLAND</t>
  </si>
  <si>
    <t>Arctic benthic ecosystems are expected to experience strong modifications in the dynamics of primary producers and/or benthic-pelagic coupling under climate change. However, lack of knowledge about the influence of physical constraints (e.g. ice-melting associated gradients) on organic matter sources, quality, and transfers in systems such as fjords can impede predictions of the evolution of benthic-pelagic coupling in response to global warming. Here, sources and quality of particulate organic matter (POM) and sedimentary organic matter (SOM) were characterized along an inner-outer gradient in a High Artic fjord (Young Sound, NE Greenland) exposed to extreme seasonal and physical constraints (ice-melting associated gradients). The influence of the seasonal variability of food sources on 2 dominant filter-feeding bivalves (Astarte moerchi and Mya truncata) was also investigated. Results revealed the critical impact of long sea ice/snow cover conditions prevailing in Young Sound corresponding to a period of extremely poor and degraded POM and SOM. Freshwater inputs had a very local impact during summer, with relatively more degraded POM at the surface compared to bottom waters that were less nutritionally depleted but more heterogeneous among the sampled stations. Terrestrial inputs contributed to the SOM composition but showed a large variability along the fjord. Finally, diet analyses underlined the contrasted nutritional conditions, showing much higher lipid reserves in A. moerchi than in M. truncata during winter. Under a scenario with increased freshwater input, such results suggest a decline in organic matter quality and production in Young Sound, with subsequent impacts on benthic food webs.</t>
  </si>
  <si>
    <t>10.3354/meps12857</t>
  </si>
  <si>
    <t>Ceneviva-Bastos, M; Montana, CG; Schalk, CM; Camargo, PB; Casatti, L</t>
  </si>
  <si>
    <t>Responses of aquatic food webs to the addition of structural complexity and basal resource diversity in degraded Neotropical streams</t>
  </si>
  <si>
    <t>habitat heterogeneity; Neotropics; stable isotope analysis; stream biota; stream restoration</t>
  </si>
  <si>
    <t>COMMUNITY-WIDE MEASURES; ISOTOPE RATIOS PROVIDE; FRESH-WATER; MORPHOLOGICAL DIVERSITY; RIVER RESTORATION; FISH ASSEMBLAGES; ORGANIC-MATTER; WOODY DEBRIS; LAND-USE; HABITAT</t>
  </si>
  <si>
    <t>The loss of riparian forests can disrupt the structure and function of lotic ecosystems through increased habitat homogenization and decreased resource diversity. We conducted a field experiment and manipulated structural complexity and basal resource diversity to determine their effect on multiple aspects of community and food-web structure of degraded tropical streams. In-stream manipulations included the addition of woody debris (WD) and the addition of wood and leaf packs (WLP). The addition of structural complexity to degraded streams promoted detritus retention and had a positive effect on stream taxonomic richness, abundance and biomass. At the conclusion of the experiment, abundance and richness in the WD-treated reaches increased by over 110% and 80%, respectively, while abundance and richness in the WLP-treated reaches increased by over 280% and 170% respectively. Wood debris and leaves were consumed only by few taxa. Detritivorous taxa were the most abundant trophic guild at the beginning and at the end of the experiment. Food webs in treated reaches were relatively more complex in terms of links and species at the conclusion of the experiment, with highest maximum food chain length in the WD treatments and highest number of trophic species, links, link density, predators and prey at the WLP treatment. Despite differences observed in diet-based food webs, there was little variation in isotopic niche space, likely due to the high degree of omnivory and trophic redundancy, which was attributed to the importance of fine detritus that supported a broad range of consumers. Even in these degraded streams, aquatic taxa responded to the addition of increased complexity suggesting that these efforts may be an effective first step to restoring the structure and function of these food webs.</t>
  </si>
  <si>
    <t>10.1111/aec.12518</t>
  </si>
  <si>
    <t>Weimerskirch, H; Tarroux, A; Chastel, O; Delord, K; Cherel, Y; Descamps, S</t>
  </si>
  <si>
    <t>Population-specific wintering distributions of adult south polar skuas over three oceans</t>
  </si>
  <si>
    <t>Catharacta maccormicki; Geolocators; Migration; Population-specific strategies; Stable isotopes</t>
  </si>
  <si>
    <t>FUKUSHIMA-DERIVED RADIONUCLIDES; SHEARWATERS PUFFINUS-GRISEUS; TRANS-EQUATORIAL MIGRATION; TERNS STERNA-PARADISAEA; ACTIVITY PATTERNS; PACIFIC-OCEAN; SEABIRDS; TRACKING; MOVEMENTS; ISOTOPES</t>
  </si>
  <si>
    <t>Migratory routes and the areas used during winter have probably been selected to maximize fitness by providing favorable environmental conditions outside the breeding season. In polar environments, because of the extreme winter weather, most breeding species migrate to encounter better conditions in areas that can differ between and also within species. Using geo location sensors, we found that south polar skuas Catharacta maccormicki from 2 distant populations breeding on the Antarctic continent along the Atlantic and Indian Oceans migrate northward to winter in tropical Indian Ocean and in temperate North Pacific waters, respectively. Most individuals from each population winter in different environmental conditions, with water temperatures ranging from 16 to 29 degrees C. Nevertheless, they have very similar activity patterns, spending more than 80% of their time on the water, and their feather delta N-15 values suggest that they probably feed at similar trophic levels during the molt. During overwintering, the overall and constant low activity level may be partly imposed by molting constraints, but it also suggests that trophic conditions are good for skuas. The wintering areas of the species correspond to sectors of high concentrations of breeding or wintering tropical, Northern, and Southern Hemisphere seabird species that are likely to be kleptoparasitized by skuas. A certain degree of individual variation exists within each population, which induces a spatial overlap in the wintering grounds of distant breeding populations. These results have potential important consequences in terms of fitness, genetic divergence, and susceptibility to climate change and marine pollution.</t>
  </si>
  <si>
    <t>10.3354/meps11465</t>
  </si>
  <si>
    <t>Hempson, TN; Graham, NAJ; MacNeil, MA; Williamson, DH; Jones, GP; Almany, GR</t>
  </si>
  <si>
    <t>Coral reef mesopredators switch prey, shortening food chains, in response to habitat degradation</t>
  </si>
  <si>
    <t>coral reefs; coral trout; food chains; habitat degradation; mesopredator; Plectropomus maculatus; prey switching; stable isotopes</t>
  </si>
  <si>
    <t>STABLE-ISOTOPE RATIOS; CLIMATE-CHANGE; PLECTROPOMUS-LEOPARDUS; TROPHIC CASCADES; CARBON FLOW; BODY-SIZE; FISH; MARINE; DELTA-C-13; DIET</t>
  </si>
  <si>
    <t>Diet specificity is likely to be the key predictor of a predator's vulnerability to changing habitat and prey conditions. Understanding the degree to which predatory coral reef fishes adjust or maintain prey choice, in response to declines in coral cover and changes in prey availability, is critical for predicting how they may respond to reef habitat degradation. Here, we use stable isotope analyses to characterize the trophic structure of predator-prey interactions on coral reefs of the Keppel Island Group on the southern Great Barrier Reef, Australia. These reefs, previously typified by exceptionally high coral cover, have recently lost much of their coral cover due to coral bleaching and frequent inundation by sediment-laden, freshwater flood plumes associated with increased rainfall patterns. Long-term monitoring of these reefs demonstrates that, as coral cover declined, there has been a decrease in prey biomass, and a shift in dominant prey species from pelagic plankton-feeding damselfishes to territorial benthic algal-feeding damselfishes, resulting in differences in the principal carbon pathways in the food web. Using isotopes, we tested whether this changing prey availability could be detected in the diet of a mesopredator (coral grouper, Plectropomus maculatus). The delta C-13 signature in grouper tissue in the Keppel Islands shifted from a more pelagic to a more benthic signal, demonstrating a change in carbon sources aligning with the change in prey availability due to habitat degradation. Grouper with a more benthic carbon signature were also feeding at a lower trophic level, indicating a shortening in food chains. Further, we found a decline in the coral grouper population accompanying a decrease in total available prey biomass. Thus, while the ability to adapt diets could ameliorate the short-term impacts of habitat degradation on mesopredators, long-term effects may negatively impact mesopredator populations and alter the trophic structure of coral reef food webs.</t>
  </si>
  <si>
    <t>10.1002/ece3.2805</t>
  </si>
  <si>
    <t>Wood, CM; McKinney, ST; Loftin, CS</t>
  </si>
  <si>
    <t>Intraspecific functional diversity of common species enhances community stability</t>
  </si>
  <si>
    <t>Community ecology; functional diversity; small mammals; stability; stable isotopes</t>
  </si>
  <si>
    <t>STABLE-ISOTOPES; SMALL MAMMALS; DELTA-C-13; VARIABILITY; POPULATIONS; ABUNDANCE; MASS</t>
  </si>
  <si>
    <t>Common species are fundamental to the structure and function of their communities and may enhance community stability through intraspecific functional diversity (iFD). We measured among-habitat and within-habitat iFD (i.e., among- and within-plant community types) of two common small mammal species using stable isotopes and functional trait dendrograms, determined whether iFD was related to short-term population stability and small mammal community stability, and tested whether spatially explicit trait filters helped explain observed patterns of iFD. Southern red-backed voles (Myodes gapperi) had greater iFD than deer mice (Peromyscus maniculatus), both among habitats, and within the plant community in which they were most abundant (their ''primary habitat''). Peromyscus maniculatus populations across habitats differed significantly between years and declined 78% in deciduous forests, their primary habitat, as did the overall deciduous forest small mammal community. Myodes gapperi populations were stable across habitats and within coniferous forest, their primary habitat, as was the coniferous forest small mammal community. Generalized linear models representing internal trait filters (e.g., competition), which increase within-habitat type iFD, best explained variation in M. gapperi diet, while models representing internal filters and external filters (e.g., climate), which suppress within-habitat iFD, best explained P.maniculatus diet. This supports the finding that M.gapperi had higher iFD than P.maniculatus and is consistent with the theory that internal trait filters are associated with higher iFD than external filters. Common species with high iFD can impart a stabilizing influence on their communities, information that can be important for conserving biodiversity under environmental change.</t>
  </si>
  <si>
    <t>10.1002/ece3.2721</t>
  </si>
  <si>
    <t>Tablado, Z; Tella, JL; Sanchez-Zapata, JA; Hiraldo, F</t>
  </si>
  <si>
    <t>The Paradox of the Long-Term Positive Effects of a North American Crayfish on a European Community of Predators</t>
  </si>
  <si>
    <t>diet shift; facilitative effects; invasive prey; non-native species; Procambarus clarkii; predator community; red swamp crayfish; cambio de dieta; comunidad de depredadores; efectos facilitadores; especies exoticas; presa invasora; Procambarus clarkii</t>
  </si>
  <si>
    <t>RED SWAMP CRAYFISH; PROCAMBARUS-CLARKII; SPECIES INVASION; ERADICATION; BIODIVERSITY; IMPACT; HYPERPREDATION; CONSEQUENCES; DIVERSITY; DENSITY</t>
  </si>
  <si>
    <t>Invasions of non-native species are one of the major causes of losses of native species. In some cases, however, non-natives may also have positive effects on native species. We investigated the potential facilitative effects of the North American red swamp crayfish (Procambarus clarkii) on the community of predators in southwestern Spain. To do so, we examined the diets of predators in the area and their population trends since introduction of the crayfish. Most predator species consumed red swamp crayfish, which sometimes occurred in over 50% of their diet samples. Moreover, the abundance of species preying on crayfish increased significantly in the area as opposed to the abundance of herbivores and to predator populations in other areas of Europe, where those predators are even considered threatened. Thus, we report the first case in which one non-native species is both beneficial because it provides prey for threatened species and detrimental because it can drive species at lower trophic levels to extinction. Increases in predator numbers that are associated with non-native species of prey, especially when some of these predators are also invasive non-natives, may increase levels of predation on other species and produce cascading effects that threaten native biota at longer temporal and larger spatial scales. Future management plans should include the complexity of interactions between invasive non-natives and the entire native community, the feasibility of successful removal of non-native species, and the potential social and economic interests in the area.</t>
  </si>
  <si>
    <t>10.1111/j.1523-1739.2010.01483.x</t>
  </si>
  <si>
    <t>Kelly, JK; Holeski, LM; Arathi, HS</t>
  </si>
  <si>
    <t>The genetic correlation between flower size and water use efficiency in monkeyflowers</t>
  </si>
  <si>
    <t>carbon isotopes; drought; genetic correlations; Mimulus guttatus; water use efficiency</t>
  </si>
  <si>
    <t>CARBON-ISOTOPE DISCRIMINATION; MIMULUS-GUTTATUS; POLEMONIUM-VISCOSUM; DROUGHT STRESS; SELECTION</t>
  </si>
  <si>
    <t>Question: Does water loss during drought stress represent an important physiological constraint on the evolution of flower size? Organism: A genetically diverse population of Mimulus guttatus (yellow monkeyflower) originally sampled from an alpine meadow in Oregon, USA. Methods: We grew plants of three different genotypic classes (small, medium, and large flowered) under both well-watered and drought-stress conditions and measured water use efficiency using stable carbon isotopes. Results: There was no difference in water use efficiency among flower size genotypes under well-watered conditions, but the water use efficiency of small-flowered plants was substantially lower than that of medium or large genotypes under drought stress. Whether this paradoxical result is a direct effect of flower size or an indirect (i.e. pleiotropic) effect, the presence of a genetic correlation between floral and physiological traits indicates that selection of one does impact the other.</t>
  </si>
  <si>
    <t>Bodin, PE; Gagen, M; McCarroll, D; Loader, NJ; Jalkanen, R; Robertson, I; Switsur, VR; Waterhouse, JS; Woodley, EJ; Young, GHF; Alton, PB</t>
  </si>
  <si>
    <t>Comparing the performance of different stomatal conductance models using modelled and measured plant carbon isotope ratios (13C): implications for assessing physiological forcing</t>
  </si>
  <si>
    <t>Ball-Berry; dendrochronology; internal conductance; land surface model; SPA model; tree-rings</t>
  </si>
  <si>
    <t>WATER-USE EFFICIENCY; TREE-RING CELLULOSE; PINUS-SYLVESTRIS; ENVIRONMENTAL CONTROLS; CLIMATE RELATIONSHIPS; CANOPY CONDUCTANCE; SUMMER TEMPERATURE; C-13/C-12 RATIOS; STABLE-ISOTOPES; SIGNAL STRENGTH</t>
  </si>
  <si>
    <t>Accurate modelling of long-term changes in plant stomatal functioning is vital to global climate change studies because changes in evapotranspiration influence temperature via physiological forcing of the climate. Various stomatal models are included in land surface schemes, but their robustness over longer timescales is difficult to validate. We compare the performance of three stomatal models, varying in their degree of complexity, and coupled to a land surface model. This is carried out by simulating the carbon isotope ratio of tree leaves (13Cleaf) over a period of 53years, and comparing the results with carbon isotope ratios obtained from tree rings (13Cstem) measured at six sites in northern Europe. All three stomatal models fail to capture the observed interannual variability in the measured 13Cstem time series. However, the Soil-Plant-Atmosphere (SPA) model performs significantly better than the Ball-Berry (BB) or COX models when tested for goodness-of-fit against measured 13Cstem. The 13Cleaf time series simulated using the SPA model are significantly positively correlated (P&lt;0.05) with measured results over the full time period tested, at all six sites. The SPA model underestimates interannual variability measured in 13Cstem, but is no worse than the BB model and significantly better than the COX model. The inability of current models to adequately replicate changes in stomatal response to rising levels of CO2 concentrations, and thus to quantify the associated physiological forcing, warrants further investigation.</t>
  </si>
  <si>
    <t>10.1111/gcb.12192</t>
  </si>
  <si>
    <t>Morrison, ES; Phlips, E; Badylak, S; Chappel, AR; Altieri, AH; Osborne, TZ; Tomasko, D; Beck, MW; Sherwood, E</t>
  </si>
  <si>
    <t>The response of Tampa Bay to a legacy mining nutrient release in the year following the event</t>
  </si>
  <si>
    <t>phosphogypsum; stable isotopes; phytoplankton; harmful algal bloom; carbon; nitrogen; Piney Point</t>
  </si>
  <si>
    <t>FLORIDA RED TIDE; CLIMATE-CHANGE; WATER-QUALITY; CERATAULINA-PELAGICA; SUBTROPICAL ESTUARY; COASTAL ECOSYSTEMS; NITROGEN-CONTENT; CELL-VOLUME; GROWTH-RATE; PHYTOPLANKTON</t>
  </si>
  <si>
    <t>IntroductionCultural eutrophication threatens numerous ecological and economical resources of Florida's coastal ecosystems, such as beaches, mangroves, and seagrasses. In April 2021, an infrastructure failure at the retired Piney Point phosphorus mining retention reservoir garnered national attention, as 814 million liters of nutrient rich water were released into Tampa Bay, Florida over 10 days. The release of nitrogen and phosphorus-rich water into Tampa Bay - a region that had been known as a restoration success story since the 1990s - has highlighted the potential for unexpected challenges for coastal nutrient management. MethodsFor a year after the release, we sampled bi-weekly at four sites to monitor changes in nutrients, stable isotopes, and phytoplankton communities, complemented with continuous monitoring by multiparameter sondes. Our data complement the synthesis efforts of regional partners, the Tampa Bay and Sarasota Bay Estuary Programs, to better understand the effects of anthropogenic nutrients on estuarine health. ResultsPhytoplankton community structure indicated an initial diatom bloom that dissipated by the end of April 2021. In the summer, the bay was dominated by Karenia brevis, with conditions improving into the fall. To determine if there was a unique carbon (C) and nitrogen (N) signature of the discharge water, stable isotope values of carbon (delta C-13) and nitrogen (delta N-15) were analyzed in suspended particulate material (SPM). The delta N-15 values of the discharge SPM were -17.88 parts per thousand +/- 0.76, which is exceptionally low and was unique relative to other nutrient sources in the region. In May and early June of 2021, all sites exhibited a decline in the delta N-15 values of SPM, suggesting that discharged N was incorporated into SPM after the event. The occurrence of very low delta N-15 values at the reference site, on the Gulf Coast outside of the Bay, indicates that some of the discharge was transported outside of Tampa Bay. DiscussionThis work illustrates the need for comprehensive nutrient management strategies to assess and manage the full range of consequences associated with anthropogenic nutrient inputs into coastal ecosystems. Ongoing and anticipated impacts of climate change - such as increasing tropical storm intensity, temperatures, rainfall, and sea level rise - will exacerbate this need.</t>
  </si>
  <si>
    <t>10.3389/fevo.2023.1144778</t>
  </si>
  <si>
    <t>Keller, KM; Lienert, S; Bozbiyik, A; Stocker, TF; Churakova, OV; Frank, DC; Klesse, S; Koven, CD; Leuenberger, M; Riley, WJ; Saurer, M; Siegwolf, R; Weigt, RB; Joos, F</t>
  </si>
  <si>
    <t>20th century changes in carbon isotopes and water-use efficiency: tree-ring-based evaluation of the CLM4.5 and LPX-Bern models</t>
  </si>
  <si>
    <t>COMMUNITY LAND MODEL; EARTH SYSTEM MODEL; ATMOSPHERIC CO2; STOMATAL CONDUCTANCE; TERRESTRIAL CARBON; ELEVATED CO2; INTERANNUAL VARIABILITY; PERMAFROST CARBON; VEGETATION MODEL; STABLE-ISOTOPES</t>
  </si>
  <si>
    <t>Measurements of the stable carbon isotope ratio (delta C-13) on annual tree rings offer new opportunities to evaluate mechanisms of variations in photosynthesis and stomatal conductance under changing CO2 and climate conditions, especially in conjunction with process-based biogeochemical model simulations. The isotopic discrimination is indicative of the ratio between the CO2 partial pressure in the intercellular cavities and the atmosphere (c(i)/c(a)) and of the ratio of assimilation to stomatal conductance, termed intrinsic water-use efficiency (iWUE). We performed isotope-enabled simulations over the industrial period with the land biosphere module (CLM4.5) of the Community Earth System Model and the Land Surface Processes and Exchanges (LPX-Bern) dynamic global vegetation model. Results for C3 tree species show good agreement with a global compilation of delta C-13 measurements on leaves, though modeled C-13 discrimination by C3 trees is smaller in arid regions than measured. A compilation of 76 tree-ring records, mainly from Europe, boreal Asia, and western North America, suggests on average small 20th century changes in isotopic discrimination and in c(i)/c(a) and an increase in iWUE of about 27% since 1900. LPX-Bern results match these century-scale reconstructions, supporting the idea that the physiology of stomata has evolved to optimize trade-offs between carbon gain by assimilation and water loss by transpiration. In contrast, CLM4.5 simulates an increase in discrimination and in turn a change in iWUE that is almost twice as large as that revealed by the tree-ring data. Factorial simulations show that these changes are mainly in response to rising atmospheric CO2. The results suggest that the downregulation of c(i)/c(a) and of photosynthesis by nitrogen limitation is possibly too strong in the standard setup of CLM4.5 or that there may be problems associated with the implementation of conductance, assimilation, and related adjustment processes on long-term environmental changes.</t>
  </si>
  <si>
    <t>10.5194/bg-14-2641-2017</t>
  </si>
  <si>
    <t>Soto, DX; Trueman, CN; Samways, KM; Dadswell, MJ; Cunjak, RA</t>
  </si>
  <si>
    <t>Ocean warming cannot explain synchronous declines in North American Atlantic salmon populations</t>
  </si>
  <si>
    <t>Ocean warming; Ocean migration; Salmo salar; Sea surface temperature; Stable isotopes; Archived scale tissue</t>
  </si>
  <si>
    <t>TROPHIC ECOLOGY; MARINE GROWTH; SALAR; CLIMATE; SURVIVAL; LINKAGES; TRENDS; SCALES; SMOLT; WILD</t>
  </si>
  <si>
    <t>Atlantic salmon Salmo salar populations have suffered global, synchronous declines over the past decades. These declines are coincident with improvements in river habitats and reductions in high seas fisheries, implying higher rates of natural marine mortality that have been widely linked to increasing ocean temperatures in the North Atlantic. The mechanisms linking temperature to marine mortality in Atlantic salmon, however, are unclear. During the period 1980-2010, populations of S. salar returning to the St. John River, New Brunswick, Canada, after spending either 1 or multiple winters at sea have shown similar patterns of decline, coincident with recent ocean warming in the North Atlantic Ocean. Here we used stable isotope data from historic scale collections to investigate the relationship between foraging location, experienced ocean temperature and population trends for S. salar returning to the St. John River. We show that salmon spending either 1 or multiple winters at sea before returning to the St. John River consistently fed in different regions of the North Atlantic and experienced different ocean warming trends. However, both cohorts show synchronous progressive population declines over the study period. We therefore suggest that ocean warming cannot be the principal cause of increased marine mortality for salmon returning to the St. John River. Both cohorts experience similar conditions during the initial post-smolt period, and increased post-smolt mortality could underpin population declines. Our results support concentrating management and conservation efforts to reduce mortality in the post-smolt phase of salmon lifecycles.</t>
  </si>
  <si>
    <t>10.3354/meps12674</t>
  </si>
  <si>
    <t>Fresne, M; Chun, KP; Hrachowitz, M; McGuire, KJ; Schoppach, R; Klaus, J</t>
  </si>
  <si>
    <t>Importance of tree diameter and species for explaining the temporal and spatial variations of xylem water delta O-18 and delta H-2 in a multi-species forest</t>
  </si>
  <si>
    <t>principal components; spatial autocorrelation; stable water isotopes; topography; transpiration; vegetation</t>
  </si>
  <si>
    <t>STABLE ISOTOPIC COMPOSITION; SOIL-WATER; CLIMATE-CHANGE; CATCHMENT; STORAGE; PRECIPITATION; PLANT; TRANSPIRATION; VARIABILITY; SEPARATION</t>
  </si>
  <si>
    <t>Identifying the vegetation and topographic variables influencing the isotopic variability of xylem water of forest vegetation remains crucial to interpret and predict ecohydrological processes in landscapes. In this study, we used temporally and spatially distributed xylem stable water isotopes measurements from two growing seasons to examine the temporal and spatial variations of xylem stable water isotopes and their relationships with vegetation and topographic variables in a Luxembourgish temperate mixed forest. Species-specific temporal variations of xylem stable water isotopes were observed during both growing seasons with a higher variability for beeches than oaks. Principal component regressions revealed that tree diameter at breast height explains up to 55% of the spatial variability of xylem stable water isotopes, while tree species explains up to 24% of the variability. Topographic variables had a marginal role in explaining the spatial variability of xylem stable water isotopes (up to 6% for elevation). During the drier growing season (2020), we detected a higher influence of vegetation variables on xylem stable water isotopes and a lower temporal variability of the xylem water isotopic signatures than during the wetter growing season (2019). Our results reveal the dominant influence of vegetation on xylem stable water isotopes across a forested area and suggest that their spatial patterns arise mainly from size- and species-specific as well as water availability-dependent water use strategies rather than from topographic heterogeneity. The identification of the key role of vegetation on xylem stable water isotopes has critical implications for the representativity of isotopes-based ecohydrological and catchments studies.</t>
  </si>
  <si>
    <t>10.1002/eco.2545</t>
  </si>
  <si>
    <t>Beck, KK; Fletcher, MS; Kattel, G; Barry, LA; Gadd, PS; Heijnis, H; Jacobsen, GE; Saunders, KM</t>
  </si>
  <si>
    <t>The indirect response of an aquatic ecosystem to long-term climate-driven terrestrial vegetation in a subalpine temperate lake</t>
  </si>
  <si>
    <t>carbon and nitrogen; cladocerans; climate change; Late Quaternary; long-term fire; nutrient dynamics; Tasmania; terrestrial-aquatic ecosystems</t>
  </si>
  <si>
    <t>ENVIRONMENTAL-CHANGE; DIATOM ASSEMBLAGES; WATER-QUALITY; NEW-ZEALAND; SOUTH-WEST; FIRE; TASMANIA; POLLEN; RECORD; INDICATORS</t>
  </si>
  <si>
    <t>AimTo assess whether climate directly influences aquatic ecosystem dynamics in the temperate landscape of Tasmania or whether the effects of long-term climatic change are mediated through the terrestrial environment (indirect climate influence). LocationPaddy's Lake is located at 1065m a.s.l. in temperate north-west Tasmania, a continental island south-east of mainland Australia (41 degrees 15-43 degrees 25S; 145 degrees 00-148 degrees 15E). MethodsWe developed a new 13,400year (13.4kyr) palaeoecological dataset of lake sediment subfossil cladocerans (aquatic grazers), bulk organic sediment carbon (C%) and nitrogen (N%) and C-13 and N-15 stable isotopes. Comparison of this new data was made with a recently published pollen, geochemistry and charcoal records from Paddy's Lake. ResultsLow cladoceran diversity at Paddy's Lake is consistent with other temperate Southern Hemisphere lakes. The bulk sediment N-15 values demonstrate a significant lagged negative response to pollen accumulation rate (pollen AR). Compositional shifts of dominant cladoceran taxa (Bosmina meridionalis and Alona guttata) occur following changes in both pollen AR and pollen (vegetation) composition throughout the 13.4kyr record at Paddy's Lake. The N-15 values demonstrate a significant positive lagged relationship to the oligotrophic:eutrophic cladoceran ratio. Main conclusionsLong-term changes in cladoceran composition lag changes in both pollen AR and terrestrial vegetation composition. We interpret pollen AR as reflecting climate-driven changes in terrestrial vegetation productivity and conclude that climate-driven shifts in vegetation are the principal driver of the cladoceran community during the last ca. 13.4kyr. The significant negative lagged relationship between pollen AR and N-15 reflects the primary control of vegetation productivity over within-lake nutrient status. Thus, we conclude that the effects of long-term climate change on aquatic ecosystem dynamics at our site are indirect and mediated by the terrestrial environment. Vegetation productivity controls organic soil development and has a direct influence over lake trophic status via changes in the delivery of terrestrial organic matter into the lake.</t>
  </si>
  <si>
    <t>10.1111/jbi.13144</t>
  </si>
  <si>
    <t>Downing, AS; van Nes, EH; van de Wolfshaar, KE; Scheffer, M; Mooij, WM</t>
  </si>
  <si>
    <t>Effects of resources and mortality on the growth and reproduction of Nile perch in Lake Victoria</t>
  </si>
  <si>
    <t>diet shift; existence boundaries; Nile perch; population growth; sustainable fishing</t>
  </si>
  <si>
    <t>LATES-NILOTICUS L; LIFE-HISTORY TRAITS; HAPLOCHROMINE CICHLIDS; MWANZA GULF; EAST-AFRICA; COMPETITION; DYNAMICS; POPULATIONS; PREDATION; RECOVERY</t>
  </si>
  <si>
    <t>1. A collapse of Nile perch stocks of Lake Victoria could affect up to 30million people. Furthermore, changes in Nile perch population size-structure and stocks make the threat of collapse imminent. However, whether eutrophication or fishing will be the bane of Nile perch is still debated. 2. Here, we attempt to unravel how changes in food resources, a side effect of eutrophication, and fishing mortality determine fish population growth and size structures. We parameterised a physiologically structured model to Nile perch, analysed the influence of ontogenetic diet shifts and relative resource abundances on existence boundaries of Nile perch and described the populations on either side of these boundaries. 3. Our results showed that ignoring ontogenetic diet shifts can lead to over-estimating the maximum sustainable mortality of a fish population. Size distributions can be indicators of processes driving population dynamics. However, the vulnerability of stocks to fishing mortality is dependent on its environment and is not always reflected in size distributions. 4. We suggest that the ecosystem, instead of populations, should be used to monitor long-term effects of human impact.</t>
  </si>
  <si>
    <t>10.1111/fwb.12089</t>
  </si>
  <si>
    <t>Girard, J; Baril, A; Mineau, P; Fahrig, L</t>
  </si>
  <si>
    <t>Carbon and nitrogen stable isotope ratios differ among invertebrates from field crops, forage crops, and non-cropped land uses</t>
  </si>
  <si>
    <t>agriculture; carbon; fencerow; insects; nitrogen; stable isotope</t>
  </si>
  <si>
    <t>GROUND BEETLES COLEOPTERA; FOOD-WEB; TROPHIC STRUCTURE; MIXING MODELS; NATURAL N-15; PREDATORS; AGROECOSYSTEMS; ARTHROPODS; FERTILIZER; DELTA-C-13</t>
  </si>
  <si>
    <t>Stable isotopes are an important tool for studying invertebrate food webs and movement of invertebrates in farmland. However, stable isotope values of farmland invertebrates have been reported for only a few crop types, and rarely for other land uses within farmland. We compared delta C-13 and delta N-15 of invertebrates captured in corn, soybean, hay, and hedgerows in eastern Ontario, Canada. delta C-13 was significantly lower in invertebrates captured in hay and hedgerows than in invertebrates captured in soybean and corn, but was not different between invertebrates captured in corn and soybean. This suggests invertebrates may be moving between crop fields during the growing season, using alternative food sources within crop fields, or retaining delta C-13 values from the previous year. When all invertebrates were examined together, delta N-15 was significantly higher in invertebrates captured in manured corn than in those captured in soybeans, hedgerows, or manured or unmanured hay, but there was no difference between invertebrates captured in manured or unmanured corn. However, spiders from manured corn had significantly higher delta N-15 than those from unmanured corn. Spiders had less variable delta N-15 than other taxa in this study, because they occupy a single trophic level. This may make spiders more suitable for detecting changes in fertilization regimes. By demonstrating how invertebrate delta C-13 and delta N-15 vary with land use, this study will contribute to the understanding of agricultural food webs and of responses of invertebrates to land use change.</t>
  </si>
  <si>
    <t>10.2980/18-2-3390</t>
  </si>
  <si>
    <t>MONTEIRO, PMS; JAMES, AG; SHOLTODOUGLAS, AD; FIELD, JG</t>
  </si>
  <si>
    <t>THE DELTA C-13 TROPHIC POSITION ISOTOPE SPECTRUM AS A TOOL TO DEFINE AND QUANTIFY CARBON PATHWAYS IN MARINE FOOD WEBS</t>
  </si>
  <si>
    <t>ENGRAULIS-CAPENSIS GILCHRIST; FEEDING SELECTIVITY; NITROGEN BUDGETS; DIET; ANCHOVY; FRACTIONATION; PLANKTIVORE; GRADIENTS; C-13/C-12; FIELD</t>
  </si>
  <si>
    <t>The trophic position isotope spectrum is d stable-isotope-based method with which to analyse food web interactions and quantity the relative magnitude of dietary pathways. The approach was developed and tested for anchovy in the Southern Benguela using delta-C-13 determinations of the protein fraction. The results confirm recent findings that anchovy in the Southern Benguela are largely zooplanktivorous and refute the traditional Ryther hypothesis that large pelagic fish populations in upwelling areas are supported mainly by direct feeding on phytoplankton.</t>
  </si>
  <si>
    <t>10.3354/meps078033</t>
  </si>
  <si>
    <t>Sulak, KJ; Berg, JJ; Randall, M</t>
  </si>
  <si>
    <t>Feeding habitats of the Gulf sturgeon, Acipenser oxyrinchus desotoi, in the Suwannee and Yellow rivers, Florida, as identified by multiple stable isotope analyses</t>
  </si>
  <si>
    <t>Food habits; Freshwater feeding; Stable isotopes; Carbon; Nitrogen; Sulfur; Suwannee River; Florida</t>
  </si>
  <si>
    <t>OF-MEXICO STURGEON; FOOD-WEB; ORGANIC-MATTER; CARBON ISOTOPES; ESTUARINE; NITROGEN; MIGRATION; DELTA-C-13; SULFUR; RATIOS</t>
  </si>
  <si>
    <t>Stable C-13, N-15, and S-34 isotopes were analyzed to define the feeding habitats of Acipenser oxyrinchus desotoi in the Suwannee and Yellow River populations. For the majority (93.9%) of Suwannee subadults and adults, C-13 and S-34 signatures indicate use of nearshore marine waters as primary winter feeding habitat, probably due to the limiting size of the Suwannee Sound estuary. In the Yellow River population, C-13 isotope signatures indicate that adults remain primarily within Pensacola Bay estuary to feed in winter, rather than emigrating to the open Gulf of Mexico. A minor Suwannee River subset (6% of samples), comprised of juveniles and subadults, displayed C-13 signatures indicating continued feeding in freshwater during the spring immigration and fall emigration periods. This cannot be interpreted as incidental feeding since it resulted in a 20.5% turnover in tissue delta C-13 signatures over a 1-3 month period. Cessation of feeding in the general population does not coincide with high river water temperatures. The hypothesis of reduced feeding in freshwater due to localized prey depletion as a result of spatial activity restriction is not supported by the present study. Instead, Suwannee River A. o. desotoi appear to follow two trophic alternatives; 1) complete cessation of feeding immediately upon immigration in spring, continuing through emigration 8-9 months later (the predominant alternative); 2) continued intensive feeding for 1-3 months following immigration, switching to freshwater prey, selected primarily from high trophic levels (i.e., large prey). Stable delta S-34 data verifies that recently immigrated, fully-anadromous A. o. desotoi adults had fed in nearshore marine waters, not offshore waters.</t>
  </si>
  <si>
    <t>10.1007/s10641-012-9986-4</t>
  </si>
  <si>
    <t>Connolly, RM; Schlacher, TA</t>
  </si>
  <si>
    <t>Sample acidification significantly alters stable isotope ratios of sulfur in aquatic plants and animals</t>
  </si>
  <si>
    <t>Acid digestion; Amino acids; Carbonate; DMSP; Seagrass; Stable isotope analysis</t>
  </si>
  <si>
    <t>FOOD-WEB ANALYSIS; ORGANIC-MATTER; RELATIVE IMPORTANCE; SALT-MARSH; ZOSTERA-CAPRICORNI; BENTHIC MICROALGAE; TROPHIC IMPORTANCE; NITROGEN ISOTOPES; EPIPHYTIC ALGAE; MARINE SEDIMENT</t>
  </si>
  <si>
    <t>Sulfur stable isotopes are increasingly being used as tracers of material processing in studies of both modern and historical food webs. Preparation of plant and animal material for isotope analysis routinely includes steps that remove inorganic material not normally assimilated by consumers. Whereas acidification of samples is known to assist with this for some elements (carbon), it can produce unwanted effects for others (nitrogen). Here we tested the effects of acidification on sulfur isotopes by comparing isotope ratios of paired acidified and non-acidified samples of seagrass, epiphytic algae growing on seagrass and animal consumers (3 types of crustaceans: amphipods, copepods and isopods). Acid treatment resulted in significant losses of elemental sulfur from the tissues and changes in sulfur isotope ratios of samples. The artificial depletion of the heavy sulfur isotope decreased sulfur isotope ratios by 2.6% on average, and by as much as 7.0% in individual samples. Acidification of samples prior to sulfur isotope analysis results in invalid ratios and should not be used.</t>
  </si>
  <si>
    <t>10.3354/meps10560</t>
  </si>
  <si>
    <t>Dual fuels: intra-annual variation in the relative importance of benthic and pelagic resources to maintenance, growth and reproduction in a generalist salmonid fish</t>
  </si>
  <si>
    <t>benthic macroinvertebrates; C:N ratio; Coregonus lavaretus; C-13; N-15; diet; multiple tissues; subarctic; trophic subsidies; zooplankton</t>
  </si>
  <si>
    <t>COREGONUS-LAVARETUS L.; STABLE-ISOTOPES; WHITEFISH; CARBON; DIET; NITROGEN; FOOD; DELTA-C-13; TURNOVER; WATER</t>
  </si>
  <si>
    <t>Ecological systems are often characterized as stable entities. However, basal productivity in most ecosystems varies between seasons, particularly in subarctic and polar areas. How this variability affects higher trophic levels or entire food webs remains largely unknown, especially in these high-latitude regions. We undertook a year-long study of benthic (macroinvertebrate) and pelagic (zooplankton) resource availability, along with short (day/days: stomach content)-, medium (month: liver C-13 and N-15 isotopes)- and long-term (season: muscle C-13 and N-15 isotopes) assessments of resource use by a generalist fish, the European whitefish, in a deep, oligotrophic, subarctic lake in northern Europe. Due to the long ice-covered winter period, we expected to find general benthic reliance throughout the year, but also a seasonal importance of zooplankton to the diet, somatic growth and gonadal development of whitefish. Benthic and pelagic resource availability varied between seasons: peak littoral benthic macroinvertebrate density occurred in mid-winter, whereas maximum zooplankton density was observed in summer. Whitefish stomach content revealed a reliance on benthic prey items during winter and pelagic prey in summer. A seasonal shift from benthic to pelagic prey was evident in liver isotope ratios, but muscle isotope ratios indicated a year-round reliance on benthic macroinvertebrates. Whitefish activity levels as well as somatic and gonadal growth all peaked during the summer, coinciding with the zooplankton peak and the warmest water temperature. Stable isotopes of muscle consistently depicted the most important resource, benthic macroinvertebrates, whereas short-term indicators, that is, diet and stable isotopes of liver, revealed the seasonal significance of pelagic zooplankton for somatic growth and gonad development. Seasonal variability in resource availability strongly influences consumer growth and reproduction and may also be important in other ecosystems facing pronounced annual weather fluctuations.</t>
  </si>
  <si>
    <t>10.1111/1365-2656.12233</t>
  </si>
  <si>
    <t>Miller, MWC; Lovvorn, JR; Graff, NR; Stellrecht, NC</t>
  </si>
  <si>
    <t>Use of marine vs. freshwater proteins for egg-laying and incubation by sea ducks breeding in Arctic tundra</t>
  </si>
  <si>
    <t>breeding strategy; climate change; cross-seasonal effects; isotope mixing model; nutrient source; reproductive strategy; sea duck; stable isotopes</t>
  </si>
  <si>
    <t>ISOTOPE DISCRIMINATION FACTORS; LONG-TAILED DUCKS; STABLE-ISOTOPES; COMMON EIDERS; KING EIDERS; SOMATERIA-SPECTABILIS; POPULATION-DYNAMICS; SPECTACLED EIDERS; STELLERS EIDERS; BODY CONDITION</t>
  </si>
  <si>
    <t>Understanding dietary nutrient sources is fundamental to conserving sensitive species, especially as climate change alters food web dynamics. Migratory species that depend on both marine and terrestrial habitats face unique challenges, as the locations and quality of resources in the two realms may respond quite differently to environmental changes, with potential for spatial and temporal carryover effects. For sea ducks (Mergini) that winter at sea but move inland to breed, body size may determine their capacity to store nutrient reserves for later use in alternative habitats. We assessed ultimate sources of protein for reproduction in four sea duck species in northern Alaska: smaller-bodied Long-tailed Ducks and Steller's Eiders (Clangula hyemalis and Polysticta stelleri), and larger-bodied Spectacled and King Eiders (Somateria fischeri and Somateria spectabilis). To assess the relative use of local freshwater foods vs. marine protein for both egg production and body maintenance of incubating females, we measured stable isotopes of carbon and nitrogen in egg membranes, red blood cells, marine and freshwater invertebrates, and vegetation. For egg production, isotope mixing models indicated that proteinaceous egg membranes of all four species were derived mostly (89%-95%) from freshwater foods on the breeding grounds, with broad individual variation in specific prey types selected by the larger species. For incubation, isotopes in red blood cells indicated that body maintenance of females also relied mainly (87%-91%) on freshwater foods in Long-tailed Ducks and Steller's Eiders. However, incubating Spectacled and King Eiders obtained only about 60% of their protein from freshwater foods and the remainder from marine-derived body tissues. The latter strategy allows the larger-bodied species to incubate almost continuously, whereas the smaller species must take more frequent incubation breaks and generally incur higher rates of predation on eggs. Thus, depending on body size, cross-seasonal effects of feeding conditions in marine habitats may strongly influence population processes well after the birds move to inland nesting sites. Although conservation programs on land and sea are often researched, planned, and administered by different agencies and organizations, our results emphasize the need to coordinate marine and land-based efforts for species that integrate conditions across both environments.</t>
  </si>
  <si>
    <t>e4138</t>
  </si>
  <si>
    <t>10.1002/ecs2.4138</t>
  </si>
  <si>
    <t>Islam, MS; Tanaka, M</t>
  </si>
  <si>
    <t>Ontogenetic dietary shift of Japanese sea bass during larva-juvenile transition in Ariake Bay</t>
  </si>
  <si>
    <t>Ariake Bay; critical period; larva-juvenile transition; Japanese sea bass; ontogenetic diet shift</t>
  </si>
  <si>
    <t>COD GADUS-MORHUA; ATLANTIC COD; PREY SELECTION; MARINE FISHES; GROWTH; SIZE; METAMORPHOSIS; RECRUITMENT; PREDATION; SHELF</t>
  </si>
  <si>
    <t>Japanese sea bass Lateolabrax japonicus larvae and juveniles were collected from Ariake Bay in order to study changes in larval diets with increasing size and changing ontogeny. Larvae of 11 to 15 mm. standard length (SL) (mainly postflexion) fed on small prey such as copepod nauplii, copepodites, adult Oithona davisae and other cyclopoids; no empty guts were recorded. Metamorphosing larvae (16 to 17 mm SL) consumed prey of intermediate (Paracalanus parvus) and larger (Acartia omorii, Sinocalanus sinensis, Tortanus derjugini, Calanus sinicus, Pseudodiaptomus marinus) sizes. The highest. proportion of empty guts (42%) was recorded at this stage. The frequency of empty guts decreased steadily with the establishment of foraging on larger prey. The contribution of larger prey to the diet increased with fish size, and an exclusive large prey diet was achieved at 24.0 mm SL after which the proportion of empty guts was minimal. We conclude that a critical period in Japanese sea bass may occur at metamorphosis during larva-juvenile transition, which is associated with an ontogenetic dietary shift from smaller to larger prey.</t>
  </si>
  <si>
    <t>Guerrieri, R; Mencuccini, M; Sheppard, LJ; Saurer, M; Perks, MP; Levy, P; Sutton, MA; Borghetti, M; Grace, J</t>
  </si>
  <si>
    <t>The legacy of enhanced N and S deposition as revealed by the combined analysis of delta 13C, delta 18O and delta 15N in tree rings</t>
  </si>
  <si>
    <t>acid mist; annual tree rings; CO2 assimilation; nitrogen; Sitka spruce; stable C-O-N isotopes; stomatal conductance; sulphur; WUEi</t>
  </si>
  <si>
    <t>CARBON-ISOTOPE DISCRIMINATION; WATER-USE EFFICIENCY; ATMOSPHERIC NITROGEN DEPOSITION; SITKA SPRUCE PLANTATION; STOMATAL CONDUCTANCE; ACID-MIST; PHOTOSYNTHETIC CAPACITY; THROUGHFALL CHEMISTRY; CONIFER FOREST; STABLE OXYGEN</t>
  </si>
  <si>
    <t>This study aimed to evaluate the effects of long-term repeated aerial nitrogen (N) and sulphur (S) misting over tree canopies of a Sitka spruce plantation in Scotland. We combined delta 13C and delta 18O in tree rings to evaluate the changes in CO2 assimilation (A) and stomatal conductance (g(s)) and to assess their contribution to variations in the intrinsic water-use efficiency (WUEi, i.e., the A/g(s) ratio). Measurements of delta 15N enabled shifts in the ecosystem N cycling following misting to be assessed. We found that: (i) N applications, with or without S, increased the ratio between A and g(s) in favour of A, thus supporting a fertilizer effect of added N. (ii) After the treatments ceased, the trees quickly adjusted to the reductions of N deposition, but not to the reduction in S deposition, which had a negative effect on WUEi by reducing A. This indicates that the beneficial role of N deposition may be negated in forests that previously received a high load of acid rain. (iii) delta 15N in tree rings reflected the N dynamics caused by canopy retention, with the fingerprint also present in the litter, after the experiment stopped. (iv) Both our results (obtained using canopy applications) and a collection of published data (obtained using soil applications) showed that generally WUEi increased in response to an increase of N applications, with the magnitude of the changes related to soil conditions and the availability of other nutrients. The shifts observed in delta 15N in tree rings also suggest that both the quantity of the applied N and its quality, mediated by processes occurring during canopy N retention, are important determinants of the interactions between N and C cycles. Stable isotopes are useful probes to understand these processes and to put the results of short-term experiments into context.</t>
  </si>
  <si>
    <t>10.1111/j.1365-2486.2010.02362.x</t>
  </si>
  <si>
    <t>Sturaro, N; Hsieh, YE; Chen, Q; Wang, PL; Denis, V</t>
  </si>
  <si>
    <t>Trophic plasticity of mixotrophic corals under contrasting environments</t>
  </si>
  <si>
    <t>coral reefs; food web; global change; high latitude; mesophotic; scleractinia; stable isotopes; trophic niche</t>
  </si>
  <si>
    <t>STYLOPHORA-PISTILLATA; MONTASTRAEA-FAVEOLATA; SCLERACTINIAN CORALS; STABLE-ISOTOPES; REEF CORALS; NITROGEN; TISSUE; DEPTH; ZOOXANTHELLAE; HETEROTROPHY</t>
  </si>
  <si>
    <t>Mixotrophic organisms can derive nutrition from both auto- and heterotrophy, which allows them to use a variety of trophic pathways to sustain their metabolic demands under variable conditions. Therefore, when facing environmental change, these organisms are expected to demonstrate an intrinsic ability to acclimatize through trophic plasticity. Scleractinian corals are ecologically important mixotrophs, but understanding their trophic plasticity has been impaired by an oversimplification towards inconsistent proxies of coral diet and overlooking intraspecific variability. Here, we applied a Bayesian analysis of carbon and nitrogen stable isotope data to determine the trophic niches of six common species of scleractinian corals and their associated endosymbionts, and combined it with an unsupervised machine learning algorithm to identify trophic behaviours and strategies. We found a variable amount of nutritional plasticity identified by different trophic behaviours within and between mixotrophic corals living under the same environmental conditions. Furthermore, we observed changes in trophic plasticity across environmental conditions. Corals from variable environments had larger host and endosymbiont niches than corals from stable environments. In addition, deeper corals had niches indicating a greater degree of heterotrophy than shallow corals. Collectively, corals exhibited distinct trophic strategies by promoting trophic niche differentiation along the mixotrophic continuum and conspecific individual colonies displayed high trophic variation. Our results provide a foundation to understand how mixotrophic organisms may adjust their nutrition in response to ongoing global environmental change and the consequential modification of benthic assemblages.</t>
  </si>
  <si>
    <t>10.1111/1365-2435.13924</t>
  </si>
  <si>
    <t>Smith, MM; Erb, JD; Pauli, JN</t>
  </si>
  <si>
    <t>Reciprocated competition between two forest carnivores drives dietary specialization</t>
  </si>
  <si>
    <t>exploitation; interference; Martes americana; niche overlap; niche partitioning; Pekania pennanti; stable isotopes</t>
  </si>
  <si>
    <t>MARTENS MARTES-AMERICANA; INTRAGUILD PREDATION; NICHE OVERLAP; HUMAN DISTURBANCE; FOOD-HABITS; COEXISTENCE; PREY; DISPLACEMENT; COMMUNITIES; MECHANISMS</t>
  </si>
  <si>
    <t>1. Competition shapes animal communities, but the strength of the interaction varies spatially depending on the availability and aggregation of resources and competitors. Among carnivores, competition is particularly pronounced with the strongest interactions between similar species with intermediate differences in body size. While ecologists have emphasized interference competition among carnivores based on dominance hierarchies from body size (smaller = subordinate; larger = dominant), the reciprocity of exploitative competition from subordinate species has been overlooked even though efficient exploitation can limit resource availability and influence foraging. 2. Across North America, fishers Pekania pennanti a nd m artens ( Martes spp.) are two phylogenetically related forest carnivores that exhibit a high degree of overlap in habitat use and diet and differ in body size by a factor of 2-5x, eliciting particularly strong interspecific competition. In the Great Lakes region, fishers and martens occur both allopatrically and sympatrically; where they co-occur, the numerically dominant species varies spatially. This natural variation in competitors and environmental conditions enables comparisons to understand how interference and exploitative competition alter dietary niche overlap and foraging strategies. 3. We analysed stable isotopes (delta C-13 and delta N-15) from 317 martens and 132 fishers, as well as dietary items (n = 629) from 20 different genera, to compare niche size and overlap. We then quantified individual diet specialization and modelled the response to environmental conditions that were hypothesized to influence individual foraging. 4. Martens and fishers exhibited high overlap in both available and core isotopic d-space, but no overlap of core dietary proportions. When the competitor was absent or rare, both martens and fishers consumed more smaller-bodied prey. Notably, the dominant fisher switched from being a specialist of larger to smaller prey in the absence of the subordinate marten. Environmental context also influenced dietary specialization: increasing land cover diversity and prey abundance reduced specialization in martens whereas vegetation productivity increased specialization for both martens and fishers. 5. Despite an important dominance hierarchy, fishers adjusted their niche in the face of a subordinate, but superior, exploitative competitor. These findings highlight the underappreciated role of the subordinate competitor in shaping the dietary niche of a dominant competitor.</t>
  </si>
  <si>
    <t>10.1111/1365-2656.13962</t>
  </si>
  <si>
    <t>Alonso, MK; Crespo, EA; Garcia, NA; Pedraza, SN; Mariotti, PA; Mora, NJ</t>
  </si>
  <si>
    <t>Fishery and ontogenetic driven changes in the diet of the spiny dogfish, Squalus acanthias, in Patagonian waters, Argentina</t>
  </si>
  <si>
    <t>Argentine hake; Argentine shortfin squid; diet shift; elasmobranchs; food habits; hake fishery; intraspecific diet differences; overfishing; sexual maturity; sharks; squid fishery</t>
  </si>
  <si>
    <t>SHARK; FECUNDITY; FOOD</t>
  </si>
  <si>
    <t>The diet of the spiny dogfish in northern and central Patagonian waters was studied from the by-catch of the bottom trawling fisheries directed to Argentine hake Merluccius hubbsi and Argentine red shrimp Pleoticus muelleri between 1996 and 1998. Food habits were analyzed in relation to sex and maturity of sharks. Also, the relationship between diet and abundance of the main prey was explored. Intraspecific diet comparisons were performed. Differences in diet were found between immature individuals, mature males, and mature females. The Argentine shortfin squid Illex argentinus, the Argentine hake and ctenophores Pleurobrachia pileus were the most important prey for the spiny dogfish. Immature and small individuals were pelagic predators. After sexual maturity, the spiny dogfish shifted its diet. Mature and large individuals tended to reduce the consumption of ctenophores, and increase the consumption of demersal and benthic species. Previous diet studies on the spiny dogfish in 1984-1985 and 1994 indicated that the Argentine hake was the most important prey. In the present study, carried out in 1998, squid was the most important prey, followed by the hake. This diet change was related to the major decrease of hake due to overfishing and the increase of squid abundance between 1994 and 1999.</t>
  </si>
  <si>
    <t>Montero, JT; Lima, M; Estay, SA; Rezende, EL</t>
  </si>
  <si>
    <t>Spatial and temporal shift in the factors affecting the population dynamics of Calanus copepods in the North Sea</t>
  </si>
  <si>
    <t>copepods; interspecific interaction; North Atlantic Oscillation; population dynamics; regime shift</t>
  </si>
  <si>
    <t>ATLANTIC OSCILLATION; REGIME SHIFT; FINMARCHICUS; PLANKTON; PERSISTENCE; IMPACTS; ECOLOGY</t>
  </si>
  <si>
    <t>The swap in abundance between two Calanus species in the North Sea during the 1980s constitutes a quintessential example of regime shift, with important ecosystemic and economic repercussions because these copepods constitute a major component of the diet of larval and juvenile cods. It is hypothesized that this transition was driven by gradual changes in primary productivity, the North Atlantic Oscillation (NAO) and sea surface temperatures (SST), and yet how these factors contribute to the population dynamics of these two species and the overall regime shift remains unclear. Here, we combine a highly resolved and spatially structured longitudinal dataset with population dynamics theory-based models to obtain a thorough and more detailed description of populations' responses to the regime shift observed in the North Sea. Our analyses highlight that this transition exhibits a clear spatial structure and involved a decoupling between the dynamics of Calanus finmarchicus and the NAO in western regions and between Calanus helgolandicus and SST in the eastern regions of the North Sea. Consequently, the observed switch in abundance between these species reflects the interaction between species-specific attributes, a well-defined spatial structure with a marked east-west axis and a decoupling between the ecological drivers and Calanus population dynamics following the shift. Succinctly, we suspect that higher water temperatures have favored C. helgolandicus and resulted in restrictive conditions for C. finmarchicus, eventually overshadowing the effects of NAO detected in historical records. Overall, our study illustrates how population dynamics theory can be successfully employed to disentangle the complex and multifactorial nature of a regime shift in response to gradually changing environmental conditions.</t>
  </si>
  <si>
    <t>10.1111/gcb.15394</t>
  </si>
  <si>
    <t>Laursen, K; Moller, AP; Hobson, KA</t>
  </si>
  <si>
    <t>N-Isotopes in Feathers and Abundance of Eiders Respond to Nutrients in Seawater</t>
  </si>
  <si>
    <t>abundance; dead zones; feather growth; molt; nitrogen; nitrification; oxygen deficit; Somateria mollissima</t>
  </si>
  <si>
    <t>SOMATERIA-MOLLISSIMA; STABLE-ISOTOPES; COMMON EIDERS; NITROGEN; CARBON; WINTER; STRATEGIES; IMPACTS; HYPOXIA; RATIOS</t>
  </si>
  <si>
    <t>Nitrification of the environment has resulted from tremendous increases in the use of fertilizers for crop plants. This has increased runoff to coastal marine areas with consequences for primary production, benthos and upper trophic-level consumers, including sea ducks such as eiders Somateria mollissima. This species primarily relies on filter-feeding bivalves, especially blue mussels Mytilus edulis. Stable isotopes of nitrogen (measured as delta N-15) are incorporated in the feathers of eiders during molt at a constant rate reflecting the amount in food eaten. We examined if delta N-15 values in feathers can link eiders to the nitrogen loads in the marine waters surrounding Denmark, which is the main wintering grounds for the Baltic/Wadden Sea eider population. We also assessed how the abundance of eiders is related to nutrients and dead zones with oxygen deficit. During 2014-2018 we collected samples from 489 eiders, and of these 100 were analyzed for stable isotopes delta N-15. Eider feather delta N-15 was positively related to nitrogen abundance in marine waters. Local aggregations of eiders in late summer (the molting period) and in winter increased with the amount of nitrogen in the marine environment. Large eiders took longer to molt, they molted later and the daily growth increments of feathers were larger. Finally, larger eiders and eiders in higher numbers occurred in areas with hypoxia. These findings show that anthropogenic inputs to the coastal marine environment positively influence the abundance and aggregations of eiders.</t>
  </si>
  <si>
    <t>10.1007/s10021-018-00334-w</t>
  </si>
  <si>
    <t>Magioli, M; Villar, N; Jorge, ML; Biondo, C; Keuroghlian, A; Bradham, J; Pedrosa, F; Costa, V; Moreira, MZ; Ferraz, KMPMD; Galetti, M</t>
  </si>
  <si>
    <t>Dietary expansion facilitates the persistence of a large frugivore in fragmented tropical forests</t>
  </si>
  <si>
    <t>deforestation; habitat fragmentation; frugivore; dietary niche; dietary expansion; stable isotopes; trophic interactions; Tayassu pecari</t>
  </si>
  <si>
    <t>PECCARIES TAYASSU-TAJACU; ATLANTIC FOREST; FRUIT AVAILABILITY; PECARI; ARTIODACTYLA; DIVERSITY; BEHAVIOR</t>
  </si>
  <si>
    <t>How species persist in fragmented habitats is essential to understanding species resilience in response to increasing anthropogenic pressures. It has been suggested that expansion in dietary niche allows populations to persist in human-modified landscapes, yet this hypothesis has been poorly tested in highly diverse ecosystems such as tropical forests where frugivory is ubiquitous. Here, we measured dietary niche expansion of a large forest-dwelling mammal, the white-lipped peccary (Tayassu pecari), in the Atlantic Forest, Brazil, by comparing its diet using stable carbon (delta C-13) and nitrogen (delta N-15) isotopes. We collected hair of white-lipped peccaries in three continuous and three fragmented forests and compared delta C-13 and delta N-15 values, resource use and isotopic niches among populations and between forest types. We also tested the relationship between isotopic values of the populations and the forest cover percentage. White-lipped peccaries fed mainly on forest sources (C-3 resources), especially in continuous forests, but 28% of the individuals in fragmented sites also incorporated C-4 resources to some extent. In fragmented forests, the populations had isotopic niches from 3- to 3.6-fold the size of those in continuous forests. This niche expansion was due to the consumption of food items with higher delta N-15 values and C-4 crops. Differences among populations were larger among fragmented forests, suggesting variable site-specific strategies to cope with habitat loss. The mean isotopic values of white-lipped peccary populations were negatively correlated with the loss of forest cover. Some small forest fragments might still retain relatively high habitat quality, and white-lipped peccaries might be able to capitalize on such variety of resources, shifting their diets from those observed in continuous forests. We suggest that high dietary flexibility and dietary expansion toward consumption of non-forest resources might facilitate the persistence of large frugivores in fragmented habitats.</t>
  </si>
  <si>
    <t>10.1111/acv.12766</t>
  </si>
  <si>
    <t>Haverd, V; Smith, B; Raupach, M; Briggs, P; Nieradzik, L; Beringer, J; Hutley, L; Trudinger, CM; Cleverly, J</t>
  </si>
  <si>
    <t>Coupling carbon allocation with leaf and root phenology predicts tree-grass partitioning along a savanna rainfall gradient</t>
  </si>
  <si>
    <t>LANDSCAPE STRUCTURE MODULE; TROPICAL SAVANNA; SEASONAL PATTERNS; SEMIARID ECOSYSTEMS; TERRESTRIAL CARBON; SPATIAL-PATTERNS; CLIMATE-CHANGE; SURFACE HEAT; DATA-SETS; VEGETATION</t>
  </si>
  <si>
    <t>The relative complexity of the mechanisms underlying savanna ecosystem dynamics, in comparison to other biomes such as temperate and tropical forests, challenges the representation of such dynamics in ecosystem and Earth system models. A realistic representation of processes governing carbon allocation and phenology for the two defining elements of savanna vegetation (namely trees and grasses) may be a key to understanding variations in tree-grass partitioning in time and space across the savanna biome worldwide. Here we present a new approach for modelling coupled phenology and carbon allocation, applied to competing tree and grass plant functional types. The approach accounts for a temporal shift between assimilation and growth, mediated by a labile carbohydrate store. This is combined with a method to maximize long-term net primary production (NPP) by optimally partitioning plant growth between fine roots and (leaves C stem). The computational efficiency of the analytic method used here allows it to be uniquely and readily applied at regional scale, as required, for example, within the framework of a global biogeochemical model. We demonstrate the approach by encoding it in a new simple carbon-water cycle model that we call HAVANA (Hydrology and Vegetation-dynamics Algorithm for Northern Australia), coupled to the existing POP (Population Orders Physiology) model for tree demography and disturbance-mediated heterogeneity. HAVANA-POP is calibrated using monthly remotely sensed fraction of absorbed photosynthetically active radiation (fPAR) and eddy-covariance-based estimates of carbon and water fluxes at five tower sites along the North Australian Tropical Transect (NATT), which is characterized by large gradients in rainfall and wildfire disturbance. The calibrated model replicates observed gradients of fPAR, tree leaf area index, basal area, and foliage projective cover along the NATT. The model behaviour emerges from complex feedbacks between the plant physiology and vegetation dynamics, mediated by shifting above-versus below-ground resources, and not from imposed hypotheses about the controls on tree-grass co-existence. Results support the hypothesis that resource limitation is a stronger determinant of tree cover than disturbance in Australian savannas.</t>
  </si>
  <si>
    <t>10.5194/bg-13-761-2016</t>
  </si>
  <si>
    <t>Pool, T; Holtgrieve, G; Elliott, V; McCann, K; McMeans, B; Rooney, N; Smits, A; Phanara, T; Cooperman, M; Clark, S; Phen, C; Chhuoy, S</t>
  </si>
  <si>
    <t>Seasonal increases in fish trophic niche plasticity within a flood-pulse river ecosystem (Tonle Sap Lake, Cambodia)</t>
  </si>
  <si>
    <t>flood-pulse; food webs; Mekong; omnivory; stable isotopes; trophic dynamics</t>
  </si>
  <si>
    <t>FRESH-WATER; STABLE-ISOTOPES; CLIMATE-CHANGE; FUNCTIONAL DIVERSITY; FOOD-WEB; CARBON; NITROGEN; OVERLAP; COMMUNITIES; ASSEMBLAGES</t>
  </si>
  <si>
    <t>Species' responses to seasonal environmental variation can influence trophic interactions and food web structure within an ecosystem. However, our ability to predict how species' interactions will vary spatially and temporally in response to seasonal variation unfortunately remains inadequate within most ecosystems. Fish assemblages in the Tonle Sap Lake (TSL) of Cambodia-a dynamic flood-pulse ecosystem-were studied for five years (2010-2014) using stable isotope and Bayesian statistical approaches to explore both within-and among-species isotopic niche variation associated with seasonal flooding. Roughly 600 individual fish specimens were collected during 19 sampling events within the lake. We found that fishes within the same species tended to have a broader isotopic niche during the wet season, likely reflecting assimilation of resources from either a wider range of isotopically distinct prey items or a variety of habitats, or both. Furthermore, among-species isotopic niches tended to overlap and range more broadly during the wet season, suggesting that floodplain inundation promotes exploitation of more diverse and similar resources by different species in the fish community. Our study highlights that the flood-pulse dynamic that is typical of tropical aquatic ecosystems may be an essential element supporting freshwater fish community structure and the fish diversity that underpins the TSL food web. This flow regime is currently threatened by regional dam development, which may in turn impact the natural function and structure of the fishery food web.</t>
  </si>
  <si>
    <t>e01881</t>
  </si>
  <si>
    <t>10.1002/ecs2.1881</t>
  </si>
  <si>
    <t>Pickett, EP; Fraser, WR; Patterson-Fraser, DL; Cimino, MA; Torres, LG; Friedlaender, AS</t>
  </si>
  <si>
    <t>Spatial niche partitioning may promote coexistence of Pygoscelis penguins as climate-induced sympatry occurs</t>
  </si>
  <si>
    <t>Adelie penguin; climate change; ecological segregation; foraging; gentoo penguin; interspecific competition; Pygoscelis adeliae; Pygoscelis papua; range shift; space use</t>
  </si>
  <si>
    <t>KING-GEORGE-ISLAND; DIVING BEHAVIOR; EUPHAUSIA-SUPERBA; CHINSTRAP PENGUINS; ANTARCTIC KRILL; ADELIE PENGUINS; PALMER LTER; SPACE USE; SEA-ICE; COMPETITION</t>
  </si>
  <si>
    <t>Climate-induced range overlap can result in novel interactions between similar species and potentially lead to competitive exclusion. The West Antarctic Peninsula (WAP) is one of the most rapidly warming regions on Earth and is experiencing a poleward climate migration from a polar to subpolar environment. This has resulted in a range expansion of the ice-intolerant gentoo penguins (Pygoscelis papua) and a coincident decrease in ice-obligate Adelie penguins (P.adeliae) near Palmer Station, Anvers Island, WAP. Ecologically similar species that share a limited prey resource must occupy disparate foraging niches in order to co-exist. Therefore, we determined the extent of foraging and dietary niche segregation between Adelie and gentoo penguins during the austral breeding season near Palmer Station. This research was conducted across six breeding seasons, from 2009 to 2014, which allowed us to investigate niche overlap in the context of interannual resource variability. Using biotelemetry and diet sampling, we found substantial overlap in the diets of Adelie and gentoo penguins, who primarily consumed Antarctic krill (Euphausia superba); however, our results showed that Adelie and gentoo penguins partitioned this shared prey resource through horizontal segregation of their core foraging areas. We did not find evidence that Antarctic krill were a limiting resource during the breeding season or that climate-induced sympatry of Adelie and gentoo penguins resulted in competition for prey or caused the subsequent differing population trajectories. This apparent absence of resource competition between Adelie and gentoo penguins throughout this study implies that current population trends in this region are governed by other biological and physical factors. Our results highlight the importance of understanding the mechanistic processes that influence top predator populations in the context of climate-driven ecosystem shifts.</t>
  </si>
  <si>
    <t>10.1002/ece3.4445</t>
  </si>
  <si>
    <t>Newman, SJ; Wright, IW; Rome, BM; Mackie, MC; Lewis, PD; Buckworth, RC; Ballagh, AC; Garrett, RN; Stapley, J; Broderick, D; Ovenden, JR; Welch, DJ</t>
  </si>
  <si>
    <t>Stock structure of Grey Mackerel, Scomberomorus semifasciatus (Pisces: Scombridae) across northern Australia, based on otolith stable isotope chemistry</t>
  </si>
  <si>
    <t>Grey Mackerel; Scomberomorus semifasciatus; Otolith isotope chemistry; Stock structure</t>
  </si>
  <si>
    <t>EAST-COAST WATERS; COD GADUS-MORHUA; SPOTTED MACKEREL; SCHOOL MACKEREL; FISHERIES MANAGEMENT; ARAGONITIC OTOLITHS; WESTERN-AUSTRALIA; RATIO ANALYSIS; FISH OTOLITHS; S-MUNROI</t>
  </si>
  <si>
    <t>The stable isotopes of delta O-18 and delta C-13 in sagittal otolith carbonates were used to determine the stock structure of Grey Mackerel, Scomberomorus semifasciatus. Otoliths were collected from Grey Mackerel at ten locations representing much of their distributional and fisheries range across northern Australia from 2005 to 2007. Across this broad range (similar to 6500 km), fish from four broad locations-Western Australia (S1), Northern Territory and Gulf of Carpentaria (S2, S3, S4, S5, S6, S7), Queensland east coast mid and north sites (S8, S9) and Queensland east coast south site (S10)-had stable isotope values that were significantly different indicating stock separation. Otolith stable isotopes differed more between locations than among years within a location, indicating temporal stability across years. The spatial separation of these populations indicates a complex stock structure across northern Australia. Stocks of S. semifasciatus appear to be associated with large coastal embayments. These results indicate that optimal fisheries management may require a review of the current spatial arrangements, particularly in relation to the evidence of shared stocks in the Gulf of Carpentaria. Furthermore, as the population of S. semifasciatus in Western Australia exhibited high spatial separation from those at all the other locations examined, further research activities should focus on investigating additional locations within Western Australia for an enhanced determination of stock delineation.</t>
  </si>
  <si>
    <t>10.1007/s10641-010-9668-z</t>
  </si>
  <si>
    <t>O'Gorman, EJ; Fitch, JE; Crowe, TP</t>
  </si>
  <si>
    <t>Multiple anthropogenic stressors and the structural properties of food webs</t>
  </si>
  <si>
    <t>biodiversity; ecosystem functioning; marine; nitrogen deposition; nutrient enrichment; predator-prey interactions</t>
  </si>
  <si>
    <t>BIODIVERSITY LOSS; TROPHIC LEVELS; BODY-SIZE; COMMUNITIES; NUTRIENTS; ECOSYSTEMS; PRODUCTIVITY; ASSEMBLAGES; ENVIRONMENT; ENRICHMENT</t>
  </si>
  <si>
    <t>Coastal environments are among the most productive on the planet, providing a wide range of ecosystem services. Development and exploitation mean that they are faced with stresses from a number of anthropogenic sources. Such stresses are typically studied in isolation, but multiple stressors can combine in unexpected ways to alter the structure of ecological systems. Here, we experimentally explore the impacts of inorganic nutrients and organic matter on a range of food web properties. We find that these two stressors combine additively to produce significant increases in connectance and mean food chain length. Such increases are typically associated with enhanced robustness to secondary extinctions and productivity, respectively. Despite these apparent beneficial effects, we find a simplification of web structure in terms of taxon richness and diversity, and altered proportions of basal and top species. These effects are driven by a reduction in community assembly and lower consistency in a range of system properties as a result of the multiple stressors. Consequently, impacted food webs are likely to be more vulnerable to human- or climate-induced perturbations in the long term.</t>
  </si>
  <si>
    <t>10.1890/11-0982.1</t>
  </si>
  <si>
    <t>Smith, MEK; Horstmann, L; Stimmelmayr, R</t>
  </si>
  <si>
    <t>Stable isotope differences of polar bears in the Southern Beaufort Sea and Chukchi Sea</t>
  </si>
  <si>
    <t>bone collagen; bulk stable isotope analysis; Chukchi Sea; management; polar bear; Southern Beaufort Sea; subpopulations; Ursus maritimus</t>
  </si>
  <si>
    <t>PHYTOPLANKTON BLOOMS; NITROGEN ISOTOPES; URSUS-MARITIMUS; CARBON ISOTOPES; ICE; RATIOS; PATTERNS; WHALES; ALASKA; DIET</t>
  </si>
  <si>
    <t>The life-history, genetic, and habitat use differences between the 2 polar bear (Ursus maritimus) subpopulations in Alaska, USA, have been used to determine the geographic border separating them, but it has sparked a debate of the correct placement of the border for several years. Recently, the Southern Beaufort Sea (SBS) polar bear subpopulation has declined because of sea ice loss, while the Chukchi Sea (CS) subpopulation appears stable. To provide additional information about potential differences between the SBS and CS subpopulations, such as differences in prey sources, we used stable isotope analysis of carbon and nitrogen from bone collagen of polar bears in these 2 neighboring subpopulations. We analyzed polar bear bones from 112 individuals collected from 1954-2019. Our purpose was to determine if the SBS and CS subpopulations could be distinguished based on the stable isotope signatures of bone collagen. A difference &gt;1 parts per thousand in stable carbon isotope (delta C-13) values suggests a change in carbon sources, such as nearshore to offshore, while a 3 parts per thousand change in stable nitrogen isotope (delta N-15) values equates to a change of about 1 trophic level. Our study indicated a difference in delta C-13 values (P &lt;= 0.001) but not delta N-15 values (P = 0.654) between the CS (-13.0 +/- 0.3 parts per thousand and 22.0 +/- 0.9 parts per thousand, respectively) and SBS bears (-14.7 +/- 1.3 parts per thousand and 22.2 +/- 1.0 parts per thousand, respectively). Our findings indicate that the 2 subpopulations are consuming similar high trophic level prey, while feeding in ecosystems with different delta C-13 baselines. We performed a logistic regression analysis using delta C-13 and delta N-15 values of the polar bears to predict their placement into these 2 subpopulations. Using Icy Cape, Alaska as the geographical boundary, the analysis correctly placed polar bears in their respective subpopulations 82% of the time. Overall accuracy of placement changed to 84% when using the current geographical boundary at Utqiavik, Alaska. We predicted samples collected from the Wainwright, Alaska region as 58% CS and 42% SBS polar bears. This suggests that the area between Wainwright and Icy Cape is a polar bear mixing zone that includes bears from both subpopulations. Bone collagen has a long-term, potentially life-long, stable isotope turnover rate, and our results could be used to determine the association of harvested polar bears to Alaska subpopulations, thus aiding in transboundary harvest quota management.</t>
  </si>
  <si>
    <t>e22225</t>
  </si>
  <si>
    <t>10.1002/jwmg.22225</t>
  </si>
  <si>
    <t>Jackson, AK; Eagles-Smith, CA; Robinson, WD</t>
  </si>
  <si>
    <t>Differential reliance on aquatic prey subsidies influences mercury exposure in riparian arachnids and songbirds</t>
  </si>
  <si>
    <t>aquatic contaminant; aquatic&amp;#8208; terrestrial subsidy; mercury; riparian songbird; stable isotopes</t>
  </si>
  <si>
    <t>Cross-ecosystem subsidies move substantial amounts of nutrients between ecosystems. Emergent aquatic insects are a particularly important prey source for riparian songbirds but may also move aquatic contaminants, such as mercury (Hg), to riparian food webs. While many studies focus on species that eat primarily emergent aquatic insects, we instead study riparian songbirds with flexible foraging strategies, exploiting both aquatic and terrestrial prey sources. The goal in this study is to trace reliance on aquatic prey sources and correlate it to Hg concentrations in common riparian arachnids (Families Tetragnathidae, Opiliones, and Salticidae) and songbirds (Common Yellowthroat Geothlypis trichas, Spotted Towhee Pipilo maculatus, Swainson's Thrush Catharus ustulatus, Song Sparrow Melospiza melodia, and Yellow Warbler Setophaga petechia). We used stable isotopes of delta C-13 and delta N-15 and Bayesian mixing models in MixSIAR to determine the reliance of riparian predators on aquatic prey sources. Using mixed effects models, we found that arachnid families varied in their reliance on aquatic prey sources. While songbird species varied in their reliance on aquatic prey sources, songbirds sampled earlier in the season consistently relied more on aquatic prey sources than those sampled later in the season. For both arachnids and songbirds, we found a positive correlation between the amount of the aquatic prey source in their diet and their Hg concentrations. While the seasonal pulse of aquatic prey to terrestrial ecosystems is an important source of nutrients to riparian species, our results show that aquatic prey sources are linked with higher Hg exposure. For songbirds, reliance on aquatic prey sources early in the breeding season (and subsequent higher Hg exposure) coincides with timing of egg laying and development, both of which may be impacted by Hg exposure.</t>
  </si>
  <si>
    <t>10.1002/ece3.7549</t>
  </si>
  <si>
    <t>Myers, JM; Kuehn, KA; Wyatt, KH</t>
  </si>
  <si>
    <t>Carbon subsidies shift a northern peatland biofilm community towards heterotrophy in low but not high nutrient conditions</t>
  </si>
  <si>
    <t>algae; bacteria; carbon; climate change; fungi; nutrients; peatland</t>
  </si>
  <si>
    <t>LEAF-LITTER DECOMPOSITION; DISSOLVED ORGANIC-CARBON; MICROBIAL INTERACTIONS; NITROGEN LIMITATION; BENTHIC ALGAE; BACTERIA; PHYTOPLANKTON; COMPETITION; PHOSPHORUS; RELEASE</t>
  </si>
  <si>
    <t>Producer-decomposer interactions within aquatic biofilms can range from mutualistic associations to competition depending on available resources. The outcomes of such interactions have implications for biogeochemical cycling and, as such, may be especially important in northern peatlands, which are a global carbon sink and are expected to experience changes in resource availability with climate change. The purpose of this study was to evaluate the effects of nutrients and organic carbon on the relative proportion of primary producers (microalgae) and heterotrophic decomposers (bacteria and fungi) during aquatic biofilm development in a boreal peatland. Given that decomposers are often better competitors for nutrients than primary producers in aquatic ecosystems, we predicted that labile carbon subsidies would shift the biofilm composition towards heterotrophy owing to the ability of decomposers to outcompete primary producers for available nutrients in the absence of carbon limitation. We manipulated nutrients (nitrate and phosphate) and organic carbon (glucose) in a full factorial design using nutrient-diffusing substrates in an Alaskan fen. Heterotrophic bacteria were limited by organic carbon and algae were limited by inorganic nutrients. However, the outcomes of competitive interactions depended on background nutrient levels. Heterotrophic bacteria were able to outcompete algae for available nutrients when organic carbon was elevated and nutrient levels remained low, but not when organic carbon and nutrients were both elevated through enrichment. Fungal biomass was significantly lower in the presence of glucose alone, possibly owing to antagonistic interactions with heterotrophic bacteria. In contrast to bacteria, fungi were stimulated along with algae following nutrient enrichment. The decoupling of algae and heterotrophic bacteria in the presence of glucose alone shifted the biofilm trophic status towards heterotrophy. This effect was overturned when nutrients were enriched along with glucose, owing to a subsequent increase in algal biomass in the absence of nutrient limitation. By measuring individual components of the biofilm and obtaining data on the trophic status, we have begun to establish a link between resource availability and biofilm formation in northern peatlands. Our results show that labile carbon subsidies from outside sources have the potential to disrupt microbial coupling and shift the metabolic balance in favour of heterotrophy. The extent to which this occurs in the future will probably depend on the timing and composition of bioavailable nutrients delivered to surface waters with environmental change (e.g. permafrost thaw).</t>
  </si>
  <si>
    <t>10.1111/fwb.13663</t>
  </si>
  <si>
    <t>Thomsen, PF; Jorgensen, PS; Bruun, HH; Pedersen, J; Riis-Nielsen, T; Jonko, K; Slowinska, I; Rahbek, C; Karsholt, O</t>
  </si>
  <si>
    <t>Resource specialists lead local insect community turnover associated with temperature - analysis of an 18-year full-seasonal record of moths and beetles</t>
  </si>
  <si>
    <t>climate change; community temperature index; community turnover; diet specialists; ecological specialization; light trap; phenology shift</t>
  </si>
  <si>
    <t>CLIMATE-CHANGE; ECOLOGICAL SPECIALIZATION; PHENOLOGICAL RESPONSES; BRITISH BUTTERFLIES; SPECIES RICHNESS; EVOLUTION; TRENDS; EXTINCTION; FRAMEWORK; ABUNDANCE</t>
  </si>
  <si>
    <t>1. Insect responses to recent climate change are well documented, but the role of resource specialization in determining species vulnerability remains poorly understood. Uncovering local ecological effects of temperature change with high-quality, standardized data provides an important first opportunity for predictions about responses of resource specialists, and long-term time series are essential in revealing these responses. 2. Here, we investigate temperature-related changes in local insect communities, using a sampling site with more than a quarter-million records from two decades (1992-2009) of full-season, quantitative light trapping of 1543 species of moths and beetles. 3. We investigated annual as well as long-term changes in fauna composition, abundance and phenology in a climate-related context using species temperature affinities and local temperature data. Finally, we explored these local changes in the context of dietary specialization. 4. Across both moths and beetles, temperature affinity of specialists increased through net gain of hot-dwelling species and net loss of cold-dwelling species. The climate-related composition of generalists remained constant over time. We observed an increase in species richness of both groups. Furthermore, we observed divergent phenological responses between cold- and hot-dwelling species, advancing and delaying their relative abundance, respectively. Phenological advances were particularly pronounced in cold-adapted specialists. 5. Our results suggest an important role of resource specialization in explaining the compositional and phenological responses of insect communities to local temperature increases. We propose that resource specialists in particular are affected by local temperature increase, leading to the distinct temperature-mediated turnover seen for this group. We suggest that the observed increase in species number could have been facilitated by dissimilar utilization of an expanded growing season by cold- and hot-adapted species, as indicated by their oppositely directed phenological responses. An especially pronounced advancement of cold-adapted specialists suggests that such phenological advances might help minimize further temperature-induced loss of resource specialists. 6. Although limited to a single study site, our results suggest several local changes in the insect fauna in concordance with expected change of larger-scale temperature increases.</t>
  </si>
  <si>
    <t>10.1111/1365-2656.12452</t>
  </si>
  <si>
    <t>Lopes, CA; Manetta, GI; Figueiredo, BRS; Martinelli, LA; Benedito, E</t>
  </si>
  <si>
    <t>Carbon from littoral producers is the major source of energy for bottom-feeding fish in a tropical floodplain</t>
  </si>
  <si>
    <t>Benthic fish; Energy sources; Habitat coupling; Stable isotopes</t>
  </si>
  <si>
    <t>FOOD-WEB; CULTURAL EUTROPHICATION; STABLE-ISOTOPES; LAKES; NITROGEN; COMMUNITIES; DETRITIVORY; PATHWAYS; RATIOS; ALGAE</t>
  </si>
  <si>
    <t>Bottom-feeding fish show great variation in trophic morphology, resulting in a wide array of feeding habits exploiting from periphyton in littoral habitats to ingesting larger amounts of litterfall from terrestrial habitats. Nevertheless, it has been proposed that, in temperate aquatic systems, the energetic demands from bottom-feeding fish are supplied by primary production from phytoplankton in pelagic habitats. Thus, we aimed to determine which of several energy sources support bottom-feeding fish in tropical aquatic systems, where primary producers are diverse. We performed samplings in the Parana River floodplain from primary producers in littoral (periphyton), pelagic (phytoplankton) and terrestrial habitats (riparian vegetation). Using simultaneous signatures of C and N isotope ratios, we analysed the possible origin of available energy in muscles of nine different bottom-feeding fish species. We verified that seven of the nine fish species had the highest contribution of carbon from a littoral source compared to other energy sources, independent of trophic category. The importance of periphyton may be related to the high abundance of substrates (such as macrophytes) that are available in the littoral zone of tropical aquatic systems. Finally, we suggest that the actual carbon dynamics among bottom-feeding fish and primary producers is species-specific, varying within the same trophic guild, and therefore, it is possible to refute the assumption that each trophic guild is specialised for a distinct carbon source.</t>
  </si>
  <si>
    <t>10.1007/s10641-014-0343-7</t>
  </si>
  <si>
    <t>Del Galdo, I; Six, J; Peressotti, A; Cotrufo, MF</t>
  </si>
  <si>
    <t>Assessing the impact of land-use change on soil C sequestration in agricultural soils by means of organic matter fractionation and stable C isotopes</t>
  </si>
  <si>
    <t>aggregates; C-13 natural abundance; C sequestration; land-use changes; soil organic matter</t>
  </si>
  <si>
    <t>CARBON FOLLOWING AFFORESTATION; DYNAMICS; AGGREGATE; CYCLE</t>
  </si>
  <si>
    <t>Within the framework of the Kyoto Protocol, the potential mitigation of greenhouse gas emissions by terrestrial ecosystems has placed focus on carbon sequestration following afforestation of former arable land. Central to this soil C sequestration are the dynamics of soil organic matter (SOM). In North Eastern Italy, a mixed deciduous forest was planted on continuous maize field soil with a strong C-4 isotopic C signature 20 years ago. In addition, a continuous maize field and a relic of the original permanent grassland were maintained at the site, thus offering the opportunity to compare the impacts on soil C dynamics by conventional agriculture, afforestation and permanent grassland. Soil samples from the afforested, grassland and agricultured systems were separated in three aggregate size classes, and inter- vs. intra-aggregate particulate organic matter was isolated. All fractions were analyzed for their C content and isotopic signature. The distinct (13) C signature of the C derived from maize vegetation allowed the calculation of proportions of old vs. forest-derived C of the physically defined fractions of the afforested soil. Long-term agricultural use significantly decreased soil C content (-48%), in the top 10 cm, but not SOM aggregation, as compared to permanent grassland. After 20 years, afforestation increased the total amount of soil C by 23% and 6% in the 0-10 and in the 10-30 cm depth layer, respectively. Forest-derived carbon contributed 43% and 31% to the total soil C storage in the afforested systems in the 0-10 and 10-30 cm depths, respectively. Furthermore, afforestation resulted in significant sequestration of new C and stabilization of old C in physically protected SOM fractions, associated with microaggregates (53-250 mum) and siltclay (&lt;53 mum).</t>
  </si>
  <si>
    <t>10.1046/j.1365-2486.2003.00657.x</t>
  </si>
  <si>
    <t>Pajuelo, M; Bjorndal, KA; Alfaro-Shigueto, J; Seminoff, JA; Mangel, JC; Bolten, AB</t>
  </si>
  <si>
    <t>Stable isotope variation in loggerhead turtles reveals Pacific-Atlantic oceanographic differences</t>
  </si>
  <si>
    <t>Stable isotopes; delta N-15; delta C-13; Loggerhead turtles; Nitrogen fixation; Denitrification; Southeast Pacific; Northeast Atlantic</t>
  </si>
  <si>
    <t>NITROGEN-FIXATION; CARETTA-CARETTA; NORTH PACIFIC; NATURAL-ABUNDANCE; SEA-TURTLES; CARBON; DIET; NITRATE; PATTERNS; ECOLOGY</t>
  </si>
  <si>
    <t>Denitrification and nitrogen-fixation processes in the marine environment have been intensively studied, particularly how these processes affect the nitrogen stable-isotope signature (delta N-15) of inorganic nutrients and organisms at the base of the food web. However, the assumption that these delta N-15 differences at the base of food webs are reflected in higher trophic-level organisms has not been widely investigated. In the present study, we evaluated whether an ocean-basin delta N-15 variation was evident in oceanic juvenile loggerhead turtles Caretta caretta by analyzing their stable-isotope signatures in the Pacific and Atlantic oceans. Skin samples from oceanic juvenile loggerheads were collected from Peruvian waters in the southeast Pacific and from waters around the Azores Archipelago in the northeast Atlantic and analyzed for delta N-15 and carbon stable-isotope signature (delta C-13). Our results showed that turtles in the 2 ocean regions have mean delta C-13 signatures of -16.3 and -16.7 parts per thousand, which reflects the oceanic feeding behavior of these loggerhead populations. However, the delta N-15 signatures in Pacific loggerheads are significantly higher (mean +/- SD = 17.1 +/- 0.9 parts per thousand) than those of Atlantic loggerheads (7.6 +/- 0.5 parts per thousand). This inter-ocean difference in delta N-15 values was also observed in organisms at the base of the food web in the 2 study areas. The delta N-15 at the base of the food web, which is determined by the predominant process of the nitrogen cycle in each ocean region, is subsequently transferred to higher trophic levels. Stable isotope signatures in high trophic-level organisms, such as oceanic-stage sea turtles, can reveal differences in oceanographic processes.</t>
  </si>
  <si>
    <t>10.3354/meps08804</t>
  </si>
  <si>
    <t>Harada, Y; Connolly, R; Fry, B; Maher, DT; Sippo, JZ; Jeffrey, LC; Bourke, AJ; Lee, SY</t>
  </si>
  <si>
    <t>Stable isotopes track the ecological and biogeochemical legacy of mass mangrove forest dieback in the Gulf of Carpentaria, Australia</t>
  </si>
  <si>
    <t>RHIZOPHORA-MANGLE; PRIMARY PRODUCERS; RED MANGROVES; RIVER ESTUARY; AMINO-ACIDS; FOOD WEBS; CARBON; NITROGEN; DELTA-N-15; DELTA-C-13</t>
  </si>
  <si>
    <t>A combination of elemental analysis, bulk stable isotope analysis (bulk SIA) and compound-specific stable isotope analysis of amino acids (CSIA-AA) was used to assess and monitor carbon (C), nitrogen (N) and sulfur (S) cycling of a mangrove ecosystem that suffered mass dieback of trees in the Gulf of Carpentaria, Australia in 2015-2016, attributed to an extreme drought event. Three field campaigns were conducted 8, 20 and 32 months after the event over a period from 2016 to 2018 to obtain biological time-series data. Invertebrates and associated organic matter including mangroves and sediments from the impacted ecosystem showed enrichment in C-13, N-15 and S-34 relative to those from an adjacent unimpacted reference ecosystem, likely indicating lower mangrove carbon fixation, lower nitrogen fixation and lower sulfate reduction in the impacted ecosystem. For example, invertebrates representing the feeding types of grazing, leaf feeding and algae feeding were more C-13 enriched at the impacted site, by 1.7 parts per thousand-4.1 parts per thousand, and these differences did not change over the period from 2016 to 2018. The CSIA-AA data indicated widespread C-13 enrichment across five essential amino acids and all groups sampled (except filter feeders) within the impacted site. The seedling density increased from 0.2 m(-2) in 2016 to 7.1 m(-2) in 2018 in the impacted forest, suggesting recovery of the vegetation. Recovery of CNS cycling, however, was not evident even after 32 months, suggesting a biogeochemical legacy of the mortality event. Continued monitoring of the post-dieback forest is required to predict the long-term trajectory of ecosystem recovery. This study shows that time-series SIA can track biogeochemical changes over time and evaluate recovery of an impacted ecosystem from an extreme event.</t>
  </si>
  <si>
    <t>10.5194/bg-17-5599-2020</t>
  </si>
  <si>
    <t>Loick-Wilde, N; Fernandez-Urruzola, I; Eglite, E; Liskow, I; Nausch, M; Schulz-Bull, D; Wodarg, D; Wasmund, N; Mohrholz, V</t>
  </si>
  <si>
    <t>Stratification, nitrogen fixation, and cyanobacterial bloom stage regulate the planktonic food web structure</t>
  </si>
  <si>
    <t>amino acids; Baltic Sea; bloom stage; cyanobacteria; food web structure; mesozooplankton; N-2 fixation; stable nitrogen isotopes; stratification</t>
  </si>
  <si>
    <t>BALTIC SEA; AMINO-ACIDS; ISOTOPIC COMPOSITION; TRICHODESMIUM SPP.; TROPHIC POSITION; ECOSYSTEM MODEL; NORTH-ATLANTIC; ZOOPLANKTON; MARINE; FRACTIONATION</t>
  </si>
  <si>
    <t>Changes in the complexity of planktonic food webs may be expected in future aquatic systems due to increases in sea surface temperature and an enhanced stratification of the water column. Under these conditions, the growth of unpalatable, filamentous, N-2-fixing cyanobacterial blooms, and their effect on planktonic food webs will become increasingly important. The planktonic food web structure in aquatic ecosystems at times of filamentous cyanobacterial blooms is currently unresolved, with discordant lines of evidence suggesting that herbivores dominate the mesozooplankton or that mesozooplankton organisms are mainly carnivorous. Here, we use a set of proxies derived from amino acid nitrogen stable isotopes from two mesozooplankton size fractions to identify changes in the nitrogen source and the planktonic food web structure across different microplankton communities. A transition from herbivory to carnivory in mesozooplankton between more eutrophic, near-coastal sites and more oligotrophic, offshore sites was accompanied by an increasing diversity of microplankton communities with aging filamentous cyanobacterial blooms. Our analyses of 124 biotic and abiotic variables using multivariate statistics confirmed salinity as a major driver for the biomass distribution of non-N-2-fixing microplankton species such as dinoflagellates. However, we provide strong evidence that stratification, N-2 fixation, and the stage of the cyanobacterial blooms regulated much of the microplankton diversity and the mean trophic position and size of the metabolic nitrogen pool in mesozooplankton. Our empirical, macroscale data set consistently unifies contrasting results of the dominant feeding mode in mesozooplankton during blooms of unpalatable, filamentous, N-2-fixing cyanobacteria by identifying the at times important role of heterotrophic microbial food webs. Thus, carnivory, rather than herbivory, dominates in mesozooplankton during aging and decaying cyanobacterial blooms with hitherto uncharacterized consequences for the biogeochemical functions of mesozooplankton.</t>
  </si>
  <si>
    <t>10.1111/gcb.14546</t>
  </si>
  <si>
    <t>Corneo, PE; Kertesz, MA; Bakhshandeh, S; Tahaei, H; Barbour, MM; Dijkstra, FA</t>
  </si>
  <si>
    <t>Studying root water uptake of wheat genotypes in different soils using water delta O-18 stable isotopes</t>
  </si>
  <si>
    <t>Wheat genotypes; Water uptake; Water delta O-18; Root structure; Available nitrogen</t>
  </si>
  <si>
    <t>PLANTS; DROUGHT; TRAITS; DEPTH; LENGTH; EXTRACTION; SYSTEMS; GROWTH; STRATEGIES; PATTERNS</t>
  </si>
  <si>
    <t>The ability of plants to access water and nutrients is a key aspect of crop production and it is mainly through modified root growth that plants can optimize their access to those resources. Although genetics play a main role in shaping root traits, other factors such as soil physical characteristics and the distribution of water and nutrients in the soil profile can also modify root architecture. Here we used an isotope-based approach to determine the contribution of different soil depths to water uptake of four wheat genotypes (249, Bellaroi, F6 and Suntop) grown in two soil types (clayey vertosol and loamy-sand kandosol) in Narrabri (NSW), Australia. The proportional contribution of each soil depth to plant water uptake was determined at the vegetative stage using oxygen stable isotopes in soil and plant water (delta O-18), and available N and root structure were measured at different soil depths. In both soil types most of the available N, and the majority of roots (both in length and weight) were in the top 10 cm, while the plant water extraction profile from different soil depths varied with soil type. In the kandosol, genotype 249 had a higher probability of extracting water from shallower dry soil layers, while F6 and Suntop of relying on deeper soil layers. In the vertosol, by contrast, Suntop and F6 had a higher root branching intensity in the top 0-10 cm and a higher probability of relying on this layer for much of its water extraction. In the kandosol genotypes with greater average depth of water extraction led to higher yield, suggesting that the ability to extract water from deeper layers at the vegetative stage can provide an early indication of plant productivity. The plasticity in root traits among genotypes and their variable water uptake strategy in different soil types illustrate the challenges with identifying root traits important for water extraction.</t>
  </si>
  <si>
    <t>10.1016/j.agee.2018.05.007</t>
  </si>
  <si>
    <t>Kukowski, KR; Schwinning, S; Schwartz, BF</t>
  </si>
  <si>
    <t>Hydraulic responses to extreme drought conditions in three co-dominant tree species in shallow soil over bedrock</t>
  </si>
  <si>
    <t>Edwards Plateau; Hydraulic conductivity; Karst; Stable isotopes; Tree mortality; Wood density</t>
  </si>
  <si>
    <t>XYLEM CAVITATION; EDWARDS PLATEAU; WATER-USE; ROOTING DEPTH; TROPICAL TREE; PLANT; MECHANISMS; MORTALITY; VEGETATION; CARBON</t>
  </si>
  <si>
    <t>An important component of the hydrological niche involves the partitioning of water sources, but in landscapes characterized by shallow soils over fractured bedrock, root growth is highly constrained. We conducted a study to determine how physical constraints in the root zone affected the water use of three tree species that commonly coexist on the Edwards Plateau of central Texas; cedar elm (Ulmus crassifolia), live oak (Quercus fusiformis), and Ashe juniper (Juniperus ashei). The year of the study was unusually dry; minimum predawn water potentials measured in August were -8 MPa in juniper, less than -8 MPa in elm, and -5 MPa in oak. All year long, species used nearly identical water sources, based on stable isotope analysis of stem water. Sap flow velocities began to decline simultaneously in May, but the rate of decline was fastest for oak and slowest for juniper. Thus, species partitioned water by time when they could not partition water by source. Juniper lost 15-30 % of its stem hydraulic conductivity, while percent loss for oak was 70-75 %, and 90 % for elm. There was no tree mortality in the year of the study, but 2 years later, after an even more severe drought in 2011, we recorded 34, 14, 6, and 1 % mortality among oak, elm, juniper, and Texas persimmon (Diospyros texana), respectively. Among the study species, mortality rates ranked in the same order as the rate of sap flow decline in 2009. Among the angiosperms, mortality rates correlated with wood density, lending further support to the hypothesis that species with more cavitation-resistant xylem are more susceptible to catastrophic hydraulic failure under acute drought.</t>
  </si>
  <si>
    <t>10.1007/s00442-012-2466-x</t>
  </si>
  <si>
    <t>Giraldo, C; Stasko, A; Choy, ES; Rosenberg, B; Majewski, A; Power, M; Swanson, H; Loseto, L; Reist, JD</t>
  </si>
  <si>
    <t>Trophic variability of Arctic fishes in the Canadian Beaufort Sea: a fatty acids and stable isotopes approach</t>
  </si>
  <si>
    <t>Diet; Biomarkers; Demersal Arctic marine fish; Trophic niche; Benthic-pelagic coupling</t>
  </si>
  <si>
    <t>BENTHIC FOOD-WEB; BELUGA WHALES; CHUKCHI SEA; NITROGEN ISOTOPES; MARINE FISH; SUMMER DIET; BERING-SEA; CARBON; LIPIDS; ZOOPLANKTON</t>
  </si>
  <si>
    <t>Trophic ecology of most demersal Arctic fishes remains one of the major knowledge gaps for understanding food web dynamics and connectivity among ecosystems. In this study, fatty acids (FA) and stable isotopes (SI) were used to study the feeding ecology of seven species (n = 106) of the most abundant benthic fishes (eelpouts, sculpins and agonids) in the Canadian Beaufort Sea from shallow (20-75 m), slope (200-350 m) and deep (500-1000 m) habitats. Both FA and SI results revealed among- and within-species variability in diet composition. Correspondence analysis of FA signatures identified high within-species variability in diet, resulting in high overlap among species. Calanus-derived FA were present in all species (Calanus markers up to 13 % of total FA) and were particularly important in Ribbed Sculpin, Adolf's and Longear Eelpout collected in deep habitats, suggesting a strong contribution of pelagic-derived FA to benthic fish communities. Incorporation of this signal in the benthos may result from either direct consumption of deep overwintering copepods (i.e., off-bottom feeding) or through detrital accumulation in benthic invertebrate prey. Mean SI values differed among species and indicated that a large range of trophic positions (delta N-15 varied from 14.09 to 17.71 aEuro degrees for Canadian Eelpout and Adolf's Eelpout, respectively) and carbon dietary sources are preyed upon (delta C-13 range from -21.13 to -23.85 aEuro degrees for Longear Eelpout and Ribbed Sculpin, respectively). SI analyses suggested that most species examined were low- to mid-trophic generalist benthic carnivores, with the exception of Ribbed Sculpin, which was a low-trophic pelagic predator.</t>
  </si>
  <si>
    <t>10.1007/s00300-015-1851-4</t>
  </si>
  <si>
    <t>Dahnke, K; Emeis, K; Johannsen, A; Nagel, B</t>
  </si>
  <si>
    <t>Stable isotope composition and turnover of nitrate in the German Bight</t>
  </si>
  <si>
    <t>Nitrogen cycle; delta N-15; delta O-18; Stable isotopes; German Bight; Nitrification</t>
  </si>
  <si>
    <t>NORTH-SEA; FRESH-WATER; NITROGEN; SEDIMENTS; DENITRIFICATION; NITRIFICATION; FRACTIONATION; GROUNDWATER; SEAWATER; FLUXES</t>
  </si>
  <si>
    <t>The German Bight is a hot-spot of eutrophication in the North Sea due to nitrate loads discharged by several large rivers into this semi-isolated embayment. River nitrate loads have a distinctly higher N-15/N-14 ratio than nitrate in open North Sea waters, and to trace the sphere of river influence we analysed stable isotope signatures of water column nitrate in the area on a grid of stations in winter and early spring 2007. Overall spatial patterns of N-15/N-14 and O-18/O-16 in nitrate reflect the predominant influence of nitrate discharged by the Rhine and Elbe rivers on the German Bight nitrate pool. On a smaller scale, however, and in offshore stations, nitrate assimilation of an incipient phytoplankton bloom is indicated by parallel enrichment of N-15 and O-18 in nitrate. Intriguingly, the enrichment ratio of O-18(NO3) to N-15(NO3) is 1.6:1, thus differing from the ratio of 1:1 associated with uptake by marine phytoplankton. This suggests that nitrate isotopic composition is not solely affected by phytoplankton assimilation, but that a substantial portion of nitrate in the outer regions of the German Bight is derived from nitrification, despite low ambient temperatures. Moreover, the data identify remineralisation and nitrification of particulate N in sediments as important sources of dissolved inorganic nitrogen to the German Bight water column, and underscore the role of sediments in recharging water column nutrient inventories.</t>
  </si>
  <si>
    <t>U26</t>
  </si>
  <si>
    <t>10.3354/meps08558</t>
  </si>
  <si>
    <t>Penna, D; Hopp, L; Scandellari, F; Allen, ST; Benettin, P; Beyer, M; Geris, J; Klaus, J; Marshall, JD; Schwendenmann, L; Volkmann, THM; von Freyberg, J; Amin, A; Ceperley, N; Engel, M; Frentress, J; Giambastiani, Y; McDonnell, JJ; Zuecco, G; Llorens, P; Siegwolf, RTW; Dawson, TE; Kirchner, JW</t>
  </si>
  <si>
    <t>Ideas and perspectives: Tracing terrestrial ecosystem water fluxes using hydrogen and oxygen stable isotopes - challenges and opportunities from an interdisciplinary perspective</t>
  </si>
  <si>
    <t>RATIO INFRARED-SPECTROSCOPY; SOIL-WATER; PLANT-WATER; CRITICAL ZONE; ECOHYDROLOGICAL SEPARATION; PHYSIOLOGICAL CONTROLS; NORTHERN ENVIRONMENTS; VACUUM EXTRACTION; MESOPOROUS SILICA; CRYOGENIC WATER</t>
  </si>
  <si>
    <t>In this commentary, we summarize and build upon discussions that emerged during the workshop Isotope-based studies of water partitioning and plant-soil interactions in forested and agricultural environments held in San Casciano in Val di Pesa, Italy, in September 2017. Quantifying and understanding how water cycles through the Earth's critical zone is important to provide society and policymakers with the scientific background to manage water resources sustainably, especially considering the ever-increasing worldwide concern about water scarcity. Stable isotopes of hydrogen and oxygen in water have proven to be a powerful tool for tracking water fluxes in the critical zone. However, both mechanistic complexities (e.g. mixing and fractionation processes, heterogeneity of natural systems) and methodological issues (e.g. lack of standard protocols to sample specific compartments, such as soil water and xylem water) limit the application of stable water isotopes in critical-zone science. In this commentary, we examine some of the opportunities and critical challenges of isotope-based ecohydrological applications and outline new perspectives focused on interdisciplinary research opportunities for this important tool in water and environmental science.</t>
  </si>
  <si>
    <t>10.5194/bg-15-6399-2018</t>
  </si>
  <si>
    <t>Herman, DP; Burrows, DG; Wade, PR; Durban, JW; Matkin, CO; LeDuc, RG; Barrett-Lennard, LG; Krahn, MM</t>
  </si>
  <si>
    <t>Feeding ecology of eastern North Pacific killer whales Orcinus orca from fatty acid, stable isotope, and organochlorine analyses of blubber biopsies</t>
  </si>
  <si>
    <t>feeding ecology; killer whale; biopsy sampling; stable isotopes; fatty acids; organochlorines; pollutants; Pacific Ocean</t>
  </si>
  <si>
    <t>PRINCE-WILLIAM-SOUND; MARINE FOOD-WEB; TROPHIC RELATIONSHIPS; CALLORHINUS-URSINUS; CARBON-ISOTOPE; MINKE WHALES; HARBOR SEALS; DIET; NITROGEN; DELTA-C-13</t>
  </si>
  <si>
    <t>Blubber biopsy samples from eastern North Pacific killer whales Orcinus orca were analyzed for fatty acids, carbon and nitrogen stable isotopes and organochlorine contaminants. Fatty acid profiles were sufficiently distinct among the 3 reported ecotypes ('resident,' 'transient' or 'offshore') to enable individual animals to be correctly classified by ecotype and also by mitochondrial DNA (mtDNA) haplotype. Profiles of PCBs also enabled unambiguous classification of all 3 killer whale ecotypes, but stable isotope values lacked sufficient resolution. Fatty acid, stable isotope and PCB profiles of the resident and transient ecotypes were consistent with those expected for these whales based on their reported dietary preferences (fish for resident whales, marine mammals for transients). In addition, these ecotype profiles exhibited broad similarity across geographical regions, suggesting that the dietary specialization reported for resident and transient whales in the well-studied eastern North Pacific populations also extends to the less-studied killer whales in the western Gulf of Alaska and Aleutian Islands. Killer whales of the same ecotype were also grouped by region of sample collection. The mean stable isotope ratios of various regional groups differed considerably, suggesting that the prey preferences of these North Pacific killer whales may be both region and ecotype specific. Furthermore, 3 specific ecotypes of killer whales were found to have measured stable isotope values that were consistent with dietary preferences reported in the literature. Finally, although the offshore population had blubber fatty acid profiles implicating fish as its primary prey, contaminant and stable isotope results were equally congruent with predation on marine mammals.</t>
  </si>
  <si>
    <t>10.3354/meps302275</t>
  </si>
  <si>
    <t>Desforges, JP; Marques, GM; Beumer, LT; Chimienti, M; Hansen, LH; Pedersen, SH; Schmidt, NM; Beest, FM</t>
  </si>
  <si>
    <t>Environment and physiology shape Arctic ungulate population dynamics</t>
  </si>
  <si>
    <t>climate change; dynamic energy budget; environmental variability; fitness; individual&amp;#8208; based model; life history; NDVI; population dynamics; snow; ungulates</t>
  </si>
  <si>
    <t>NORMALIZED DIFFERENCE VEGETATION; INDIVIDUAL-BASED MODEL; OVIBOS-MOSCHATUS; PERSONALITY-TRAITS; LARGE HERBIVORES; CLIMATE-CHANGE; PLANT BIOMASS; LIFE-HISTORY; BODY-MASS; DENSITY</t>
  </si>
  <si>
    <t>Species conservation in a rapidly changing world requires an improved understanding of how individuals and populations respond to changes in their environment across temporal scales. Increased warming in the Arctic puts this region at particular risk for rapid environmental change, with potentially devastating impacts on resident populations. Here, we make use of a parameterized full life cycle, individual-based energy budget model for wild muskoxen, coupling year-round environmental data with detailed ontogenic metabolic physiology. We show how winter food accessibility, summer food availability, and density dependence drive seasonal dynamics of energy storage and thus life history and population dynamics. Winter forage accessibility defined by snow depth, more than summer forage availability, was the primary determinant of muskox population dynamics through impacts on calf recruitment and longer term carryover effects of maternal investment. Simulations of various seasonal snow depth and plant biomass and quality profiles revealed that timing of and improved/limited winter forage accessibility had marked influence on calf recruitment (+/- 10-80%). Impacts on recruitment were the cumulative result of condition-driven reproductive performance at multiple time points across the reproductive period (ovulation to calf weaning) as a trade-off between survival and reproduction. Seasonal and generational condition effects of snow-rich winters interacted with age structure and density to cause pronounced long-term consequences on population growth and structure, with predicted population recovery times from even moderate disturbances of 10 years or more. Our results show how alteration in winter forage accessibility, mediated by snow depth, impacts the dynamics of northern herbivore populations. Further, we present here a mechanistic and state-based model framework to assess future scenarios of environmental change, such as increased or decreased snowfall or plant biomass and quality to impact winter and summer forage availability across the Arctic.</t>
  </si>
  <si>
    <t>10.1111/gcb.15484</t>
  </si>
  <si>
    <t>Renoirt, M; Angelier, F; Cheron, M; Bustamante, P; Cherel, Y; Brischoux, F</t>
  </si>
  <si>
    <t>Stable isotopes of a terrestrial amphibian illustrate fertilizer-related nitrogen enrichment of food webs in agricultural habitats</t>
  </si>
  <si>
    <t>Bufo spinosus; Agriculture; Amphibians; Habitat use; Forest; 8(15)N; 8(13)C</t>
  </si>
  <si>
    <t>CARBON; DISCRIMINATION; DELTA-N-15; LANDSCAPE</t>
  </si>
  <si>
    <t>To comprehensively assess the impacts of agricultural practices on biodiversity in complex landscapes mixing both agricultural habitats and remnants of other (presumably more favorable) types of habitats, a prerequisite is to evaluate to which extent agricultural habitats are actually used by a given species. Here, we tested whether the stable isotope method can help to discriminate habitat use of a wild vertebrate, the spined toad (Bufo spinosus). We expected habitat to influence their 813C values and the use of fertilizers to increase 815N values of individuals from agricultural landscapes. Based on 114 toads from seven sites characterized by contrasted habitats (agricultural, forest or mixed habitats), we found that toad blood 815N values were positively related to agricultural surface area, a result that was corroborated by diverging blood 815N values between habitat categories. Conversely, toad 813C values did not vary according to the habitat. Our results suggest that isotopic values (especially 815N) could be a powerful tool to assess agricultural habitat use in terrestrial taxa. Further studies should usefully investigate whether individual 815N values can be used as a fingerprint of other constraints of agricultural habitats (e.g., contaminants) in agricultural landscapes.</t>
  </si>
  <si>
    <t>10.1016/j.agee.2021.107553</t>
  </si>
  <si>
    <t>Caccamise, DF; Reed, LM; Castelli, PM; Wainright, S; Nichols, TC</t>
  </si>
  <si>
    <t>Distinguishing migratory and resident Canada geese using stable isotope analysis</t>
  </si>
  <si>
    <t>Atlantic flyway resident population; Atlantic population; resident population; Branta canadensis; Canada goose; discriminant function; New Jersey; Quebec; stable isotope</t>
  </si>
  <si>
    <t>FEATHERS; CARBON; NITROGEN; BIRDS</t>
  </si>
  <si>
    <t>Effective management of Canada geese (Branta canadensis) requires a reliable method to determine the population affiliation of geese in the harvest. We determined if stable isotope analysis of feather tissue could distinguish between migrant and resident populations. We obtained feather samples of migrants from Atlantic population of Canada geese in northern Quebec near Ungava Bay, Canada. We grouped resident population Canada geese as coastal residents and inland residents according to the habitats where they were captured in New Jersey. We analyzed for isotopes of carbon (delta C-13), nitrogen (delta N-15), and sulfur (delta S-34). We found significant differences among migrants, coastal residents, and inland resident for all 3 isotopes. Combinations of isotopic ratios for the 3 elements resulted in unique patterns among groups of geese. We entered the isotopic ratios into a discriminant analysis using collection site as the grouping variable (migrants, inland residents, and coastal residents). We formed 2 significant functions that discriminated among the 3 groups 92% of the time. The first function accounted for most of the variance, and was highly influenced by the isotope ratios for carbon and sulfur. The results indicate that stable isotope analysis of primary feathers can provide a reliable means to discriminate between migratory and resident populations of Canada geese. Stable isotope analysis is a promising technique for identifying the breeding areas of Canada geese, but additional studies are needed to determine inherent variability over broad geographic areas.</t>
  </si>
  <si>
    <t>10.2307/3803219</t>
  </si>
  <si>
    <t>Bennett, JL; Jamieson, EG; Ronconi, RA; Wong, SNP</t>
  </si>
  <si>
    <t>Variability in egg size and population declines of Herring Gulls in relation to fisheries and climate conditions</t>
  </si>
  <si>
    <t>clutch size; egg volume; fishery subsidies; Laridae; North Atlantic Oscillation index; population declines; sea surface temperature</t>
  </si>
  <si>
    <t>LARUS-ARGENTATUS; CLUTCH SIZE; STABLE-ISOTOPES; WITLESS BAY; SEABIRD; MARINUS; DIET; INDICATORS; TRENDS; CANADA</t>
  </si>
  <si>
    <t>Changes in clutch and egg size in many avian species have been linked to seasonal variation, female physiological state, and laying date during breeding season. These reproductive variables have also been linked to population status and habitat variables. Recent declines in Herring Gull (Larus argentatus) populations in the Atlantic region may be associated with environmental changes, fishery activities, or natural species interactions and fluctuations. We studied variability and trends in Herring Gull egg, clutch, and population size at a cluster of three islands of the Grand Manan Archipelago in the Bay of Fundy, Canada. A generalized linear model investigating variability in Herring Gull egg volume over a 28-year period (1988 to 2015) showed increasing egg volume since a low in 2000, significant positive correlations with regional fisheries landings, and weak interactions with sea surface temperature and the winter North Atlantic Oscillation (NAO) index. Herring Gull egg size decreased by 11.6% from 1988 to 2000, but both egg size and clutch size have increased significantly since 2001. A 2015/2016 population estimate of the three islands showed a 36% decline in Herring Gull numbers since 2001. Changes in annual and seasonal availability of various fishery related food sources, specifically decreasing Atlantic herring (Clupea harengus) and groundfish landings and increasing American lobster (Homarus americanus) landings, may be linked to these increases in reproductive variables. However, it appears that other factors may be influencing the declining gull population because despite increased availability of alternative food sources and increased clutch size and egg volume, there has been no documented increase in abundance. Interspecific interactions, anthropogenic activities, and climatic variability may also have a role in these population dynamics.</t>
  </si>
  <si>
    <t>10.5751/ACE-01118-120216</t>
  </si>
  <si>
    <t>Vizza, C; Sanderson, BL; Coe, HJ; Chaloner, DT</t>
  </si>
  <si>
    <t>Evaluating the consequences of salmon nutrients for riparian organisms: Linking condition metrics to stable isotopes</t>
  </si>
  <si>
    <t>aquatic-terrestrial subsidies; body condition index; marine-derived nutrients; mixing models; Pacific salmon</t>
  </si>
  <si>
    <t>BODY CONDITION; PACIFIC SALMON; FRESH-WATER; COHO SALMON; ONCORHYNCHUS-KISUTCH; ESTIMATING FITNESS; SOUTHEAST ALASKA; MARINE NITROGEN; SPAWNING SALMON; CHINOOK SALMON</t>
  </si>
  <si>
    <t>Stable isotope ratios (delta C-13 and delta N-15) have been used extensively to trace nutrients from Pacific salmon, but salmon transfer more than carbon and nitrogen to stream ecosystems, such as phosphorus, minerals, proteins, and lipids. To examine the importance of these nutrients, metrics other than isotopes need to be considered, particularly when so few studies have made direct links between these nutrients and how they affect riparian organisms. Our study specifically examined delta C-13 and delta N-15 of riparian organisms from salmon and non-salmon streams in Idaho, USA, at different distances from the streams, and examined whether the quality of riparian plants and the body condition of invertebrates varied with access to these nutrients. Overall, quality and condition metrics did not mirror stable isotope patterns. Most notably, all riparian organisms exhibited elevated delta N-15 in salmon streams, but also with proximity to both stream types suggesting that both salmon and landscape factors may affect delta N-15. The amount of nitrogen incorporated from Pacific salmon was low for all organisms (&lt;20%) and did not correlate with measures of quality or condition, probably due to elevated delta N-15 at salmon streams reflecting historical salmon runs instead of current contributions. Salmon runs in these Idaho streams have been declining, and associated riparian ecosystems have probably seen about a 90% reduction in salmon-derived nitrogen since the 1950s. In addition, our results support those of other studies that have cautioned that inferences from natural abundance isotope data, particularly in conjunction with mixing models for salmon-derived nutrient percentage estimates, may be confounded by biogeochemical transformations of nitrogen, physiological processes, and even historical legacies of nitrogen sources. Critically, studies should move beyond simply describing isotopic patterns to focusing on the consequences of salmon-derived nutrients by quantifying the condition and fitness of organisms putatively using those resources.</t>
  </si>
  <si>
    <t>10.1002/ece3.2697</t>
  </si>
  <si>
    <t>Kurle, CM; Worthy, GAJ</t>
  </si>
  <si>
    <t>Stable isotope assessment of temporal and geographic differences in feeding ecology of northern fur seals (Callorhinus ursinus) and their prey</t>
  </si>
  <si>
    <t>stable isotopes; northern fur seals; feeding ecology; foraging; migration</t>
  </si>
  <si>
    <t>FOOD-WEB STRUCTURE; LOW-PROTEIN RATION; TROPHIC RELATIONSHIPS; NATURAL ABUNDANCE; CARBON ISOTOPES; BERING SEA; MAMMALIAN REPRODUCTION; ZALOPHUS-CALIFORNIANUS; BALAENA-MYSTICETUS; NITROGEN ISOTOPES</t>
  </si>
  <si>
    <t>We investigated the feeding ecology and foraging location of migrating and nursing northern fur seal (Callorhinus ursinus) adult females and migrating juvenile males from the Pribilof Islands, Alaska, using carbon (delta C-13) and nitrogen (delta N-15) isotope analysis of fur seal skin and whole potential prey. Post-parturient and lactating females had mean delta N-15 values significantly (0.8%) higher than pregnant, migratory females, and delta C-13 values that were not significantly different. Two opportunistically collected, migrating, nulliparous females had mean delta C-13 values 1.1% lower than migrating, pregnant females, and delta N-15 values that were not different. Pregnant, migratory females had mean delta C-13 values significantly (similar to1.5%) higher than migratory juvenile males, and mean delta N-15 values significantly (similar to0.6-1.6%) higher than migratory juvenile males. The exception was one group of juvenile males from St. Paul Island with mean delta N-15 values that were not significantly different from migrating females. The mean delta N-15 values of pregnant females indicate they were feeding at a higher trophic level than juvenile males during migration. The higher mean delta C-13 values for pregnant females suggest they were feeding coastally during the spring migration, while juvenile males and nulliparous females were feeding offshore. The higher delta N-15 values for post-parturient, lactating females over migrating, pregnant females point to either a trophic shift in diet over time, or a more likely N-15-enrichment due to negative nitrogen balance caused by the nutritional stress of lactation and the feeding/fasting regime experienced by females. Similar mean delta C-13 values for migrating and breeding-season females indicate that both groups were feeding in coastal, on-shelf domains during their respective time periods. Similar mean delta N-15 values for nulliparous and pregnant females indicate they were feeding at similar trophic levels despite indications of feeding in separate ecosystems during migration. Using a delta N-15 shift of 2-3% per trophic level, we made general inferences about the trophic levels at which northern fur seals were feeding. The interpretation of our delta N-15 data indicates that migrating pregnant females, lactating females and the majority of migrating juvenile males consumed prey with mean delta N-15 values between 14.2% and 15.2%, 15.1% and 16.1%, and 13.6% and 14.6%, respectively. Probable fur seal prey was analyzed as well. Walleye pollock showed progressive N-15 and C-13-enrichments with age. Mean delta N-15 and delta C-13 values of 3- to 4-year-old fish were similar to6.0% and 1.1% higher, respectively, than values for 0-age pollock. Atka mackerel also showed isotopic enrichment with age. The delta N-15 and delta C-13 values of large fish were 0.8% and 0.3% higher, respectively, than values for smaller fish.</t>
  </si>
  <si>
    <t>10.1007/s004420000518</t>
  </si>
  <si>
    <t>Jansen, J; Hill, NA; Dunstan, PK; Cougnon, EA; Galton-Fenzi, BK; Johnson, CR</t>
  </si>
  <si>
    <t>Mapping Antarctic Suspension Feeder Abundances and Seafloor Food-Availability, and Modeling Their Change After a Major Glacier Calving</t>
  </si>
  <si>
    <t>food availability; Antarctic marine biodiversity; pelagic-benthic-coupling; sea-ice; climate change; surface productivity; Mertz Glacier Tongue</t>
  </si>
  <si>
    <t>MERTZ GLACIER; COMMONWEALTH BAY; EAST ANTARCTICA; TERRE ADELIE; ICE; POLYNYA; SHELF; TONGUE; VARIABILITY; DYNAMICS</t>
  </si>
  <si>
    <t>Seafloor communities are a critical part of the unique and diverse Antarctic marine life. Processes at the ocean-surface can strongly influence the diversity and abundance of these communities, even when they live at hundreds of meters water depth. However, even though we understand the importance of this link, there are so far no quantitative spatial predictions on how seafloor communities will respond to changing conditions at the ocean surface. Here, we map patterns in abundance of important habitat-forming suspension feeders on the seafloor in East Antarctica, and predict how these patterns change after a major disturbance in the icescape, caused by the calving of the Mertz Glacier Tongue. We use a purpose-built ocean model for the time-period before and after the calving of the Mertz-Glacier Tongue in 2010, data from satellites and a validated food-availability model to estimate changes in horizontal flux of food since the glacier calving. We then predict the post-calving distribution of suspension feeder abundances using the established relationships with the environmental variables, and changes in horizontal flux of food. Our resulting maps indicate strong increases in suspension feeder abundances close to the glacier calving site, fueled by increased food supply, while the remainder of the region maintains similar suspension feeder abundances despite a slight decrease in total food supply. The oceanographic setting of the entire region changes, with a shorter ice-free season, altered seafloor currents and changes in food-availability. Our study provides important insight into the flow-on effects of a changing icescape on seafloor habitat and fauna in polar environments. Understanding these connections is important in the context of current and future effects of climate change, and the mapped predictions of the seafloor fauna as presented for the study region can be used as a decision-tool for planning potential marine protected areas, and for focusing future sampling and monitoring initiatives.</t>
  </si>
  <si>
    <t>10.3389/fevo.2018.00094</t>
  </si>
  <si>
    <t>Razavi, NR; Qu, MZ; Jin, BS; Ren, WW; Wang, YX; Campbell, LM</t>
  </si>
  <si>
    <t>Mercury biomagnification in subtropical reservoir fishes of eastern China</t>
  </si>
  <si>
    <t>Total mercury; Stable isotopes; Asian carp; Food web; Fishery</t>
  </si>
  <si>
    <t>TROUT SALVELINUS-NAMAYCUSH; STABLE-ISOTOPE RATIOS; FOOD-WEB STRUCTURE; LAKE TROUT; TROPHIC POSITION; WUJIANG RIVER; BIOACCUMULATION; CANADA; AFRICA; METHYLMERCURY</t>
  </si>
  <si>
    <t>Little is known about mercury (Hg) biomagnification in the subtropics, aquatic systems with high species diversity resulting in complex food webs. High atmospheric Hg emissions and ubiquitous reservoir fisheries may lead to elevated Hg bioaccumulation in Chinese freshwater fishes. However, stocking practices using fast-growing species can result in low fish total Hg (THg) concentrations. Here, we describe Hg transfer within the fish food web of a large subtropical reservoir, Qiandao Hu (Xin'anjiang reservoir) situated in eastern China. We measured food web Hg biomagnification and THg concentrations in 33 species of stocked and wild fishes. Mercury concentrations in most fishes were low, though we also found high Hg concentrations in wild top predators. The food web structure, assessed using stable isotopes of carbon (delta C-13) and nitrogen (delta N-15), demonstrated a high degree of omnivory and a long food chain. THg concentrations were highly correlated with fish delta N-15 values. The regression of log(10)THg against delta N-15 revealed the overall Hg biomagnification rate was low. This study shows that where long food chains exist in subtropical reservoirs, elevated Hg accumulation in top predators can occur despite a low Hg biomagnification rate.</t>
  </si>
  <si>
    <t>10.1007/s10646-013-1158-6</t>
  </si>
  <si>
    <t>Abraham, CL; Sydeman, WJ</t>
  </si>
  <si>
    <t>Prey-switching by Cassin's auklet Ptychoramphus aleuticus reveals seasonal climate-related cycles of Euphausia pacifica and Thysanoessa spinifera</t>
  </si>
  <si>
    <t>Cassin's auklet; diet; euphausiids; Euphausia pacifica; Thysanoessa spinifera; seasonal variation; upwelling; sea surface temperature</t>
  </si>
  <si>
    <t>POPULATION BIOLOGY; CALIFORNIA CURRENT; BODY CONDITION; INTERANNUAL VARIATIONS; BRITISH-COLUMBIA; BARKLEY SOUND; OCEAN CLIMATE; MARINE BIRD; DIET; VARIABILITY</t>
  </si>
  <si>
    <t>Euphausia pacifica and Thysanoessa spinifera comprise a substantial proportion of the diet of Cassin's auklet Ptychoramphus aleuticus in the Gulf of the Farallones, California. Ocean climate variability has been linked to fluctuations in euphausiid abundance and life-history parameters. We tested the hypothesis that seasonal patterns of prey use by auklets correspond to within-season variation in upwelling and sea surface temperature (SST), by comparing the proportion (by number) of E. pacifica and T. spinifera in auklet diet samples obtained during the chick-rearing period to SST and an upwelling index (UI) over 11 years. We found that the proportion of E. pacifica adults in auklet diet decreased over the chick-rearing period, and increased with increasing UI and decreasing SST. We detected curvature in the relationship between adult E. pacifica and UI, with E. pacifica increasing to a point and decreasing thereafter. T. spinifera in auklet diet showed an increase over the chick-rearing period, but no relationships were detected with UI or SST. Mass of individual adult E. pacifica increased with increasing UI and decreasing SST. We detected moderate curvature in the relationship between mass of individual adult T. spinifera and SST. The proportion of E. pacifica juveniles in auklet diet did not change seasonally and was not related to UI or SST, while the proportion of T, spinifera juveniles in auklet diet increased seasonally and with increases in UI. Seasonal changes in the ingestion of euphausiids by auklets appeared to be affected by ocean climate variability; however, prey-selection via a shift in foraging location or competition with other marine predators are alternative valid explanations. This study highlighted the utility of using top marine predators to sample prey availability, thereby complementing traditional net sampling procedures for determining the distribution and abundance of euphausiids in marine systems.</t>
  </si>
  <si>
    <t>10.3354/meps313271</t>
  </si>
  <si>
    <t>Chiapella, A; Possamai, B; Marsden, JE; Kainz, MJ; Stockwell, JD</t>
  </si>
  <si>
    <t>Contrasting energy pathways suggest differing susceptibility of pelagic fishes to an invasive ecosystem engineer in a large lake system</t>
  </si>
  <si>
    <t>dreissenid mussels; MixSIAR; alewife; rainbow smelt; Mysis; food webs</t>
  </si>
  <si>
    <t>RAINBOW SMELT; TROPHIC DISCRIMINATION; MYSIS-DILUVIANA; STABLE-ISOTOPES; FOOD WEBS; TROUT; DELTA-N-15; DELTA-C-13; DYNAMICS; MICHIGAN</t>
  </si>
  <si>
    <t>Species invasions can lead to ecological regime shifts by altering food web structure and changing nutrient cycling. Stable isotopes are a powerful tool to understand the potential and realized impacts of invasive species on food webs, especially when used in tandem with other dietary tracers. An invasion by one of the most notorious freshwater invaders in North America, the quagga mussel (Dreissena bugensis), is imminent in Lake Champlain, United States. An invasion by this filter feeder has the potential to drastically alter energy pathways and destabilize pelagic fisheries via bottom-up impacts. However, the extent and magnitude of these impacts depend on the current food web structure of the mid-trophic pelagic food web, which was previously not well described. We used Bayesian stable isotope mixing models informed by stomach content analysis to identify which energy pathways are currently most important to mid-trophic level fishes. We determined that in the Main Lake basin, the spring phytoplankton bloom and deep chlorophyll layer - the resources most vulnerable to quagga mussels - provide a disproportionate amount of support to the pelagic food web via zooplankton and the migrating macroinvertebrate Mysis. The food web in the Northeast Arm of Lake Champlain is supported by epilimnetic phytoplankton, which is more protected from the filtration effects of quagga mussels than the deep chlorophyll layer. However, the Northeast Arm will likely not provide a high-quality foraging refuge to coldwater pelagic fish due to unfavorable oxythermal conditions. The mid-trophic food web of Lake Champlain-and consequently piscivores who rely on these prey-may be vulnerable to the impending quagga mussel invasion if migratory Mysis are not able to shift their diet to benthic resources.</t>
  </si>
  <si>
    <t>10.3389/fevo.2022.1061636</t>
  </si>
  <si>
    <t>VICTORIA, RL; FERNANDES, F; MARTINELLI, LA; PICCOLO, MDC; DECAMARGO, PB; TRUMBORE, S</t>
  </si>
  <si>
    <t>PAST VEGETATION CHANGES IN THE BRAZILIAN PANTANAL ARBOREAL GRASSY SAVANNA ECOTONE BY USING CARBON ISOTOPES IN THE SOIL ORGANIC-MATTER</t>
  </si>
  <si>
    <t>BRAZIL; PANTANAL; RADIOCARBON; WETLAND; SAVANNA; SOIL ORGANIC MATTER; STABLE CARBON ISOTOPE; VEGETATION CHANGE</t>
  </si>
  <si>
    <t>C-13/C-12 RATIOS; SOUTH-AMERICA; TURNOVER; C-13; INDICATORS; AMAZONIA; REGIONS; DIOXIDE; VALLEY</t>
  </si>
  <si>
    <t>Measurements of the organic carbon inventory, its stable isotopic composition and radiocarbon content were used to deduce vegetation history from two soil profiles in arboreal and grassy savanna ecotones in the Brazilian Pantanal. The Pantanal is a large floodplain area with grass-dominated lowlands subject to seasonal flooding, and arboreal savanna uplands which are only rarely flooded. Organic carbon inventories were lower in the grassy savanna site than in the upland arboreal savanna site, with carbon decreasing exponentially with depth from the surface in both profiles. Changes in C-13 of soil organic matter (SOM) with depth differed markedly between the two sites. Differences in surface SOM C-13 values reflect the change from C-3 to C-4 plants between the sites, as confirmed by measurements of C-13 Of vegetation and the soil surface along a transect between the upland closed-canopy forest and lowland grassy savanna. Changes of C-13 in SOM with depth at both sites are larger than the 3-4 per mil increases expected from fractionation associated with organic matter decomposition. We interpret these as recording past changes in the relative abundance of C-3 and C-4 plants at these sites. Mass balances with C-14 and C-13 suggest that past vegetational changes from Cg to Cg plants in the grassy savanna, and in the deeper part of the arboreal savanna, occurred between 4600 and 11 400 sp, when major climatic changes were also observed in several places of the South American Continent. The change from C-4 to C-3, observed only in the upper part of the arboreal savanna, was much more recent (1400 sp), and was probably caused by a local change in the flooding regime.</t>
  </si>
  <si>
    <t>10.1111/j.1365-2486.1995.tb00018.x</t>
  </si>
  <si>
    <t>Sandstrom, A; Andersson, M; Asp, A; Bohman, P; Edsman, L; Engdahl, F; Nystrom, P; Stenberg, M; Hertonsson, P; Vrayenlstad, T; Graneli, W</t>
  </si>
  <si>
    <t>Population collapses in introduced non-indigenous crayfish</t>
  </si>
  <si>
    <t>Aphanomyces astaci; Invasive species; Fisheries; Population collapses; Signal crayfish</t>
  </si>
  <si>
    <t>FRESH-WATER CRAYFISH; APHANOMYCES-ASTACI; SIGNAL CRAYFISH; AMERICAN CRAYFISH; TROPHIC POSITION; PLAGUE; TIME; PREDATION; DYNAMICS; PRODUCTIVITY</t>
  </si>
  <si>
    <t>Invasive species often have instable population dynamics and are known to collapse or oscillate heavily after passing through the initial lag/growth phases. Long-term data-series documenting these fluctuations are however rare. We use long-term (starting in the early 1960s), semi-quantitative data on the invasive signal crayfish (Pacifastacus leniusculus), capturing its population development after introduction in 44 Swedish lakes. In total 18 (41 %) of these populations had experienced a collapse. A stepwise discriminant function analysis including 20 different ecological or physicochemical characteristics identified three variables explaining collapses in the following order: stocking year, population age and mean air temperature. Populations stocked in the 1980s were more likely to collapse than populations stocked in the 1970s. Lakes with collapses were located in areas with 0.4 A degrees C higher yearly mean air temperatures than the still viable populations. Collapses also depended on the time phase of the population and started to occur 12 years after stocking and were most frequent in the interval 16-20 years after stocking and after 11-15 years duration of the established phase with harvestable densities. An analysis of prevalence and pathogen load of Aphanomyces astaci was conducted in eight of the studied populations. A. astaci was present in all populations but neither the level of prevalence nor the pathogen load in infested specimens differed significantly between lakes with collapses and lakes without. Our results highlight the potential sensitivity and instability of introduced crayfish. The importance of density-dependence and temperature suggest that both climate variability and/or fisheries can influence these processes.</t>
  </si>
  <si>
    <t>10.1007/s10530-014-0641-1</t>
  </si>
  <si>
    <t>Dyer, DC; Butler, MJ; Smit, AJ; Anderson, RJ; Bolton, JJ</t>
  </si>
  <si>
    <t>Kelp forest POM during upwelling and down-welling conditions: using stable isotopes to differentiate between detritus and phytoplankton</t>
  </si>
  <si>
    <t>Particulate organic matter; Laminariales; Kelp-derived detritus; KDD; Ecklonia; Laminaria; Stable isotope analysis; SIA</t>
  </si>
  <si>
    <t>PARTICULATE ORGANIC-MATTER; SOUTHERN BENGUELA; SUSPENSION FEEDERS; TEMPORAL VARIATIONS; NITROGEN RESOURCES; TROPHIC IMPORTANCE; ECKLONIA-MAXIMA; COASTAL WATERS; WEST-COAST; FOOD-WEB</t>
  </si>
  <si>
    <t>Kelp forests are highly productive temperate rocky reef ecosystems, often dominated by filter-feeding organisms which consume particulate organic matter (POM) and phytoplankton suspended in the water column. Variability in POM composition was hypothesized to be related to upwelling processes in and around a typical kelp forest on the west coast of South Africa. Ecological variables including chl a, C:N ratio, particulate organic carbon:chl a ratio, and total suspended solids were used to characterise the composition and determine the dynamics of the POM along 2 transects (alongshore and offshore) originating within the kelp forest. The natural variability in POM composition of upwelling and downwelling periods was used to isolate phytoplankton and kelp stable isotope (delta C-13 and delta N-15) end-member values. Stable isotope analysis was employed to estimate the contribution of kelp-derived detritus to the POM present in the water column, including contribution estimates for Ecklonia maxima and Laminaria pallida. Under upwelling conditions, stable isotope analysis confirmed the dominance (&gt;70%) of kelp detritus in POM samples, even at distances of 7.5 km offshore. Under downwelling conditions, however, phytoplankton was dominant (&gt;60%) along both transects. This study therefore highlights the importance of coastal processes such as upwelling for controlling the composition of POM in kelp forests, as well as illustrating how the natural variability in POM composition created by upwelling processes can be used to gather POM end-member isotope values.</t>
  </si>
  <si>
    <t>10.3354/meps12941</t>
  </si>
  <si>
    <t>Sturbois, A; Cucherousset, J; De Caceres, M; Desroy, N; Riera, P; Carpentier, A; Quillien, N; Grall, J; Espinasse, B; Cherel, Y; Schaal, G</t>
  </si>
  <si>
    <t>Stable Isotope Trajectory Analysis (SITA): A new approach to quantify and visualize dynamics in stable isotope studies</t>
  </si>
  <si>
    <t>changes; composition; dynamics; food web; functioning; spatial; stable isotope; structure; temporal; trajectories</t>
  </si>
  <si>
    <t>INDIVIDUAL FORAGING SPECIALIZATION; COMMUNITY-WIDE MEASURES; ECOSYSTEM FUNCTION; RATIOS PROVIDE; MIXING MODELS; FRAMEWORK; DELTA-C-13; DIVERSITY; PATTERNS; ECOLOGY</t>
  </si>
  <si>
    <t>Ecologists working with stable isotopes have to deal with complex datasets including temporal and spatial replication, which makes the analysis and the representation of patterns of change challenging, especially at high resolution. Due to the lack of a commonly accepted conceptual framework in stable isotope ecology, the analysis and the graphical representation of stable isotope spatial and temporal dynamics of stable isotope value at the organism or community scale remained in the past often descriptive and qualitative, impeding the quantitative detection of relevant functional patterns. The recent community trajectory analysis (CTA) framework provides more explicit perspectives for the analysis and the visualization of ecological trajectories. Building on CTA, we developed the Stable Isotope Trajectory Analysis (SITA) framework, to analyze the geometric properties of stable isotope trajectories on n-dimensional (n &gt;= 2) spaces of analysis defined analogously to the traditional multivariate spaces (omega) used in community ecology. This approach provides new perspectives into the quantitative analysis of spatio-temporal trajectories in stable isotope spaces (omega(delta)) and derived structural and functional dynamics (omega(gamma) space). SITA allows the calculation of a set of trajectory metrics, based on either trajectory distances or directions, and new graphical representation solutions, both easily performable in an R environment. Here, we illustrate the use of our approach by reanalyzing previously published datasets from marine, terrestrial, and freshwater ecosystems. We highlight the insights provided by this new analytic framework at the individual, population, community, and ecosystems levels, and discuss applications, limitations, and development potential.</t>
  </si>
  <si>
    <t>e1501</t>
  </si>
  <si>
    <t>10.1002/ecm.1501</t>
  </si>
  <si>
    <t>Budge, SM; AuCoin, LR; Ziegler, SE; Lall, SP</t>
  </si>
  <si>
    <t>Fractionation of stable carbon isotopes of tissue fatty acids in Atlantic pollock (Pollachius virens)</t>
  </si>
  <si>
    <t>assimilation; catabolism; chylomicrons; lipids; liver; mobilization; Pollachius virens; serum; Special Feature: Biomarkers in Trophic Ecology</t>
  </si>
  <si>
    <t>SALMON SALMO-SALAR; MELANOGRAMMUS-AEGLEFINUS L; LIPID-COMPOSITION; FOOD-WEB; FISH-OIL; DIETARY; ABSORPTION; METABOLISM; DIGESTIBILITY; LIPOPROTEINS</t>
  </si>
  <si>
    <t>Reliable estimates of diet to tissue fractionation of fatty acid (FA) stable carbon isotopes are essential for the development of techniques employing these biomarkers. In this work, Atlantic pollock (Pollachius virens) was used as a model species to investigate fractionation arising from metabolic processes during assimilation of dietary FA into serum and liver; we also examined fractionation occurring from-mobilization of FA from liver during fasting. Pollock were fed diets containing FA of known isotopic composition, and serum and liver were collected postprandially and after fasting. Lipids were isolated from these tissues, and four polyunsaturated FA (PUFA), 18:2n-6, 18:3n-3, 20:5n-3, and 22:6n-3, within triacylglycerols (TAG), a specific lipid class associated with fat storage, were analyzed for their stable carbon isotope ratios. For 18: 2n-6, 20: 5n-3, and 22: 6n-3, there was no discrimination between diet and serum in postprandially sampled fish, suggesting that fractionation did not occur during hydrolysis and esterification for most PUFA examined here during digestion and transfer into serum. There was a similar lack of fractionation for all four FA between fasted liver and serum, indicating that the assembly of these FA into TAG and their release into serum were not associated with fractionation. However, apparent fractionation was variable and inconsistent for all FA between diet and postprandial liver, indicating a failure of liver TAG to fully reflect the new diet. These data will allow delta C-13 values of three PUFA in postprandial serum to be incorporated into mixing models to estimate recent diet in gadoids. Further controlled feeding studies, under conditions that elicit physiological responses that are similar to those of fish in their natural environment, will be necessary before reliable estimates of longer-term diet, derived from delta C-13 in liver FA, will be possible.</t>
  </si>
  <si>
    <t>e01437</t>
  </si>
  <si>
    <t>10.1002/ecs2.1437</t>
  </si>
  <si>
    <t>Graves, GR; Romanek, CS</t>
  </si>
  <si>
    <t>Mesoscale patterns of altitudinal tenancy in migratory wood warblers inferred from stable carbon isotopes</t>
  </si>
  <si>
    <t>altitudinal tenancy; Appalachian Mountains, North Carolina, USA; Black-throated Blue Warbler; Dendroica caerulescens; isotope turnover rates; migratory birds; stable carbon isotopes</t>
  </si>
  <si>
    <t>THROATED BLUE WARBLERS; LONG-DISTANCE DISPERSAL; DENDROICA-CAERULESCENS; NEOTROPICAL MIGRANT; SATELLITE TRACKING; BREEDING ORIGINS; WINTER HABITAT; BARN SWALLOWS; HYDROGEN; RATIOS</t>
  </si>
  <si>
    <t>We analyzed carbon isotope ratios (delta C-13) of liver and pectoral muscle of Black-throated Blue Warblers (Dendroica caerulescens) to provide a mesoscale perspective on altitudinal tenancy in the Appalachian Mountains, North Carolina, USA. Movements of males are poorly understood, particularly the degree to which yearlings (first breeding season) and older males (second or later breeding season) wander altitudinally during the breeding season. Liver and muscle delta C-13 values of warblers exhibited significant year and altitude effects, but yearling and older males were isotopically indistinguishable. Liver delta C-13 values increased with altitude at the rate of similar to 0.5 parts per thousand per 1000 m. The altitudinal lapse rate of muscle delta C-13 (similar to 1.1 parts per thousand per 1000 m) was nearly identical to the average rate of increase reported in several groups of C-3 plants (similar to 1.1 parts per thousand per 1000 m). This suggests that the majority of males foraged within relatively narrow altitudinal zones during the breeding season. We caution, however, that the discrimination of altitudinal trends in carbon isotope ratios depends on relatively large multiyear samples. Given the scatter in data, it is unlikely that individuals can be accurately assigned to a particular altitude from carbon isotope values. Rapid adjustment of liver and muscle delta C-13 values to local altitudinal environments is consistent with the results of experimental dietary studies that show carbon turnover rates are relatively rapid in small migratory passerines. In a broader context, carbon isotope data have been increasingly used as proxies for wintering habitat use of Nearctic-Neotropical migratory passerines. However, tissues with high metabolic rates are unlikely to retain much isotopic signal of wintering habitat use by the time migrants reach their breeding territories.</t>
  </si>
  <si>
    <t>10.1890/08-0934.1</t>
  </si>
  <si>
    <t>de Carvalho, DR; de Castro, DMP; Callisto, M; Chaves, AJD; Moreira, MZ; Pompeu, PS</t>
  </si>
  <si>
    <t>Stable isotopes and stomach content analyses indicate omnivorous habits and opportunistic feeding behavior of an invasive fish</t>
  </si>
  <si>
    <t>Knodus moenkhausii; Trophic level; Trophic niche; Pasture; Streams</t>
  </si>
  <si>
    <t>STREAM FISHES; COMMUNITIES; HOMOGENIZATION; ECOLOGY; WINNERS; COASTAL; LOSERS; SUITABILITY; DISTURBANCE; POPULATION</t>
  </si>
  <si>
    <t>The aim of this study was to test the hypothesis that a widespread non-native fish species in Brazil displays opportunistic feeding behavior and changes its diet according to environmental conditions. We compared the diet, feeding selectivity, carbon assimilation, trophic niche, and trophic level of Knodus moenkhausii (a small non-native characid fish species of Upper Parana River) in streams surrounded by natural riparian vegetation (natural cover streams) and in streams impacted by pasture. We analyzed stomach contents and stable isotopes (carbon and nitrogen), simultaneously. Overall, insects were the most common food items (&gt; 65%). In natural cover streams, K. moenkhausii showed higher selectivity among aquatic macroinvertebrates consumed, while in pasture streams, they fed on the most abundant groups. The proportion of feeding groups assimilated by K. moenkhausii and the proportion of primary sources consumed by each feeding group of macroinvertebrates also varied between natural cover and pasture streams, as indicated by stable isotopes. In natural cover streams, fine and coarse particulate organic matter accounted for approximately 80% of K. moenkhausii's diet, while in pasture streams, algae and periphyton also contributed greatly. As a result, K. moenkhausii occupied a higher trophic level and exhibited a broader niche width in pasture streams. We conclude that K. moenkhausii presents feeding selectivity with capacity to alter the trophic niche depending on environmental conditions. Such opportunism could be one of the reasons underpinning the abundance and wide distribution of this invasive species.</t>
  </si>
  <si>
    <t>10.1007/s10452-019-09695-3</t>
  </si>
  <si>
    <t>Gradinger, R; Bluhm, BA</t>
  </si>
  <si>
    <t>First analysis of an Arctic sea ice meiofauna food web based on abundance, biomass and stable isotope ratios</t>
  </si>
  <si>
    <t>Fast ice; Meiofauna; Stable isotopes; Food web; Arctic</t>
  </si>
  <si>
    <t>NEMATODES MONHYSTEROIDEA; TROPHIC RELATIONSHIPS; RESOLUTE PASSAGE; ALGAL PRODUCTION; GREENLAND SEA; WATER MASS; PACK ICE; CARBON; CHUKCHI; VARIABILITY</t>
  </si>
  <si>
    <t>Particulate organic carbon (POC) produced in sea ice is often included in stable isotopic food web studies of polar seas as a single value of particulate organic matter (POM), i.e. 'ice POM'. During 10 field trips to landfast ice off Alaska's north coast, we examined the seasonal contribution of sea ice-associated meiofauna to total POM and the trophic structure within the sea ice using bulk carbon and nitrogen stable isotope ratios (delta C-13, delta N-15). Algal biomass, POC/particulate organic nitrogen and meiofaunal abundances increased after the polar night, and a suite of different metazoan meiofauna contributed seasonally substantially to total ice POC amount. delta C-13 values of meiofauna generally tracked the seasonal enrichment of delta C-13 in POC suggesting a trophic relationship, also supported by increasing body mass of meiofauna over the seasons. delta N-15 of individual meiofaunal taxa varied by at least 1.5 trophic levels. delta C-13 values of some meiofauna were very close to or below POC values suggesting the use of other carbon sources, perhaps including dissolved organic carbon (DOC) and bacteria. Estimated potential grazing rates, based on generated carbon and nitrogen content of individuals in this study, confirmed earlier generally low estimates of grazing impact of the meiofauna on the ice algal spring bloom, leaving large portions of the produced matter as food for pelagic and benthic organisms. These findings suggest a more complex sea ice-based food web structure that should be more commonly incorporated into food web, conceptual and other models.</t>
  </si>
  <si>
    <t>10.3354/meps13170</t>
  </si>
  <si>
    <t>Vinton, AC; Vasseur, DA</t>
  </si>
  <si>
    <t>Resource limitation determines realized thermal performance of consumers in trophodynamic models</t>
  </si>
  <si>
    <t>consumer-resource model; metabolic meltdown; resource limitation; thermal performance</t>
  </si>
  <si>
    <t>TEMPERATURE-DEPENDENCE; METABOLIC THEORY; SOCKEYE-SALMON; TROPHIC LEVELS; CLIMATE-CHANGE; BODY-SIZE; RESPONSES; ECOLOGY; ASSIMILATION; ECTOTHERMS</t>
  </si>
  <si>
    <t>Recent work has demonstrated that changes in resource availability can alter a consumer's thermal performance curve (TPC). When resources decline, the optimal temperature and breadth of thermal performance also decline, leading to a greater risk of warming than predicted by static TPCs. We investigate the effect of temperature on coupled consumer-resource dynamics, focusing on the potential for changes in the consumer TPC to alter extinction risk. Coupling consumer and resource dynamics generally reduces the potential for resource decline to exacerbate the effects of warming via changes to the TPC due to a reduction in top-down control when consumers near the limits of their thermal performance curve. However, if resources are more sensitive to warming, consumer TPCs can be reshaped by declining resources, leading to increased extinction risk. Our work elucidates the role of top-down and bottom-up regulation in determining the extent to which changes in resource density alter consumer TPCs.</t>
  </si>
  <si>
    <t>10.1111/ele.14086</t>
  </si>
  <si>
    <t>Llorens, L; Penuelas, J; Beier, C; Emmett, B; Estiarte, M; Tietema, A</t>
  </si>
  <si>
    <t>Effects of an experimental increase of temperature and drought on the photosynthetic performance of two ericaceous shrub species along a north-south European gradient</t>
  </si>
  <si>
    <t>Calluna vulgaris; chlorophyll fluorescence; climatic change; drought; Erica multiflora; European transect; leaf gas exchange; stable isotopes; warming</t>
  </si>
  <si>
    <t>HAWAIIAN METROSIDEROS-POLYMORPHA; SIMULATING CLIMATIC-CHANGE; CARBON-ISOTOPE COMPOSITION; PETRAEA MATT LIEBL; LEAF GAS-EXCHANGE; CHLOROPHYLL FLUORESCENCE; PHOTOSYSTEM-II; ELEVATED CO2; STRESS TOLERANCE; WATER DEFICITS</t>
  </si>
  <si>
    <t>Plant ecophysiological changes in response to climatic change may be different in northern and southern European countries because different abiotic factors constrain plant physiological activity. We studied the effects of experimental warming and drought on the photosynthetic performance of two ericaceous shrubs (Erica multiflora and Calluna vulgaris) along a European gradient of temperature and precipitation (UK, Denmark, The Netherlands, and Spain). At each site, a passive warming treatment was applied during the night throughout the whole year, whereas the drought treatment excluded rain events over 6-10 weeks during the growing season. We measured leaf gas exchange, chlorophyll a fluorescence, and leaf carbon isotope ratio (delta(13)C) during the growing seasons of 1999 and 2000. Leaf net photosynthetic rates clearly followed a gradient from northern to southern countries in agreement with the geographical gradient in water availability. Accordingly, there was a strong correlation between net photosynthetic rates and the accumulated rainfall over the growing season. Droughted plants showed lower leaf gas exchange rates than control plants in the four sites. Interestingly, although leaf photosynthetic rates decreased along the precipitation gradient and in response to drought treatment, droughted plants were able to maintain higher leaf photosynthetic rates than control plants in relation to the accumulated rainfall over the months previous to the measurements. Droughted plants also showed higher values of potential photochemical efficiency (F-v/F-m) in relation to controls, mainly at midday. The warming treatment did not affect significantly any of the studied instantaneous ecophysiological variables.</t>
  </si>
  <si>
    <t>10.1007/s10021-004-0180-1</t>
  </si>
  <si>
    <t>Chen, J; Xu, Q; Gao, DQ; Song, AY; Hao, YG; Ma, YB</t>
  </si>
  <si>
    <t>Differential water use strategies among selected rare and endangered species in West Ordos Desert of China</t>
  </si>
  <si>
    <t>rare species; endangered species; hydrogen stable isotope; water use strategies; West Ordos Desert (WOD); varyingintensity rainfall events</t>
  </si>
  <si>
    <t>SUMMER PRECIPITATION; NORTHWESTERN CHINA; POPULUS-EUPHRATICA; STABLE-ISOTOPES; HYDRAULIC LIFT; USE PATTERNS; FRESH-WATER; PLANTS; SHRUBS; ECOSYSTEMS</t>
  </si>
  <si>
    <t>Aims West Ordos Desert (WOD) in Inner Mongolia of China is characterized by unique geographical and ecological features to avoid the direct invasion of Quaternary Continental Glaciation, so it hosts many endangered relic species such as Tetraena mongolica, Ammopiptanthus mongolicus and Potaninia mongolica from Tertiary. However, how these plants utilize available water sources remains unknown. The objective of this study was to investigate the water utilization strategies of selected rare and endangered plant species in WOD by comparing hydrogen isotope ratios between their xylem water and possible water sources following four rainfall events of varying-intensities. Methods We measured the hydrogen isotope ratios of xylem water from T. mongolica, A. mongolicus and P. mongolica and an accompanying species Sarcozygium xanthoxylum and potential water sources (including precipitation and soil water in different soil layers from 0 to 150 cm) over 9 days following each of four varying-intensity rainfall events during the summer of 2012. And then calculated the percentage utilization of potential water sources by each species after each rainfall events using the linear mixing model. We also made the measurements of soil moisture and root biomass in favor of interpretation of plant water use strategies. Important Findings Tetraena mongolica, A. mongolicus and S. xanthoxylum primarily relied on deep soil water, whereas P. mongolica depended predominantly on rainwater. These rare and endangered desert plants had differential utilizations of available water sources, so some competition for limited water existed among some species. Tetraena mongolica had a competitive relationship in absorption of soil moisture with the same family species S. xanthoxylum, suggesting that T. mongolica and S. xanthoxylum should be restored separately at different areas in the WOD. Overall, this study provides a better understanding of water use strategies of these four plants and scientific evidence for protecting rare and endangered plants, maintaining regional species diversity, and developing effective vegetation restoration plans in the WOD.</t>
  </si>
  <si>
    <t>10.1093/jpe/rtw059</t>
  </si>
  <si>
    <t>Witteveen, BH; Worthy, GAJ; Roth, JD</t>
  </si>
  <si>
    <t>Tracing migratory movements of breeding North Pacific humpback whales using stable isotope analysis</t>
  </si>
  <si>
    <t>Classification tree analysis; Megaptera novaeangliae; Migration; Stable isotopes</t>
  </si>
  <si>
    <t>MEGAPTERA-NOVAEANGLIAE; POPULATION-STRUCTURE; TROPHIC RELATIONSHIPS; BALAENA-MYSTICETUS; NUTRITIONAL STRESS; FEEDING GROUNDS; CARBON; NITROGEN; DIET; CALIFORNIA</t>
  </si>
  <si>
    <t>North Pacific humpback whales Megaptera novaeangliae are migratory animals with a complex population structure, segregating into geographically distinct aggregations on high-latitude feeding grounds. Several feeding aggregations may converge on a common breeding ground for mating and calving. Understanding how feeding and breeding habitats are linked is critical to understanding humpback whale life history and addressing management and conservation efforts. In a continued effort to explore the population structure of North Pacific humpback whales through the analysis of stable carbon (delta C-13) and nitrogen (delta N-15), the present study extends on a previous study of feeding animals to describe migratory linkages to breeding grounds (Witteveen et al. 2009). Skin samples (n = 597) collected from 4 known breeding regions were analyzed for delta C-13 and delta N-15. Breeding regions differed in both delta C-13 (F-3,F-585 = 62.3, p &lt; 0.001) and delta N-15 (F-3,F-585 = 37.2, p &lt; 0.001). Breeding values reflected the foraging locations for 46 ind. sampled on both habitats; the relationship between the breeding and feeding stable isotope ratios was significant and positive for both delta C-13 (F-1,F-44 = 10.3, r(2) = 0.19, p = 0.002) and delta N-15 (F-1,F-14 = 40.9, r(2) = 0.48, p &lt; 0.001). Furthermore, individual breeding and feeding values did not differ for delta N-15 (t(45) = 1.41, p = 0,17) or delta C-13 (t(45) = -1.15, p = 0.26) in pairwise comparisons. We used delta C-13 and delta N-15 in a classification tree analysis to describe probable migratory linkages to 6 previously described feeding groups. Stable isotope ratios predicted regional patterns of movement, and assignments of breeding individuals to feeding grounds differed by 12% on average from photographic matching. Our results indicate this technique can be used to help understand the population structure and ecology of North Pacific humpback whale populations, especially when used in combination with other research techniques.</t>
  </si>
  <si>
    <t>10.3354/meps08231</t>
  </si>
  <si>
    <t>Vanessa, D; Davide, C; Ilaria, B; Chiara, B; Stefano, B; Mattia, I; Silvia, Z; Pietro, V</t>
  </si>
  <si>
    <t>Non-native fish assemblages display potential competitive advantages in two protected small and shallow lakes of northern Italy</t>
  </si>
  <si>
    <t>Biological invasions; Isotopic niches; Stable isotopes; Niche overlap; Ameiurus melas, Lepomis gibbosus</t>
  </si>
  <si>
    <t>STABLE-ISOTOPE ANALYSIS; FOOD WEBS; FEEDING STRATEGIES; RECENT INVASION; TROPHIC NICHE; IMPACTS; SPECIALIZATION; EMPHASIS; ECOLOGY</t>
  </si>
  <si>
    <t>The introduction and establishment of non-native fish species is a widespread phenomenon in freshwater ecosystems, including small and shallow lakes. However, these ecosystems are often not considered in conservation and ecological studies and a few information is available on their fish communities and the impacts of biological invasions. Here, standardized fish surveys (gill netting and electrofishing) and stable isotopes analysis (SIA) of carbon and nitrogen (813C and 815N) were combined to assess fish community composition, trophic structure and trophic diversity, and to characterize the interspecific trophic interactions (as isotopic niches and their relative asymmetric overlap) of the native and non-native species (NS and NNS, respectively) found in two protected small and shallow lakes, San Michele and Campagna (northern Italy). In San Michele, 92% of the fish caught were NNS and both the individual and biomass per unit effort were dominated by NNS, particularly by the invasive Lepomis gibbosus L. and Ictalurus punctatus (Rafinesque, 1818). In Campagna, 5.6% of the fish in the total catches belonged to NNS and the numeric and biomass abundances of the assemblage were dominated by the NS Alburnus alborella (Bonaparte, 1841). SIA revealed that NNS had greater trophic structure and were exploiting a wider range of resources (as per Layman metrics) and had a higher asymmetric overlap than NS assemblages in both lakes. This was also evident when species-specific isotopic ecology was considered, underlining that, in both lakes, NNS (particularly the NNS Ameiurus melas (Rafinesque, 1820)) may have a competitive advantage over NS in case of limiting resources. The results thus pointed to a worrying conservation status of these lakes that may mirror the condition of other Italian shallow and small lakes highlighting the need to implement management actions to preserve these valuable ecosystems.</t>
  </si>
  <si>
    <t>e02082</t>
  </si>
  <si>
    <t>10.1016/j.gecco.2022.e02082</t>
  </si>
  <si>
    <t>Finger, RA; Turetsky, MR; Kielland, K; Ruess, RW; Mack, MC; Euskirchen, ES</t>
  </si>
  <si>
    <t>Effects of permafrost thaw on nitrogen availability and plant-soil interactions in a boreal Alaskan lowland</t>
  </si>
  <si>
    <t>climate change; collapse scar bog; nutrients; peatlands; rooting depth; stable isotopes; subarctic; thermokarst; N-15</t>
  </si>
  <si>
    <t>ORGANIC-MATTER; CARBON; TUNDRA; CLIMATE; N-15; FERTILIZATION; PEATLANDS; INCREASES; ECOSYSTEM</t>
  </si>
  <si>
    <t>Increasing rates of permafrost thaw in boreal peatlands are converting conifer forests to waterlogged open wetlands. Permafrost thaw increases soil nitrogen (N) availability, but it is unclear whether such changes are due solely to changes in surface soil N mineralization or N mobilization from thawing permafrost soils at depth. We examined plant species composition and N availability along triplicate permafrost thaw gradients in Alaskan peatlands. Each gradient comprised four community types including: (i) a permafrost peatland with intact permafrost, (ii) a drunken forest experiencing active thaw, (iii) a moat representing initial complete thaw and (iv) a collapse scar bog representing several decades of post-thaw succession. Concentrations of dissolved organic (DON) and inorganic N (DIN) in the upper 60cm of soil increased along the permafrost thaw gradients. The drunken forest had the greatest mean concentrations of total dissolved N relative to the other community types, primarily due to greater concentrations of large molecular DON. The moat and collapse bog had significantly greater inorganic N concentrations than the permafrost or drunken forest, suggesting that changes in N availability are not a short-term effect, but can be sustained for decades or centuries. Across all plant community types, DIN and DON concentrations increased with soil depth during maximum seasonal ice thaw (September), suggesting that deeper soil horizons are important reservoirs of N post-thaw. Vegetation responses to permafrost thaw included changes in plant community composition shifting from upland forest species to hydrophilic vegetation with deeper rooting profiles in the collapse scar bogs and changes in foliar N and N-15 values. N concentrations in plant foliage and litterfall increased with concentrations of DIN during collapse bog succession, suggesting that plants are utilizing additional mineralized N.Synthesis. Our results suggest that the conversion of forest to wetlands associated with permafrost thaw in boreal lowlands increases N availability, at least in part by increasing turnover of deep soil organic matter. Plants appear to utilize these additional deeper N sources over timescales of years to centuries following permafrost thaw.</t>
  </si>
  <si>
    <t>10.1111/1365-2745.12639</t>
  </si>
  <si>
    <t>Bond, AL; Diamond, AW</t>
  </si>
  <si>
    <t>Recent Bayesian stable-isotope mixing models are highly sensitive to variation in discrimination factors</t>
  </si>
  <si>
    <t>assumptions; conservation; discrimination factor; management; MixSIR; mixing model; Puffinus mauretanicus; sensitivity analysis; SIAR; stable isotope; Sterna hirundo</t>
  </si>
  <si>
    <t>LABORATORY EXPERIMENTS; SEABIRD COMMUNITIES; DISTANCE MEASURES; CONSUMER-DIET; ECOLOGY; FRACTIONATION; UNCERTAINTY; DELTA-N-15; FISHERIES; FEATHERS</t>
  </si>
  <si>
    <t>Stable isotopes are now used widely in ecological studies, including diet reconstruction, where quantitative inferences about diet composition are derived from the use of mixing models. Recent Bayesian models (MixSIR, SIAR) allow users to incorporate variability in discrimination factors (Delta C-13 or Delta N-15), or the amount of change in either delta C-13 or delta N-15 between prey and consumer, but to date there has been no systematic assessment of the effect of variation in Delta C-13 or Delta N-15 on model outputs. We used whole blood from Common Terns (Sterna hirundo) and muscle from their common prey items (fish and euphausiids) to build a series of mixing models in SIAR (stable isotope analysis in R) using various discrimination factors from the published literature for marine birds. The estimated proportion of each diet component was affected significantly by Delta C-13 or Delta N-15. We also use recently published stable-isotope data on the reliance of critically endangered Balearic Shearwaters (Puffinus mauretanicus) on fisheries discards to show that discrimination factor choice can have profound implications for conservation and management actions. It is therefore crucial for researchers wishing to use mixing models to have an accurate estimate of Delta C-13 and Delta N-15, because quantitative diet estimates can help to direct future research or prioritize conservation and management actions.</t>
  </si>
  <si>
    <t>10.1890/09-2409.1</t>
  </si>
  <si>
    <t>Kolts, JM; Lovvorn, JR; North, CA; Grebmeier, JM; Cooper, LW</t>
  </si>
  <si>
    <t>Relative value of stomach contents, stable isotopes, and fatty acids as diet indicators for a dominant invertebrate predator (Chionoecetes opilio) in the northern Bering Sea</t>
  </si>
  <si>
    <t>Decapod diets; Northern Bering Sea; Snow crab; delta C-13; delta N-15</t>
  </si>
  <si>
    <t>PRINCE-WILLIAM-SOUND; FOOD-WEB STRUCTURE; CALLINECTES-SAPIDUS; SIGNATURE ANALYSIS; TROPHIC POSITION; NITROGEN-SOURCES; MIXING MODELS; HARBOR SEALS; DELTA-N-15; DELTA-C-13</t>
  </si>
  <si>
    <t>Stable isotopes (delta C-13 and delta N-15) and fatty acid biomarkers have increasingly replaced stomach contents in diet studies. Stable isotopes (SIs) and fatty acids (FAs) can indicate diet over longer periods than stomach contents (SCs), and provide data when stomachs are empty. While SCs yield greater taxonomic resolution, SI methods are less invasive and labor intensive, and SIs and FAs can indicate the relative mass of foods assimilated. For invertebrates, however, data on fractionation of SI and calibration coefficients for FA needed for definitive quantitative estimates are often lacking. To assess differences in inference from the different methods for an omnivorous invertebrate, we compared SC, SI, and FA analyses as diet indicators for snow crabs (Chionoecetes opilio) in the northern Bering Sea. Stomach contents (relative percent frequency of occurrence) consisted mainly of crustaceans, bivalves, and polychaetes, with lesser frequency of gastropods and ophiuroids. SCs varied among regions and correlated strongly with local prey abundance. Diets inferred from individual values or Bayesian mixing models of Sls did not correlate well with local prey abundance or SCs, suggesting a need for a better understanding of the fractionation of delta N-15 and delta C-13 from different foods in snow crabs. FAs suggested consumption of nemertean worms which, lacking hard parts, were not identified in stomach contents. Resemblance of FA composition among prey taxa, similar diet diversity among different areas, and unknown assimilation efficiencies for different FAs by snow crabs limited inference from FAs about the magnitude of diet differences among regions. Stomach contents yielded the most definitive diet information for an invertebrate whose prey mostly contained hard, easily identifiable structures. (C) 2013 Elsevier B.V. All rights reserved.</t>
  </si>
  <si>
    <t>10.1016/j.jembe.2013.10.005</t>
  </si>
  <si>
    <t>Gu, BH; Schelske, CL; Hoyer, MV</t>
  </si>
  <si>
    <t>Intrapopulation feeding diversity in blue tilapia: Evidence from stable-isotope analyses</t>
  </si>
  <si>
    <t>blue tilapia; diet analysis with stable C and N isotopes; diet variation in fish; delta C-13; delta N-15; exotic freshwater fish; feeding diversity; intrapopulation; Lake Apopka, Florida, USA; Oreochromis aureus</t>
  </si>
  <si>
    <t>CARBON ISOTOPES; FOOD-WEB; LAKE KINNERET; BONE-COLLAGEN; FISH; DELTA-C-13; INDICATORS; DELTA-N-15; NITROGEN; PETERS</t>
  </si>
  <si>
    <t>Stable carbon and nitrogen isotopes (delta(13)C and delta(15)N) in animal tissues are largely determined by isotope composition of assimilated food. Variations in delta(13)C and delta(15)N values within a fish population are often small as a result of feeding on the same food source. We report here, however, strikingly broad ranges of delta(13)C (-25.9 to -9.5 parts per thousand) and delta(15)N (5.8 to 14.4 parts per thousand) in an exotic fish from a Florida lake. Together with isotope data for food sources and gut contents, we demonstrate significant diet variation within a population of blue tilapia.</t>
  </si>
  <si>
    <t>10.1890/0012-9658(1997)078[2263:IFDIBT]2.0.CO;2</t>
  </si>
  <si>
    <t>Hilgers, L; Herder, F; Hadiaty, RK; Pfaender, J</t>
  </si>
  <si>
    <t>Alien attack: trophic interactions of flowerhorn cichlids with endemics of ancient Lake Matano (Sulawesi, Indonesia)</t>
  </si>
  <si>
    <t>competition; flowerhorn cichlid; invasion; ontogenetic niche shift; predation; Telmatherina</t>
  </si>
  <si>
    <t>INTRODUCED LARGEMOUTH BASS; ONTOGENIC NICHE SHIFTS; SAILFIN SILVERSIDE; SPECIES FLOCK; TELMATHERINA-SARASINORUM; ADAPTIVE RADIATION; R PACKAGE; FISH; INVASION; COMMUNITY</t>
  </si>
  <si>
    <t>Background: The ancient Malili Lakes (Sulawesi, Indonesia) harbour an exceptional diversity of freshwater animals, including several endemic species flocks. Lake Matano, the hydrological head of the lake system, has seen the successful invasion of a man-made hybrid fish, the flowerhorn cichlid. In less than one decade, flowerhorns colonized the entire shoreline of Lake Matano. However, little is known about the flowerhorn's ecology in the wild, its potential impact on the ecosystems it invades, or the reasons for its invasive success. Question: Do flowerhorn cichlids prey on endemic species and do they compete for dietary resources with endemic fish radiations? Methods: We studied stomach contents of 136 flowerhorns from six locations around Lake Matano, investigated ontogenetic dietary niche shifts, and compared diets to available stomach-content data from two endemic fish radiations (Telmatherina). Results: Flowerhorns undergo a pronounced ontogenetic dietary niche shift. While juveniles mostly prey on aquatic insects, adults have a generalized diet and prey on species of all major endemic radiations. Although flowerhorns consume most of the resources that dominate the diets of the Telmatherina radiations, dietary overlap between single endemic species and flowerhorns is limited. Minimal dietary overlap of juvenile flowerhorns with both adult conspecifics and endemic Telmatherina combined with omnivory and territoriality of adults potentially facilitated their invasive success.</t>
  </si>
  <si>
    <t>Morley, SA; Coe, HJ; Duda, JJ; Dunphy, LS; McHenry, ML; Beckman, BR; Elofson, M; Sampson, EM; Ward, L</t>
  </si>
  <si>
    <t>Seasonal variation exceeds effects of salmon carcass additions on benthic food webs in the Elwha River</t>
  </si>
  <si>
    <t>benthic invertebrates; dam removal; Elwha River; marine-derived nutrients; Pacific salmon (Oncorhynchus spp.) recolonization; periphyton; salmon subsidies; stable isotopes; Washington State</t>
  </si>
  <si>
    <t>MARINE-DERIVED NUTRIENTS; JUVENILE COHO SALMON; SCALE DAM REMOVAL; PACIFIC SALMON; FRESH-WATER; COMMUNITY DYNAMICS; STREAM PERIPHYTON; STABLE-ISOTOPES; LIMITATION; GROWTH</t>
  </si>
  <si>
    <t>Dam removal and other fish barrier removal projects in western North America are assumed to boost freshwater productivity via the transport of marine-derived nutrients from recolonizing Pacific salmon (Oncorhynchus spp.). In anticipation of the removal of two hydroelectric dams on the Elwha River in Washington State, we tested this hypothesis with a salmon carcass addition experiment. Our study was designed to examine how background nutrient dynamics and benthic food webs vary seasonally, and how these features respond to salmon subsidies. We conducted our experiment in six side channels of the Elwha River, each with a spatially paired reference and treatment reach. Each reach was sampled on multiple occasions from October 2007 to August 2008, before and after carcass placement. We evaluated nutrient limitation status; measured water chemistry, periphyton, benthic invertebrates, and juvenile rainbow trout (O. mykiss) response; and traced salmon-derived nutrient uptake using stable isotopes. Outside of winter, algal accrual was limited by both nitrogen and phosphorous and remained so even in the presence of salmon carcasses. One month after salmon addition, dissolved inorganic nitrogen levels doubled in treatment reaches. Two months after addition, benthic algal accrual was significantly elevated. We detected no changes in invertebrate or fish metrics, with the exception of N-15 enrichment. Natural seasonal variability was greater than salmon effects for the majority of our response metrics. Yet seasonality and synchronicity of nutrient supply and demand are often overlooked in nutrient enhancement studies. Timing and magnitude of salmon-derived nitrogen utilization suggest that uptake of dissolved nutrients was favored over direct consumption of carcasses. The highest proportion of salmon-derived nitrogen was incorporated by herbivores (18-30%) and peaked 1-2 months after carcass addition. Peak nitrogen enrichment in predators (11-16%) occurred 2-3 months after addition. All taxa returned to background delta N-15 levels by 7 months. Since this study was conducted, both dams on the Elwha River were removed over 2011-2014 to open over 90% of the basin to anadromous fishes. We anticipate that as the full portfolio of salmon species expands through the basin, nutrient supply and demand will come into better balance.</t>
  </si>
  <si>
    <t>e01422</t>
  </si>
  <si>
    <t>10.1002/ecs2.1422</t>
  </si>
  <si>
    <t>Hardtle, W; Niemeyer, T; Assmann, T; Baiboks, S; Fichtner, A; Friedrich, U; Lang, AC; Neuwirth, B; Pfister, L; Ries, C; Schuldt, A; Simon, N; von Oheimb, G</t>
  </si>
  <si>
    <t>Long-Term Trends in Tree-Ring Width and Isotope Signatures (delta C-13, delta N-15) of Fagus sylvatica L. on Soils with Contrasting Water Supply</t>
  </si>
  <si>
    <t>basal area increment; climate change; dendrochemistry; dendroecology; drought limitation; Luxembourg; nitrogen deposition</t>
  </si>
  <si>
    <t>N-15 NATURAL-ABUNDANCE; USE EFFICIENCY; NITROGEN DEPOSITION; RADIAL INCREMENT; QUERCUS-ROBUR; NORWAY SPRUCE; GROWTH; FOREST; CARBON; CLIMATE</t>
  </si>
  <si>
    <t>We investigated long-term responses (since 1850) of Fagus sylvatica (Luxembourg; central Europe) to shifts in temperature, precipitation, and nitrogen deposition by analyzing diameter at breast height (DBH) increment, basal area increment (BAI), and tree-ring stable isotopes (delta C-13, delta N-15). We compared stands on soils with contrasting water supply (Regosols and Cambisols with an available water capacity of ca. 40 and 170 mm, respectively) and of two different age classes (ca. 60 vs. 200 years). All stands showed a peak in DBH increment in the decade 1978-1987, but a decline in increment growth in subsequent decades. In addition, BAI declined in mature stands in the last two decades. Decreasing increment rates were attributable to an increasing drought limitation of stands, mainly induced by increasing temperatures in the last two decades. Contrary to our expectations, stands on Cambisols showed a similar susceptibility to shifts in temperature and precipitation as stands on Regosols, suggesting a strong adaptation of the respective ecotypes grown at dryer sites. This result was in line with long-term trends for tree-ring delta C-13 signatures, which did not differ significantly between stands on Cambisols and Regosols. Climate impacts on tree-ring delta N-15 signatures were low. High spring precipitation and temperatures caused increasing and decreasing delta N-15 values, respectively, but only in mature stands on Cambisols. Stands on Regosols tended to have lower delta N-15 values than stands on Cambisols. Decreasing delta N-15 values in recent decades suggest an increasing impact of allochthonous N loads with isotopically lighter N.</t>
  </si>
  <si>
    <t>10.1007/s10021-013-9692-x</t>
  </si>
  <si>
    <t>Mckee, KL; Cahoon, DR; Feller, IC</t>
  </si>
  <si>
    <t>Caribbean mangroves adjust to rising sea level through biotic controls on change in soil elevation</t>
  </si>
  <si>
    <t>accretion; decomposition; elevation change; habitat stability; Holocene; nutrients; radiocarbon; Rhizophora; subsidence</t>
  </si>
  <si>
    <t>VS. PHOSPHORUS LIMITATION; SURFACE ELEVATION; HOLOCENE; COLLAPSE; FORESTS; GROWTH; RISE; FATE; BAY</t>
  </si>
  <si>
    <t>Aim The long-term stability of coastal ecosystems such as mangroves and salt marshes depends upon the maintenance of soil elevations within the intertidal habitat as sea level changes. We examined the rates and processes of peat formation by mangroves of the Caribbean Region to better understand biological controls on habitat stability. Location Mangrove-dominated islands on the Caribbean coasts of Belize, Honduras and Panama were selected as study sites. Methods Biological processes controlling mangrove peat formation were manipulated (in Belize) by the addition of nutrients (nitrogen or phosphorus) to Rhizophora mangle (red mangrove), and the effects on the dynamics of soil elevation were determined over a 3-year period using rod surface elevation tables (RSET) and marker horizons. Peat composition and geological accretion rates were determined at all sites using radiocarbon-dated cores. Results The addition of nutrients to mangroves caused significant changes in rates of mangrove root accumulation, which influenced both the rate and direction of change in elevation. Areas with low root input lost elevation and those with high rates gained elevation. These findings were consistent with peat analyses at multiple Caribbean sites showing that deposits (up to 10 m in depth) were composed primarily of mangrove root matter. Comparison of radiocarbon-dated cores at the study sites with a sea-level curve for the western Atlantic indicated a tight coupling between peat building in Caribbean mangroves and sea-level rise over the Holocene. Main conclusions Mangroves common to the Caribbean region have adjusted to changing sea level mainly through subsurface accumulation of refractory mangrove roots. Without root and other organic inputs, submergence of these tidal forests is inevitable due to peat decomposition, physical compaction and eustatic sea-level rise. These findings have relevance for predicting the effects of sea-level rise and biophysical processes on tropical mangrove ecosystems.</t>
  </si>
  <si>
    <t>10.1111/j.1466-8238.2007.00317.x</t>
  </si>
  <si>
    <t>Samuels-Crow, KE; Peltier, DMP; Liu, Y; Guo, JS; Welker, JM; Anderegg, WRL; Koch, GW; Schwalm, C; Litvak, M; Shaw, JD; Ogle, K</t>
  </si>
  <si>
    <t>The importance of monsoon precipitation for foundation tree species across the semiarid Southwestern US</t>
  </si>
  <si>
    <t>semiarid ecosystems; North American Monsoon; Southwest U; S; water sources; stable isotopes; drought</t>
  </si>
  <si>
    <t>NORTH-AMERICAN MONSOON; PINYON-JUNIPER WOODLAND; ISOTOPIC COMPOSITION; FOREST MORTALITY; GAS-EXCHANGE; PINUS-EDULIS; WATER; DROUGHT; VARIABILITY; ECOSYSTEMS</t>
  </si>
  <si>
    <t>Forest dynamics in arid and semiarid regions are sensitive to water availability, which is becoming increasingly scarce as global climate changes. The timing and magnitude of precipitation in the semiarid southwestern U.S. (Southwest) has changed since the 21(st) century began. The region is projected to become hotter and drier as the century proceeds, with implications for carbon storage, pest outbreaks, and wildfire resilience. Our goal was to quantify the importance of summer monsoon precipitation for forested ecosystems across this region. We developed an isotope mixing model in a Bayesian framework to characterize summer (monsoon) precipitation soil water recharge and water use by three foundation tree species (Populus tremuloides [aspen], Pinus edulis [pinon], and Juniperus osteosperma [Utah juniper]). In 2016, soil depths recharged by monsoon precipitation and tree reliance on monsoon moisture varied across the Southwest with clear differences between species. Monsoon precipitation recharged soil at pinon-juniper (PJ) and aspen sites to depths of at least 60 cm. All trees in the study relied primarily on intermediate to deep (10-60 cm) moisture both before and after the onset of the monsoon. Though trees continued to primarily rely on intermediate to deep moisture after the monsoon, all species increased reliance on shallow soil moisture to varying degrees. Aspens increased reliance on shallow soil moisture by 13% to 20%. Utah junipers and co-dominant nons increased their reliance on shallow soil moisture by about 6% to 12%. Nonetheless, approximately half of the post-monsoon moisture in sampled pinon (38-58%) and juniper (47-53%) stems could be attributed to the monsoon. The monsoon contributed lower amounts to aspen stem water (24-45%) across the study area with the largest impacts at sites with recent precipitation. Therefore, monsoon precipitation is a key driver of growing season moisture that semiarid forests rely on across the Southwest. This monsoon reliance is of critical importance now more than ever as higher global temperatures lead to an increasingly unpredictable and weaker North American Monsoon.</t>
  </si>
  <si>
    <t>10.3389/ffgc.2023.1116786</t>
  </si>
  <si>
    <t>Kaufman, TJ; Pajuelo, M; Bjorndal, KA; Bolten, AB; Pfaller, JB; Williams, KL; Vander Zanden, HB</t>
  </si>
  <si>
    <t>Mother-egg stable isotope conversions and effects of lipid extraction and ethanol preservation on loggerhead eggs</t>
  </si>
  <si>
    <t>Albumen; carbon isotopes; Caretta caretta; nitrogen isotopes; yolk</t>
  </si>
  <si>
    <t>NITROGEN-ISOTOPE; DISCRIMINATION FACTORS; CARETTA-CARETTA; SEA-TURTLES; CARBON; FRACTIONATION; MARINE; RATIOS; PATTERNS; NORMALIZATION</t>
  </si>
  <si>
    <t>Carbon and nitrogen stable isotope (delta C-13 and delta N-15) analysis has been used to elucidate foraging and migration behaviours of endangered sea turtle populations. Isotopic analysis of tissue samples from nesting females can provide information about their foraging locations before reproduction. To determine whether loggerhead (Caretta caretta) eggs provide a good proxy for maternal isotope values, we addressed the following three objectives: (i) we evaluated isotopic effects of ethanol preservation and lipid extraction on yolk; (ii) we examined the isotopic offset between maternal epidermis and corresponding egg yolk and albumen tissue delta C-13 and delta N-15 values; and (iii) we assessed the accuracy of foraging ground assignment using egg yolk and albumen stable isotope values as a proxy for maternal epidermis. Epidermis (n = 61), albumen (n = 61) and yolk samples (n = 24) were collected in 2011 from nesting females at Wassaw Island, GA, USA. Subsamples from frozen and ethanol-preserved yolk samples were lipid extracted. Both lipid extraction and ethanol preservation significantly affected yolk delta C-13, while delta N-15 values were not altered at a biologically relevant level. The mathematical corrections provided here allow for normalization of yolk delta C-13 values with these treatments. Significant tissue conversion equations were found between delta C-13 and delta N-15 values of maternal epidermis and corresponding yolk and albumen. Finally, the consistency in assignment to a foraging area was high (up to 84%), indicating that these conversion equations can be used in future studies where stable isotopes are measured to determine female foraging behaviour and trophic relationships by assessing egg components. Loggerhead eggs can thus provide reliable isotopic information when samples from nesting females cannot be obtained.</t>
  </si>
  <si>
    <t>cou049</t>
  </si>
  <si>
    <t>10.1093/conphys/cou049</t>
  </si>
  <si>
    <t>Sihi, D; Inglett, PW; Gerber, S; Inglett, KS</t>
  </si>
  <si>
    <t>Rate of warming affects temperature sensitivity of anaerobic peat decomposition and greenhouse gas production</t>
  </si>
  <si>
    <t>carbon quality; CH4; CO2; global warming potential; microbial decomposition model; nutrient availability; peatlands; soil C stock</t>
  </si>
  <si>
    <t>CARBON-USE EFFICIENCY; ORGANIC-MATTER DECOMPOSITION; SOIL-CARBON; LITTER DECOMPOSITION; MICROBIAL COMMUNITY; THERMAL-ACCLIMATION; GROWTH EFFICIENCY; BACTERIAL-GROWTH; IGNITION METHOD; STOICHIOMETRY</t>
  </si>
  <si>
    <t>Temperature sensitivity of anaerobic carbon mineralization in wetlands remains poorly represented in most climate models and is especially unconstrained for warmer subtropical and tropical systems which account for a large proportion of global methane emissions. Several studies of experimental warming have documented thermal acclimation of soil respiration involving adjustments in microbial physiology or carbon use efficiency (CUE), with an initial decline in CUE with warming followed by a partial recovery in CUE at a later stage. The variable CUE implies that the rate of warming may impact microbial acclimation and the rate of carbon-dioxide (CO2) and methane (CH4) production. Here, we assessed the effects of warming rate on the decomposition of subtropical peats, by applying either a large single-step (10 degrees C within a day) or a slow ramping (0.1 degrees C/day for 100 days) temperature increase. The extent of thermal acclimation was tested by monitoring CO2 and CH4 production, CUE, and microbial biomass. Total gaseous C loss, CUE, and MBC were greater in the slow (ramp) warming treatment. However, greater values of CH4-C: CO2-C ratios lead to a greater global warming potential in the fast (step) warming treatment. The effect of gradual warming on decomposition was more pronounced in recalcitrant and nutrient-limited soils. Stable carbon isotopes of CH4 and CO2 further indicated the possibility of different carbon processing pathways under the contrasting warming rates. Different responses in fast vs. slow warming treatment combined with different endpoints may indicate alternate pathways with long-term consequences. Incorporations of experimental results into organic matter decomposition models suggest that parameter uncertainties in CUE and CH4-C: CO2-C ratios have a larger impact on long-term soil organic carbon and global warming potential than uncertainty in model structure, and shows that particular rates of warming are central to understand the response of wetland soils to global climate change.</t>
  </si>
  <si>
    <t>E259</t>
  </si>
  <si>
    <t>E274</t>
  </si>
  <si>
    <t>10.1111/gcb.13839</t>
  </si>
  <si>
    <t>Zhou, JZ; Zhao, Y; Song, LX; Bi, S; Zhang, HJ</t>
  </si>
  <si>
    <t>Assessing the effect of the Three Gorges reservoir impoundment on spawning habitat suitability of Chinese sturgeon (Acipenser sinensis) in Yangtze River, China</t>
  </si>
  <si>
    <t>Fuzzy habitat model; Fuzzy logic inference; Three Gorges Reservoir; Water storage; Chinese sturgeon; Spawning habitat</t>
  </si>
  <si>
    <t>FISH; STREAM; MODEL; KNOWLEDGE; QUALITY; REGIME</t>
  </si>
  <si>
    <t>The Chinese sturgeon (Acipenser sinensis), a kind of maricolous anadromous migratory fish species, is endangered and protected in China. Historical spawning habitats were distributed in the lower reaches of jinsha River and the upper reaches of Yangtze River. Since the establishment of the Gezhouba water conservancy pivot in 1981, the migratory route of Chinese sturgeon spawning was blocked. Therefore, the fish was forced to propagate in a new spawning ground which was mainly distributed in the 4-km-long mainstream from Gezhouba Dam to Miaozui in the middle Yangtze River. After water storage and power generation of the Three Gorges reservoir (TGR) in 2003, the propagation of Chinese sturgeon has been impacted gradually. According to field surveys, the fish used to spawn twice a year before TGR impoundment, but only once happened after that. Besides, the spawning scale is also declining with each passing year. In order to simulate and evaluate the effect of TGR impoundment on spawning habitats of Chinese sturgeon, with consideration of their reproductive characteristics, an eco-hydrodynamic model was established by coupling a two-dimensional hydrodynamic model and a fuzzy fish habitat module based on fuzzy logic inference. Flow fields at the studied site in an impoundment scenario and an assumed no impoundment scenario were simulated with the 2D hydrodynamic model. Afterwards, by linking hydrodynamic conditions to the expert knowledge base, the fuzzy habitat model used fuzzy logic inference to compute habitat suitability of the Chinese sturgeon. In addition, the approach was used to propose a suitable instream flow range during the propagation period for Chinese sturgeon. The results indicated that the suitable instream flow needed for Chinese sturgeon spawning in middle Yangtze River should be between 10,000 m(3)/s and 17,000 m(3)/s and it also showed that after TGR was put into pilot impoundment operation at the designed water level of 175 m, the habitat suitability has decreased significantly in October. Besides, the water temperature of spawning habitat increased to a higher level in propagation period due to the impoundment of the TGR. All these alterations have had imposed tremendous impacts on the propagation of Chinese sturgeon. Therefore, adjusting impoundment schedule of the TGR to recover the water flow over spawning habitat in October is a crucial way to improve the habitat suitability. Furthermore, the presented method also provides a theoretical basis for further research on the assessment of habitat suitability of aquatic species at a micro-habitat scale. (C) 2014 Elsevier B.V. All rights reserved.</t>
  </si>
  <si>
    <t>10.1016/j.ecoinf.2014.01.008</t>
  </si>
  <si>
    <t>Michaud, WK; Power, M; Kinnison, MT</t>
  </si>
  <si>
    <t>Trophically mediated divergence of Arctic charr (Salvelinus alpinus L.) populations in contemporary time</t>
  </si>
  <si>
    <t>contemporary rapid evolution; geometric morphometrics; ontogenic shift; rate of divergence; resource polymorphism; trophic specialization; stable isotopes</t>
  </si>
  <si>
    <t>PHENOTYPIC PLASTICITY; RESOURCE POLYMORPHISM; LIFE-HISTORY; EVOLUTION; LAKE; DIFFERENTIATION; SPECIATION; PERFORMANCE; MORPHOLOGY; DIVERSITY</t>
  </si>
  <si>
    <t>Hypothesis: Trophic specializations can evolve in contemporary time ill response to changes in trophic opportunities afforded by different ecosystems. Organism: Lacustrine populations of Arctic charr (Salvelinus alpinus L.), a model species in studies of trophic specialization and divergence. Time and location: A natural experiment in divergence began when piscivorous Arctic charr were translocated from Floods Pond to Long Pond, Maine (USA) in the late 1970s. Analytical methods: Stomach contents, carbon and nitrogen stable isotope ratios, head and body shape, gill raker morphology, and size-at-age were compared between the translocated and indigenous populations after approximately six generations (25 years) of divergence. The relative rate at which divergence arose in growth and morphological traits was estimated using haldanes. Results: Despite the fact that ancestrally preferred prey items (fish) were available in both lakes, the translocated population of Arctic charr exhibited a clear shift in both diet and phenotype relative to its source. Differences in diet were primarily attributed to changes in the timing of an ontogenic shift, with Arctic charr from the translocated population becoming piscivorous at a later age. Divergence was also detected in several phenotypic characteristics, including body depth, fin lengths, eye width, maxilla length, gill raker design, and size-at-age. Conclusions: Significant phenotypic differences between a translocated population of Arctic charr and its ancestral Source suggest trophic specializations can diverge in contemporary time. The phenotypic differences noted in this case appear broadly consistent with long-term patterns of trophic specialization, and arose at a relatively rapid rate, even for a contemporary time scale. This suggests that the rudiments of post-glacial diversification, or perhaps even speciation, may arise in response to ecological opportunities very early in the divergence process.</t>
  </si>
  <si>
    <t>Bolton, JL; White, PA; Burrows, DG; Lundin, JI; Ylitalo, GM</t>
  </si>
  <si>
    <t>Food resources influence levels of persistent organic pollutants and stable isotopes of carbon and nitrogen in tissues of Arctic foxes (Vulpes lagopus) from the Pribilof Islands, Alaska</t>
  </si>
  <si>
    <t>Bering Sea; marine food web; Pribilof fox; conservation; feeding ecology; POPs</t>
  </si>
  <si>
    <t>CHLORINATED-HYDROCARBON CONTAMINANTS; SEAL CALLORHINUS-URSINUS; BEARS URSUS-MARITIMUS; ALOPEX-LAGOPUS; ORGANOCHLORINE CONTAMINANTS; POLAR BEARS; MARINE MAMMALS; TROPHIC ECOLOGY; TEMPORAL TRENDS; FEEDING ECOLOGY</t>
  </si>
  <si>
    <t>The Arctic fox (Vulpes lagopus) is a small canid with a circumpolar Arctic distribution. Several subspecies are recognized, including a subspecies known as the Pribilof fox (V. I. pribilofensis) endemic to the Pribilof Islands of Alaska, USA. Pribilof fox tissues were collected from the islands of St. Paul (n = 38) and St. George (n = 13). Levels of persistent organic pollutants (POPs) and stable isotopes of carbon and nitrogen were measured and the findings related to sex, age class, island and access to anthropogenic food resources using ANOVA and principal component analysis. The rank order for POPs in fat was polychlorinated biphenyls (Sigma PCBs) &gt; chlordanes (Sigma CHLs) &gt;&gt; hexachlorocyclohexanes (Sigma HCHs) &gt; DDTs (Sigma DDTs) &gt; hexachlorobenzene (HCB) similar to polybrominated diphenyl ethers (SPBDEs). Adult females had lower mean levels of most POPs (Sigma PCBs, Sigma CHLs, Sigma HCHs, Sigma DDTs) and lower delta N-15 values than adult males. Foxes on St. Paul had significantly higher levels of most POPs than those on St. George, though St. George foxes were significantly higher in HCB. Foxes with high probability of access to anthropogenic foods had significantly lower levels of Sigma DDTs and lower delta N-15 values than foxes with a low probability of access. The observed differences in contaminant and stable isotope levels were consistent with fox use patterns of different food resources. POP concentrations in the tissues of some Pribilof foxes, especially from St. Paul, were higher than those associated with thresholds for adverse health effects. POPs may therefore be a factor for consideration in the conservation of Pribilof foxes.</t>
  </si>
  <si>
    <t>10.1080/17518369.2017.1310994</t>
  </si>
  <si>
    <t>Bode, A; Varela, M; Prego, R</t>
  </si>
  <si>
    <t>Continental and marine sources of organic matter and nitrogen for rias of northern Galicia (Spain)</t>
  </si>
  <si>
    <t>Stable isotopes; Anthropogenic nutrients; Estuary; Macroalgae; Mussels; Galicia</t>
  </si>
  <si>
    <t>COASTAL UPWELLING SYSTEM; VIGO NW SPAIN; STABLE-ISOTOPE RATIOS; FOOD-WEB; IBERIAN PENINSULA; SURFACE SEDIMENTS; SOUTHERN-CALIFORNIA; NUTRIENT FLUXES; CARBON; ESTUARY</t>
  </si>
  <si>
    <t>Sources of organic matter and nitrogen to the rias of Ortigueira, O Barqueiro and Viveiro (Galicia, N Spain) were traced using stable carbon and nitrogen isotopes. Samples of water, seston, benthic organisms and sediments were collected in summer 2007 and 2008. Instantaneous sources were inferred from the concentrations and isotopic composition of seston, while averaged sources over longer time scales (months) were inferred from stable isotopes in macrophytes (Ascophyllum nodosum and Fucus vesiculosus) and mussels (Mytilus galloprovincialis). Dissolved nitrate, nitrite and ammonium concentrations in surface water were low in the estuarine zone and generally increased towards the river and the open sea in all rias. Nitrite and ammonium values were generally low, suggesting low importance of in situ nitrification and denitrification processes. The concentrations of ammonium, chlorophyll, and heavy nitrogen isotopes in seston were higher only in the main river of Viveiro, suggesting local pollution. Isotopic signatures and high nitrogen concentrations in seston discharged from the wastewater treatment plants indicated incomplete removal of nitrogen. However, taking into account water discharge fluxes and the isotopic composition of all compartments analysed, all rias shared similar biogeochemical and trophic diversity and showed a low impact of anthropogenic sources at both short and long time scales. Dominance of marine waters, low river flow, and small urban population sizes in the watershed all contribute to the maintenance of the relatively pristine status of northern Galician rias.</t>
  </si>
  <si>
    <t>10.3354/meps09289</t>
  </si>
  <si>
    <t>Graham, C; Oxtoby, L; Wang, SW; Budge, SM; Wooller, MJ</t>
  </si>
  <si>
    <t>Sourcing fatty acids to juvenile polar cod (Boreogadus saida) in the Beaufort Sea using compound-specific stable carbon isotope analyses</t>
  </si>
  <si>
    <t>Polar cod; Boreogadus saida; Sea ice; Fatty acids; Compound-specific stable isotopes</t>
  </si>
  <si>
    <t>FOOD-WEB; TROPHIC ECOLOGY; ICE; ENERGY; FLOW; PHYTOPLANKTON; FRACTIONATION; ZOOPLANKTON; LEPECHIN; SCHOOLS</t>
  </si>
  <si>
    <t>Juvenile polar cod (Boreogadus saida) are often found in close association with sea ice and represent an important trophic link in the Arctic food web. However, the proportional contribution of sea ice algal production via the sympagic food web to the diet of polar cod is unknown. To estimate the proportional contribution of fatty acids (FAs) from sea ice-derived particulate organic matter (i-POM) to the diet of juvenile polar cod, we used FA profiling and compound-specific stable carbon isotope analysis of individual FAs from juvenile polar cod collected from three regions in the Beaufort Sea. The delta C-13 values of the FAs 14:0, 16:4n-1, 18:0, 20:5n-3 and 22:6n-3 in the polar cod were found to most strongly resemble pelagic POM rather than i-POM. Results from isotope-mixing models using diatom FA markers indicated that the proportional contribution of FAs from i-POM to juvenile polar cod was a parts per thousand currency sign2 %, which suggests that juvenile polar cod had not sourced their FAs from i-POM. Thus, changes in sea ice coverage due to environmental change may not affect juvenile polar cod in regard to nutrients such as FAs but may still affect their populations by reducing critical shelter from predators.</t>
  </si>
  <si>
    <t>10.1007/s00300-014-1470-5</t>
  </si>
  <si>
    <t>Kakioka, R; Sutra, N; Kobayashi, H; Ansai, S; Masengi, KWA; Nagano, AJ; Okuda, N; Tanaka, R; Sato, M; Yamahira, K</t>
  </si>
  <si>
    <t>Resource partitioning is not coupled with assortative mating in sympatrically divergent ricefish in a Wallacean ancient lake</t>
  </si>
  <si>
    <t>JOURNAL OF EVOLUTIONARY BIOLOGY</t>
  </si>
  <si>
    <t>digestive tract; feeding morphology; magic trait; mate preference; mating habitat; Oryzias; Sulawesi; sympatric speciation</t>
  </si>
  <si>
    <t>GENE FLOW; SPECIATION; REINFORCEMENT; TRAITS</t>
  </si>
  <si>
    <t>Sympatric speciation is considered to be difficult without the coupling between ecological traits that allow resource partitioning and reproductive traits that allow assortative mating. Such magic traits are known to be involved in most of the compelling examples of sympatric speciation. In this study, we report a possible case of sympatric speciation without magic traits. Three species of ricefish (genus Oryzias) are suggested to have diverged sympatrically within Lake Poso, an ancient lake in Sulawesi. An analysis of genome-wide single-nucleotide polymorphisms showed that these three species are reproductively isolated from each other throughout the lake. Stable isotope analyses revealed that the three species use different food resources, which reflect differences in their feeding morphologies (gill rakers and digestive tracts) and feeding sites. Field and laboratory observations showed that O. nebulosus and O. orthognathus share a mating habitat of cobbles, where they scatter fertilized eggs, whereas this site is never used by O. nigrimas, indicating that assortative mating is partly achieved by spatial isolation. The small, less-adhesive eggs of O. nebulosus and O. orthognathus probably reflect their adaptation to spawning on cobble beaches. Laboratory mating experiments showed strong prezygotic isolation between O. nebulosus and O. orthognathus, which is achieved by strong species recognition presumably by both sexes based on species-specific mating dances and nuptial coloration. In summary, the assortative mating of O. nebulosus and O. orthognathus is probably not coupled to resource partitioning. We discussed how sympatric speciation among these species might have been achieved even without magic traits.</t>
  </si>
  <si>
    <t>10.1111/jeb.13874</t>
  </si>
  <si>
    <t>Wagener, C; du Plessis, M; Measey, J</t>
  </si>
  <si>
    <t>Invasive Amphibian Gut Microbiota and Functions Shift Differentially in an Expanding Population but Remain Conserved Across Established Populations</t>
  </si>
  <si>
    <t>MICROBIAL ECOLOGY</t>
  </si>
  <si>
    <t>Biological invasions; Residence time; Central-marginal hypothesis; Gut microbiome; Intestinal microbiota</t>
  </si>
  <si>
    <t>HOST; PHYLOGENY; HISTORY; RANGES; DIET</t>
  </si>
  <si>
    <t>Studies of laboratory animals demonstrate extensive variation of host gut microbiomes and their functional capabilities across populations, but how does anthropogenic change impact the microbiomes of non-model species? The anthropogenic movement of species to novel environments can drastically alter animals' microbiomes; however, factors that shape invasive species gut microbiota during introduction remain relatively unexplored. Through 16S amplicon sequencing on guttural toad (Sclerophrys gutturalis) faecal samples, we determine that residence time does not impact microbiome variation between source and introduced populations. The youngest population (similar to 20 years in Cape Town) has the most distinct microbiome and associated functional capabilities, whereas longer residence times (similar to 100 years in Reunion and Mauritius) produce less divergent microbial compositional, phylogenetic, and predicted functional diversity and differential abundance from source populations (Durban). Additionally, we show extensive variation of microbial and functional diversity, as well as differential abundance patterns in an expanding introduced population (Cape Town) between core and periphery sites. Contrasting previous studies, we suggest that introduction pathways might be an important factor impacting host microbial divergence. These findings also imply that the microbiome can diverge in accordance with host population dynamics.</t>
  </si>
  <si>
    <t>10.1007/s00248-021-01896-4</t>
  </si>
  <si>
    <t>Peterson, CT; Grubbs, RD; Mickle, A</t>
  </si>
  <si>
    <t>Trophic ecology of elasmobranch and teleost fishes in a large subtropical seagrass ecosystem (Florida Big Bend) determined by stable isotope analysis</t>
  </si>
  <si>
    <t>Marine fishes; Trophic ecology; Elasmobranch; Seagrass; Stable isotopes</t>
  </si>
  <si>
    <t>RIVER-DOMINATED ESTUARY; DISCRIMINATION FACTORS; BONNETHEAD SHARK; APALACHICOLA BAY; MARINE PREDATORS; FEEDING-HABITS; SPHYRNA-TIBURO; GUT-CONTENT; DIET; DELTA-N-15</t>
  </si>
  <si>
    <t>Carbon and nitrogen stable isotope analyses were used to infer relative trophic structure and examine regional variation in trophic dynamics of fishes in the Florida Big Bend, an approximately 300 km stretch of relatively pristine coastline in the eastern Gulf Of Mexico that contains over 250,000 ha of seagrass. The Florida Big Bend is home to a diverse assemblage of fauna; and the ecosystem is regionally important through its support of robust fishing (recreational and commercial) and eco-tourism industries. Stable isotope analyses suggest assemblages of fishes in the Florida Big Bend are trophically diverse, with considerable isotopic overlap across many taxa. Patterns of trophic structure corroborated the results of similar studies of these and related taxa and in other seagrass ecosystems, and there appear to be multiple channels of primary production. Large elasmobranch fishes were most enriched in delta N-15 with values well above the teleost fishes sampled, while smaller and demersal elasmobranchs had delta N-15 signatures comparable to several species of predatory teleosts. Results of stable isotope analyses suggested high trophic redundancy and overlap in resource use among both teleost and elasmobranch fishes. Comparisons of regional stable isotope values revealed some spatial variability and indicated the southern Big Bend is isotopically distinct, suggesting a distinct regional faunal zone in this region, potentially due to greatly reduced river influence in the southern portion of the system.</t>
  </si>
  <si>
    <t>10.1007/s10641-020-00976-7</t>
  </si>
  <si>
    <t>Clague, JC; Stenger, R; Clough, TJ</t>
  </si>
  <si>
    <t>Evaluation of the stable isotope signatures of nitrate to detect denitrification in a shallow groundwater system in New Zealand</t>
  </si>
  <si>
    <t>Denitrification; Nitrate contamination; Stable isotopes; Shallow groundwater; Pastoral agriculture</t>
  </si>
  <si>
    <t>FRESH-WATER; NITROGEN INPUTS; SANDY AQUIFER; OXYGEN; SEAWATER; RIVER; FLOW; FRACTIONATION; COLLECTION; DELTA-N-15</t>
  </si>
  <si>
    <t>Denitrification in the groundwater systems of agricultural catchments can provide a substantial 'ecosystem service' by attenuating leached nitrate (NO3-) before it reaches surface water bodies. Samples along a groundwater flow path with low dissolved oxygen and declining NO3- concentrations can indicate the occurrence of denitrification. Isotopic analysis of this NO3- can potentially identify and quantify denitrification activity. In this study, shallow groundwater samples (maximum 5 m below ground surface) were taken from three locations within a small agricultural catchment in the Waikato region of New Zealand. The delta N-15 and delta O-18 values of NO3- were analysed to try to determine where denitrification was occurring and at what rate. Results indicated that denitrification rates varied spatially, but interpretation was confounded by insufficiently understood flow paths and extremely low concentrations of NO3- in reduced groundwater. Seasonal denitrification was observed at a Gley soil site where the soil profile was periodically saturated to near the ground surface and delta N-15-NO3- values reached +28.5 parts per thousand and delta O-18-NO3- values up to +19.6 parts per thousand. In contrast to expectations, NO3- in well-oxidised groundwater samples showed substantial variability in its delta N-15 and delta O-18 isotopic signature. This indicated that the NO3- originated from multiple sources, which restricted the quantification of denitrification. (C) 2015 Elsevier B.V. All rights reserved.</t>
  </si>
  <si>
    <t>10.1016/j.agee.2015.01.011</t>
  </si>
  <si>
    <t>Ojwang, WO; Ojuok, JE; Mbabazi, D; Kaufman, L</t>
  </si>
  <si>
    <t>Ubiquitous omnivory, functional redundancy and the resiliency of Lake Victoria fish community</t>
  </si>
  <si>
    <t>anthropogenic activities; stable isotopes; re-emergence; trophic plasticity</t>
  </si>
  <si>
    <t>FOOD-CHAIN LENGTH; EAST-AFRICA; NILE PERCH; HAPLOCHROMINE CICHLIDS; OREOCHROMIS-NILOTICUS; STABLE-ISOTOPE; TROPHIC LEVEL; DIVERSITY; ECOSYSTEM; AREAS</t>
  </si>
  <si>
    <t>The fish community of Lake Victoria, East Africa, has continued to exhibit an intriguing degree of resiliency despite stress from anthropogenic activities. Frequent environmental perturbations include wild fluctuations in fishing pressure, limnological conditions, and lake levels. Surprisingly, many of the endemic and other indigenous fishes have survived, and some have even increased in numbers in recent years. While a positive development, this resiliency is a red flag to scientists because we do not understand it, or know whether it can be expected to continue. Furthermore, besides issues of immediate human well-being, there remain grave concerns about long term resource sustainability. This paper explores possible reasons for ecological resilience in the Lake Victoria fish community, with a focus on omnivory and functional redundancy as possible explanations. The analysis used published data based on both traditional gut content analysis (GCA) and stable isotope analysis (SIA). Trophic plasticity is ubiquitous among the surviving fishes of Lake Victoria. This, combined with an overall simplification of the food web, contributed to the lake community's current resilience.</t>
  </si>
  <si>
    <t>10.1080/14634988.2010.504140</t>
  </si>
  <si>
    <t>van Moorter, B; Singh, NJ; Rolandsen, CM; Solberg, EJ; Dettki, H; Pusenius, J; Mansson, J; Sand, H; Milner, JM; Roer, O; Tallian, A; Neumann, W; Ericsson, G; Mysterud, A</t>
  </si>
  <si>
    <t>Seasonal release from competition explains partial migration in European moose</t>
  </si>
  <si>
    <t>ideal-free distribution; resource selection functions; seasonal habitat selection; ungulates</t>
  </si>
  <si>
    <t>RESOURCE SELECTION; HABITAT SELECTION; FORAGE AVAILABILITY; POPULATION-DYNAMICS; NORTHERN UNGULATE; SNOW DEPTH; BODY-MASS; MANAGEMENT; EVOLUTION; QUALITY</t>
  </si>
  <si>
    <t>Partial migration, whereby a proportion of a population migrates between distinct seasonal ranges, is common throughout the animal kingdom. However, studies linking existing theoretical models of migration probability, with empirical data are lacking. The competitive release hypothesis for partial migration predicts that due to density-dependent habitat selection, the proportion of migrants increases as the relative quality and size of the seasonal range increases, but decreases with increasing migration cost and population density. To test this prediction, we developed a quantitative framework to predict the proportion of migrants, using empirical data from 545 individually GPS-marked moose Alces alces from across Fennoscandia, spanning latitudes of 56 degrees to 68 degrees N. Moose contracted their ranges to common and spatially limited winter areas (typically at lower elevation), but expanded them during summer due to an increase in suitable habitat (at highland ranges). As predicted from our model, a better and larger highland range relative to the lowland range corresponded to a higher proportion of migrants in an area. Quantitative predictions coupling the balance of habitat availability of seasonal ranges with the probability of migrating in a large herbivore is a necessary step towards an enhanced understanding of the mechanisms underlying migration at the population level.</t>
  </si>
  <si>
    <t>10.1111/oik.07875</t>
  </si>
  <si>
    <t>Karraker, NE; Kusrini, MD; Atutubo, JR; Healey, RM; Yusratul, A</t>
  </si>
  <si>
    <t>Non-marine turtle plays important functional roles in Indonesian ecosystems</t>
  </si>
  <si>
    <t>Cuora amboinensis; ecological roles; functional ecology; harvesting; illegal trade; over-exploitation; seed dispersal; seed germination; trophic position; turtle</t>
  </si>
  <si>
    <t>TORTOISES GEOCHELONE-CARBONARIA; BIG-HEADED TURTLE; PLATYSTERNON-MEGACEPHALUM; SEED DISPERSAL; LIVE REPTILES; DIET; CONSERVATION; AMPHIBIANS; MOVEMENTS; BIOMASS</t>
  </si>
  <si>
    <t>The Southeast Asian box turtle (Cuora amboinensis) is numerically the most important turtle exported from Indonesia. Listed as Vulnerable by the IUCN, this turtle is heavily harvested and exported for food and traditional medicine in China and for the pet trade primarily in the United States, Europe, and Japan. Despite its significance in global markets, relatively little is known about the species' ecology or importance to ecosystems. We conducted our research in a national park in Sulawesi, Indonesia, and our objectives were to quantify trophic breadth, capacity for seed dispersal between aquatic and terrestrial ecosystems, and whether ingestion of seeds byC. amboinensisenhances germination. We obtained diet samples from 200 individual turtles and found that the species is omnivorous, exhibiting an ontogenetic shift from more carnivorous to more omnivorous. Both subadults and adults scavenged on other vertebrates. In a seed passage experiment, turtles passed seeds for 2-9 days after ingestion. Radio-tracked turtles moved, on average, about 35 m per day, indicating that seeds from ingested fruits, given seed passage durations, could be dispersed 70-313 m from the parent tree and potentially between wetland and upland ecosystems. In a seed germination experiment, we found that ingestion of seeds by turtles enhanced germination, as compared with control seeds, for four of six plant species tested. Of these, two are common in the national park, making up a significant proportion of plant biomass in lowland swamp forest and around ephemeral pools in savanna, and are highly valued outside of the park for their lumber for construction of houses, furniture, and boats. Protection ofC. amboinensispopulations may be important for maintaining trophic linkages that benefit biodiversity, communities, and local economies.</t>
  </si>
  <si>
    <t>10.1002/ece3.6487</t>
  </si>
  <si>
    <t>Woodward, G; Dybkjaer, JB; Olafsson, JS; Gislason, GM; Hannesdottir, ER; Friberg, N</t>
  </si>
  <si>
    <t>Sentinel systems on the razor's edge: effects of warming on Arctic geothermal stream ecosystems</t>
  </si>
  <si>
    <t>food webs; freshwater ecology; geothermal streams; Iceland; stable isotope analysis; trophic interactions</t>
  </si>
  <si>
    <t>CLIMATE-CHANGE IMPACTS; FOOD-WEB STRUCTURE; TROPHIC POSITION; COLD ADAPTATION; BODY-SIZE; TEMPERATURE; BIODIVERSITY; FISH; MACROINVERTEBRATES; COMMUNITIES</t>
  </si>
  <si>
    <t>The Earth is experiencing historically unprecedented rates of warming, with surface temperatures projected to increase by 3-5 degrees C globally, and up to 7.5 degrees C in high latitudes, within the next century. Knowledge of how this will affect biological systems is still largely restricted to the lower levels of organization (e.g. species range shifts), rather than at the community, food web or ecosystem level, where responses cannot be predicted from studying single species in isolation. Further, many correlational studies are confounded with time and/or space, whereas experiments have been mostly confined to laboratory microcosms that cannot capture the true complexity of natural ecosystems. We used a 'natural experiment' in an attempt to circumvent these shortcomings, by characterizing community structure and trophic interactions in 15 geothermal Icelandic streams ranging in temperature from 5 degrees C to 45 degrees C. Even modest temperature increases had dramatic effects across multiple levels of organization, from changes in the mean body size of the top predators, to unimodal responses of species populations, turnover in community composition, and lengthening of food chains. Our results reveal that the rates of warming predicted for the next century have serious implications for the structure and functioning of these fragile 'sentinel' ecosystems across multiple levels of organization.</t>
  </si>
  <si>
    <t>10.1111/j.1365-2486.2009.02052.x</t>
  </si>
  <si>
    <t>Aranibar, JN; Goiran, SB; Guevara, A; Villagra, PE</t>
  </si>
  <si>
    <t>Carbon and nitrogen dynamics in a sandy groundwater-coupled ecosystem in the Monte Desert, indicated by plant stable isotopes</t>
  </si>
  <si>
    <t>Grass N-2 fixation; Interdune valleys; Sand dunes; Soil heterogeneity; Water use efficiency</t>
  </si>
  <si>
    <t>MESQUITE PROSOPIS-GLANDULOSA; LAND-USE GRADIENTS; SPATIAL-DISTRIBUTION; ACETYLENE-REDUCTION; N-2 FIXATION; SOIL; DISCRIMINATION; VEGETATION; WATER; PRECIPITATION</t>
  </si>
  <si>
    <t>The high productivity of sandy groundwater-coupled woodlands in the Monte Desert is exploited by local pastoralist communities for fuel, domestic use, and manure accumulation and export to irrigated oases. We explored processes and species that could replenish C and N losses from the ecosystem using stable isotopes of plants and nutrient analysis of soils. Foliar N-15 natural abundances, which were lower in Prosopis flexuosa plants and C4 grasses from dune flanks, indicate that these plants may fix atmospheric N-2. Groundwater availability did not decrease water use efficiency (indicated by similar foliar delta C-13 in dune flanks and interdune valleys), suggesting that the higher stomatal conductance allowed by the additional water source and reported in previous studies is coupled with higher photosynthetic rates, increasing productivity in interdune valleys. Water use efficiency and N stable isotopes of P. flexuosa responded to temporal changes in precipitations, suggesting rapid shifts of N sources, to uptake of recently mineralized soil N (higher delta N-15 and lower delta C-13 after rain events). Soil heterogeneity was low, except for ammonium and moisture in interdune valley soils. This study allows us to hypothesize that carbon is replenished in interdune valleys by increasing photosynthetic rates, and N is replenished by N-2 fixation done by young P. flexuosa plants and grasses from dune flanks. (C) 2013 Elsevier Ltd. All rights reserved.</t>
  </si>
  <si>
    <t>10.1016/j.jaridenv.2013.11.005</t>
  </si>
  <si>
    <t>Wong, WW; Pottage, J; Warry, FY; Reich, P; Roberts, KL; Grace, MR; Cook, PLM</t>
  </si>
  <si>
    <t>Stable isotopes of nitrate reveal different nitrogen processing mechanisms in streams across a land use gradient during wet and dry periods</t>
  </si>
  <si>
    <t>RIVER-BASIN; MISSISSIPPI RIVER; OXYGEN ISOTOPES; NITRITE; WATERSHEDS; CATCHMENTS; DENITRIFICATION; NITRIFICATION; FRACTIONATION; OXIDATION</t>
  </si>
  <si>
    <t>Understanding the relationship between land use and the dynamics of nitrate (NO3-) is the key to constrain sources of NO3- export in order to aid effective management of waterways. In this study, isotopic compositions of NO3- (delta N-15-NO3- and delta O-18-NO3-) were used to elucidate the effects of land use (agriculture in particular) and rainfall on the major sources and sinks of NO3- within the Western Port catchment, Victoria, Australia. This study is one of the very few studies carried out in temperate regions with highly stochastic rainfall patterns, enabling a more comprehensive understanding of the applications of NO3- isotopes in catchment ecosystems with different climatic conditions. Longitudinal samples were collected from five streams with different agriculture land use intensities on five occasions three during dry periods and two during wet periods. At the catchment scale, we observed significant positive relationships between NO3- concentrations (p &lt; 0.05), delta N-15-NO3- (p &lt; 0.01) and percentage agriculture (particularly during the wet period), reflecting the dominance of anthropogenic nitrogen inputs within the catchment. Different rainfall conditions appeared to be major controls on the predominance of the sources and transformation processes of NO3- in our study sites. Artificial fertiliser was the dominant source of NO3- during the wet periods. In addition to artificial fertiliser, nitrified organic matter in sediment was also an apparent source of NO3- to the surface water during the dry periods. Denitrification was prevalent during the wet periods, while uptake of NO3- by plants or algae was only observed during the dry periods in two streams. The outcome of this study suggests that effective reduction of NO3- load to the streams can only be achieved by prioritising management strategies based on different rainfall conditions.</t>
  </si>
  <si>
    <t>10.5194/bg-15-3953-2018</t>
  </si>
  <si>
    <t>Arto, I; Cazcarro, I; Garmendia, E; Ruiz, I; Sanz, MJ</t>
  </si>
  <si>
    <t>A new accounting framework for assessing forest footprint of nations</t>
  </si>
  <si>
    <t>Global land use; International trade; Forest footprint; Tele-coupling; Multi-regional input-output</t>
  </si>
  <si>
    <t>GLOBAL LAND-USE; MATERIAL FLOWS; TRADE; OUTPUT; INPUT; DISPLACEMENT; BIODIVERSITY; PATTERNS; DRIVERS; GLOBALIZATION</t>
  </si>
  <si>
    <t>In a tele-coupled and globalized World, understanding the links between demand for wood products and land use is becoming challenging. World's economies are increasingly open and interconnected, and international trade flows of wood products are continuously growing. The increasing resource consumption of humanity is increasingly dependent on international trade. In this context, the study of forest products demand from a global multi-regional perspective emerges as a critical issue to achieve the goal of sustainable consumption and production. In this paper, we introduce a novel accounting framework for assessing the forest footprint of nations. The method combines Multi-regional Input-Output techniques and detailed data from the Food and Agriculture Organization of the United Nations on production, consumption and bilateral trade of primary, intermediate and final wood products, advancing with respect to existing approaches with these practical distinctions for more accurate computations. The approach tracks resource flows along the global supply chain and provides detailed information on the production, transformation, international trade, and final use of 20 forest products in 223 countries, having also much wider coverage than most previous studies. We test this framework to analyse forest footprint of nations in the year 2014, showing that 22 Million hectares (Mha) of forest were harvested for the extraction of roundwood for global demand, being 9.1 Mha to satisfy the foreign demand of wood products (42% of the total forestland harvested area). Harvested forestland is concentrated in America (32%), Asia (29%) and Europe (28%), representing Africa (7%) and Oceania (4%). More than 50% of the reported forest area harvested worldwide is located in USA (15%), China (14%); Russia (11%) and Canada (8%). In terms of forest footprint, Asia shows the highest share of the total forest footprint (44%), followed by America (25%), Europe (21%), Africa (7%) and Oceania (2%). Country-wise, half is concentrated in China (24%), USA (16%), India (5%), and Russia (5%).</t>
  </si>
  <si>
    <t>10.1016/j.ecolecon.2021.107337</t>
  </si>
  <si>
    <t>van Schingen, M; Ziegler, T; Boner, M; Streit, B; Nguyen, TQ; Crook, V; Ziegler, S</t>
  </si>
  <si>
    <t>Can isotope markers differentiate between wild and captive reptile populations? A case study based on crocodile lizards (Shinisaurus crocodilurus) from Vietnam</t>
  </si>
  <si>
    <t>Stable isotopes; CITES; Forensic tool; Wildlife crime; Shinisaurus crocodilurus</t>
  </si>
  <si>
    <t>STABLE-ISOTOPES; DISCRIMINATION; CONSERVATION; DELTA-N-15; PROJECTS; TISSUES; RATES; AREA; DIET</t>
  </si>
  <si>
    <t>The international wildlife trade in allegedly captive-bred'' specimens has globally increased during recent years, while the legal origin of respective animals frequently remains doubtful. Worldwide, authorities experience strong challenges to effectively control the international trade in CITES-listed species and are struggling to uncover fraudulent claims of captive-breeding''. Forensic analytical methods are being considered as potential tools to investigate wildlife crime. The present case study is the first of its kind in reptiles that investigates the application of delta C-13 and delta N-15 stable isotope ratios to discriminate between captive and wild crocodile lizards from Vietnam. The CITES-listed crocodile lizard Shinisaurus crocodilurus is listed as endangered on the IUCN Red List mainly due to habitat loss and unsustainable exploitation for the international pet trade. Our results revealed significant differences in the composition of the two tested isotope systems between captive and wild individuals. Isotope values of skin samples from captive specimens were significantly enriched in C-13 and N-15 as compared to specimens from the wild. We also used the weighted k-Nearest Neighbor classifier to assign simulated samples back to their alleged place of origin and demonstrated that captive bred individuals could be distinguished with a high degree of accuracy from specimens that were not born in captivity. We conclude that isotope analysis appears to be highly attractive as a forensic tool to reduce laundering of wild caught lizards via breeding farms, but acknowledge that this potential might be limited to range restricted or ecologically specialist species. (C) 2016 The Authors. Published by Elsevier B.V.</t>
  </si>
  <si>
    <t>10.1016/j.gecco.2016.03.004</t>
  </si>
  <si>
    <t>Christensen, JT; Richardson, K</t>
  </si>
  <si>
    <t>Stable isotope evidence of long-term changes in the North Sea food web structure</t>
  </si>
  <si>
    <t>Stable isotopes; Food web structure; North Sea; Harbour porpoise</t>
  </si>
  <si>
    <t>PORPOISE PHOCOENA-PHOCOENA; TEMPORAL VARIATION; ANTHROPOGENIC CO2; HARBOR PORPOISES; FISH ASSEMBLAGE; MARINE MAMMALS; TROPHIC LEVEL; SIZE-SPECTRA; TRACE-METAL; NITROGEN</t>
  </si>
  <si>
    <t>A temporal change in stable isotope (delta N-15) distributions in North Sea harbour porpoises Phocoena phocoena (L.) was documented by analysing stable isotope abundances in bone collagen from 88 skeletons of harbour porpoises stranded in the period between 1848 and 2002 along the southern North Sea coast. Porpoises collected after similar to 1960 had significantly lower delta N-15 than porpoises collected earlier. This change in delta N-15 implies that fundamental changes in food web structure in, or nutrient availability to, the North Sea have taken place over the last -150 yr and that most of the change occurred over a relatively short period in the middle of the 20th century. Harbour porpoises are generalist feeders and their diet. largely reflects the food available to them. Thus, one plausible explanation for the observed change in delta N-15 could be that harbour porpoises in the North Sea have, since the mid-20th century, been feeding at a lower trophic level than during the preceding century, i.e. animals from lower trophic levels may now be more dominant than they were prior to the middle of the 20th century. There is no a priori reason to suspect that a change in isotope distributions at the base of the food web has occurred during this period and we have not been able to find material that would allow us to test the assumption that there has been no temporal development of delta N-15 at the lowest levels of the food web. Thus, we cannot eliminate the possibility that the change in delta N-15 in harbour porpoise skeletons reported here may be a reflection of a change in the isotope signature of nitrogen entering the food web. Regardless of its underlying cause, the recorded change in isotopic signature in harbour porpoises is noteworthy as it represents the first fisheries-independent documentation of a long-term temporal change in the structure or function of the pelagic ecosystem in the North Sea.</t>
  </si>
  <si>
    <t>10.3354/meps07635</t>
  </si>
  <si>
    <t>Cabon, A; Anderegg, WRL</t>
  </si>
  <si>
    <t>Large volcanic eruptions elucidate physiological controls of tree growth and photosynthesis</t>
  </si>
  <si>
    <t>CMIP6; diffuse light fertilization; earth system models; photosynthesis; stable isotopes; tree growth; tree-ring; volcanic eruption</t>
  </si>
  <si>
    <t>WATER-USE EFFICIENCY; DIFFUSE-RADIATION; ATMOSPHERIC PARTICLES; CARBON; FOREST; CLIMATE; RING; SINK; RESPONSES; MODEL</t>
  </si>
  <si>
    <t>Forest productivity projections remain highly uncertain, notably because underpinning physiological controls are delicate to disentangle. Transient perturbation of global climate by large volcanic eruptions provides a unique opportunity to retrospectively isolate underlying processes. Here, we use a multi-proxy dataset of tree-ring records distributed over the Northern Hemisphere to investigate the effect of eruptions on tree growth and photosynthesis and evaluate CMIP6 models. Tree-ring isotope records denoted a widespread 2-4 years increase of photosynthesis following eruptions, likely as a result of diffuse light fertilization. We found evidence that enhanced photosynthesis transiently drove ring width, but the latter further exhibited a decadal anomaly that evidenced independent growth and photosynthesis responses. CMIP6 simulations reproduced overall tree growth decline but did not capture observed photosynthesis anomaly, its decoupling from tree growth or the climate sensitivities of either processes, highlighting key disconnects that deserve further attention to improve forest productivity projections under climate change.</t>
  </si>
  <si>
    <t>10.1111/ele.14149</t>
  </si>
  <si>
    <t>Klaassen, M; Piersma, T; Korthals, H; Dekinga, A; Dietz, MW</t>
  </si>
  <si>
    <t>Single-point isotope measurements in blood cells and plasma to estimate the time since diet switches</t>
  </si>
  <si>
    <t>isotopic clock; mathematical model; sensitivity analysis; stable carbon isotope; timing of events</t>
  </si>
  <si>
    <t>CLIMATE-CHANGE; N-15 INCORPORATION; CARBON ISOTOPES; TURNOVER; C-13; REPRODUCTION; DELTA-C-13; NITROGEN; TISSUES; SHIFTS</t>
  </si>
  <si>
    <t>P&gt;1. Understanding ecological phenomena often requires an accurate assessment of the timing of events. To estimate the time since a diet shift in animals without knowledge on the isotope ratios of either the old or the new diet, isotope ratio measurements in two different tissues (e.g. blood plasma and blood cells) at a single point in time can be used. For this 'isotopic-clock' principle, we present here a mathematical model that yields an analytical and easily calculated outcome. 2. Compared with a previously published model, our model assumes the isotopic difference between the old and new diets to be constant if multiple measurements are taken on the same subject at different points in time. Furthermore, to estimate the time since diet switch, no knowledge of the isotopic signature of tissues under the old diet, but only under the new diet is required. 3. The two models are compared using three calibration data sets including a novel one based on a diet shift experiment in a shorebird (red knot Calidris canutus); sensitivity analyses were conducted. The two models behaved differently and each may prove rather unsatisfactory depending on the system under investigation. A single-tissue model, requiring knowledge of both the old and new diets, generally behaved quite reliably. 4. As blood (cells) and plasma are particularly useful tissues for isotopic-clock research, we trawled the literature on turnover rates in whole blood, cells and plasma. Unfortunately, turnover rate predictions using allometric relations are too unreliable to be used directly in isotopic-clock calculations. 5. We advocate that before applying the isotopic-clock methodology, the propagation of error in the 'time-since-diet-shift' estimation is carefully assessed for the system under scrutiny using a sensitivity analysis as proposed here.</t>
  </si>
  <si>
    <t>10.1111/j.1365-2435.2010.01689.x</t>
  </si>
  <si>
    <t>Urrutia-Olvera, A; Jordan-Garza, AG; Villegas-Sanchez, CA; Arizmendi-Rodriguez, DI; Rosas-Luis, R</t>
  </si>
  <si>
    <t>Prey contribution to the diet of Octopus insularis (Leite and Haimovici, 2008) using stable isotopes and stomach content analysis in the Western Gulf of Mexico</t>
  </si>
  <si>
    <t>Reef ecosystems; Predatory strategy; Trophic niche; Marine ecosystem; Gulf of Mexico</t>
  </si>
  <si>
    <t>Octopus insularis is an active and opportunistic predator, its diet depends on the habitat in which it develops and the abundance and distribution of the species it preys on. Despite its importance for fisheries, little is known about the trophic relationships of this octopus. For this reason, the main objective of this study was to describe its diet in the southern Gulf of Mexico combining stable delta C-13 and delta N-15 isotopes and stomach content analysis. Stable delta C-13 and delta N-15 isotope analysis were performed in muscle tissue of octopuses and their prey. In addition, stomachs were analyzed to identify consumed prey and to obtain percentages of numerical and gravimetric importance, the frequency of occurrence and the index of relative importance. The diet did not show differences between year, sex, or size. Eight crustacean and three fish genera were identified as the main components in the diet. Crustaceans appeared as the main prey group, and the most important prey within this group was Mithraculus sp., and for the fish group it was Anchoa sp. The isotope analysis indicates a high contribution to predator ' s muscle tissue from both crustaceans and fish. In one hand, results indicate that crustaceans as prey are important for the octopus population in the whole distribution area. On the other hand, isotope values positioned O. insularis as an intermediate trophic level predator, placing it as an efficient vehicle of energy transfer between lower to higher trophic levels in the ecosystem.</t>
  </si>
  <si>
    <t>10.1007/s10452-021-09859-0</t>
  </si>
  <si>
    <t>Kunisch, EH; Graeve, M; Gradinger, R; Haug, T; Kovacs, KM; Lydersen, C; Varpe, O; Bluhm, BA</t>
  </si>
  <si>
    <t>Ice-algal carbon supports harp and ringed seal diets in the European Arctic: evidence from fatty acid and stable isotope markers</t>
  </si>
  <si>
    <t>Carbon source; Climate change; Food webs; Compound-specific stable isotopes; Foraging; Pinnipeds; Sea-ice algae; Phytoplankton</t>
  </si>
  <si>
    <t>PARTICULATE ORGANIC-MATTER; NORTHERN BARENTS-SEA; PHOCA-HISPIDA; PAGOPHILUS-GROENLANDICUS; TROPHIC RELATIONSHIPS; SEASONAL DISTRIBUTION; FEEDING-HABITS; WAX ESTERS; POLAR COD; MARINE</t>
  </si>
  <si>
    <t>Sea-ice declines in the European Arctic have led to substantial changes in marine food webs. To better understand the biological implications of these changes, we quantified the contributions of ice-associated and pelagic carbon sources to the diets of Arctic harp and ringed seals using compound-specific stable isotope ratios of fatty acids in specific primary producer biomarkers derived from sea-ice algae and phytoplankton. Comparison of fatty acid patterns between these 2 seal species indicated clear dietary separation, while the compound-specific stable isotope ratios of the same fatty acids showed partial overlap. These findings suggest that harp and ringed seals target different prey sources, yet their prey rely on ice and pelagic primary production in similar ways. From Bayesian stable isotope mixing models, we estimated that relative contributions of sympagic and pelagic carbon in seal blubber was an average of 69% and 31% for harp seals, and 72% and 28% for ringed seals, respectively. The similarity in the Bayesian estimations also indicates overlapping carbon sourcing by these 2 species. Our findings demonstrate that the seasonal ice-associated carbon pathway contributes substantially to the diets of both harp and ringed seals.</t>
  </si>
  <si>
    <t>10.3354/meps13834</t>
  </si>
  <si>
    <t>Nevalainen, L; Luoto, TP</t>
  </si>
  <si>
    <t>Relationship between cladoceran (Crustacea) functional diversity and lake trophic gradients</t>
  </si>
  <si>
    <t>aquatic ecology; biodiversity; environmental change; food web functioning; nutrient enrichment; palaeolimnology</t>
  </si>
  <si>
    <t>BOSMINA-LONGIROSTRIS; SPECIES RICHNESS; MOUNTAIN LAKES; FISH PREDATION; ALPINE LAKE; BODY-SIZE; FOOD-WEB; BIODIVERSITY; ZOOPLANKTON; COMMUNITY</t>
  </si>
  <si>
    <t>1. Functional diversity (FD) as a biodiversity measure has an explicit role in ecosystem functioning because the effects of environmental changes in ecosystems are determined by biological functions, such as feeding type and trophic position, of particular species. 2. We evaluated the usability of functional characterization and FD of an aquatic keystone group (Crustacea: Cladocera) for enhancing the understanding of long-term lake functional responses to environmental changes. The aims were to separate ecologically significant functional groups, investigate succession of such functional groups during nutrient enrichment process and determine the relationship between FD and lake productivity using a palaeolimnological approach. 3. We selected two eutrophicated study lakes from southern Finland for down-core investigations, one with a centennial (past c. 350 years) and the other with a decadal (past c. 70 years) nutrient enrichment record. Cladoceran microfossils in the sediment cores were used to determine the taxonomic structure of the past communities. Ecologically relevant functional characteristics were determined to separate functional groups by utilizing a functional dendrogram and a weighted community-based FD index together with a set of multidimensional FD indices. The indices were applied to the down-core assemblages. 4. The functional dendrogram separated cladocerans into functional groups where habitat type principally separated open-water filterers and predators from epibenthic scrapers and detritivores. Further separation in the pelagic branch was based on body size and feeding and among the benthic branch body shape. 5. Functional assemblages changed markedly during the nutrient enrichment process. In the early stage of eutrophication, the largest functional changes were caused by small planktonic filterers and predators. Small filterers and epibenthos responded strongest during the eutrophic-hypereutrophic succession. FD had a positive long-term relationship with lake trophic status until eutrophic conditions that was likely caused by diversifying resources and versatile food webs. Under hypereutrophic conditions, and especially at a decadal temporal resolution, alternating predation regimes caused variance to FD. 6. In the current records, cladoceran FD was positively related to lake productivity and bottom-up controls during the early stages of eutrophication in the long-term record but top-down controls apparently were more important at a decadal scale and under hypereutrophic conditions.</t>
  </si>
  <si>
    <t>10.1111/1365-2435.12737</t>
  </si>
  <si>
    <t>Lubcker, N; Reisinger, RR; Oosthuizen, WC; de Bruyn, PJN; van Tonder, A; Pistorius, PA; Bester, MN</t>
  </si>
  <si>
    <t>Low trophic level diet of juvenile southern elephant seals Mirounga leonina from Marion Island: a stable isotope investigation using vibrissal regrowths</t>
  </si>
  <si>
    <t>Crustaceans; Diet; Marine mammals; Pinnipeds; Stable isotopes; Vibrissae; Whiskers</t>
  </si>
  <si>
    <t>PRINCE-EDWARD ISLANDS; CEPHALOPOD PREY; FORAGING AREAS; CLIMATE-CHANGE; PREDATORS; CARBON; OCEAN; FISH; ECOLOGY; SURVIVAL</t>
  </si>
  <si>
    <t>Insight into the trophic ecology of marine predators is vital for understanding their ecosystem role and predicting their responses to environmental change. Juvenile southern elephant seals (SES) Mirounga leonina are considered generalist predators within the Southern Ocean. Although mesopelagic fish and squid dominate their stomach lavage samples, the stable isotope profile captured along the length of sampled vibrissae of young SES at Macquarie Island, southwest Pacific Ocean (54.5 degrees S, 158.9 degrees E) recently emphasized the contribution of crustaceans to their diet (likely Euphausia superba). Herein, we used the stable isotope values of sampled vibrissal regrowths with known growth histories to assess the diet of juvenile SES at Marion Island, southern Indian Ocean (46.8 degrees S, 37.8 degrees E) on a temporally integrated basis. We specifically aimed to quantify the possible contribution of crustaceans to the diet of juvenile SES. Sequentially (chronologically) sampled vibrissal regrowths of 14 juvenile SES produced fine-scale dietary information spanning up to 9 mo. The depleted stable isotope signatures of nitrogen (delta N-15) (8.5 +/- 0.6 parts per thousand) and carbon (delta C-13) (-20.3 +/- 0.1 parts per thousand) measured during the period of independent foraging suggested the use of a lower trophic level diet within the Polar Frontal Zone. A mixing model predicted that up to 76% of juvenile SES diet comprised crustaceans, consisting of 2 crustacean groups, each contributing 26% (credible interval, CI: 13-39%) and 50% (CI: 35-64%) to their diets, presumably representing subantarctic krill species. This first utilisation of the isotopic signature captured along the length of vibrissal regrowths confirms the inclusion and importance of crustaceans in the diet of juvenile SES.</t>
  </si>
  <si>
    <t>10.3354/meps12240</t>
  </si>
  <si>
    <t>Bond, AL; Hobson, KA; Branfireun, BA</t>
  </si>
  <si>
    <t>Rapidly increasing methyl mercury in endangered ivory gull (Pagophila eburnea) feathers over a 130 year record</t>
  </si>
  <si>
    <t>delta C-13; delta N-15; Arctic; mercury; stable isotopes; threatened species</t>
  </si>
  <si>
    <t>STABLE-ISOTOPES; GLOBAL CHANGE; ARCTIC BIOTA; SEABIRD; EXPOSURE; METHYLMERCURY; ECOLOGY; TRENDS; NORTH; CONTAMINANTS</t>
  </si>
  <si>
    <t>Mercury (Hg) is increasing in marine food webs, especially at high latitudes. The bioaccumulation and biomagnification of methyl mercury (MeHg) has serious effects on wildlife, and is most evident in apex predators. The MeHg body burden in birds is the balance of ingestion and excretion, and MeHg in feathers is an effective indicator of overall MeHg burden. Ivory gulls (Pagophila eburnea), which consume ice-associated prey and scavenge marine mammal carcasses, have the highest egg Hg concentrations of any Arctic bird, and the species has declined by more than 80% since the 1980s in Canada. We used feathers from museum specimens from the Canadian Arctic and western Greenland to assess whether exposure to MeHg by ivory gulls increased from 1877 to 2007. Based on constant feather stable-isotope (delta C-13, delta N-15) values, there was no significant change in ivory gulls' diet over this period, but feather MeHg concentrations increased 45x (from 0.09 to 4.11 mu g g(-1) in adults). This dramatic change in the absence of a dietary shift is clear evidence of the impact of anthropogenic Hg on this high-latitude threatened species. Bioavailable Hg is expected to increase in the Arctic, raising concern for continued population declines in high-latitude species that are far from sources of environmental contaminants.</t>
  </si>
  <si>
    <t>10.1098/rspb.2015.0032</t>
  </si>
  <si>
    <t>Sidorova, OV; Siegwolf, RTW; Saurer, M; Shashkin, AV; Knorre, AA; Prokushkin, AS; Vaganov, EA; Kirdyanov, AV</t>
  </si>
  <si>
    <t>Do centennial tree-ring and stable isotope trends of Larix gmelinii (Rupr.) Rupr. indicate increasing water shortage in the Siberian north?</t>
  </si>
  <si>
    <t>Stable carbon isotope ratio; Stable oxygen isotope ratio; Climatic changes; Tree-ring width; Tura</t>
  </si>
  <si>
    <t>PINUS-SYLVESTRIS; CARBON ISOTOPES; CLIMATE SIGNAL; GROWTH; DELTA-C-13; CELLULOSE; RATIOS; OXYGEN; TEMPERATURE; VARIABILITY</t>
  </si>
  <si>
    <t>Tree-ring width of Larix gmelinii (Rupr.) Rupr., ratios of stable isotopes of C (delta C-13) and O (delta O-18) of whole wood and cellulose chronologies were obtained for the northern part of central Siberia (Tura, Russia) for the period 1864-2006. A strong decrease in the isotope ratios of O and C (after atmospheric delta C-13 corrections) and tree-ring width was observed for the period 1967-2005, while weather station data show a decrease in July precipitation, along with increasing July air temperature and vapor pressure deficit (VPD). Temperature at the end of May and the whole month of June mainly determines tree radial growth and marks the beginning of the vegetation period in this region. A positive correlation between tree-ring width and July precipitation was found for the calibration period 1929-2005. Positive significant correlations between C isotope chronologies and temperatures of June and July were found for whole wood and cellulose and negative relationships with July precipitation. These relationships are strengthened when the likely physiological response of trees to increased CO2 is taken into account (by applying a recently developed delta C-13 correction). For the O isotope ratios, positive relationships with annual temperature, VPD of July and a negative correlation with annual precipitation were observed. The delta O-18 in tree rings may reflect annual rather than summer temperatures, due to the late melting of the winter snow and its contribution to the tree water supply in summer. We observed a clear change in the isotope and climate trends after the 1960s, resulting in a drastic change in the relationship between C and O isotope ratios from a negative to a positive correlation. According to isotope fractionation models, this indicates reduced stomatal conductance at a relatively constant photosynthetic rate, as a response of trees to water deficit for the last half century in this permafrost region.</t>
  </si>
  <si>
    <t>10.1007/s00442-009-1411-0</t>
  </si>
  <si>
    <t>English, NB; Dettman, DL; Hua, Q; Mendoza, JM; Muir, D; Hultine, KR; Williams, DG</t>
  </si>
  <si>
    <t>Age-growth relationships, temperature sensitivity and palaeoclimate-archive potential of the threatened Altiplano cactus Echinopsis atacamensis</t>
  </si>
  <si>
    <t>Acanthochronology; Altiplano; cactus; climate; stable isotopes</t>
  </si>
  <si>
    <t>SAGUARO CARNEGIEA-GIGANTEA; CLIMATE-CHANGE; CENTRAL ANDES; PRECIPITATION; RADIOCARBON; VARIABILITY; CALIBRATION; RESPONSES; RAINFALL</t>
  </si>
  <si>
    <t>The tall (&gt;4 m), charismatic and threatened columnar cacti, pasacana [Echinopsis atacamensis (Vaupel) Friedrich &amp; G.D. Rowley)], grows on the Bolivian Altiplano and provides environmental and economic value to these extremely cold, arid and high-elevation (similar to 4000 m) ecosystems. Yet very little is known about their growth rates, ages, demography and climate sensitivity. Using radiocarbon in spine dating time series, we quantitatively estimate the growth rate (5.8 and 8.3 cm yr(-1)) and age of these cacti (up to 430 years). These data and our field measurements yield a survivorship curve that suggests precipitation on the Altiplano is important for this species' recruitment. Our results also reveal a relationship between night-time temperatures on the Altiplano and the variation in oxygen isotope values in spines (delta O-1(8)). The annual delta O-18 minimums from 58 years of in-series spine tissue from pasacana on the Altiplano provides at least decadal proxy records of temperature (r = 0.58; P &lt; 0.0001), and evidence suggests that there are longer records connecting modern Altiplano temperatures to seasurface temperatures (SSTs) in the Atlantic Ocean. While the role of Atlantic SSTs on the South American Summer Monsoon (SASM) and precipitation on the Bolivian Altiplano is well described, the impact of SSTs on Altiplano temperatures is disputed. Understanding the modern impact of SSTs on temperature on the Altiplano is important to both understand the impact of future climate change on pasacana cactus and to understand past climate changes on the Altiplano. This is the best quantitative evidence to date of one of the oldest known cactus in the world, although there are likely many older cacti on the Altiplano, or elsewhere, that have not yet been sampled. Together with growth, isotope and age data, this information should lead to better management and conservation outcomes for this threatened species and the Altiplano ecosystem.</t>
  </si>
  <si>
    <t>coaa123</t>
  </si>
  <si>
    <t>10.1093/conphys/coaa123</t>
  </si>
  <si>
    <t>Dorval, E; Piner, K; Robertson, L; Reiss, CS; Javor, B; Vetter, R</t>
  </si>
  <si>
    <t>Temperature record in the oxygen stable isotopes of Pacific sardine otoliths: Experimental vs. wild stocks from the Southern California Bight</t>
  </si>
  <si>
    <t>Otolith; Oxygen stable isotope; Sardine; Sardinops sagax; Southern California Bight</t>
  </si>
  <si>
    <t>FISH OTOLITHS; SAGAX; FRACTIONATION; CHEMISTRY; C-13; IDENTIFICATION; VARIABILITY</t>
  </si>
  <si>
    <t>Pacific sardines (Sardinops sagax) are commercially fished in Canada, USA, and Mexico along approximately 5000 km of coastal waters that experience a wide range of temperatures. Trinational management of the species can be problematic because the connectivity between spawning, recruitment, stock residency, and migration in some years may not be well predicted. Oxygen isotopic value of otoliths (delta O-18(otolith)) has been used to infer stock residency and movement of fish populations within regions, but few studies have used laboratory data to establish a predictive temperature model to validate delta O-18(otolith) values of wild fish. We conducted a growth experiment with juveniles at different temperatures using Southern California Bight (SCB) seawater to test the assumption that Pacific sardine otoliths accurately record environmental water temperature in the presence of constant salinity. Sardine delta O-18(otolith) values were significantly and negatively correlated with temperature according to the linear model: delta O-18(otolith)(parts per thousand)-delta O-18(water)(parts per thousand) = -0.132(+/- 0.003 SE) x Temperature(degrees C) + 2.455(+/- 0.043 SE) We used this model to predict the temperature history of wild age-1 sardine collected in the SCB from 1995 to 2003. The field samples generally fit the model of SCB residency when both the average coastal sea surface temperatures and temperatures at 30 m were used to bracket the range of calculated otolith temperatures. (C) 2010 Elsevier B.V. All rights reserved.</t>
  </si>
  <si>
    <t>10.1016/j.jembe.2010.11.024</t>
  </si>
  <si>
    <t>Maron, CF; Budge, SM; Ward, RE; Valenzuela, L; Di Martino, M; Ricciardi, M; Sironi, M; Uhart, M; Seger, J; Rowntree, VJ</t>
  </si>
  <si>
    <t>Fatty acids and stable isotopes (delta C-13, delta N-15) in southern right whale Eubalaena australis calves in relation to age and mortality at Peninsula Valdes, Argentina</t>
  </si>
  <si>
    <t>Fatty acids; Calves; Diet; Blubber; Mortality; Carbon-13; Nitrogen-15; Nutritional status; Growth</t>
  </si>
  <si>
    <t>DOCOSAHEXAENOIC ACID; ANTARCTIC KRILL; BLUBBER; POPULATION; DIET; FOOD; STRATIFICATION; VARIABILITY; DEFICIENCY; MOTHERS</t>
  </si>
  <si>
    <t>Baleen whales accumulate fat reserves during the summer to sustain reproduction while fasting in the winter. The southern right whale Eubalaena australis population that calves off Peninsula Valdes, Argentina, experienced high calf mortality events from 2003 to 2013 and poor nutritional states of mothers could be a contributing cause. Previous studies found that the population's reproductive success is influenced by prey availability. Mothers unable to build sufficient fat reserves or feeding on prey with different nutritional value may fail to meet the demands of lactation. Milk is the only source of nutrients and energy for calves at Valdes, so their fatty acids (FAs) and stable isotopes should reflect their mother's diet and feeding-ground locations. Here, we compared FA profiles and C and N stable isotopes of dead calves with those of living calves to evaluate the potential impact of maternal nutrition on calf survival. We found no differences in the FA composition of blubber in dead and living calves, indicating similar maternal diets. Likewise, the isotopic values of living and dead calves imply that their mothers had similar foraging ranges. However, FA composition was greatly affected by calf length, indicating effects of calf age and duration of nursing. These findings suggest that mothers of dead calves did not feed on different diets or feeding grounds compared to mothers of living calves. Future research should further assess the overall health and body condition of the Valdes southern right whale calves.</t>
  </si>
  <si>
    <t>10.3354/meps13387</t>
  </si>
  <si>
    <t>Vecchio, JL; Peebles, EB</t>
  </si>
  <si>
    <t>Lifetime-scale ontogenetic movement and diets of red grouper inferred using a combination of instantaneous and archival methods</t>
  </si>
  <si>
    <t>Eye-lens stable isotopes; Red grouper; Diet; Movement; Natural tag</t>
  </si>
  <si>
    <t>CARBON-ISOTOPE FRACTIONATION; MYCTEROPERCA-MICROLEPIS; FISH POPULATIONS; STABLE-ISOTOPES; STOMACH CONTENT; NORTHERN GULF; FOOD WEBS; REEF FISH; EYE LENS; PHYTOPLANKTON</t>
  </si>
  <si>
    <t>Many predatory marine fishes undergo ontogenetic diet and habitat shifts as they grow. Most fishery datasets, such as catch records, length frequencies, and stomach contents, create a series of snapshots, with each captured fish representing a single timepoint during the lifespan. Chemical archives, such as eye lenses, preserve information regarding several life stages for each individual. By combining these disparate datasets, conclusions are strengthened through weight of evidence. We combined a novel archive, delta C-13 and delta N-15 bulk values in sequential eye-lens laminae, with fishery-independent catch records and stomach contents for red grouper Epinephelus morio (Valenciennes 1828) from the eastern Gulf of Mexico, USA. Eye-lens core isotope values suggest that successful individuals spend their larval period on the mid-to-outer continental shelf and locations do not vary substantially year-to-year. Profiles of delta N-15 values indicate that trophic position increases with size following a logarithmic growth model, while stomach contents indicate a simultaneous increase in fish proportion in the diet. Stomach contents and delta C-13 values together suggest that most red grouper move to nearshore waters at settlement, spend several months in shallow water with heavy benthic diet dependence, then slowly cross the continental shelf toward deeper water as they mature. With this work, we demonstrate that eye-lens isotope value profiles can enhance fisheries datasets and may provide a method of recreating diet and movement histories for species without long-term biological information.</t>
  </si>
  <si>
    <t>10.1007/s10641-022-01210-2</t>
  </si>
  <si>
    <t>Dunne, JA; Williams, RJ; Martinez, ND</t>
  </si>
  <si>
    <t>Network structure and robustness of marine food webs</t>
  </si>
  <si>
    <t>food webs; network structure; marine ecosystems; robustness; connectance; niche model; biodiversity loss</t>
  </si>
  <si>
    <t>COMPLEX NETWORKS; CONNECTANCE; ECOSYSTEM; DYNAMICS; SCALE; FISHERIES; PATTERNS</t>
  </si>
  <si>
    <t>Previous studies suggest that food-web theory has yet to account for major differences in food-web properties of marine versus other types of ecosystems. We examined this issue by analyzing the network structure of food webs for the Northeast US Shelf, a Caribbean reef, and Benguela, off South Africa. The values of connectance (links per species(2)), link density (links per species), mean chain length, and fractions of intermediate, omnivorous, and cannibalistic taxa of these marine webs are somewhat high but still within the ranges observed in other webs. We further compared the marine webs by using the empirically corroborated 'niche model' that accounts for observed variation in diversity (taxon number) and complexity (connectance). Our results substantiate previously reported results for estuarine, fresh-water, and terrestrial datasets, which suggests that food webs from different types of ecosystems with variable diversity and complexity share fundamental structural and ordering characteristics. Analyses of potential secondary extinctions resulting from species loss show that the structural robustness of marine food webs is also consistent with trends from other food webs. As expected, given their relatively high connectance, marine food webs appear fairly robust to loss of most connected taxa as well as random taxa. Still, the short average path length between marine taxa (1.6 links) suggests that effects from perturbations, such as over-fishing, can be transmitted more widely throughout marine ecosystems than previously appreciated.</t>
  </si>
  <si>
    <t>10.3354/meps273291</t>
  </si>
  <si>
    <t>Castro, KL; Epherra, L; Raffo, MP; Morsan, E; Rubilar, T</t>
  </si>
  <si>
    <t>Changes in the diet of the native sea urchin Arbacia dufresnii at different scenarios of the Undaria pinnatifida invasion (Patagonia, Argentina)</t>
  </si>
  <si>
    <t>Feeding habits; invasive kelp; echinoid; Patagonia</t>
  </si>
  <si>
    <t>ISOTOPE MIXING MODELS; NUEVO GULF PATAGONIA; FOOD-WEB; TROPHIC POSITION; STABLE NITROGEN; DELTA-N-15; ECOLOGY; DELTA-C-13; LAMINARIALES; POPULATION</t>
  </si>
  <si>
    <t>Undaria pinnatifida is one of the most successful marine invasive species worldwide. Since its first detection in Nuevo Gulf (Argentina), changes in the species richness and diversity of native algae and macrofauna have been reported. Knowledge of the invasive alga-native grazer interaction is key to better understand ecosystem dynamics and the potential effects of Undaria on local food webs. The aim of this study was to compare the diet of the sea urchin Arbacia dufresnii, among different scenarios of invasion of Undaria in two northern Patagonian gulfs. To this end, we determined the relative contribution of kelp to the diet of the sea urchin by comparing the gut content and stable isotopes in different tissues of A. dufresnii from sites where the invasion of Undaria was advanced, relatively recent, or not recorded. Because A. dufresnii has a plastic feeding habit and Undaria represents a high input of algal biomass, our hypothesis was that A. dufresnii feeds on Undaria and that the contribution of the invasive kelp to the diet of the sea urchin will be greater according to the time elapsed since invasion. Our results confirmed that A. dufresnii fed on Undaria and assimilated in gonads and muscle. The contribution of Undaria to the sea urchin diet was related to the stage of invasion. In the site with an advanced stage of invasion, A. dufresnii consumed the kelp both in spring and summer, when sporophytes were mature and senescent, respectively. However, in the recently invaded site, A. dufresnii consumed Undaria only in summer, when the kelp was senescent. Arbacia dufresnii is an omnivore species with the plasticity to adapt its diet to a variety of resources depending on the availability in the environment, prioritizing faunal items. This work reinforces the importance of complementing gut analysis with stable isotope analysis to determine the contribution of items in the diet. Although the impacts of an invasive alga on food webs and ecosystem structure are difficult to evaluate, performing these analyses in different scenarios may allow better understanding the local food web structure and assessing the possible ecological consequences over the invaded habitat.</t>
  </si>
  <si>
    <t>e00221</t>
  </si>
  <si>
    <t>10.1016/j.fooweb.2022.e00221</t>
  </si>
  <si>
    <t>MOORE, TR</t>
  </si>
  <si>
    <t>TRACE GAS EMISSIONS FROM CANADIAN PEATLANDS AND THE EFFECT OF CLIMATIC-CHANGE</t>
  </si>
  <si>
    <t>CARBON DIOXIDE; METHANE; NITROUS OXIDE; CLIMATIC CHANGE; PEATLANDS</t>
  </si>
  <si>
    <t>The emission of three trace gases, nitrous oxide, carbon dioxide; and methane, from peatlands is examined, identifying the primary controls and the potential effect of climatic change on emission rates. Nitrous oxide emission from natural peatlands is small and tied to the cycling of nitrogen but increases upon disturbance such as drainage. Peatlands generally act as a sink for carbon dioxide, but they convert from a sink to a source upon drainage. Methane emissions are controlled primarily by position of the water table, with secondary controls of temperature and trophic status of the peat. Canadian and other northern peatlands play a moderately important role in the global methane budget. Climatic change, such as increases in temperature and precipitation predicted by 2 x CO2 scenarios, may result in increased emissions of nitrous oxide, decreased carbon dioxide storage, and reduced methane emissions from Canadian peatlands.</t>
  </si>
  <si>
    <t>10.1007/BF03160659</t>
  </si>
  <si>
    <t>Brasso, RL; Lang, J; Jones, CD; Polito, MJ</t>
  </si>
  <si>
    <t>Ontogenetic niche expansion influences mercury exposure in the Antarctic silverfish Pleuragramma antarcticum</t>
  </si>
  <si>
    <t>Mercury; Ontogenetic shift; Trophic position; Stable isotope analysis; Foraging niche; Antarctic silverfish</t>
  </si>
  <si>
    <t>STABLE-ISOTOPE RATIOS; MARINE FOOD-WEB; BODY-SIZE; TROPHIC STRUCTURE; ROSS SEA; FISH; PREY; DIET; BIOACCUMULATION; GROWTH</t>
  </si>
  <si>
    <t>The effects of body size and age class on mercury concentrations were examined in the Antarctic silverfish Pleuragramma antarcticum, an ecologically important prey species in the Antarctic marine food web. Stable isotope analysis was used to investigate variation in mercury concentrations related to ontogenetic changes in diet and/or foraging habitat. Specimens of P. antarcticum were collected along the Ross Sea shelf in February 2008 and mercury concentrations in homogenized whole fish and muscle tissue were analyzed relative to standard length, age class (juvenile vs. adult) and isotopic measures of diet (delta N-15) and foraging habitat (delta C-13). While mercury concentration in muscle tended to be higher than whole-fish values, concentrations in these 2 matrices were highly correlated. A positive relationship was found between standard length and mercury concentration; further, adult P. antarcticum had significantly higher mercury concentrations than juveniles. Adult mercury concentrations were also more variable: the coefficient of variation in adult muscle (58.3%) was more than twice that found in juveniles (25.0%). Though no linear relationships were detected between standard length and delta N-15 or delta C-13 values when all individuals were combined, juvenile and adult size classes of fish differed in their isotopic niche position and width. In addition, delta C-13 values explained the greatest amount of variation in whole-fish mercury across all age classes and for adult fish alone. By expanding both the horizontal and vertical components of their foraging habitat, adult P. antarcticum may have a wider range of exposure to mercury compared with juvenile fish.</t>
  </si>
  <si>
    <t>10.3354/meps10738</t>
  </si>
  <si>
    <t>Ferguson, JM; Hopkins, JB; Witteveen, BH</t>
  </si>
  <si>
    <t>Integrating abundance and diet data to improve inferences of food web dynamics</t>
  </si>
  <si>
    <t>ecological tracers; food web model; functional response; integrated modelling; multispecies modelling; nonlinear time series; stable isotopes</t>
  </si>
  <si>
    <t>WHALES MEGAPTERA-NOVAEANGLIAE; STABLE-ISOTOPES; HUMPBACK WHALES; PREY; BIOENERGETICS; FIN; DIGESTIBILITY; PREDATION; COMMUNITY; VALUES</t>
  </si>
  <si>
    <t>1. Both population abundances and chemical tracers are useful tools for studying consumer-resource interactions. Food web models parameterized with abundances are often used to understand how interactions structure communities and to inform management decisions of complex ecological systems. Unfortunately, collecting abundance data to parameterize these models is often expensive and time-consuming. Another approach is to use chemical tracers to estimate the proportional diets of consumers by relating the tracers in their tissues to those found in their food sources. Although tracer data are often inexpensive to collect, these diet proportions provide little information on the per-capita consumption rates of consumers. Here, we show how coupling these data sources leads to better estimates of consumption rates. 2. Our modelling approach integrates traditional multispecies population abundance models with proportional diet estimates. We used simulations to determine whether integrated food web datasets were more informative than the standard abundance datasets and demonstrated the use of our integrated approach by estimating consumption rates of hump-back whales Megaptera novaeangliae in the western Gulf of Alaska using abundances coupled with stable isotopes as tracers. 3. Our simulations demonstrated that integrated models improved the ability to resolve alternative hypotheses about the functional response and yielded more precise parameter estimates relative to standard food web models. The integrated data approach was especially informative under low sample sizes or high process variance. Our application of the integrated modelling approach to humpback whales indicated that fish averaged about 25% of whale diets, though this proportion declined over the course of the study. We also found that traditional abundance model estimates of humpback whale consumption were non-estimable and that the integrated food web model led to estimable consumption rates. 4. Our results show that integrating stable isotopes and abundance datasets provides an exciting way forward for parameterizing multispecies models in data-limited systems. We expect that future developments of these integrated approaches will extend current food web theory by allowing ecologists to study predation dynamics over seasonal time-scales and at the individual level.</t>
  </si>
  <si>
    <t>10.1111/2041-210X.13001</t>
  </si>
  <si>
    <t>Lindegren, M; Ostman, O; Gardmark, A</t>
  </si>
  <si>
    <t>Interacting trophic forcing and the population dynamics of herring</t>
  </si>
  <si>
    <t>Bothnian (Northern Baltic) Sea; bottom-up and top-down factors; Clupea harengus; cod; competition; ecosystem-based management; grey seal; herring; pelagic fish stocks; population dynamics; predation; sprat</t>
  </si>
  <si>
    <t>CENTRAL BALTIC SEA; CLUPEA-HARENGUS; REGIME SHIFTS; ECOSYSTEM; VARIABILITY; SPRAT; DIET</t>
  </si>
  <si>
    <t>Small pelagic fish occupy a central position in marine ecosystems worldwide, largely by determining the energy transfer from lower trophic levels to predators at the top of the food web, including humans. Population dynamics of small pelagic fish may therefore be regulated neither strictly bottom-up nor top-down, but rather through multiple external and internal drivers. While in many studies single drivers have been identified, potential synergies of multiple factors, as well as their relative importance in regulating population dynamics of small pelagic fish, is a largely unresolved issue. Using a statistical, age-structured modeling approach, we demonstrate the relative importance and influence of bottom-up (e.g., climate, zooplankton availability) and top-down (i.e., fishing and predation) factors on the population dynamics of Bothnian Sea herring (Clupea harengus) throughout its life cycle. Our results indicate significant bottom-up effects of zooplankton and interspecific competition from sprat (Sprattus sprattus), particularly on younger age classes of herring. Although top-down forcing through fishing and predation by grey seals (Halichoerus grypus) and Atlantic cod (Gadus morhua) also was evident, these factors were less important than resource availability and interspecific competition. Understanding key ecological processes and interactions is fundamental to ecosystem-based management practices necessary to promote sustainable exploitation of small pelagic fish.</t>
  </si>
  <si>
    <t>10.1890/10-2229.1</t>
  </si>
  <si>
    <t>Petta, JC; Shipley, ON; Wintner, SP; Cliff, G; Dicken, ML; Hussey, NE</t>
  </si>
  <si>
    <t>Are you really what you eat? Stomach content analysis and stable isotope ratios do not uniformly estimate dietary niche characteristics in three marine predators</t>
  </si>
  <si>
    <t>Isotopic niche; Carbon and nitrogen isotopes; Shark; Elasmobranch; Stomach content niche</t>
  </si>
  <si>
    <t>SCALLOPED HAMMERHEAD SHARK; PROTECTIVE GILL NETS; DISCRIMINATION FACTORS; INCORPORATION RATES; TROPHIC POSITION; SPHYRNA-LEWINI; MIXING MODELS; LIPID-CONTENT; SOUTH-AFRICA; AMINO-ACIDS</t>
  </si>
  <si>
    <t>Calculation of dietary niche characteristics using stable isotopes has become a popular approach to understand the functional role of taxa across food webs. An underlying assumption of this approach is that stable isotopes accurately reflect the dietary breadth of a species over a temporal duration defined by tissue-specific isotopic turnover rates. In theory, dietary niche estimates derived from fast turnover rate tissues (e.g., blood plasma and liver) may augment stomach content-derived estimates more agreeably than slower turnover rate tissues (e.g., muscle or fin). We tested this hypothesis by comparing commonly used dietary niche estimates derived from stomach contents (niche(SCA): Levins', Shannon-Wiener's, and Smith's), with those estimated using stable isotopes [niche(SIA): standard ellipse area (SEA), convex hull total area (TA), theta (theta), and ellipse eccentricity (E)] of liver and muscle tissue. Model species were three large-bodied sharks: white (Carcharodon carcharias), dusky (Carcharhinus obscurus), and scalloped hammerhead (Sphyrna lewini). Within-technique comparisons for niche(SCA) and niche(SIA) metrics (i.e., SEA vs. TA) were often correlated; however, we did not observe any statistically significant correlations between niche(SCA) and liver/muscle tissue niche(SIA) (i.e., Levins' vs. SEA). We conclude that niche(SCA) and niche(SIA) do not provide comparable estimates of dietary niche, at least for the three predator species examined. This fundamental discrepancy highlights technique-specific limitations to estimating organismal dietary niche and identifies a need for the use of clearly defined niche metrics, i.e., the standardized use and reporting of the term isotopic niche as proposed by Newsome et al. (Front Ecol Environ 5:429-436, 2007). Finally, further investigation into the factors underpinning niche(SIA) is required to better contextualize this popular ecological metric when compared to niche(SCA).</t>
  </si>
  <si>
    <t>10.1007/s00442-020-04628-6</t>
  </si>
  <si>
    <t>Inglett, PW; Reddy, KR; Newman, S; Lorenzen, B</t>
  </si>
  <si>
    <t>Increased soil stable nitrogen isotopic ratio following phosphorus enrichment: historical patterns and tests of two hypotheses in a phosphorus-limited wetland</t>
  </si>
  <si>
    <t>peat profile; wetland eutrophication; nitrogen isotopes; biogeochemistry; macrophytes</t>
  </si>
  <si>
    <t>FLORIDA EVERGLADES; ORGANIC-MATTER; NATURAL-ABUNDANCE; N-15; DELTA-N-15; DELTA-C-13; GRADIENT; DENITRIFICATION; DIAGENESIS; NITRIFICATION</t>
  </si>
  <si>
    <t>We used a P enrichment gradient in the Everglades to investigate patterns of the stable N isotopic ratio (delta N-15) in peat profiles as an indicator of historic eutrophication of this wetland. We also tested two hypotheses to explain the effects of P on increased delta N-15 of organic matter including: (1) increased N mineralization/N loss, and (2) reduced isotopic discrimination during macrophyte N uptake. Spatial patterns of delta N-15 in surface litter and soil (0-10 cm) mimic those of the aboveground macrophytes (Typha domingensis Pers. and Cladium jamaicense Crantz). Peat profiles also show increased delta N-15 in the peat accumulated in areas near the historic P discharges since the early 1960s. The increased delta N-15 of bulk peat correlated well with both measured increases in soil total P and the historical beginning of nutrient discharges into this wetland. In 15-day bottle incubations of soil, added P had no effect on the delta N-15 of NH4+ and significantly increased the delta N-15 of water-extractable organic N. Measurements of surface soils collected during a field mesocosm experiment also revealed no significant effect of P on delta N-15 even after 5 years of P addition. In contrast, delta N-15 of leaf and root tissues of hydroponically grown Typha and Cladium were shown to increase up to 12 parts per thousand when grown at elevated levels of P and fixed levels of N (as NH4+). The magnitude of changes in delta N-15 resulting from altered discrimination during N uptake is significant compared with other mechanisms affecting plant delta N-15, and suggests that this may be the dominant mechanism affecting delta N-15 of organic matter following P enrichment. The results of this study have implications for the interpretation of delta N-15 as an indicator of shifts in relative N limitation in wetland ecosystems, and also stress the importance of experimental validation in interpreting delta N-15 patterns.</t>
  </si>
  <si>
    <t>10.1007/s00442-007-0711-5</t>
  </si>
  <si>
    <t>Zhu, YJ; Wang, GJ; Xin, ZM</t>
  </si>
  <si>
    <t>Water use strategy of Ammopiptanthus mongolicus community in a drought year on the Mongolian Plateau</t>
  </si>
  <si>
    <t>Ammopiptanthus mongolicus; endangered species; groundwater; soil water; stable isotope; water source; water use efficiency</t>
  </si>
  <si>
    <t>SYLVESTRIS VAR. MONGOLICA; STABLE-ISOTOPES; INNER-MONGOLIA; NATIVE PLANTS; SANDY LAND; DESERT; SHRUBS; GROWTH</t>
  </si>
  <si>
    <t>Aims In desert ecosystems, water is a restricting factor for plant growth and vegetation dynamics. The relatively stable water source from deep soil profile or groundwater is important for plant survival during drought. Understanding water use strategy of endangered species, in desert ecosystem is essential for their conservation and restoration such as Ammopiptanthus mongolicus on the Mongolian Plateau. Methods The stable isotope method of delta D and delta O-18 was used to examine the main water sources of A. mongolicus and two companion shrubs, e.g. Artemisia ordosica and Artemisia xerophytica. The contribution of different water sources to each species was calculated by IsoSource model. Leaf delta C-13 was used to compare long-term water use efficiency of three shrubs. Soil moisture and root distribution of three shrubs was measured to explain plant water use strategy. Important Findings The results showed that A. mongolicus relied on groundwater and 150-200 cm deep soil water, with the former contributing to almost half of its total water source. Artemisia ordosica mainly used 150-200 cm deep soil water, but also used shallow soil water within 100 cm in summer and autumn. Artemisia xerophytica mainly used 150-200 cm deep soil water and groundwater, with the latter contributing to about 30%-60% of its total water source. The three shrubs had dimorphic or deep root systems, which are in accord with their water sources. The WUE in the evergreen shrub A. mongolicus was higher than in two deciduous Artemisia shrubs, which may be an adaptive advantage in desert ecosystem. Therefore, groundwater is an important water source for the endangered shrub A. mongolicus in a drought year on Mongolian Plateau. Ammopiptanthus mongolicus and two Artemisia shrubs competed for deep soil water and groundwater.</t>
  </si>
  <si>
    <t>10.1093/jpe/rtaa064</t>
  </si>
  <si>
    <t>Lowther, AD; Fisk, A; Kovacs, KM; Lydersen, C</t>
  </si>
  <si>
    <t>Interdecadal changes in the marine food web along the west Spitsbergen coast detected in the stable isotope composition of ringed seal (Pusa hispida) whiskers</t>
  </si>
  <si>
    <t>Climate change; Diet; Foraging ecology; Prey shifting; Trophic levels; Vibrissae</t>
  </si>
  <si>
    <t>ATLANTIC WATER; CLIMATE-CHANGE; PHOCA-HISPIDA; SVALBARD; DIET; ECOLOGY; NORWAY; VIBRISSAE; CARBON; FJORD</t>
  </si>
  <si>
    <t>Recent influxes of warm Atlantic water into the fjords of west Spitsbergen have led to concomitant influx of more temperate and boreal fish species. The changes in the water masses within the fjords naturally affect all trophic levels of the sympagic, benthic, and pelagic food chains in the area. The most abundant marine mammal species in the fjords of west Spitsbergen is the ringed seal (Pusa hispida), which feeds, breeds, and moults in this area. In this study, we used isotopic data from whiskers of two cohorts of adult ringed seals (sampled in 1990 and 2013) to determine whether signals of ecosystem changes were detectable in this top marine predator. Acknowledging the limitations to our understanding of whisker growth in phocid seals, we interpreted the isotopic data from whiskers under two alternate hypotheses of whisker replacement dynamics and the dietary periods that might be represented. Even under the most conservative hypothesis, it is clear from our data that changes in the marine food web of the west Spitsbergen coast have occurred over the last 20 years, and that these are detectable in the isotopes incorporated into higher trophic predators. Concluding which aspect of the food web has been modified is complicated by a lack of recent ringed seal dietary studies, a knowledge gap that should be prioritised as the climate continues to change.</t>
  </si>
  <si>
    <t>10.1007/s00300-017-2122-3</t>
  </si>
  <si>
    <t>Hobbie, EA; Chen, J; Hanson, PJ; Iversen, CM; McFarlane, KJ; Thorp, NR; Hofmockel, KS</t>
  </si>
  <si>
    <t>Long-term carbon and nitrogen dynamics at SPRUCE revealed through stable isotopes in peat profiles</t>
  </si>
  <si>
    <t>N-15 NATURAL-ABUNDANCE; MYCORRHIZAL FUNGI; BOREAL PEATLANDS; ORGANIC-CARBON; SOIL-NITROGEN; EARLY-STAGE; PLANTS; BOG; DECOMPOSITION; INDICATORS</t>
  </si>
  <si>
    <t>Peatlands encode information about past vegetation dynamics, climate, and microbial processes. Here, we used delta N-15 and delta C-13 patterns from 16 peat profiles to deduce how the biogeochemistry of the Marcell S1 forested bog in northern Minnesota responded to environmental and vegetation change over the past similar to 10 000 years. In multiple regression analyses, delta N-15 and delta C-13 correlated strongly with depth, plot location, C/N, %N, and each other. Correlations with %N, %C, C/N, and the other isotope accounted for 80% of variance for delta N-15 and 38% of variance for delta C-13, reflecting N and C losses. In contrast, correlations with depth and topography (hummock or hollow) reflected peatland successional history and climate. Higher delta N-15 in plots closer to uplands may reflect upland-derived DON inputs and accompanying shifts in N dynamics in the lagg drainage area surrounding the bog. The Suess effect (declining delta(CO2)-C-13 since the Industrial Revolution) lowered delta C-13 in recent surficial samples. High delta N-15 from -35 to -55 cm probably indicated the depth of ectomycorrhizal activity after tree colonization of the peatland over the last 400 years, as confirmed by the occasional presence of wood down to -35 cm depth. High delta C-13 at similar to 4000 years BP (-65 to -105 cm) could reflect a transition at that time to slower rates of peat accumulation, when C-13 discrimination during peat decomposition may increase in importance. Low delta C-13 and high delta N-15 at -213 and -225 cm (similar to 8500 years BP) corresponded to a warm period during a sedge-dominated rich fen stage. The above processes appear to be the primary drivers of the observed isotopic patterns, whereas there was no clear evidence for methane dynamics influencing delta C-13 patterns.</t>
  </si>
  <si>
    <t>10.5194/bg-14-2481-2017</t>
  </si>
  <si>
    <t>Chikaraishi, Y; Steffan, SA; Ogawa, NO; Ishikawa, NF; Sasaki, Y; Tsuchiya, M; Ohkouchi, N</t>
  </si>
  <si>
    <t>High-resolution food webs based on nitrogen isotopic composition of amino acids</t>
  </si>
  <si>
    <t>Carnivores; compound-specific isotope analysis; ecosystem; herbivores; omnivores; predators; primary producers; trophic position</t>
  </si>
  <si>
    <t>TROPHIC POSITION; PREDATOR DIVERSITY; DELTA-N-15 VALUES; NORTH-ATLANTIC; FISH MUSCLE; RATIOS; CARBON; FRACTIONATION; DELTA-C-13; OMNIVORY</t>
  </si>
  <si>
    <t>Food webs are known to have myriad trophic links between resource and consumer species. While herbivores have well-understood trophic tendencies, the difficulties associated with characterizing the trophic positions of higher-order consumers have remained a major problem in food web ecology. To better understand trophic linkages in food webs, analysis of the stable nitrogen isotopic composition of amino acids has been introduced as a potential means of providing accurate trophic position estimates. In the present study, we employ this method to estimate the trophic positions of 200 free-roaming organisms, representing 39 species in coastal marine (a stony shore) and 38 species in terrestrial (a fruit farm) environments. Based on the trophic positions from the isotopic composition of amino acids, we are able to resolve the trophic structure of these complex food webs. Our approach reveals a high degree of trophic omnivory (i.e., noninteger trophic positions) among carnivorous species such as marine fish and terrestrial hornets. This information not only clarifies the trophic tendencies of species within their respective communities, but also suggests that trophic omnivory may be common in these webs.</t>
  </si>
  <si>
    <t>10.1002/ece3.1103</t>
  </si>
  <si>
    <t>Huaranca, JC; Novaro, AJ; Valdivia, CE</t>
  </si>
  <si>
    <t>Effects of livestock grazing on biodiversity: A meta-analysis on three trophic levels</t>
  </si>
  <si>
    <t>Grazing; Effect; Plants; Consumers; Richness species; Abundance; Cover; Biomass</t>
  </si>
  <si>
    <t>HABITAT FRAGMENTATION; VEGETATION CHANGES; SPECIES-DIVERSITY; PLANT DIVERSITY; ECOSYSTEM; DISTURBANCE; CARNIVORES; EXCLUSION; INTENSITY; FORESTS</t>
  </si>
  <si>
    <t>Livestock impact is one of the main causes of habitat loss globally. However, the effects of livestock on flora and fauna diversity have been contradictory, observing cases with positive, neutral, and negative effects. We performed a meta-analysis of the scientific information published in the last 15 years, using Google Scholar and WoS for the search. The inclusion criteria were if the studies presented a) changes in abundance, richness, biomass, plant cover, and consumers; b) included replicas; c) the size of the sample; d) study on domestic cattle, and e) reported the mean and standard deviation of effects of each treatment. We found 2450 scientific publications of which we selected 67 publications that reported the effects a) of grazing on the richness, abundance, cover, and biomass of plants (producers), and b) on richness and abundance of primary and secondary consumers, comparing grazed and non-grazed (or weakly grazed) environments. Grazing did not significantly affect the abundance of the plants or animals studied, regardless of whether they were primary or secondary consumers. The magnitude and direction of the observed effects on plants and consumers could be influenced by livestock type, the natural environments evaluated (forests, grasslands, or scrublands), the spatial and temporal scales involved, and the plant species origin (i.e., native versus non-native). The significant effect of livestock on plants and consumers, also can be differentiated in the characteristics of the species (e.g., life-history traits, etc.) that go beyond their position in the food chains. Evaluating the livestock grazing effect in more than one trophic level helps understand how grazing affects the species according to their way of life, in contrast to evaluations of a single trophic level.</t>
  </si>
  <si>
    <t>10.1016/j.jnc.2021.126126</t>
  </si>
  <si>
    <t>Stuart, JEM; Holland-Moritz, H; Jean, M; Miller, SN; Ponciano, JM; McDaniel, SF; Mack, MC</t>
  </si>
  <si>
    <t>The relationship of C and N stable isotopes to high-latitude moss-associated N-2 fixation</t>
  </si>
  <si>
    <t>Nitrogen; Bryophytes; Arctic; Boreal; Alaska</t>
  </si>
  <si>
    <t>N-15 NATURAL-ABUNDANCE; BIOLOGICAL NITROGEN-FIXATION; EXPERIMENTAL WARMING ALTERS; SPHAGNUM MOSSES; HYLOCOMIUM-SPLENDENS; CYANOBACTERIA ASSOCIATIONS; ATMOSPHERIC DEPOSITION; CONTRASTING RESPONSES; FEATHER MOSSES; RAIN-FOREST</t>
  </si>
  <si>
    <t>Moss-associated N-2 fixation by epiphytic microbes is a key biogeochemical process in nutrient-limited high-latitude ecosystems. Abiotic drivers, such as temperature and moisture, and the identity of host mosses are critical sources of variation in N-2 fixation rates. An understanding of the potential interaction between these factors is essential for predicting N inputs as moss communities change with the climate. To further understand the drivers and results of N-2 fixation rate variation, we obtained natural abundance values of C and N isotopes and an associated rate of N-2 fixation with N-15(2) gas incubations in 34 moss species collected in three regions across Alaska, USA. We hypothesized that delta N-15 values would increase toward 0 parts per thousand with higher N-2 fixation to reflect the increasing contribution of fixed N-2 in moss biomass. Second, we hypothesized that delta C-13 and N-2 fixation would be positively related, as enriched delta C-13 signatures reflect abiotic conditions favorable to N-2 fixation. We expected that the magnitude of these relationships would vary among types of host mosses, reflecting differences in anatomy and habitat. We found little support for our first hypothesis, with only a modest positive relationship between N-2 fixation rates and delta N-15 in a structural equation model. We found a significant positive relationship between delta C-13 and N-2 fixation only in Hypnales, where the probability of N-2 fixation activity reached 95% when delta C-13 values exceeded - 30.4 parts per thousand. We conclude that moisture and temperature interact strongly with host moss identity in determining the extent to which abiotic conditions impact associated N-2 fixation rates.</t>
  </si>
  <si>
    <t>10.1007/s00442-021-05005-7</t>
  </si>
  <si>
    <t>Linhares, BD; Nunes, GT; Faria, FA; Rosso, FD; Bugoni, L; Ott, PH</t>
  </si>
  <si>
    <t>American Oystercatcher benefits from a heterogeneous landscape to breed in an urbanized area in southern Brazil</t>
  </si>
  <si>
    <t>URBAN ECOSYSTEMS</t>
  </si>
  <si>
    <t>Breeding performance; Foraging ecology; Habitat connectivity; Haematopus palliatus; Shorebirds; Stable isotopes</t>
  </si>
  <si>
    <t>GRANDE-DO-SUL; AFRICAN BLACK OYSTERCATCHER; HAEMATOPUS-PALLIATUS; REPRODUCTIVE SUCCESS; CONSERVATION STATUS; FORAGING BEHAVIOR; GLOBAL ASSESSMENT; SHOREBIRDS; DISTURBANCE; OSTRALEGUS</t>
  </si>
  <si>
    <t>Urbanization is a major form of landscape transformation that often results in habitat degradation and loss for birds. However, effects on avian populations are trait- and context-dependent, and persistence at urban patches is likely to be a function of habitat availability at the landscape scale. Here, we aimed to assess the breeding performance and foraging ecology of a widespread shorebird, the American Oystercatcher Haematopus palliatus, during the 2017-2018 and 2018-2019 breeding seasons at a small urban beach surrounded by a heterogeneous landscape in southern Brazil. Twelve pairs were able to breed consistently and successfully fledge offspring in 20% of nesting attempts at the urban site, with overall productivity of 0.37 fledglings per pair. Food remains collected within seven successful nesting territories and stable isotope analysis in blood samples of adults and chicks indicated that oystercatchers relied on invertebrates from both sandy beaches and rocky shores as food resources. Furthermore, eight out of 21 color-marked individuals from the urban beach were consistently recorded using an insular marine protected area 2 km offshore, revealing a connection between unprotected and protected habitat patches. Although oystercatchers had to perform multiple foraging trips in order to collect food, the ability to explore different environments in the landscape may be critical in the region, especially with human disturbance at its peak on beaches during the summer. Our findings suggest that shorebirds breeding in urban areas may rely on heterogeneous landscapes, where distinct and protected habitat patches can provide complementary resources that allow breeding successfully.</t>
  </si>
  <si>
    <t>10.1007/s11252-021-01123-5</t>
  </si>
  <si>
    <t>Gaillard, B; Meziane, T; Tremblay, R; Archambault, P; Blicher, ME; Chauvaud, L; Rysgaard, S; Olivier, F</t>
  </si>
  <si>
    <t>Food resources of the bivalve Astarte elliptica in a sub-Arctic fjord: a multi-biomarker approach</t>
  </si>
  <si>
    <t>Trophic ecology; Stable isotopes; Fatty acid trophic markers; Compound-specific stable isotope analysis; Sub-Arctic fjord; Bivalve</t>
  </si>
  <si>
    <t>FATTY-ACID-COMPOSITION; PARTICULATE ORGANIC-MATTER; SEA-ICE; TROPHIC RELATIONSHIPS; STABLE-ISOTOPES; WEB STRUCTURE; MARINE ECOSYSTEM; CARBON FLOW; TRINITY BAY; WATER</t>
  </si>
  <si>
    <t>It is generally agreed that pelagic-benthic coupling is tight on Arctic shelves, i.e. that organic matter produced in the surface layers supports the seafloor and benthos. However, this paradigm is mainly based on the assumption that phytoplankton and ice algae are the main sources of carbon for the benthic communities. Climate change is expected to alter the relative contribution of food sources for benthic organisms. Macroalgal biomass is predicted to increase in near-shore systems in response to increased temperature and reduced sea ice cover. Thus, a better understanding of the relative contribution of benthic and pelagic components in benthic food webs in the Arctic is needed. In this study, a multi-biomarker approach (stable isotopes, fatty acid trophic markers, and compound-specific stable isotope analysis) was applied to link potential sources of carbon, including particulate organic matter from subsurface and bottom waters, sediment organic matter, and 6 macroalgal species to the diet of the bivalve Astarte elliptica collected below the euphotic zone in a sub-Arctic fjord (Kobbefjord, Greenland). Results showed that A. elliptica feeds on particulate and sediment organic matter and that brown macroalgae significantly support the Arctic benthic food web. Multi-biomarker approaches can be used to determine the diet of benthic organisms and track temporal variability in sources of food. It therefore appears to be an interesting method to study food regime strategies in response to changing primary production dynamics.</t>
  </si>
  <si>
    <t>10.3354/meps12036</t>
  </si>
  <si>
    <t>Musilova, Z; Musil, P; Zouhar, J; Senkyrova, A; Pavon-Jordan, D; Nummi, P</t>
  </si>
  <si>
    <t>Changes in wetland habitat use by waterbirds wintering in Czechia are related to diet and distribution changes</t>
  </si>
  <si>
    <t>artificial wetlands; long-term monitoring; range-shift drivers; waterbirds; wetland type</t>
  </si>
  <si>
    <t>LONG-TERM CHANGES; ANAS-PLATYRHYNCHOS; FORAGING BEHAVIOR; CARRYING-CAPACITY; PROTECTED AREAS; DABBLING DUCKS; CLIMATE; ABUNDANCE; NUMBERS; CONSERVATION</t>
  </si>
  <si>
    <t>Understanding species habitat use and factors affecting changes in their distributions are necessary to promote the conservation of any biological community. We evaluated the changes in wetland use of the non-breeding waterbird community. Based on long-term citizen-science data (1988-2020), we tested the hypotheses that wetland use is associated with species diet and potential range-shift drivers (the tendency to occupy the same sites in consecutive years-site affinity-and the species' average temperature across its wintering range-species temperature index). We analysed species-specific wetland use of 25 species of waterbirds wintering in Czechia over a period of 33 years. The analyses explained variability in trends in numbers of the studied waterbird species across four inland wetland types: reservoirs; fishponds; industrial waters created by flooding of former mining sites; and running waters. Trends in waterbird abundance positively correlated with species' diet on fishponds, industrial and running waters. Among the diet groups, invertivores showed the largest increase in abundances on industrial waters, closely followed by herbivores. Herbivores showed the largest increase in abundances in fishponds, and piscivores did so in running waters. Regarding range-shift drivers, species with higher site affinity showed higher abundances on running waters, while species with low species temperature index (i.e. wintering on average in sites with lower temperature) were more abundant on reservoirs. The abundance of both warm-dwelling and species with low site affinity increased on fishponds and industrial waters. Our findings suggest that the increased importance of the wetland types considered here for wintering waterbirds is likely to be linked to diet related changes in habitat use and changes in species distributions; and highlight that wintering waterbirds are expected to select sites with higher availability of food, higher energy content, and lower foraging cost. Recent and rapid changes in species distributions may lead to a decrease in the effectiveness of national and international conservation efforts. When planning conservation measures, it should be kept in mind that climate change does not only imply large-scale north/north-eastwards shifts of entire waterbird distributions, but can also modify the use of the habitats by waterbird species inside their traditional wintering range.</t>
  </si>
  <si>
    <t>10.1111/fwb.13842</t>
  </si>
  <si>
    <t>Xu, J; Chen, XY; Chen, X</t>
  </si>
  <si>
    <t>COUPLING MECHANISM OF REGIONAL CARBON-WATER SYMBIOSIS SYSTEM AND WATER RESOURCES REGULATION AND CONTROL UNDER LOW CARBON PERSPECTIVE</t>
  </si>
  <si>
    <t>APPLIED ECOLOGY AND ENVIRONMENTAL RESEARCH</t>
  </si>
  <si>
    <t>comprehensive evaluation model; sustainable development index; carbon-water coupling; low carbon mode; water resource rational allocation</t>
  </si>
  <si>
    <t>The purpose of this paper is to propose a new research method to solve the problem of reducing the source and sink measures in the implementation of low carbon governance, promote the development trend of reducing sources and increasing exchange rate, and to achieve an ideal state of negative carbon emissions. This paper is based on the research of low carbon sustainable and carbon - water coupling in ecological environment management, and based on the social and economic demands, a carbon cycle system based on carbon emission and carbon capture characteristics and a water resource circulation system characterized by ecological water demand and water pollution are constructed, and the two structures are coupled to each other. The regional carbon and water symbiotic coupling system with the coupling relationship of carbon water circulation system is proposed. This paper analyzes the internal components of carbon-water coupling system and its influencing factors from the perspective of low carbon, reveals its internal mechanism and establishes a multi-objective game decision model for water resources regulation in regional carbon-water symbiosis system. At the same time, this paper has optimized the water resources regulation and control in the pilot area. In this paper, by adjusting and perfecting the configuration of carbon and water coupling system in the regional water resources system, the source - sink integration in the carbon cycle is realized, which is the ideal mode of reducing source and increasing exchange rate.</t>
  </si>
  <si>
    <t>10.15666/aeer/1504_457465</t>
  </si>
  <si>
    <t>Skinner, MA; Courtenay, SC; Parker, WR; Curry, RA</t>
  </si>
  <si>
    <t>Stable isotopic assessment of site fidelity of mummichogs, Fundulus heteroclitus, exposed to multiple anthropogenic inputs</t>
  </si>
  <si>
    <t>Fundulus heteroclitus; Stable isotopes; Mark-recapture; Pulp mill; Wastewater treatment; Miramichi</t>
  </si>
  <si>
    <t>SCULPIN COTTUS-COGNATUS; ORGANIC-MATTER; PULP-MILL; CARBON ISOTOPES; FOOD WEBS; GUT CONTENTS; NITROGEN; DELTA-C-13; FISH; DELTA-N-15</t>
  </si>
  <si>
    <t>The goals of the study were: (1) to evaluate stable isotopic analysis (SIA) in determining the site fidelity of mummichogs, Fundulus heteroclitus, along a smaller spatial scale (similar to 10 km) in homogenous habitat type relative to previous SIA studies; and (2) to cross-validate SIA results with mark-recapture results from a study conducted concurrently at the same sites in the upper Miramichi River estuary (MRE), New Brunswick, Canada influenced by two pulp mills and three municipal wastewater facilities. Mummichogs sampled at 9 sites along the upper MRE (n = 198) had overall mean (+/- SD) ratios of -21.03 +/- 1.45 aEuro degrees delta C-13 and 11.37 +/- 1.02 aEuro degrees delta N-15. Mean delta C-13 and delta N-15 ratios were significantly different among sites with mean delta C-13 increasing in a downstream direction and distinct delta N-15 group signatures along the northern and southern shores. Multivariate analyses detected seven distinct groups out of nine sites sampled and these differences appear to be related to wastewater treatment influences, thus demonstrating the utility of SIA as a method to determine the site-specificity of organisms on a relatively small spatial scale within homogenous habitat within an estuary. These results, in addition to the scarcity of statistical outliers (3 %) during examination of isotopic ratios within sites support the results of a previous mark-recapture study that demonstrated very few mummichogs (3.4 %) in the upper MRE move more than 200 m.</t>
  </si>
  <si>
    <t>10.1007/s10641-012-0002-9</t>
  </si>
  <si>
    <t>Chen, DX; Hunt, HW; Morgan, JA</t>
  </si>
  <si>
    <t>Responses of a C-3 and C-4 perennial grass to CO2 enrichment and climate change: Comparison between model predictions and experimental data</t>
  </si>
  <si>
    <t>carbon; climate; photosynthesis; production, primary; nitrogen</t>
  </si>
  <si>
    <t>ELEVATED ATMOSPHERIC CO2; TEMPERATURE-DEPENDENCE; SIMULATION-MODEL; RISING CO2; WATER-USE; CARBON; AMBIENT; GROWTH; LEAVES; PLANTS</t>
  </si>
  <si>
    <t>Ecological responses to CO2 enrichment and climate change are expressed at several interacting levels: photosynthesis and stomatal movement at the leaf level, energy and gas exchanges at the canopy level, photosynthate allocation and plant growth at the plant level, and water budget and nitrogen cycling at the ecosystem level. Predictions of these ecosystem responses require coupling of ecophysiological and ecosystem processes. Version GEM2 of the grassland ecosystem model linked biochemical, ecophysiological and ecosystem processes in a hierarchical approach. The model included biochemical level mechanisms of C-3 and C-4 photosynthetic pathways to represent direct effects of CO2 on plant growth, mechanistically simulated biophysical processes which control interactions between the ecosystem and the atmosphere, and linked with detailed biogeochemical process submodels. The model was tested using two-year full factorial (CO2, temperature and precipitation) growth chamber data for the grasses Pascopyrum smithii (C-3) and Bouteloua gracilis (C-4). The C-3-C-4 photosynthesis submodels fitted the measured photosynthesis data from both the C-3 and the C-4 species subjected to different CO2, temperature and precipitation conditions. The whole GEM2 model accurately fitted plant biomass dynamics and plant N content data over a wide range of temperature, precipitation and atmospheric CO2 concentration. Both data and simulation results showed that elevated CO2 enhanced plant biomass production in both P. smithii (C-3) and B. gracilis (C-4). The enhancement of shoot production by elevated CO2 varied with temperature and precipitation. Doubling CO2 increased modeled annual net primary production (NPP) of P. smithii by 36% and 43% under normal and elevated temperature regimes, respectively, and increased NPP of B. gracilis by 29% and 24%. Doubling CO2 decreased modeled net N mineralization rate (N_min) of soil associated with P. smithii by 3% and 2% at normal and high temperatures, respectively. N_min of B. gracilsi soil decreased with doubled CO2 by 5% and 6% at normal and high temperatures. NPP increased with precipitation. The average NPP and N_min of P. smithii across the treatments was greater than that of B. gracilis. In the C-3 species the response of NPP to increased temperatures was negative under dry conditions with ambient CO2, but was positive under wet conditions or doubled CO2. The responses of NPP to elevated CO2 in the C-4 species were positive under all temperature and precipitation treatments. N_min increased with precipitation in both the C-3 and C-4 species. Elevated CO2 decreased N_min in the C-4 system. The effects of elevated CO2 on N_min in the C-3 system varied with precipitation and temperature. Elevated temperature decreased N_min under dry conditions, but increased it under wet conditions. Thus, there are strong interactions among the effects of CO2 enrichment, precipitation, temperature and species on NPP and N_min. Interactions between ecophysiological processes and ecosystem processes were strong. GEM2 coupled these processes, and was able to represent the interactions and feedbacks that mediate ecological responses to CO2 enrichment and climate change. More information about the feedbacks between water and N cycling is required to further validate the model. More experimental and modeling efforts are needed to address the possible effects of CO2 enrichment and climate change on the competitive balance between different species in a plant community and the feedbacks to ecosystem function.</t>
  </si>
  <si>
    <t>10.1016/0304-3800(94)00199-5</t>
  </si>
  <si>
    <t>Polito, MJ; Hinke, JT; Hart, T; Santos, M; Houghton, LA; Thorrold, SR</t>
  </si>
  <si>
    <t>Stable isotope analyses of feather amino acids identify penguin migration strategies at ocean basin scales</t>
  </si>
  <si>
    <t>migration; geolocation; seabird; stable isotopes</t>
  </si>
  <si>
    <t>MOVEMENTS</t>
  </si>
  <si>
    <t>Identifying the at-sea distribution of wide-ranging marine predators is critical to understanding their ecology. Advances in electronic tracking devices and intrinsic biogeochemical markers have greatly improved our ability to track animal movements on ocean-wide scales. Here, we show that, in combination with direct tracking, stable carbon isotope analysis of essential amino acids in tail feathers provides the ability to track the movement patterns of two, wide-ranging penguin species over ocean basin scales. In addition, we use this isotopic approach across multiple breeding colonies in the Scotia Arc to evaluate migration trends at a regional scale that would be logistically challenging using direct tracking alone.</t>
  </si>
  <si>
    <t>10.1098/rsbl.2017.0241</t>
  </si>
  <si>
    <t>Sammons, SM</t>
  </si>
  <si>
    <t>Diets of Juvenile and Sub-adult Size Classes of Three Micropterus spp. in the Flint River, Georgia: Potential for Trophic Competition</t>
  </si>
  <si>
    <t>LARGEMOUTH BASS; SPOTTED BASS; SHOAL BASS; MICHIGAN STREAM; HABITAT USE; BLACK BASS; FOOD; ALABAMA; FISHES; POPULATION</t>
  </si>
  <si>
    <t>Concerns over the recent introduction of Micropterus punctulatus (Spotted Bass) on native M. salmoides (Largemouth Bass) and M. cataractae (Shoal Bass) prompted a one-year investigation into the food habits of these three congeneric species to determine diet overlap and potential for trophic competition in the Flint River, GA. Diet analyses among species were conducted for two size classes of fish: juvenile (&lt;200 mm total length) and subadult (200-300 mm TL). Because Spotted Bass had become established in the Flint River only a few years prior to this study, few fish &gt;300 mm were collected; thus, diet overlap was not compared among species for larger fish. Juvenile and subadult Largemouth Bass diets were dominated by fish in all seasons, mainly sunfishes (e.g., Lepomis auritus, L. macrochirus). In contrast, Shoal Bass diets were generally dominated by insects and crayfish in the juvenile and subadult size classes, respectively. Juvenile Spotted Bass diets were variable and dominated by fish and insects depending on season. Overall, diets of introduced Spotted Bass appeared to occupy an intermediate position between Shoal Bass and Largemouth Bass. Significant diet overlap between Shoal Bass and Spotted Bass occurred in 50% of the samples, but only in 29% of the samples between Spotted Bass and Largemouth Bass and never between the two native Bass species. Thus, concerns about the trophic effects of Spotted Bass on Shoal Bass appear to be legitimate.</t>
  </si>
  <si>
    <t>10.1656/058.011.0303</t>
  </si>
  <si>
    <t>Wang, X; Wang, C; Cotrufo, MF; Sun, LF; Jiang, P; Liu, ZP; Bai, E</t>
  </si>
  <si>
    <t>Elevated temperature increases the accumulation of microbial necromass nitrogen in soil via increasing microbial turnover</t>
  </si>
  <si>
    <t>elevated temperature; global climate changes; microbial necromass; nitrogen stable isotopes; soil modeling; soil nitrogen; soil organic matter</t>
  </si>
  <si>
    <t>MACROMOLECULAR ORGANIC COMPOSITION; LITTER DECOMPOSITION; GLOBAL ANALYSIS; USE EFFICIENCY; CLIMATE-CHANGE; MATTER; CARBON; BIOMASS; STABILIZATION; FOREST</t>
  </si>
  <si>
    <t>Microbial-derived nitrogen (N) is now recognized as an important source of soil organic N. However, the mechanisms that govern the production of microbial necromass N, its turnover, and stabilization in soil remain poorly understood. To assess the effects of elevated temperature on bacterial and fungal necromass N production, turnover, and stabilization, we incubated(15)N-labeled bacterial and fungal necromass under optimum moisture conditions at 10 degrees C, 15 degrees C, and 25 degrees C. We developed a new(15)N tracing model to calculate the production and mineralization rates of necromass N. Our results showed that bacterial and fungal necromass N had similar mineralization rates, despite their contrasting chemistry. Most bacterial and fungal necromass(15)N was recovered in the mineral-associated organic matter fraction through microbial anabolism, suggesting that mineral association plays an important role in stabilizing necromass N in soil, independently of necromass chemistry. Elevated temperature significantly increased the accumulation of necromass N in soil, due to the relatively higher microbial turnover and production of necromass N with increasing temperature than the increases in microbial necromass N mineralization. In conclusion, we found elevated temperature may increase the contribution of microbial necromass N to mineral-stabilized soil organic N.</t>
  </si>
  <si>
    <t>10.1111/gcb.15206</t>
  </si>
  <si>
    <t>McLauchlan, KK; Craine, JM</t>
  </si>
  <si>
    <t>Species-specific trajectories of nitrogen isotopes in Indiana hardwood forests, USA</t>
  </si>
  <si>
    <t>NATURAL-ABUNDANCE; TREE-RINGS; MYCORRHIZAL FUNGI; STABLE-ISOTOPES; DYNAMICS; MINERALIZATION; SATURATION; DELTA-N-15; FOLIAR; N-15</t>
  </si>
  <si>
    <t>Humans have drastically altered the global nitrogen (N) cycle, and these alterations have begun to affect a variety of ecosystems. In North America, N deposition rates are highest in the central US, yet there are few studies that examine whether N availability has been increasing to different tree species in the forests of the region. To determine the species-specific trajectories of N availability in secondary temperate forests experiencing high N deposition, we measured the N concentrations and composition of stable N isotopes in wood of four tree species from six hardwood forest remnants in northern Indiana, USA. Annual nitrogen deposition rates averaged 5.8 kg ha(-1) from 2000 to 2008 in this region. On average, wood delta N-15 values in Quercus alba have been increasing steadily over the past 100 years. In contrast, wood delta N-15 values have been declining in three other hardwood species - Acer saccharum, Carya ovata, and Fagus grandifolia - over the same time period. The species-specific trends suggest a change in the partitioning of ammonium and nitrate among species, due to an increase in nitrification rates over time. With no apparent net change in wood delta N-15 over the past century at the stand level, there is currently little evidence for consistent trends in stand-level N availability over time in the Indiana forests.</t>
  </si>
  <si>
    <t>10.5194/bg-9-867-2012</t>
  </si>
  <si>
    <t>Espinasse, B; Pakhomov, EA; Hunt, BPV; Bury, SJ</t>
  </si>
  <si>
    <t>Latitudinal gradient consistency in carbon and nitrogen stable isotopes of particulate organic matter in the Southern Ocean</t>
  </si>
  <si>
    <t>delta C-13 and delta N-15; POM; Ice edge; Antarctic divergence; Isoscapes</t>
  </si>
  <si>
    <t>EASTERN ATLANTIC SECTOR; AUSTRAL SUMMER 1993; MARGINAL ICE-ZONE; INDIAN-OCEAN; SUBTROPICAL CONVERGENCE; ZOOPLANKTON STRUCTURE; DELTA-N-15 VARIATIONS; PLANKTON DELTA-C-13; MARINE PLANKTON; SURFACE WATERS</t>
  </si>
  <si>
    <t>The Southern Ocean is characterized by strong latitudinal gradients that delimit areas which differ in terms of hydrological properties and production dynamics. Stable isotope values of carbon (delta C-13) and nitrogen (delta N-15) of surface particulate organic matter (POM) collected along a repeated transect between Cape Town and the Antarctic continent in the Atlantic sector of the Southern Ocean during summer 2005/06, fall 2004 and winter 2006 were analyzed to investigate their seasonal variability. In addition, published transect data collected in other sectors of the Southern Ocean were compiled for a wider spatio-temporal study of the POM stable isotope patterns. Combined delta C-13 and delta N-15 values of POM appeared to be an effective tool for identifying circum-Antarctic, latitudinally arranged areas with specific water mass characteristics and separated by the major frontal systems. Furthermore, POM delta C-13 values showed year-around consistency. We identified a few mechanisms that should be taken into account to effectively model carbon and nitrogen isoscapes in the studied area. The average level of primary productivity needs to be known to explain slightly higher delta C-13 values occurring in the Atlantic sector between the Subantarctic and Antarctic Polar Fronts. In addition, delta C-13 and delta N-15 values were highly variable in the marginal ice zone, especially at the ice edge and in the middle of the Weddell gyre. Processes linked to ice dynamics and upwelling explained some of the outlying values, especially for delta N-15. Improved comprehension of the main mechanisms driving changes in POM stable isotopes will enable satellite products to be used as predictors to model realistic isoscapes on the scale of the Southern Ocean over different temporal scales.</t>
  </si>
  <si>
    <t>10.3354/meps13137</t>
  </si>
  <si>
    <t>Monteiro, SS; Mendez-Fernandez, P; Piertney, S; Moffat, CF; Ferreira, M; Vingada, JV; Lopez, A; Brownlow, A; Jepson, P; Mikkelsen, B; Niemeyer, M; Carvalho, JC; Pierce, GJ</t>
  </si>
  <si>
    <t>Long-finned pilot whale population diversity and structure in Atlantic waters assessed through biogeochemical and genetic markers</t>
  </si>
  <si>
    <t>Stable isotopes; Fatty acids; Mitochondrial DNA; Marine mammal; Stock structure; Globicephala melas</t>
  </si>
  <si>
    <t>CARBON-ISOTOPE FRACTIONATION; ACID SIGNATURE ANALYSIS; GLOBICEPHALA-MELAS; STABLE-ISOTOPES; MITOCHONDRIAL-DNA; PHOCOENA-PHOCOENA; HARBOR PORPOISES; SOCIAL-STRUCTURE; HUMPBACK WHALES; FEEDING ECOLOGY</t>
  </si>
  <si>
    <t>Integration of ecological and genetic approaches is a particularly powerful strategy to identify natural population diversity and structure over different timescales. To investigate the potential occurrence of population differentiation in long-finned pilot whales Globicephala melas in the North Atlantic, both biogeochemical (fatty acids and stable isotopes) and genetic (mitochondrial DNA) markers were analyzed in animals from 4 regions within the North Atlantic: the northwestern Iberian Peninsula, the United Kingdom, the Faroe Islands and the United States of America. Genetic data revealed strong regional levels of divergence, although analysis of molecular variance revealed no differentiation between the northeastern and northwestern Atlantic. Results from biogeochemical tracers supported previous dietary studies, revealing geographic and ontogenetic dietary variation in pilot whales. Fatty acids revealed ecological differentiation between all regions analyzed, while stable isotopes showed an overlap between some sampling regions. These results suggest that both ecological and genetic factors may drive the levels of pilot whale differentiation in the North Atlantic. The ecological differentiation observed may be related to the exploitation of different foraging niches (e.g. oceanic vs. coastal), which can be highly influenced by prey distributions or oceanographic phenomena. Genetic differentiation may result from historical or contemporary processes or even limited dispersal mediated through the social structure displayed by this species and potential foraging specialization. These results highlight some problems when assessing population structure across multiple markers and the ecological vs. evolutionary timescales over which differences may accumulate. Notwithstanding, the data provide preliminary information about pilot whale diversity and stocks in the North Atlantic, giving essential baseline information for conservation plans.</t>
  </si>
  <si>
    <t>10.3354/meps11455</t>
  </si>
  <si>
    <t>DeSantis, LRG; Field, JH; Wroe, S; Dodson, JR</t>
  </si>
  <si>
    <t>Dietary responses of Sahul (Pleistocene Australia-New Guinea) megafauna to climate and environmental change</t>
  </si>
  <si>
    <t>PALEOBIOLOGY</t>
  </si>
  <si>
    <t>DENTAL MICROWEAR TEXTURE; STABLE-ISOTOPE; SOUTHWESTERN AUSTRALIA; EASTERN AUSTRALIA; HUMAN OCCUPATION; CUDDIE-SPRINGS; LAKE MUNGO; EXTINCTION; CARBON; VARIABILITY</t>
  </si>
  <si>
    <t>Throughout the late Quaternary, the Sahul (Pleistocene Australia-New Guinea) vertebrate fauna was dominated by a diversity of large mammals, birds, and reptiles, commonly referred to as megafauna. Since ca. 450-400Ka, approximately 88 species disappeared in Sahul, including kangaroos exceeding 200kg in size, wombat-like animals the size of hippopotamuses, flightless birds, and giant monitor lizards that were likely venomous. Ongoing debates over the primary cause of these extinctions have typically favored climate change or human activities. Improving our understanding of the population biology of extinct megafauna as more refined paleoenvironmental data sets become available will assist in identifying their potential vulnerabilities. Here, we apply a multiproxy approach to analyze fossil teeth from deposits dated to the middle and late Pleistocene at Cuddie Springs in southeastern Australia, assessing relative aridity via oxygen isotopes as well as vegetation and megafaunal diets using both carbon isotopes and dental microwear texture analyses. We report that the Cuddie Springs middle Pleistocene fauna was largely dominated by browsers, including consumers of C-4 shrubs, but that by late Pleistocene times the C-4 dietary component was markedly reduced. Our results suggest dietary restriction in more arid conditions. These dietary shifts are consistent with other independently derived isotopic data from eggshells and wombat teeth that also suggest a reduction in C-4 vegetation after similar to 45 Ka in southeastern Australia, coincident with increasing aridification through the middle to late Pleistocene. Understanding the ecology of extinct species is important in clarifying the primary drivers of faunal extinction in Sahul. The results presented here highlight the potential impacts of aridification on marsupial megafauna. The trend to increasingly arid conditions through the middle to late Pleistocene (as identified in other paleoenvironmental records and now also observed, in part, in the Cuddie Springs sequence) may have stressed the most vulnerable animals, perhaps accelerating the decline of late Pleistocene megafauna in Australia.</t>
  </si>
  <si>
    <t>10.1017/pab.2016.50</t>
  </si>
  <si>
    <t>Vagnon, C; Cattaneo, F; Guillard, J; Frossard, V</t>
  </si>
  <si>
    <t>Inferring the trophic attributes and consequences of co-occurring lake invaders using an allometric niche model</t>
  </si>
  <si>
    <t>Invasive species; Multispecies invasion; Trophic interactions; Silurus glanis; Hemimysis anomala; Body size</t>
  </si>
  <si>
    <t>CATFISH SILURUS-GLANIS; HEMIMYSIS-ANOMALA; EUROPEAN CATFISH; FOOD-WEB; ECOLOGICAL IMPACTS; BODY-SIZE; INVASION; CRUSTACEA; OVERLAP; DIET</t>
  </si>
  <si>
    <t>Identifying the trophic attributes of cooccurring invaders is a prerequisite to anticipate and mitigate their simultaneous impacts. We used an allometric niche model (aNM) to infer the trophic attributes of a mysid (Hemimysis anomala) and a catfish (Silurus glanis) that recently colonized the largest natural lake in France (Lake Bourget) and we raised the potential consequences of this multispecies invasion on this ecosystem following changes in trophic links in the invaded food web. H. anomala was predicted to mainly rely on primary producers, while S. glanis was expected to experience an ontogenetic change in its trophic attributes (i.e., a diet shift from invertebrate to fish at similar to 90 cm and no more predators at similar to 60 cm). At the whole-lake scale, both invaders would have additive impacts, by competing for resources (diet overlap) with a set of resident species and increasing the trophic vulnerability of fish, invertebrates and primary producers. The trophic link changes caused by the current S. glanis population (i.e., mainly composed of 40-60 cm individuals) and a future population (i.e., higher proportion of &gt; 100 cm individuals) suggested an increasing predation pressure on resident fish. In both scenarios, both invaders were also highlighted to be putative prey for resident species, especially H. anomala. The aNM represents a flexible tool for biological invasion management, taking advantage of widely available monitoring data, to identify vulnerable resident species and implement early management actions (e.g. size-based functional controls) when empirical data on invaders are sparse, particularly in the early phases of their colonization.</t>
  </si>
  <si>
    <t>10.1007/s10530-022-02745-2</t>
  </si>
  <si>
    <t>Olowo, JP; Chapman, LJ</t>
  </si>
  <si>
    <t>Trophic shifts in predatory catfishes following the introduction of Nile perch into Lake Victoria</t>
  </si>
  <si>
    <t>Bagridae; dietary shifts; Lates; Schilbeidae; Uganda</t>
  </si>
  <si>
    <t>KYOGA EAST-AFRICA; LATES-NILOTICUS L; ENDANGERED FISHES; NABUGABO; CICHLIDS; REFUGIA; DECLINE; IMPACT</t>
  </si>
  <si>
    <t>This study looked for evidence of trophic shifts in the diet of two predatory catfishes (Bagrus docmac and Schilbe intermedius) following the establishment of introduced Nile perch (Lates niloticus) into lakes of the Lake Victoria basin. Bagrus docmac exhibited a shift from a primarily piscivorous diet dominated by haplochromine cichlids to a broader diet that included a significant proportion of invertebrates and the cyprinid fish, Rastrineobola argentea, which became abundant following depletion of the haplochromines. Schilbe intermedius exhibited at trophic shift from a piscivorous diet dominated by haplochromines to an insectivorous diet. The flexibility in diet exhibited by these two catfishes may have permitted these species to persist, albeit in reduced numbers, subsequent to the introduction of Nile perch and may facilitate resurgence as fishing pressure reduces numbers of large Nile perch.</t>
  </si>
  <si>
    <t>10.1046/j.1365-2028.1999.00203.x</t>
  </si>
  <si>
    <t>Hoover, C; Giraldo, C; Ehrman, A; Suchy, KD; MacPhee, SA; Brewster, J; Reist, JD; Power, M; Swanson, H; Loseto, L</t>
  </si>
  <si>
    <t>The Canadian Beaufort Shelf trophic structure: evaluating an ecosystem modelling approach by comparison with observed stable isotopic structure</t>
  </si>
  <si>
    <t>Ecopath with Ecosim; stable isotopes of nitrogen; trophic level; marine ecosystem</t>
  </si>
  <si>
    <t>DISCRIMINATION FACTORS DELTA-N-15; COD BOREOGADUS-SAIDA; MARINE FOOD-WEB; COMMUNITY STRUCTURE; BELUGA WHALES; FATTY-ACID; SEA-ICE; CLIMATE-CHANGE; DIET; DELTA-C-13</t>
  </si>
  <si>
    <t>Climate-driven impacts on marine trophic pathways worldwide are compounded by sea-ice loss at northern latitudes. For the Arctic, current information describing food-web linkages is fragmented, and there is a need for tools that can describe overarching trophic structure despite limited species-specific data. Here, we tested the ability of a mass-balanced ecosystem model ( Ecopath with Ecosim, EwE) to reconstruct the trophic hierarchy of 31 groups, from primary producers to polar bears, in the Canadian Beaufort Sea continental shelf. Trophic level (TL) estimates from EwE were compared with those derived from two nitrogen stable isotope (SI) modelling approaches (SI linear and scaled) to assess EwE accuracy, using a data set of 642 delta N-15 observations across 282 taxa. TLs from EwE were strongly, positively related to those from both SI models (R-2 &gt; 0.80). EwE performed well (within 0.2 TL) for groups with relatively well-known diets or for taxa characterized by fewer trophic connections (e.g., primary consumers). Performance was worse (&gt;0.5 TL) for species groups aggregated at coarse taxonomic levels, those with poorly documented diets, and for anadromous fishes. Comparisons with SI models suggested that the scaled approach can overestimate the TL of top predators if ecosystem-specific information is not considered.</t>
  </si>
  <si>
    <t>10.1139/as-2020-0035</t>
  </si>
  <si>
    <t>Wedchaparn, O; Zhao, LJ; Fan, YC; He, D; Zhang, HY; Ivan, LN; Liu, QG; Ayisi, CL</t>
  </si>
  <si>
    <t>Comparison of the trophic niches between two planktivorous fishes in two large lakes using stable isotope analysis</t>
  </si>
  <si>
    <t>BIOCHEMICAL SYSTEMATICS AND ECOLOGY</t>
  </si>
  <si>
    <t>Silver carp; Bighead carp; Lake Qiandao; Lake Taihu; Stable isotope; Trophic level</t>
  </si>
  <si>
    <t>CARP HYPOPHTHALMICHTHYS-MOLITRIX; ARISTICHTHYS-NOBILIS RICH; SILVER CARP; BIGHEAD CARP; FOOD-WEB; GUT CONTENTS; VAL; TAIHU; BIOMANIPULATION; ENRICHMENT</t>
  </si>
  <si>
    <t>This paper studied the sources of food and the trophic levels of silver and bighead carps using stable isotopes (delta C-13 and delta N-15) analysis in Lake Qiandao and Lake Taihu. The delta C-13 values of POM and phytoplankton indicated that Particulate Organic Matter (POM) is of terrestrial origin in LQ and phytoplankton origin in LT. The different signature of delta N-15 of phytoplankton and POM also showed the different extent of anthropogenic impacts on the two lakes, with higher impacts in LT than in LQ, In LQ the trophic levels of silver and bighead carps were significantly different (2.48 +/- 0.19 and 2.66 +/- 0.19, respectively), while in LT the difference was not significant (2.15 +/- 1.54 and 2.36 +/- 0.38, respectively). Using a mixing model, we found that silver and bighead carps consumed a major proportion on phytoplankton and/or POM in both lakes with higher contribution of phytoplankton in more eutrophic lake. Silver and bighead carps had clear differentiation in food resources with silver carp more on POM and bighead more on zooplankton in deep and mesotrophic lakes. Coritrary to this, both carps fed primarily on phytoplankton (and POM) and may have more niche overlaps in shallow and eutrophic lakes. (C) 2016 Elsevier Ltd. All rights reserved.</t>
  </si>
  <si>
    <t>10.1016/j.bse.2016.07.007</t>
  </si>
  <si>
    <t>Phillips, DH; Kumara, MP; Jayatissa, LP; Krauss, KW; Huxham, M</t>
  </si>
  <si>
    <t>Impacts of Mangrove Density on Surface Sediment Accretion, Belowground Biomass and Biogeochemistry in Puttalam Lagoon, Sri Lanka</t>
  </si>
  <si>
    <t>Mangroves; Sediment nutrients; Accretion; Facilitation; Sri Lanka; Biogeochemistry; Belowground biomass; Stable isotopes; Carbon</t>
  </si>
  <si>
    <t>RISING SEA-LEVEL; ORGANIC-CARBON; STABLE-ISOTOPE; CLIMATE-CHANGE; PRIMARY PRODUCERS; ELEVATION CHANGE; BIOTIC CONTROLS; SOUTHERN CHINA; RIVER ESTUARY; MATTER</t>
  </si>
  <si>
    <t>Understanding the effects of seedling density on sediment accretion, biogeochemistry and belowground biomass in mangrove systems can help explain ecological functioning and inform appropriate planting densities during restoration or climate change mitigation programs. The objectives of this study were to examine: 1) impacts of mangrove seedling density on surface sediment accretion, texture, belowground biomass and biogeochemistry, and 2) origins of the carbon (C) supplied to the mangroves in Palakuda, Puttalam Lagoon, Sri Lanka. Rhizophora mucronata propagules were planted at densities of 6.96, 3.26, 1.93 and 0.95 seedlings m(-2) along with an unplanted control (0 seedlings m-2). The highest seedling density generally had higher sediment accretion rates, finer sediments, higher belowground biomass, greatest number of fine roots and highest concentrations of C and nitrogen (N) (and the lowest C/N ratio). Sediment accretion rates, belowground biomass (over 1370 days), and C and N concentrations differed significantly between seedling densities. Fine roots were significantly greater compared to medium and coarse roots across all plantation densities. Sulphur and carbon stable isotopes did not vary significantly between different density treatments. Isotope signatures suggest surface sediment C (to a depth of 1 cm) is not derived predominantly from the trees, but from seagrass adjacent to the site.</t>
  </si>
  <si>
    <t>10.1007/s13157-017-0883-7</t>
  </si>
  <si>
    <t>Bowen, GJ; Kennedy, CD; Henne, PD; Zhang, TL</t>
  </si>
  <si>
    <t>Footprint of recycled water subsidies downwind of Lake Michigan</t>
  </si>
  <si>
    <t>deuterium excess; evaporation; geostatistics; GIS; gradients; Great Lakes; groundwater; hydroecology; hydrogen; Lake Michigan; oxygen; stable isotopes; water vapor</t>
  </si>
  <si>
    <t>GREAT-LAKES; MODERN PRECIPITATION; DEUTERIUM; EVAPORATION; ISOTOPES; HYDROGEN; OXYGEN; CYCLE; O-18; SNOW</t>
  </si>
  <si>
    <t>Continental evaporation is a significant and dynamic flux within the atmospheric water budget, but few methods provide robust observational constraints on the large-scale hydroclimatological and hydroecological impacts of this `recycled-water' flux. We demonstrate a geospatial analysis that provides such information, using stable isotope data to map the distribution of recycled water in shallow aquifers downwind from Lake Michigan. The delta H-2 and delta O-18 values of groundwater in the study region decrease from south to north, as expected based on meridional gradients in climate and precipitation isotope ratios. In contrast, deuterium excess ( d = delta H-2 - 8 x delta O-18) values exhibit a significant zonal gradient and finer-scale spatially patterned variation. Local d maxima occur in the northwest and southwest corners of the Lower Peninsula of Michigan, where 'lake-effect' precipitation events are abundant. We apply a published model that describes the effect of recycling from lakes on atmospheric vapor d values to estimate that up to 32% of recharge into individual aquifers may be derived from recycled Lake Michigan water. Applying the model to geostatistical surfaces representing mean d values, we estimate that between 10% and 18% of the vapor evaporated from Lake Michigan is re-precipitated within downwind areas of the Lake Michigan drainage basin. Our approach provides previously unavailable observational constraints on regional land-atmosphere water fluxes in the Great Lakes Basin and elucidates patterns in recycled-water fluxes that may influence the biogeography of the region. As new instruments and networks facilitate enhanced spatial monitoring of environmental water isotopes, similar analyses can be widely applied to calibrate and validate water cycle models and improve projections of regional hydroecological change involving the coupled lake-atmosphere-land system.</t>
  </si>
  <si>
    <t>10.1890/ES12-00062.1</t>
  </si>
  <si>
    <t>Stevenson, MA; McGowan, S; Anderson, NJ; Foy, RH; Leavitt, PR; McElarney, YR; Engstrom, DR; Pla-Rabes, S</t>
  </si>
  <si>
    <t>Impacts of forestry planting on primary production in upland lakes from north-west Ireland</t>
  </si>
  <si>
    <t>afforestation; carotenoid pigments; catchment disturbance; forest plantations; land-use change</t>
  </si>
  <si>
    <t>DISSOLVED ORGANIC-CARBON; WATER-QUALITY; PALEOLIMNOLOGICAL EVIDENCE; WINDERMERE CATCHMENT; NITROGEN DEPOSITION; AQUATIC MACROPHYTES; SURFACE SEDIMENTS; IRISH LAKES; PHOSPHORUS; CLIMATE</t>
  </si>
  <si>
    <t>Planted forests are increasing in many upland regions worldwide, but knowledge about their potential effects on algal communities of catchment lakes is relatively unknown. Here, the effects of afforestation were investigated using palaeolimnology at six upland lake sites in the north-west of Ireland subject to different extents of forest plantation cover (4-64% of catchment area). Pb-210-dated sediment cores were analysed for carotenoid pigments from algae, stable isotopes of bulk carbon (C-13) and nitrogen (N-15), and C/N ratios. In lakes with &gt;50% of their catchment area covered by plantations, there were two- to sixfold increases in pigments from cryptophytes (alloxanthin) and significant but lower increases (39-116%) in those from colonial cyanobacteria (canthaxanthin), but no response from biomarkers of total algal abundance (-carotene). In contrast, lakes in catchments with &lt;20% afforestation exhibited no consistent response to forestry practices, although all lakes exhibited fluctuations in pigments and geochemical variables due to peat cutting and upland grazing prior to forest plantation. Taken together, patterns suggest that increases in cyanobacteria and cryptophyte abundance reflect a combination of mineral and nutrient enrichment associated with forest fertilization and organic matter influx which may have facilitated growth of mixotrophic taxa. This study demonstrates that planted forests can alter the abundance and community structure of algae in upland humic lakes of Ireland and Northern Ireland, despite long histories of prior catchment disturbance.</t>
  </si>
  <si>
    <t>10.1111/gcb.13194</t>
  </si>
  <si>
    <t>Chiffard, J; Bentaleb, I; Yoccoz, NG; Fourel, F; Blanquet, E; Besnard, A</t>
  </si>
  <si>
    <t>Grazing intensity drives a trophic shift in the diet of common alpine birds</t>
  </si>
  <si>
    <t>Large mammals; Herbivory; Trophic interactions; Isotopic ecology; Alpine meadows; Grassland ecosystems</t>
  </si>
  <si>
    <t>STABLE-ISOTOPE RATIOS; LARGE HERBIVORES; GRASSLAND; CARBON; DELTA-N-15; NITROGEN; ECOLOGY; DELTA-C-13; CONSEQUENCES; VEGETATION</t>
  </si>
  <si>
    <t>Large mammalian herbivores (LMH) shape vertebrate communities and structure food webs in many terrestrial ecosystems. However, the mechanisms that underlie the effects of LMH on other vertebrates are poorly under-stood. In France, domestic LMH have grazed alpine and mountain grasslands for thousands of years, profoundly influencing landscapes and wildlife. As LMH modify habitat structure, favour coprophagous insects and compete with herbivorous insects, the diet of insectivorous alpine birds may be deeply influenced by LMH grazing in-tensity. To investigate this, we sampled common insectivorous birds faeces (water pipit Anthus spinoletta and wheatear Oenanthe oenanthe) in sites characterized by different levels of grazing intensity by domestic and wild herbivores, in the open landscapes of the southern French Alps and the western Pyrenees. We used isotopic discrimination based on nitrogen stable isotope ratios as an indicator of the trophic level of the arthropods found in bird faeces. From isotopic ratios, we found that bird diets shift from mainly herbivorous arthropods at sites of low grazing intensity, to one mainly composed of other groups, such as predatory, detritivorous or coprophagous arthropods, at sites of higher grazing intensity. This result highlights the strong trophic link between LMH and insectivorous birds in open landscapes, contributing to a better understanding of interactions between domestic grazing, an activity that has historically modelled European landscapes, and biodiversity, with particular rele-vance for landscape management and bird conservation.</t>
  </si>
  <si>
    <t>10.1016/j.agee.2023.108418</t>
  </si>
  <si>
    <t>Turner, TF; Krabbenhoft, TJ; Collyer, ML; Krabbenhoft, CA; Edwards, MS; Sharp, ZD</t>
  </si>
  <si>
    <t>Retrospective stable isotope analysis reveals ecosystem responses to river regulation over the last century</t>
  </si>
  <si>
    <t>ecosystem size; food web; heterogeneity; isotopic niche; Rio Grande; stable isotope analysis (SIA); time series</t>
  </si>
  <si>
    <t>UPPER RIO-GRANDE; FLOW REGULATION; CLIMATE-CHANGE; NICHE WIDTH; FISH FAUNAS; FOOD WEBS; RATIOS; ECOLOGY; WATER; CONSEQUENCES</t>
  </si>
  <si>
    <t>Disruption of natural flow regimes, nutrient pollution, and other consequences of human population growth and development have impacted most major rivers of the world. Alarming losses of aquatic biodiversity coincide with human-caused river alteration, but effects of biotic homogenization on aquatic ecosystem processes are not as well documented. This is because unaltered systems for comparison are scarce, and some ecosystem-wide effects may take decades to manifest. We evaluated aquatic ecosystem responses to extensive river-floodplain engineering and nutrient addition in the Rio Grande of southwestern North America as revealed by changes in trophic structure of, and resource availability to, the fish community. Stable Isotope Analysis (SIA) was conducted on museum-preserved fishes collected over a 70-year period of intensive river management and exponential human population growth. Trophic complexity and resource heterogeneity for fish consumers (measured as isotopic niche breadth) decreased following sediment deprivation and channelization, and these effects persist into the present. Increased nutrient inputs led to N-15 enrichment in the entire fish community at all affected sites, and a shift to autochthonous sources of carbon at the most proximal site downstream of wastewater release, probably via bottom-up transfer. Overall, retrospective SIA of apex consumers suggests radical change and functional impairment of a floodplain river ecosystem already marked by significant biodiversity loss.</t>
  </si>
  <si>
    <t>10.1890/14-1666.1</t>
  </si>
  <si>
    <t>Bas, M; Salemme, M; Green, EJ; Santiago, F; Speller, C; Alvarez, M; Godino, IBI; Cardona, L</t>
  </si>
  <si>
    <t>Predicting habitat use by the Argentine hake Merluccius hubbsi in a warmer world: inferences from the Middle Holocene</t>
  </si>
  <si>
    <t>Hake; Osteometry; Stable isotopes; Tierra del Fuego; Zooarchaeology</t>
  </si>
  <si>
    <t>SURFACE-TEMPERATURE VARIABILITY; FISH ELEGINOPS-MACLOVINUS; STABLE-ISOTOPE RATIOS; CLIMATE-CHANGE; HUNTER-GATHERERS; SOUTHERN-OCEAN; GROWTH-RATES; DIET; SEA; EXPLOITATION</t>
  </si>
  <si>
    <t>Fish skeletal remains recovered from two archaeological sites dated in the Middle Holocene of Tierra del Fuego (Argentina) were analysed to describe habitat use patterns by hake in the past and predict changes in a warmer world. Mitochondrial DNA was successfully extracted and amplified from 42 out of 45 first vertebra from ancient hake and phylogenetic analysis assigned all haplotypes to Argentine hake (Merluccius hubbsi). According to osteometry, the Argentine hake recovered from the archaeological site were likely adults ranging 37.2-58.1 cm in standard length. C and N stable isotope analysis showed that currently Argentine hake use foraging grounds deeper than those of Patagonian blenny and pink cusk-eel. Argentine hake, however, had a much broader isotopic niche during the Middle Holocene, when a large part of the population foraged much shallower than contemporary pink cusk-eel. The overall evidence suggests the presence of large numbers of Argentine hake onshore Tierra del Fuego during the Middle Holocene, which allowed exploitation by hunter-gatherer-fisher groups devoid of fishing technology. Interestingly, average SST off Tierra del Fuego during the Middle Holocene was higher than currently (11 degrees C vs 7 degrees C) and matched SST in the current southernmost onshore spawning aggregations, at latitude 47 degrees S. This indicates that increasing SST resulting from global warming will likely result into an increased abundance of adult Argentine hake onshore Tierra del Fuego, as during the Middle Holocene. Furthermore, stable isotope ratios from mollusc shells confirmed a much higher marine primary productivity during the Middle Holocene off Tierra del Fuego.</t>
  </si>
  <si>
    <t>10.1007/s00442-020-04667-z</t>
  </si>
  <si>
    <t>Hecky, RE; Hesslein, RH</t>
  </si>
  <si>
    <t>Contributions of benthic algae to lake food webs as revealed by stable isotope analysis</t>
  </si>
  <si>
    <t>food webs; stable isotopes; benthic algae; benthic photosynthesis; tropical lakes; arctic lakes</t>
  </si>
  <si>
    <t>Food webs of tropical, temperate, and arctic lakes can be characterized by the carbon and nitrogen stable isotope ratios of their constituent organisms. After assigning trophic levels using delta(15)N, a broad range of delta(13)C is observed at the primary consumer level in nearly all lakes. The range of delta(13)C is on the order of 20 parts per thousand in tropical lakes Kyoga and Malawi and lakes with low dissolved inorganic carbon in temperate Canada, but is narrower in shallow lakes of the Canadian arctic. This broad range exists in ecosystems in which terrestrial inputs and/or aquatic macrophytes are often minimal. The isotopically light end of the range results from phytoplankton photosynthesis whereas the isotopically heavy end represents benthic algae photosynthesizing within an unstirred boundary layer. This range is successfully predicted by an application of a simple isotopic model for photosynthetic fractionation, originally developed for aquatic macrophytes, which uses boundary layer thicknesses reported for benthic algal communities. When benthic photosynthesis becomes light-limited in very turbid lakes of the Mackenzie Delta, then phytoplanktonic carbon dominates the diet of the primary consumers. The organisms on the primary consumer trophic level appear from their delta(13)C values to harvest preferentially either planktonic or benthic algal carbon but, in temperate and arctic lakes, higher consumer levels are increasingly omnivorous. Therefore top aquatic predators often have a narrow range of delta(13)C. In temperate and arctic lakes these top predators have a delta(13)C near the midpoint of the range at the primary consumer level, which would result from nearly equal dependence on planktonic and benthic algal carbon This equal dependence would not be predicted from the relative magnitude of planktonic and benthic algal photosynthesis as currently estimated in these systems.</t>
  </si>
  <si>
    <t>10.2307/1467546</t>
  </si>
  <si>
    <t>Pinkerton, K; Baker, DM; Cuddy, MR; Raymundo, LJ; Meyer, KA; Kim, K</t>
  </si>
  <si>
    <t>Nitrogen dynamics on Guam as revealed by the seagrass Enhalus acoroides</t>
  </si>
  <si>
    <t>Seagrasses; Tropical Indo-Pacific; Stable isotope analysis; Eutrophication</t>
  </si>
  <si>
    <t>STABLE-ISOTOPE RATIOS; GREAT-BARRIER-REEF; MARIANA ISLANDS; CARBON ISOTOPES; L.F. ROYLE; LF ROYLE; GROWTH; AUSTRALIA; NUTRIENT; ECOSYSTEMS</t>
  </si>
  <si>
    <t>Seagrasses are critical to productive coastal ecosystems but are endangered and poorly studied, especially in the tropical Indo-Pacific. A key local threat is the increasing anthropogenic input of nitrogen (N). We hypothesized that such N eutrophication is occurring on Guam, the largest and most populated of the Northern Mariana Islands. We examined the seagrass Enhalus acoroides over 5 years and applied stable isotope analysis to document N dynamics and impacts. Although delta N-15 values indicated that sewage-derived N was the dominant source, the delta N-15 values were unrelated to either seagrass cover or growth rate. Strong relationships between seagrass delta N-15 values and both distance to the nearest source of N inputs and population density of adjacent municipalities suggest that N inputs are highly localized. Although there was no evidence of a negative impact of sewage-derived N inputs on seagrasses, this study provides a useful reference for evaluating mitigation efforts and for tracking the effect of increasing anthropogenic eutrophication on Guam.</t>
  </si>
  <si>
    <t>10.3354/meps11270</t>
  </si>
  <si>
    <t>Naman, SM; Greene, CM; Rice, CA; Chamberlin, J; Conway-Cranos, L; Cordell, JR; Hall, JE; Rhodes, LD</t>
  </si>
  <si>
    <t>Stable isotope-based trophic structure of pelagic fish and jellyfish across natural and anthropogenic landscape gradients in a fjord estuary</t>
  </si>
  <si>
    <t>fish; food webs; jellyfish; Puget Sound; stable isotopes; trophic structure</t>
  </si>
  <si>
    <t>FOOD-WEB STRUCTURE; SPATIAL-PATTERNS; ORGANIC-MATTER; ENERGY-FLOW; FORAGE FISH; VARIABILITY; SOUND; ABUNDANCE; OVERLAP; BLOOMS</t>
  </si>
  <si>
    <t>Identifying causes of structural ecosystem shifts often requires understanding trophic structure, an important determinant of energy flow in ecological communities. In coastal pelagic ecosystems worldwide, increasing jellyfish (Cnidaria and Ctenophora) at the expense of small fish has been linked to anthropogenic alteration of basal trophic pathways. However, this hypothesis remains untested in part because baseline description of fish-jellyfish trophic dynamics, and the environmental features that influence them are lacking. Using stable isotopes of carbon (delta C-13) and nitrogen (delta N-15), we examined spatiotemporal patterns of fish and jellyfish trophic structure in greater Puget Sound, an urbanizing fjord estuary in the NW United States. We quantified niche positions of constituent species, niche widths and trophic overlap between fish and jellyfish assemblages, and several community-level trophic diversity metrics (resource diversity, trophic length, and niche widths) of fish and jellyfish combined. We then related assemblage- and community-level measures to landscape gradients of terrestrial-marine connectivity and anthropogenic influence in adjacent catchments. Relative niche positions among species varied considerably and displayed no clear pattern except that fish generally had higher delta N-15 and lower delta C-13 relative to jellyfish, which resulted in low assemblage-level trophic overlap. Fish assemblages had larger niche widths than jellyfish in most cases and, along with whole community trophic diversity, exhibited contrasting seasonal patterns across oceanographic basins, which was positively correlated to landscape variation in terrestrial connectivity. In contrast, jellyfish niche widths were unrelated to terrestrial connectivity, but weakly negatively correlated to urban land use in adjacent catchments. Our results indicate that fish-jellyfish trophic structure is highly heterogeneous and that disparate processes may underlie the trophic ecology of these taxa; consequently, they may respond divergently to environmental change. In addition, spatiotemporal variation in ecosystem connectivity, in this case through freshwater influence, may influence trophic structure across heterogeneous landscapes.</t>
  </si>
  <si>
    <t>10.1002/ece3.2450</t>
  </si>
  <si>
    <t>Lange, M; Eisenhauer, N; Chen, HM; Gleixner, G</t>
  </si>
  <si>
    <t>Increased soil carbon storage through plant diversity strengthens with time and extends into the subsoil</t>
  </si>
  <si>
    <t>ecosystem functioning; land-use change; soil carbon storage; soil nitrogen; soil organic matter; stable isotopes; subsoil</t>
  </si>
  <si>
    <t>DISSOLVED ORGANIC-MATTER; LAND-USE CHANGE; BIODIVERSITY LOSS; SPECIES RICHNESS; PRODUCTIVITY RELATIONSHIP; GRASSLAND COMMUNITIES; NITROGEN STORAGE; MECHANISMS; SEQUESTRATION; IMPACTS</t>
  </si>
  <si>
    <t>Soils are important for ecosystem functioning and service provisioning. Soil communities and their functions, in turn, are strongly promoted by plant diversity, and such positive effects strengthen with time. However, plant diversity effects on soil organic matter have mostly been investigated in the topsoil, and there are only very few long-term studies. Thus, it remains unclear if plant diversity effects strengthen with time and to which depth these effects extend. Here, we repeatedly sampled soil to 1 m depth in a long-term grassland biodiversity experiment. We investigated how plant diversity impacted soil organic carbon and nitrogen concentrations and stocks and their stable isotopes C-13 and N-15, as well as how these effects changed after 5, 10, and 14 years. We found that higher plant diversity increased carbon and nitrogen storage in the topsoil since the establishment of the experiment. Stable isotopes revealed that these increases were associated with new plant-derived inputs, resulting in less processed and less decomposed soil organic matter. In subsoils, mainly the presence of specific plant functional groups drove organic matter dynamics. For example, the presence of deep-rooting tall herbs decreased carbon concentrations, most probably through stimulating soil organic matter decomposition. Moreover, plant diversity effects on soil organic matter became stronger in topsoil over time and reached subsoil layers, while the effects of specific plant functional groups in subsoil progressively diminished over time. Our results indicate that after changing the soil system the pathways of organic matter transfer to the subsoil need time to establish. In our grassland system, organic matter storage in subsoils was driven by the redistribution of already stored soil organic matter from the topsoil to deeper soil layers, for example, via bioturbation or dissolved organic matter. Therefore, managing plant diversity may, thus, have significant implications for subsoil carbon storage and other critical ecosystem services.</t>
  </si>
  <si>
    <t>10.1111/gcb.16641</t>
  </si>
  <si>
    <t>Shestakova, TA; Camarero, JJ; Ferrio, JP; Knorre, AA; Gutierrez, E; Voltas, J</t>
  </si>
  <si>
    <t>Increasing drought effects on five European pines modulate Delta C-13-growth coupling along a Mediterranean altitudinal gradient</t>
  </si>
  <si>
    <t>carbon isotopes; climate warming; dendroecology; mixed modelling; Pinus; tree rings</t>
  </si>
  <si>
    <t>CARBON-ISOTOPE DISCRIMINATION; TREE-RING; PINUS-SYLVESTRIS; STABLE-ISOTOPES; WINTER-DROUGHT; GROWTH; CLIMATE; RESPONSES; FORESTS; FRACTIONATION</t>
  </si>
  <si>
    <t>1. Climate warming increases vulnerability to drought in Mediterranean water-limited forests. However, we still lack knowledge of the long-term physiological responses of coexisting pine species in these forests regarding their ability to cope with warming-induced drought stress. 2. We investigated spatiotemporal patterns of tree performance for five isohydric pines with partially overlapping ecological niches in the eastern Iberian Peninsula along an altitudinal gradient: Pinus halepensis = Pinus pinasterPinus nigraPinus sylvestrisPinus uncinata. 3. Using indexed tree-ring widths (TRWi), we assessed the changes in the temporal coherence of radial growth (growth synchrony, a(C)) over the period 1902-2011 across three elevation belts: low approximate to 1100m; mid=1615m; high=2020m. We also examined by mixed modelling whether TRWi showed an increased coupling with leaf-level gas exchange (inferred from indexed carbon isotope discrimination, Delta C-13(i)) by enhanced stomatal regulation in response to an amplified regional drought stress. 4. Increasingly negative annual water balances (decrease in annual precipitation minus evapotranspiration = -4.8mmyear(-1); 1970-2011) prompted more synchronous growth of coexisting pines between low- and mid-elevation belts, with a(C) rising from 0.25 +/- 0.04 (1902-1951) to 0.62 +/- 0.05 (1962-2011). This effect was coupled with tighter stomatal regulation at mid-elevation as indicated by high correlations between TRWi and Delta C-13(i) (&gt;0.60 from the mid-1970s onwards) which resembled those found at low elevation. Simultaneously, TRWi vs. Delta C-13(i) uncoupling occurred at the high-elevation belt across species. 5. Weaker growth-climate relationships as elevation increased highlighted the major role of the altitude-dependent thermal gradient in growth responsiveness to drought; however, an intensified Delta C-13(i) response to spring water availability across elevation belts observed from mid-1970s onwards suggested regional shifts in tree physiological activity linked to earlier seasonal drought impacts. Warming-induced drought stress is spreading to higher altitudes in Iberian pinewoods as multispecies growth is linked to progressively tighter stomatal control of water losses reflected in wood Delta C-13.</t>
  </si>
  <si>
    <t>10.1111/1365-2435.12857</t>
  </si>
  <si>
    <t>Brookshire, ENJ; Stoy, PC; Currey, B; Finney, B</t>
  </si>
  <si>
    <t>The greening of the Northern Great Plains and its biogeochemical precursors</t>
  </si>
  <si>
    <t>climate; grasslands; isotopes; nitrogen cycle; nitrogen use efficiency; Northern Great Plains; vegetative greening; water use efficiency</t>
  </si>
  <si>
    <t>NET PRIMARY PRODUCTION; ELEVATED CO2; ECOSYSTEM RESPONSES; NITROGEN LIMITATION; ATMOSPHERIC CO2; PLANT-GROWTH; CLIMATE; CARBON; VEGETATION; LAND</t>
  </si>
  <si>
    <t>Vegetation greenness has increased across much of the global land surface over recent decades. This trend is projected to continue-particularly in northern latitudes-but future greening may be constrained by nutrient availability needed for plant carbon (C) assimilation in response to CO2 enrichment (eCO(2)). eCO(2) impacts foliar chemistry and function, yet the relative strengths of these effects versus climate in driving patterns of vegetative greening remain uncertain. Here we combine satellite measurements of greening with a 135 year record of plant C and nitrogen (N) concentrations and stable isotope ratios (delta C-13 and delta N-15) in the Northern Great Plains (NGP) of North America to examine N constraints on greening. We document significant greening over the past two decades with the highest proportional increases in net greening occurring in the dries and warmest areas. In contrast to the climate dependency of greening, we find spatially uniform increases in leaf-level intercellular CO2 and intrinsic water use efficiency that track rising atmospheric CO2. Despite large spatial variation in greening, we find sustained and climate-independent declines in foliar N over the last century. Parallel declines in foliar delta N-15 and increases in C:N ratios point to diminished N availability as the likely cause. The simultaneous increase in greening and decline in foliar N across our study area points to increased N use efficiency (NUE) over the last two decades. However, our results suggest that plant NUE responses are likely insufficient to sustain observed greening trends in NGP grasslands in the future.</t>
  </si>
  <si>
    <t>10.1111/gcb.15115</t>
  </si>
  <si>
    <t>Mathias, JM; Hudiburg, TW</t>
  </si>
  <si>
    <t>isocalcR: An R package to streamline and standardize stable isotope calculations in ecological research</t>
  </si>
  <si>
    <t>carbon isotope discrimination; R; stable isotope; tree rings; water use efficiency</t>
  </si>
  <si>
    <t>WATER-USE EFFICIENCY; TEMPERATURE RESPONSE; STOMATAL CONDUCTANCE; TREE-RINGS; CARBON; DISCRIMINATION; CO2; PHOTOSYNTHESIS; TRANSPIRATION; MODELS</t>
  </si>
  <si>
    <t>The use of stable isotopes to characterize ecosystem dynamics and infer leaf gas exchange processes has become increasingly prevalent over the last few decades within the ecological community. While advancements in theory and our understanding of the physiological processes controlling isotopic signatures in plants has been well-documented, no standardized tool currently exists to facilitate the computation of common isotope-derived plant physiological indices. Here, we present isocalcR, an R package intended to facilitate the use of stable isotope data from plant tissues by providing an integrated collection of functions and recommended reference data. The isocalcR R package contains a suite of functions that compute leaf carbon isotope discrimination ( increment C-13), leaf intercellular [CO2], the ratio of leaf intercellular to atmospheric [CO2], the difference between atmospheric and leaf intercellular [CO2], and intrinsic water use efficiency from carbon isotope signatures in leaf or wood tissue with minimal inputs from the user. isocalcR also implements and provides recommended input atmospheric [CO2] (ppm) and atmospheric delta(CO2)-C-13 (parts per thousand) data for the period 0-2021 C.E. A major goal of isocalcR is to provide a standardized, open-source tool to streamline the calculation of reproducible physiological indices from stable isotope signatures in plant tissues, incorporating the most up-to-date theory, while simultaneously eliminating potential errors associated with complex calculations. isocalcR can be used for any location globally as long as the user provides information regarding temperature and elevation to the main workhorse functions.</t>
  </si>
  <si>
    <t>10.1111/gcb.16407</t>
  </si>
  <si>
    <t>Abed-Navandi, D; Koller, H; Dworschak, PC</t>
  </si>
  <si>
    <t>Nutritional ecology of thalassinidean shrimps constructing burrows with debris chambers: The distribution and use of macronutrients and micronutrients</t>
  </si>
  <si>
    <t>Burrow chambers; Crustacea; deposit feeding; essential nutrients; stable isotopes; Thalassinidea; thalassinidean nutrition</t>
  </si>
  <si>
    <t>CALOCARIS-MACANDREAE CRUSTACEA; GREAT-BARRIER-REEF; CALLIANASSA-SUBTERRANEA; STABLE-ISOTOPES; AMINO-ACIDS; FATTY-ACIDS; PHOTOSYNTHETIC PIGMENTS; LIQUID-CHROMATOGRAPHY; ORGANIC-MATTER; TROPHIC MODES</t>
  </si>
  <si>
    <t>Four different approaches were combined to determine the nutritional relevance of debris chambers in the burrows of two thalassinidean shrimps: (1) the natural abundance of carbon and nitrogen stable isotopes in potential food sources, (2) their nutritional value based on the content and composition of essential nutrients, (3) a dual labelling experiment with shrimp in aquaria employing N-15- and C-13-labelled seagrass debris and (4) ration estimates using the acquisition rate of plant debris by the shrimps. The results of the four approaches confirmed the use of plant debris as a food source. Based on the natural abundance of stable isotopes, Corallianassa longiventris apparently relies on the chamber content and the burrow wall as sources of carbon and nitrogen, whereas Pestarella tyrrhena probably relies on ambient debris and on benthic foraminiferans and microphytobenthos in the surface sediment. Corallianassa longiventris obtains its essential nutrients predominantly from chamber debris and to a lesser extent from its burrow wall, P. tyrrhena from chamber debris, the burrow wall and the surface sediment. Among the essential nutrients, those amino acids commonly deficient to deposit feeders were particularly enriched in the burrow environments of the two shrimps. Highly unsaturated fatty acids (HUFAs) were lacking in all of C. longiventris potential food sources; this species may either be able to synthesize them de novo from linolic acid or may use another unknown source. For P. tyrrhena, surface sediment and chamber debris represent potential HUFA sources. The most probable thiamine and beta-carotene supplier for C. longiventris is the chamber debris, for P. tyrrhena again the surface sediment. In both species, the rate of debris introduction into the burrow is sufficient to meet the nutritional demand.</t>
  </si>
  <si>
    <t>10.1080/17451000510019123</t>
  </si>
  <si>
    <t>Ocheltree, TW; Mueller, KM; Chesus, K; LeCain, DR; Kray, JA; Blumenthal, DM</t>
  </si>
  <si>
    <t>Identification of suites of traits that explains drought resistance and phenological patterns of plants in a semi-arid grassland community</t>
  </si>
  <si>
    <t>Drought tolerance; Leaf hydraulic conductance; Phenology; P-50; Rooting depth; Semi-arid grassland; Water isotopes; Water-use strategies</t>
  </si>
  <si>
    <t>FLOWERING PHENOLOGY; WATER RELATIONS; LEAF PHENOLOGY; XYLEM EMBOLISM; ELEVATED CO2; GROWTH-RATE; SOIL-WATER; PRECIPITATION; VULNERABILITY; DEHYDRATION</t>
  </si>
  <si>
    <t>Grassland ecosystems are comprised of plants that occupy a wide array of phenological niches and vary considerably in their ability to resist the stress of seasonal soil-water deficits. Yet, the link between plant drought resistance and phenology remains unclear in perennial grassland ecosystems. To evaluate the role of soil water availability and plant drought tolerance in driving phenology, we measured leaf hydraulic conductance (K-sat), resistance to hydraulic failure (P-50), leaf gas exchange, plant and soil water stable isotope ratios (delta O-18), and several phenology metrics on ten perennial herbaceous species in mixed-grass prairie. The interaction between P-50 and delta O-18 of xylem water explained 67% of differences in phenology, with lower P-50 values associated with later season activity, but only among shallow-rooted species. In addition, stomatal control and high water-use efficiency also contributed to the late flowering and late senescence strategies of plants that had low P-50 values and relied upon shallow soil water. Alternatively, plants with deeper roots did not possess drought-tolerant leaves, but had high hydraulic efficiency, contributing to their ability to efficiently move water longer distances while maintaining leaf water potential at relatively high values. The suites of traits that characterize these contrasting strategies provide a mechanistic link between phenology and plant-water relations; thus, these traits could help predict grassland community responses to changes in water availability, both temporally and vertically within the soil profile.</t>
  </si>
  <si>
    <t>10.1007/s00442-019-04567-x</t>
  </si>
  <si>
    <t>Britton, JR; Davies, GD; Harrod, C</t>
  </si>
  <si>
    <t>Trophic interactions and consequent impacts of the invasive fish Pseudorasbora parva in a native aquatic foodweb: a field investigation in the UK</t>
  </si>
  <si>
    <t>Topmouth gudgeon; Cyprinus carpio; Rutilus rutilus; Scardinius erythrophthalmus; Trophic overlap; Stable isotope analysis; Angling</t>
  </si>
  <si>
    <t>TOPMOUTH GUDGEON; PREDATION; DELTA-C-13; COMMUNITIES; DELTA-N-15; LAKES</t>
  </si>
  <si>
    <t>Introduction of the invasive Asian cyprinid fish Pseudorasbora parva into a 0.3 ha pond in England with a fish assemblage that included Cyprinus carpio, Rutilus rutilus and Scardinius erythrophthalmus resulted in their establishment of a numerically dominant population in only 2 years; density estimates exceeded 60 ind. m(-2) and they comprised &gt; 99% of fish present. Stable isotope analysis (SIA) revealed significant trophic overlap between P. parva, R. rutilus and C. carpio, a shift associated with significantly depressed somatic growth in R. rutilus. Despite these changes, fish community composition remained similar between the ponds. Comparison with SIA values collected from an adjacent pond free of P. parva revealed a simplified food web in P. parva presence, but with an apparent trophic position shift for several fishes, including S. erythrophthalmus which appeared to assimilate energy at a higher trophic level, probably through P. parva consumption. The marked isotopic shifts shown in all taxa in the P. parva invaded pond (C-13-enriched, N-15 depleted) were indicative of a shift to a cyanobacteria-dominated phytoplankton community. These findings provide an increased understanding of the ecological consequences of the ongoing P. parva invasion of European freshwater ecosystems.</t>
  </si>
  <si>
    <t>10.1007/s10530-009-9566-5</t>
  </si>
  <si>
    <t>Plieninger, T; Bieling, C</t>
  </si>
  <si>
    <t>Resilience-Based Perspectives to Guiding High-Nature-Value Farmland through Socioeconomic Change</t>
  </si>
  <si>
    <t>agricultural landscapes; agricultural management; ecosystem stewardship; Europe; farmland habitats; landscape change; resilience framework</t>
  </si>
  <si>
    <t>TRADITIONAL ECOLOGICAL KNOWLEDGE; LAND-USE CHANGE; ECOSYSTEM SERVICES; KRISTIANSTADS-VATTENRIKE; DRIVING FORCES; REGIME SHIFTS; MANAGEMENT; LANDSCAPE; SUSTAINABILITY; CONSERVATION</t>
  </si>
  <si>
    <t>Global environmental challenges require approaches that integrate biodiversity conservation, food production, and livelihoods at landscape scales. We reviewed the approach of conserving biodiversity on high-nature-value (HNV) farmland, covering 75 million ha in Europe, from a resilience perspective. Despite growing recognition in natural resource policies, many HNV farmlands have vanished, and the remaining ones are vulnerable to socioeconomic changes. Using landscape-level cases across Europe, we considered the following social-ecological system properties and components and their integration into HNV farmland management: (1) coupling of social and ecological systems, (2) key variables, (3) adaptive cycles, (4) regime shifts, (5) cascading effects, (6) ecosystem stewardship and collaboration, (7) social capital, and (8) traditional ecological knowledge. We argue that previous conservation efforts for HNV farmland have focused too much on static, isolated, and monosectoral conservation strategies, and that stimulation of resilience and adaptation is essential for guiding HNV farmland through rapid change.</t>
  </si>
  <si>
    <t>10.5751/ES-05877-180420</t>
  </si>
  <si>
    <t>Ollivier, QR; Maher, DT; Pitfield, C; Macreadie, PI</t>
  </si>
  <si>
    <t>Winter emissions of CO2, CH4, and N2O from temperate agricultural dams: fluxes, sources, and processes</t>
  </si>
  <si>
    <t>agriculture; carbon dioxide; dam; emissions; methane; nitrous oxide</t>
  </si>
  <si>
    <t>GREENHOUSE-GAS EMISSIONS; NITROUS-OXIDE EMISSIONS; CARBON-DIOXIDE; STABLE-CARBON; HYDROELECTRIC RESERVOIRS; METHANE EMISSIONS; WIND-SPEED; SEASONAL-VARIATION; WATER-QUALITY; BOREAL LAKE</t>
  </si>
  <si>
    <t>Through the microbial breakdown of organic matter and production of greenhouse gases (GHGs), small agricultural dams or ponds have recently been shown to make a relatively large contribution to freshwater ecosystem carbon cycling. However, current estimates of their total carbon dioxide-equivalent (CO2-e) emissions lack inclusion of both seasonal and diel fluctuations. In addition, the atmospheric emissions of nitrous oxide from these often eutrophic systems have yet to be established. Here, we quantified the diffusive winter emissions of carbon dioxide (CO2), methane (CH4), and nitrous oxide (N2O) from 12 small agricultural dams within southeast Australia over a 24-h period. The winter CO2-e emissions of small agricultural water bodies were similar to 92% lower than previous summer estimates, at 1.02 g.m(-2).d(-1), while N2O contributed just 3.2% of this total. We also show that diel cycles do not significantly affect winter CO2, CH4, or N2O emission rates, and we discuss the likely carbon sources to these systems, through analyses of stable carbon isotopes (delta C-13). The results from this study fill key gaps in our knowledge of agricultural dam GHG production and global atmospheric emissions, aiding their inclusion into future GHG budgets.</t>
  </si>
  <si>
    <t>e02914</t>
  </si>
  <si>
    <t>10.1002/ecs2.2914</t>
  </si>
  <si>
    <t>He, M; Li, QL; Chen, LY; Qin, SQ; Kuzyakov, Y; Liu, Y; Zhang, DY; Feng, XH; Kou, D; Wu, TH; Yang, YH</t>
  </si>
  <si>
    <t>Priming effect stimulates carbon release from thawed permafrost</t>
  </si>
  <si>
    <t>carbon cycle; carbon emission; climate warming; permafrost thaw; priming effect; soil carbon</t>
  </si>
  <si>
    <t>SOIL ORGANIC-CARBON; CLIMATE-CHANGE; MATTER; DECOMPOSITION; REGIONS; STOICHIOMETRY; AVAILABILITY; TEMPERATURE; INCUBATION; MAGNITUDE</t>
  </si>
  <si>
    <t>Climate warming leads to widespread permafrost thaw with a fraction of the thawed permafrost carbon (C) being released as carbon dioxide (CO2), thus triggering a positive permafrost C-climate feedback. However, large uncertainty exists in the size of this model-projected feedback, partly owing to the limited understanding of permafrost CO2 release through the priming effect (i.e., the stimulation of soil organic matter decomposition by external C inputs) upon thaw. By combining permafrost sampling from 24 sites on the Tibetan Plateau and laboratory incubation, we detected an overall positive priming effect (an increase in soil C decomposition by up to 31%) upon permafrost thaw, which increased with permafrost C density (C storage per area). We then assessed the magnitude of thawed permafrost C under future climate scenarios by coupling increases in active layer thickness over half a century with spatial and vertical distributions of soil C density. The thawed C stocks in the top 3 m of soils from the present (2000-2015) to the future period (2061-2080) were estimated at 1.0 (95% confidence interval (CI): 0.8-1.2) and 1.3 (95% CI: 1.0-1.7) Pg (1 Pg = 10(15) g) C under moderate and high Representative Concentration Pathway (RCP) scenarios 4.5 and 8.5, respectively. We further predicted permafrost priming effect potential (priming intensity under optimal conditions) based on the thawed C and the empirical relationship between the priming effect and permafrost C density. By the period 2061-2080, the regional priming potentials could be 8.8 (95% CI: 7.4-10.2) and 10.0 (95% CI: 8.3-11.6) Tg (1 Tg = 10(12) g) C year(-1) under the RCP 4.5 and RCP 8.5 scenarios, respectively. This large CO2 emission potential induced by the priming effect highlights the complex permafrost C dynamics upon thaw, potentially reinforcing permafrost C-climate feedback.</t>
  </si>
  <si>
    <t>10.1111/gcb.16750</t>
  </si>
  <si>
    <t>Fudickar, AM; Greives, TJ; Atwell, JW; Stricker, CA; Ketterson, ED</t>
  </si>
  <si>
    <t>Reproductive Allochrony in Seasonally Sympatric Populations Maintained by Differential Response to Photoperiod: Implications for Population Divergence and Response to Climate Change</t>
  </si>
  <si>
    <t>breeding phenology; gonadal development; junco; migration; reproductive allochrony; sympatry</t>
  </si>
  <si>
    <t>DARK-EYED JUNCOS; CORTICOSTERONE SECRETION; PHENOTYPIC PLASTICITY; ADAPTATION; HYEMALIS; DIVERSIFICATION; MODULATION; MIGRATION; MIGRANTS; HYDROGEN</t>
  </si>
  <si>
    <t>Reproductive allochrony presents a potential barrier to gene flow and is common in seasonally sympatric migratory and sedentary birds. Mechanisms mediating reproductive allochrony can influence population divergence and the capacity of populations to respond to environmental change. We asked whether reproductive allochrony in seasonally sympatric birds results from a difference in response to supplementary or photoperiodic cues and whether the response varies in relation to the distance separating breeding and wintering locations as measured by stable isotopes. We held seasonally sympatric migratory and sedentary male dark-eyed juncos (Junco hyemalis) in a common garden in early spring under simulated natural changes in photoperiod and made measurements of reproductive and migratory physiology. On the same dates and photoperiods, sedentary juncos had higher testosterone (initial and gonadotropin-releasing hormone induced), more developed cloacal protuberances, and larger testes than migrants. In contrast, migratory juncos had larger fat reserves (fuel for migration). We found a negative relationship between testis mass and feather hydrogen isotope ratios, indicating that testis growth was more delayed in migrants making longer migrations. We conclude that reproductive allochrony in seasonally sympatric migratory and sedentary birds can result from a differential response to photoperiodic cues in a common garden, and as a result, gene flow between migrants and residents may be reduced by photoperiodic control of reproductive development. Further, earlier breeding in response to future climate change may currently be constrained by differential response to photoperiodic cues.</t>
  </si>
  <si>
    <t>10.1086/685296</t>
  </si>
  <si>
    <t>Budnick, WR; Leboucher, T; Belliard, J; Soininen, J; Lavoie, I; Pound, K; Jamoneau, A; Tison-Rosebery, J; Tales, E; Pajunen, V; Campeau, S; Passy, SI</t>
  </si>
  <si>
    <t>Local and regional drivers of taxonomic homogenization in stream communities along a land use gradient</t>
  </si>
  <si>
    <t>beta-diversity; biodiversity loss; diatoms; fish; insects; land use; local assembly; spatial aggregation; species abundance distribution; taxonomic homogenization</t>
  </si>
  <si>
    <t>SPECIES ABUNDANCE DISTRIBUTIONS; BETA-DIVERSITY; BIOTIC HOMOGENIZATION; BIODIVERSITY; PATTERNS; DISTURBANCE; RICHNESS; FORESTS; LANDSCAPES; INTENSITY</t>
  </si>
  <si>
    <t>Aim The interaction of land use with local versus regional processes driving biological homogenization (beta-diversity loss) is poorly understood. We explored: (a) stream beta-diversity responses to land cover (forest versus agriculture) in terms of physicochemistry and physicochemical heterogeneity; (b) whether these responses were constrained by the regional species pool, i.e. gamma-diversity, or local assembly processes through local (alpha) diversity; (c) whether local assembly operated through the regional species abundance distribution (SAD) or intraspecific spatial aggregation; and (d) the dependence on body size, dispersal capacity and trophic level (producer versus consumer). Location USA, Canada and France. Time period 1993-2012. Major taxa studied Stream diatoms, insects and fish. Methods We analysed six datasets totalling 1,225 stream samples. We compared diversity responses to eutrophication and physicochemical heterogeneity in forested versus agricultural streams with regression methods. Null models quantified the contribution of local assembly to beta-diversity (beta-deviance, beta(DEV)) for both types of land covers and partitioned it into fractions explained by the regional SAD (beta(SAD)) versus aggregation (beta(AGG)). Results Eutrophication explained homogenization and more uneven regional SADs across groups, but local and regional biodiversity responses differed across taxa. The beta(DEV) was insensitive to land use. The beta(SAD) largely exceeded beta(AGG) and was higher in agriculture. Main conclusions Eutrophication but not physicochemical heterogeneity of agricultural streams underlay beta-diversity loss in diatoms, insects and fish. Agriculture did not constrain the magnitude of local versus regional effects on beta-diversity but controlled the local assembly mechanisms. Although the SAD fraction dominated in both land covers, it increased further in agriculture at the expense of aggregation. Notably, the regional SADs were more uneven in agriculture, exhibiting excess common species or stronger dominance. Diatoms and insects diverged from fish in terms of biodiversity, SAD shape and beta(DEV) patterns, suggesting an overriding role of body size and/or dispersal capacity compared with trophic position.</t>
  </si>
  <si>
    <t>10.1111/geb.12976</t>
  </si>
  <si>
    <t>Viana, IG; Bode, A; Bartholomew, M; Valiela, I</t>
  </si>
  <si>
    <t>Experimental assessment of the macroalgae Ascophyllum nodosum and Fucus vesiculosus for monitoring N sources at different time-scales using stable isotope composition</t>
  </si>
  <si>
    <t>DIN; Enrichment; Growth rate; Phaeophyceae; Stable isotopes</t>
  </si>
  <si>
    <t>ANTHROPOGENIC NITROGEN INPUT; LONG-DISTANCE TRANSPORT; DELTA-N-15 VALUES; MACROCYSTIS-PYRIFERA; NUTRIENT ENRICHMENT; MARINE MACROPHYTES; COASTAL WATERSHEDS; NITRATE UPTAKE; FOOD WEBS; AMMONIUM</t>
  </si>
  <si>
    <t>Stable isotope composition of brown macroalgae has been widely used to monitor N loading during the last decades but some of the required assumptions when using them to detect anthropogenic inputs remain untested. In this study several experiments were run with two key species, A. nodosum and F. vesiculosns, to determine internal nitrogen isotope dynamics. First, the equilibration of the isotopic values of the different parts of the thallus of these species was tested by growing them under different water sources. Then, nitrate uptake capacity and N transport along the frond were tested by N-15 enrichment experiments. The results indicate that although the growing tips had the highest uptake rates, older parts of the frond of both species have the capacity to incorporate N at low rates. No evidence of N transport along the thallus, from the tip to the basal segment of the frond or the converse was found. These results show that the growing tips of these macroalgae can be used to monitor N loadings at time scales from weeks (F. vesiculosus) to months (A. nodosum). The use of non-growing parts of the thallus to do retrospective studies cannot be recommended because of their measurable exchange of N with the surrounding water. (C) 2015 Elsevier B.V. All rights reserved.</t>
  </si>
  <si>
    <t>10.1016/j.jembe.2015.01.014</t>
  </si>
  <si>
    <t>Secor, DH; Rooker, JR; Gahagan, BI; Siskey, MR; Wingate, RW</t>
  </si>
  <si>
    <t>Depressed resilience of bluefin tuna in the western atlantic and age truncation</t>
  </si>
  <si>
    <t>connectivity; fisheries; migratory populations; otolith chemistry; regime shift; storage effect</t>
  </si>
  <si>
    <t>THUNNUS-THYNNUS; GADUS-MORHUA; LIFE-HISTORY; COD; RECRUITMENT; FLUCTUATIONS; HYPOTHESES; DIVERSITY; LONGEVITY; GROWTH</t>
  </si>
  <si>
    <t>Following intense overfishing in the 1970s, the western stock of Atlantic bluefin tuna (Thunnus thynnus) experienced a long period of depressed abundance, which has been attributed to failure of the population to periodically produce large numbers of juveniles, the western stock mixing with the more highly exploited eastern stock (fisheries in the Northeast Atlantic Ocean and Mediterranean Sea), and regime shift in the population's ecosystem resulting in lower replacement rates. To evaluate the presence of relatively strong years of juvenile production, we analyzed age structure from a recent sample of otoliths (ear stones) collected from the western stock (2011-2013, North Carolina, U.S.A., winter fishery). Mixing levels for the recent sample were analyzed using otolith stable isotopes to test whether age structure might be biased through immigration of eastern stock bluefin tuna. Age structure from historical samples collected from United States and Canadian fisheries (1975-1981) was compared with more recent samples (1996-2007) to examine whether demographic changes had occurred to the western stock that might have disrupted juvenile production. Relatively high juvenile production occurred in 2003, 2005, and 2006. Otolith stable isotope analysis showed that these recruitments were mostly of western stock origin. However, these high recruitments were &gt;2-fold less than historical recruitment. We found substantial age truncation in the sampled fisheries. Half the historical sample was &gt;20 years old (mean age = 20.1 [SD 3.7]; skewness = -0.3), whereas &lt;5% of the recent sample was &gt;20 years old (mean age = 13.4 [SD 3.8]; skewness = 1.3). Loss of age structure is consistent with changes in fishing selectivity and trends in the stock assessment used for management. We propose that fishing, as a forcing variable, brought about a threshold shift in the western stock toward lower biomass and production, a shift that emulates the regime shift hypothesis. An abbreviated reproductive life span compromised resilience by reducing the period over which adults spawn and thereby curtailing the stock's ability to sample year-to-year variability in conditions that favor offspring survival (i.e., storage effect). Because recruitment dynamics by the western stock exhibit threshold dynamics, returning it to a higher production state will entail greater reductions in exploitation rates.</t>
  </si>
  <si>
    <t>10.1111/cobi.12392</t>
  </si>
  <si>
    <t>Duhem, C; Vidal, E; Roche, P; Legrand, J</t>
  </si>
  <si>
    <t>Island breeding and continental feeding: How are diet patterns in adult yellow-legged gulls influenced by landfill accessibility and breeding stages?</t>
  </si>
  <si>
    <t>breeding stages; dependence on landfills; diet; food availability; Larus (cachinnans) michahellis; multivariate analysis</t>
  </si>
  <si>
    <t>HERRING-GULLS; LARUS-ARGENTATUS; AUDOUINS GULLS; FISHERY WASTE; REFUSE TIPS; NORTH-SEA; CACHINNANS; FOOD; SEABIRDS; SUCCESS</t>
  </si>
  <si>
    <t>We studied the diet of yellow-legged gulls, Larus (cachinnons) michahellis, at six colonies located at different distances from landfills during three breeding stages (territory establishment, pre-laying, and nesting periods) through the analysis of 1,192 pellets. Landfills were the foraging habitat most frequently used by gulls from all six colonies at all stages. Other terrestrial habitats were used with decreasing frequency as the breeding season advanced. Limited but consistent use was also made of the marine habitat. At each stage, landfill accessibility influenced the diet of the colonies, which showed both a varying degree of exploitation of landfills and a varying trophic niche width. We used principal components analysis (PCA) to assess diet variation patterns as the breeding season advanced as well as food accessibility parameters. The PCA revealed that gulls shift their diet toward a diet weakly diversified and increasingly centred on items from landfills and also showed that the diets of colonies were correlated with landfill accessibility and breeding stages. The shift in diet occurred earlier in the breeding season for colonies far from landfills compared to colonies near landfills. In light of these diet patterns, yellow-legged gulls appear to be strongly influenced by landfills; thus, the future closure of landfills is likely to have marked effects on yellow-legged gull population dynamics.</t>
  </si>
  <si>
    <t>10.1080/11956860.2003.11682798</t>
  </si>
  <si>
    <t>Yurkowski, DJ; Hussey, NE; Semeniuk, C; Ferguson, SH; Fisk, AT</t>
  </si>
  <si>
    <t>Effects of lipid extraction and the utility of lipid normalization models on delta C-13 and delta N-15 values in Arctic marine mammal tissues</t>
  </si>
  <si>
    <t>Carbon; Lipids; Marine mammals; Nitrogen; Stable isotopes</t>
  </si>
  <si>
    <t>STABLE-ISOTOPE RATIOS; TROPHIC RELATIONSHIPS; CARBON ISOTOPES; FOOD-WEB; DISCRIMINATION FACTORS; NITROGEN ISOTOPES; FISH-TISSUES; DIET; FRACTIONATION; MUSCLE</t>
  </si>
  <si>
    <t>Animals store lipids, which are C-13-depleted, in their tissues that often must be extracted to correctly interpret delta C-13 data. However, chemical lipid extraction (CLE) can alter delta N-15 values and lipid normalization (LN) models are not consistent across fauna. We determined whether lipids should be extracted by assessing effects of CLE and validating LN models for liver and muscle from seven and eight marine mammal species, respectively, and skin from one species. In liver, CLE significantly increased delta C-13 and delta N-15 values for all species, whereas only a significant increase in delta C-13 occurred in skin. For muscle, delta C-13 and delta N-15 values were generally greater after CLE, but this was not consistent across species. Extracted lipids were depleted by approximately 7 and 5 aEuro degrees for delta C-13 and delta N-15, respectively, in both muscle and liver compared with protein in all species. The reliability of LN models varied between tissues and species; thus, their use is largely dependent on the precision of stable isotope values needed to address the objectives of a study. A decision framework to decide whether CLE or LN models is required for ecological interpretation of stable isotopes based on species, tissue and study objectives is presented.</t>
  </si>
  <si>
    <t>10.1007/s00300-014-1571-1</t>
  </si>
  <si>
    <t>Nixon, SW; Buckley, BA; Granger, SL; Entsua-Mensah, M; Ansa-Asare, O; White, MJ; McKinney, RA; Mensah, E</t>
  </si>
  <si>
    <t>Anthropogenic enrichment and nutrients in some tropical lagoons of Ghana, West Africa</t>
  </si>
  <si>
    <t>chlorophyll; eutrophication; Ghana; lagoon; nitrogen; nutrients; phosphorus; population density; stable isotopes; watersheds</t>
  </si>
  <si>
    <t>NORTH-ATLANTIC OCEAN; NORTHEASTERN USA; NARRAGANSETT BAY; COASTAL WATERS; WAQUOIT BAY; NITROGEN; ESTUARIES; INPUTS; FLUXES; FISH</t>
  </si>
  <si>
    <t>As part of a larger study of demographic change in coastal Ghana, we measured the concentrations of major plant nutrients and phytoplankton chlorophyll in eight coastal lagoons with different land use and human population density. The purpose of our study was to relate human activities to water quality in coastal receiving waters. We also carried out preliminary measurements of stable nitrogen isotopes to quantify the contribution of sewage and fertilizer to fish production in the lagoons. Annual mean concentrations of ammonia, nitrite plus nitrate, dissolved inorganic phosphate (DIP), and water column chlorophyll a varied by factors of over 1400, 15, 315, and 125, respectively, among the eight small coastal lagoons in the Central and Greater Accra Regions of Ghana. Concentrations of ammonia (mean of similar to 1 mmol/L) and phosphate (mean of similar to 60 mu mol/L) in Korle lagoon, near the capital city of Accra, may be the highest yet reported for an estuarine system. In most of the lagoons, nutrient concentrations throughout the study period were much lower than previously reported, perhaps due to analytical problems in earlier measurements. Dissolved inorganic nutrients varied markedly over the year but showed no evidence of a regular seasonal cycle such as commonly observed in temperate coastal systems. Nutrient concentrations did increase sharply and briefly in many lagoons during the wet season. Water column chlorophyll increased greatly during August and September. Since water column inorganic nutrients were very low during July, it is possible that the apparent bloom was stimulated by nutrients brought into the lagoons during coastal upwelling or that the elevated chlorophyll was itself brought into the lagoons from offshore. Human population densities in the watersheds of the lagoons were high and varied widely, from similar to 150 individuals/km(2) to almost 3300 individuals/km(2). Ratios of watershed area to open lagoon area ranged from similar to 30 to almost 2500, much higher than is common in most well-studied estuaries and lagoons in the United States. We found a strong correlation between human population density and mean annual dissolved inorganic nitrogen (DIN) concentrations among the wide range of systems studied. Mean annual DIN concentrations in the Ghana lagoons were higher than found in a number of temperate lagoons with similar population density. The relationship between population density and DIP and chlorophyll was weak. The latter may be due to toxic effects in Korle lagoon and abundant filter feeders in another lagoon. Stable nitrogen isotope ratios in two species of fish, a shrimp, and a crab varied consistently among the lagoons, with higher delta N-15 values indicative of human sewage in lagoons downstream of more densely populated watersheds.</t>
  </si>
  <si>
    <t>S144</t>
  </si>
  <si>
    <t>S164</t>
  </si>
  <si>
    <t>10.1890/05-0684.1</t>
  </si>
  <si>
    <t>Dharampal, PS; Carlson, C; Currie, CR; Steffan, SA</t>
  </si>
  <si>
    <t>Pollen-borne microbes shape bee fitness</t>
  </si>
  <si>
    <t>bee larval survivorship; microbes; pollen provisions; trophic position; trophic biomarker analysis</t>
  </si>
  <si>
    <t>FATTY-ACIDS; HONEY-BEES; BUMBLE BEES; FOOD-WEBS; COMMUNITIES; PRESERVATION; POLLINATION; HYMENOPTERA; NUTRITION; BACTERIA</t>
  </si>
  <si>
    <t>Teeming within pollen provisions are diverse communities of symbiotic microbes, which provide a variety of benefits to bees. Microbes themselves may represent a major dietary resource for developing bee larvae. Despite their apparent importance in sustaining bee health, evidence linking pollen-borne microbes to larval health is currently lacking. We examined the effects of microbe-deficient diets on the fitness of larval mason bees. In a series of diet manipulations, microbe-rich maternally collected pollen provisions were replaced with increasing fractions of sterilized, microbe-deficient pollen provisions before being fed to developing larvae. Convergent findings from amino acid and fatty acid trophic biomarker analyses revealed that larvae derived a substantial amount of nutrition from microbial prey and occupied a significantly higher trophic position than that of strict herbivores. Larvae feeding on increasingly sterile diets experienced significant adverse effects on growth rates, biomass and survivorship. When completely deprived of pollen-borne microbes, larvae consistently exhibited marked decline in fitness. We conclude that microbes associated with aged pollen provisions are central to bee health, not only as nutritional mutualists, but also as a major dietary component. In an era of global bee decline, the conservation of such bee-microbe interactions may represent an important facet of pollinator protection strategies.</t>
  </si>
  <si>
    <t>10.1098/rspb.2018.2894</t>
  </si>
  <si>
    <t>Hall, SJ; Hale, RL; Baker, MA; Bowling, DR; Ehleringer, JR</t>
  </si>
  <si>
    <t>Riparian plant isotopes reflect anthropogenic nitrogen perturbations: robust patterns across land use gradients</t>
  </si>
  <si>
    <t>agriculture; grazing; isoscape; leaf nitrogen isotope; pet waste; plant species; riparian; septic; sewage; urban; water quality</t>
  </si>
  <si>
    <t>PRIMARY UPTAKE COMPARTMENTS; STABLE-ISOTOPES; FOLIAR DELTA-N-15; GLOBAL PATTERNS; N-15 ABUNDANCE; NATURAL N-15; URBAN; NITRATE; SOIL; RIVER</t>
  </si>
  <si>
    <t>Riparian plants incorporate nitrogen (N) from aquatic, terrestrial, and atmospheric sources, and their stable isotope compositions (delta N-15) may reflect land use impacts on N sources and transformations over scales of sites to watersheds. We surveyed leaf delta N-15 values of 11 common riparian tree, shrub, and herbaceous species from 20 streams and rivers spanning three fifth-order watersheds in northern Utah, USA (n = 255 sites and 819 leaf samples). Streams spanned undeveloped montane forests to suburban, urban, and agricultural lands. Mean species-specific differences in leaf delta N-15 values were relatively small within sites (1.2 +/- 2.2%), although emergent aquatic macrophytes had higher within-site delta N-15 values than other growth forms. Leaf delta N-15 values varied significantly across land-use categories, and were lowest in undeveloped montane reaches (0.5 +/- 1.9%; mean and standard deviation), intermediate in suburban and urban reaches (2.3 +/- 2.6 and 3.2 +/- 3.4%), and greatest in agricultural reaches (4.1 +/- 3.1%). The substantial variation in leaf delta N-15 values within a land use category often corresponded with local management differences. In an undeveloped montane canyon permitting off-leash dogs, leaf delta N-15 values (1.5 +/- 1.3%) exceeded similar canyons that strictly prohibited dogs (delta N-15 = -0.7 +/- 1.1%). Canyons with cattle grazing had leaf delta N-15 values enriched by 1.4 and 2.8% relative to similar, but un-grazed canyons. Variation in traffic between 0 and 5000 vehicles per day did not significantly affect leaf delta N-15 values, although a canyon with 50,000 vehicles per day showed a 5.7% increase relative to low-trafficked canyons. Urban leaf delta N-15 values were consistently enriched by 2.5 +/- 0.6% relative to leaves in un-grazed montane reaches, and leaves in a septic-impacted suburban reach were enriched by 4.6% relative to upstream samples. Samples from a sewage-impacted urban river averaged 8.0 +/- 4.1% and reached 22% adjacent to publicly owned treatment works (POTW). Another urban river displayed similar values in the absence of POTWs, implicating leaky sewers. Our results demonstrate the capacity of N isotopes from a diverse riparian plant community to inform our spatial understanding of watershed N-cycling perturbations, and illustrate the impact of human activities on N cycling even within protected watersheds.</t>
  </si>
  <si>
    <t>10.1890/ES15-00319.1</t>
  </si>
  <si>
    <t>Ingala, MR; Becker, DJ; Holm, JB; Kristiansen, K; Simmons, NB</t>
  </si>
  <si>
    <t>Habitat fragmentation is associated with dietary shifts and microbiota variability in common vampire bats</t>
  </si>
  <si>
    <t>Desmodus rotundus; diet homogenization; land-use change; livestock; microbiota; resource provisioning</t>
  </si>
  <si>
    <t>DESMODUS-ROTUNDUS; GUT MICROBIOME; HOST; COMMUNITIES; CHIROPTERA; ECOIMMUNOLOGY; TRANSMISSION; DISRUPTION; PHYSIOLOGY; PREFERENCE</t>
  </si>
  <si>
    <t>Host ecological factors and external environmental factors are known to influence the structure of gut microbial communities, but few studies have examined the impacts of environmental changes on microbiotas in free-ranging animals. Rapid land-use change has the potential to shift gut microbial communities in wildlife through exposure to novel bacteria and/or by changing the availability or quality of local food resources. The consequences of such changes to host health and fitness remain unknown and may have important implications for pathogen spillover between humans and wildlife. To better understand the consequences of land-use change on wildlife microbiotas, we analyzed long-term dietary trends, gut microbiota composition, and innate immune function in common vampire bats (Desmodus rotundus) in two nearby sites in Belize that vary in landscape structure. We found that vampire bats living in a small forest fragment had more homogenous diets indicative of feeding on livestock and shifts in microbiota heterogeneity, but not overall composition, compared to those living in an intact forest reserve. We also found that irrespective of sampling site, vampire bats which consumed relatively more livestock showed shifts in some core bacteria compared with vampire bats which consumed relatively less livestock. The relative abundance of some core microbiota members was associated with innate immune function, suggesting that future research should consider the role of the host microbiota in immune defense and its relationship to zoonotic infection dynamics. We suggest that subsequent homogenization of diet and habitat loss through livestock rearing in the Neotropics may lead to disruption to the microbiota that could have downstream impacts on host immunity and cross-species pathogen transmission.</t>
  </si>
  <si>
    <t>10.1002/ece3.5228</t>
  </si>
  <si>
    <t>De Cesare, S; Meziane, T; Chauvaud, L; Richard, J; Sejr, MK; Thebault, J; Winkler, G; Olivier, F</t>
  </si>
  <si>
    <t>Dietary plasticity in the bivalve Astarte moerchi revealed by a multimarker study in two Arctic fjords</t>
  </si>
  <si>
    <t>Arctic benthos; Climate change; Pelagic-benthic coupling; Filter-feeding bivalves; Fatty acids; Trophic markers; Compound-specific carbon stable isotopes</t>
  </si>
  <si>
    <t>POLYUNSATURATED FATTY-ACIDS; PARTICULATE ORGANIC-MATTER; STABLE-ISOTOPE RATIOS; SEA-ICE COVER; BERING-SEA; SPRING BLOOM; YOUNG SOUND; TROPHIC RELATIONSHIPS; BOREALIS SCHUMACHER; BENTHIC COMMUNITY</t>
  </si>
  <si>
    <t>Arctic coastal ecosystems are likely to be strongly affected by predicted environmental changes such as sea-ice decline and increase in freshwater input and turbidity. These changes are expected to impact primary production dynamics and consequently benthic consumers. The trophic relationship between primary producers and benthic primary consumers were compared in 2 Arctic fjords with different seasonal ice-cover: Young Sound (NE Greenland, a high-Arctic fjord) and Kongsfjorden (Svalbard Archipelago, a sub-Arctic fjord). For comparison, we selected the filter-feeding bivalve Astarte moerchi (belonging to the complex A. borealis), which has a broad geographical distribution in the Arctic. The bivalve digestive glands and food sources were characterized with fatty acids (FAs), bulk stable isotopes, and compound-specific stable isotopes of individual FAs. Our results suggest that diatoms of pelagic and/ or benthic origin are the main contributors to the A. moerchi diet in Young Sound and make up a less important fraction of the diet in the Kongsfjorden population. A contribution by sympagic diatoms is clearly excluded in the sub-Arctic fjord and needs to be further assessed in the Arctic fjord. The A. moerchi diet in sub-Arctic Kongsfjorden is more diversified, varies with season, and has contributions from dinoflagellates and macroalgal detritus. These results, together with higher concentrations of total FAs in the Young Sound population, demonstrated and characterized the trophic plasticity of this bivalve species. Based on these results, we discuss potential effects of environmental factors (shifts in trophic resources, increase in turbidity) for A. moerchi populations in changing Arctic ecosystems.</t>
  </si>
  <si>
    <t>10.3354/meps12035</t>
  </si>
  <si>
    <t>Littleford-Colquhoun, BL; Weyrich, LS; Kent, N; Frere, CH</t>
  </si>
  <si>
    <t>City life alters the gut microbiome and stable isotope profiling of the eastern water dragon (Intellagama lesueurii)</t>
  </si>
  <si>
    <t>diet; eastern water dragon; gut microbiota reptile; stable isotopes; urbanisation</t>
  </si>
  <si>
    <t>FOXES VULPES-VULPES; SPECIES-DIVERSITY; DIET; EVOLUTION; URBAN; WILD; COMMUNITIES; URBANIZATION; PLASTICITY; FRAMEWORK</t>
  </si>
  <si>
    <t>Urbanisation is one of the most significant threats to biodiversity, due to the rapid and large-scale environmental alterations it imposes on the natural landscape. It is, therefore, imperative that we understand the consequences of and mechanisms by which, species can respond to it. In recent years, research has shown that plasticity of the gut microbiome may be an important mechanism by which animals can adapt to environmental change, yet empirical evidence of this in wild non-model species remains sparse. Using an empirical replicated study system, we show that city life alters the gut microbiome and stable isotope profiling of a wild native non-model species - the eastern water dragon (Intellagama lesueurii) in Queensland, Australia. City dragons exhibit a more diverse gut microbiome than their native habitat counterparts and show gut microbial signatures of a high fat and plant rich diet. Additionally, we also show that city dragons have elevated levels of the Nitrogen-15 isotope in their blood suggesting that a city diet, which incorporates novel anthropogenic food sources, may also be richer in protein. These results highlight the role that gut microbial plasticity plays in an animals' response to human-altered landscapes.</t>
  </si>
  <si>
    <t>10.1111/mec.15240</t>
  </si>
  <si>
    <t>James, WR; Santos, RO; Rehage, JS; Doerr, JC; Nelson, JA</t>
  </si>
  <si>
    <t>E-scape: Consumer-specific landscapes of energetic resources derived from stable isotope analysis and remote sensing</t>
  </si>
  <si>
    <t>E-scape; habitat cover; remote sensing; species distribution; stable isotopes</t>
  </si>
  <si>
    <t>HABITATS; PATTERNS; PHYTOPLANKTON; HETEROGENEITY; AVAILABILITY; MOVEMENT; MODELS; SHRIMP; NEKTON</t>
  </si>
  <si>
    <t>Energetic resources and habitat distribution are inherently linked. Energetic resource availability is a major driver of the distribution of consumers, but estimating how much specific habitats contribute to the energetic resource needs of a consumer can be problematic. We present a new approach that combines remote sensing information and stable isotope ecology to produce maps of energetic resources (E-scapes). E-scapes project species-specific resource use information onto the landscape to classify areas based on energetic importance. Using our E-scapes, we investigated the relationship between energetic resource distribution and white shrimp distribution and how the scale used to generate the E-scape mediated this relationship. E-scapes successfully predicted the size, abundance, biomass, and total energy of a consumer in salt marsh habitats in coastal Louisiana, USA at scales relevant to the movement of the consumer. Our E-scape maps can be used alone or in combination with existing models to improve habitat management and restoration practices and have potential to be used to test fundamental movement theory.</t>
  </si>
  <si>
    <t>10.1111/1365-2656.13637</t>
  </si>
  <si>
    <t>Sommers, P; Davis, A; Chesson, P</t>
  </si>
  <si>
    <t>Invasive buffel grass (Cenchrus ciliaris) increases water stress and reduces success of native perennial seedlings in southeastern Arizona</t>
  </si>
  <si>
    <t>Invasion; Buffel grass; Sonoran Desert; Seedling; Water stress; Stable isotopes</t>
  </si>
  <si>
    <t>PACHYCEREUS-PECTEN-ABORIGINUM; SONORAN DESERT ECOSYSTEM; PENNISETUM-CILIARE; EXOTIC GRASSLANDS; SPECIES-RICHNESS; LAND CONVERSION; SEED BANKS; REGENERATION; PLANTS; SOIL</t>
  </si>
  <si>
    <t>Although buffel grass (Cenchrus ciliaris) invasions on several continents have significant ecological impacts, little information is available on its stage-specific interactions with native vegetation. In areas of North America's Sonoran Desert highly impacted by buffel grass, perennial plants are particularly vulnerable during the recruitment stage. We studied the impact of buffel grass on the emergence and early survival of native perennials that germinate during monsoon season with a field experiment. We used a pot experiment to test whether proximity to buffel grass induced water stress in the seedlings of a locally dominant native tree, the foothills palo verde (Parkinsonia microphylla). Seedlings of native perennials emerged at nearly twice the rate, and survived longer, on field plots where mature buffel grass was removed, or had never invaded, than where buffel grass remained. The stable isotope signatures of carbon in palo verde seedlings grown in pots with buffel grass indicated higher stomatal closure consistent with greater water stress than in seedlings grown alone. A stage-structured model based on palo verde population dynamics illustrates that if only recruitment rates were affected by buffel grass, palo verde would likely remain on the landscape, though at reduced densities. However, the long-lived nature of perennials implies we have yet to observe the full impacts of the invasion. The model indicates the kinds of studies needed to fully predict the impact of buffel grass.</t>
  </si>
  <si>
    <t>10.1007/s10530-022-02750-5</t>
  </si>
  <si>
    <t>Harris, BS; DeBoer, JA; Lamer, JT</t>
  </si>
  <si>
    <t>Trophic reorganization of native planktivorous fishes at different density extremes of bigheaded carps in the Illinois and Mississippi rivers, USA</t>
  </si>
  <si>
    <t>Invasive; Planktivores; Competition; Stable isotopes; Trophic niche</t>
  </si>
  <si>
    <t>OMNIVOROUS GIZZARD SHAD; WESTERN LAKE ERIE; SILVER CARP; FOOD-WEB; COMPETITIVE-EXCLUSION; STABLE-ISOTOPES; NICHE OVERLAP; ASIAN CARPS; LONG-TERM; COMMUNITY</t>
  </si>
  <si>
    <t>The widespread introduction of non-native fishes has contributed to freshwater ecosystems being considered among the most altered ecosystems globally. Of particular concern are invasive planktivorous fishes (e.g., silver carp Hypophthalmichthys molitrix and bighead carp H. nobilis, collectively known as bigheaded carps) that have the potential to modify basal food web structure and compete for planktonic resources with native planktivores and young-of-year fishes. Bigheaded carps have proliferated throughout the Mississippi River basin, creating an outsized potential for resource competition with native fishes. Studies have showed niche overlap between bigheaded carps and native planktivores is generally high but that overlap varies among rivers. Importantly, niche overlap has not been assessed for density extremes of bigheaded carps within a river to determine whether trophic niches changed as a result of the invasion. The objectives of this study were to determine whether (1) silver and/or bighead carps share a similar isotopic niche with four native planktivores, and (2) that association varies ecologically (i.e., low- and high-densities of bigheaded carps) and spatially (i.e., between rivers). Our results generally show high trophic overlap among species, suggesting potential direct resource competition. Niche overlap was higher in study reaches with low densities of bigheaded carps compared to reaches with high densities, presumably due to intense resource competition and limiting of resources under high densities of bigheaded carps. Across density extremes, trophic reorganization by bigmouth buffalo (Ictiobus cyprinellus) was divergent from other native planktivores. Species-specific responses may be due to subtle differences in feeding strategies, degree of planktivory, food selectivity, and correlated food size distributions.</t>
  </si>
  <si>
    <t>10.1007/s10530-022-02822-6</t>
  </si>
  <si>
    <t>Braga, J; Pollock, LJ; Barros, C; Galiana, N; Montoya, JM; Gravel, D; Maiorano, L; Montemaggiori, A; Ficetola, GF; Dray, S; Thuiller, W</t>
  </si>
  <si>
    <t>Spatial analyses of multi-trophic terrestrial vertebrate assemblages in Europe</t>
  </si>
  <si>
    <t>biodiversity; environmental gradients; food web comparison; metaweb; network properties; null model; tetrapod communities</t>
  </si>
  <si>
    <t>FOOD-WEB STRUCTURE; ECOLOGICAL NETWORKS; SPECIES RICHNESS; CLIMATE-CHANGE; NICHE BREADTH; SCALE; ENERGY; PRODUCTIVITY; BIODIVERSITY; DIVERSITY</t>
  </si>
  <si>
    <t>Aim Although much has been said on the spatial distribution of taxonomic and phylogenetic diversity of vertebrates, how this diversity interacts in food webs and how these interactions change across space are largely unknown. Here, we analysed the spatial distribution of tetrapod food webs and asked whether the variation in local food web structure is driven by random processes or by natural and anthropogenic factors. Location Europe. Time period Present. Major taxa studied Tetrapods. Methods We combined an expert-based food web (1,140 species and 70,601 links) of all European tetrapods with their respective spatial distributions. We mapped 17 different food web metrics representing complexity, chain length, vertical diversity and diet strategy across Europe and tested whether their distribution reflects the spatial structure of species richness using a null model of food web structure. To avoid multicollinearity issues, we defined composite descriptors of food web structure that we related to a set of environmental layers summarizing both natural and anthropogenic influences and tested their relative importance in explaining the spatial distribution of European terrestrial vertebrate food webs. Results Of the 17 metrics, 10 showed a non-random spatial distribution across Europe and could be summarized along two major axes of variation in food web structure. The first was related to species richness, mean trophic level and the proportion of intermediate species, whereas the second was related to the connectance and proximity of species within the web. Both descriptors varied with latitudinal gradient. The best descriptors of food web structure were mean annual temperature and seasonality (negatively correlated with the first axis), and human footprint (positively correlated with the second axis). Main conclusions We demonstrate the importance of climate and anthropogenic pressure in shaping the spatial structure of European tetrapod food webs.</t>
  </si>
  <si>
    <t>10.1111/geb.12981</t>
  </si>
  <si>
    <t>Matthews, CJD; Raverty, SA; Noren, DP; Arragutainaq, L; Ferguson, SH</t>
  </si>
  <si>
    <t>Ice entrapment mortality may slow expanding presence of Arctic killer whales</t>
  </si>
  <si>
    <t>Bioenergetics; Climate change; Distribution; Histopathology; Orcinus orca; Stable isotopes</t>
  </si>
  <si>
    <t>ORCINUS-ORCA; SIGHTINGS; BEHAVIOR; NUNAVUT; PUPS</t>
  </si>
  <si>
    <t>Killer whales (Orcinus orca) occur seasonally in the eastern Canadian Arctic during the summer months. Increasing killer whale sightings throughout the region, and incursions into areas where they have not historically been observed, have been linked with declining sea ice, which has raised questions about the potential ecological impacts of a greater killer whale presence in the Arctic. Here we report on four killer whales that died of starvation after overwintering in southeastern Hudson Bay. This incident is similar to two other reported killer whale ice entrapments in Hudson Bay in 2011 and 2013, which together exceed the incidence of such events over the previous century. The six confirmed, and up to 16 more assumed, deaths due to ice entrapments over the past decade almost certainly represent significant levels of mortality for the population(s) of killer whales in the Canadian Arctic. Ice entrapments of naive killer whales exploring new Arctic territory may therefore offer a natural check on range expansions in the region, particularly in convoluted inland bays and inlets into which they pursue previously inaccessible prey, but fail to exit prior to ice formation.</t>
  </si>
  <si>
    <t>10.1007/s00300-018-02447-3</t>
  </si>
  <si>
    <t>Persaud, AD; Dillon, PJ; Lasenby, D; Yan, ND</t>
  </si>
  <si>
    <t>Stable isotope variability of meso-zooplankton along a gradient of dissolved organic carbon</t>
  </si>
  <si>
    <t>dissolved organic carbon; stable isotopes; taxonomic resolution; variability; zooplankton</t>
  </si>
  <si>
    <t>LAKE C-13 ADDITION; NORTHERN SWEDEN; BOREAL LAKES; FOOD WEBS; ALLOCHTHONOUS CARBON; WATER; DELTA-N-15; DOC; PRECIPITATION; ENRICHMENT</t>
  </si>
  <si>
    <t>1. The delta C-13 and delta N-15 signatures of zooplankton vary with dissolved organic carbon (DOC), but inconsistent and limited taxonomic resolution of previous studies have masked differences that may exist among orders, genera or species and are attributable to dietary and/or habitat differences. Here we investigate differences among the isotopic signatures of five zooplankton taxa (Daphnia, Holopedium, large Calanoida, small Calanoida and Cyclopoida) in Precambrian shield lakes with a sixfold range of DOC concentration. 2. delta C-13 signatures of Daphnia, small calanoids and large calanoids became more depleted with increasing lake DOC, whereas Holopedium and cyclopoid delta C-13 became enriched with increasing DOC concentration. 3. The variability of delta C-13 and delta N-15 isotopic signatures among zooplankton groups was reduced in high-DOC, compared to low-DOC lakes, especially for delta C-13. Differences in delta C-13 and POM-corrected delta N-15 accounted for up to 33.7% and 19.5% of the variance, respectively, among lakes of varying DOC concentration. 4. The narrow range of signatures found in higher DOC lakes suggests that different taxa have similar food sources and/or habitats. In contrast, the wide range of signatures in low-DOC lakes suggests that different taxa are exploiting different food sources and/or habitats. Together with the variable trends in zooplankton isotopic signatures along our DOC gradient, these results suggest that food web dynamics within the zooplankton community of temperate lakes will change as climate and lake DOC concentrations change.</t>
  </si>
  <si>
    <t>10.1111/j.1365-2427.2009.02224.x</t>
  </si>
  <si>
    <t>Norman, BC; Whiles, MR; Collins, SM; Flecker, AS; Hamilton, SK; Johnson, SL; Rosi, EJ; Ashkenas, LR; Bowden, WB; Crenshaw, CL; Crowl, T; Dodds, WK; Hall, RO; El-Sabaawi, R; Griffiths, NA; Marti, E; McDowell, WH; Peterson, SD; Rantala, HM; Riis, T; Simon, KS; Tank, JL; Thomas, SA; von Schiller, D; Webster, JR</t>
  </si>
  <si>
    <t>Drivers of nitrogen transfer in stream food webs across continents</t>
  </si>
  <si>
    <t>N-15; food chain efficiency; food webs; isotope tracer experiment; nitrogen; stream</t>
  </si>
  <si>
    <t>NUTRIENT ENRICHMENT; FOREST STREAM; TRANSFER EFFICIENCY; CHAIN LENGTH; ECOSYSTEM; STOICHIOMETRY; PERIPHYTON; DYNAMICS; LIGHT; MACROINVERTEBRATES</t>
  </si>
  <si>
    <t>Studies of trophic-level material and energy transfers are central to ecology. The use of isotopic tracers has now made it possible to measure trophic transfer efficiencies of important nutrients and to better understand how these materials move through food webs. We analyzed data from thirteen N-15-ammonium tracer addition experiments to quantify N transfer from basal resources to animals in headwater streams with varying physical, chemical, and biological features. N transfer efficiencies from primary uptake compartments (PUCs; heterotrophic microorganisms and primary producers) to primary consumers was lower (mean 11.5%, range &lt;1% to 43%) than N transfer efficiencies from primary consumers to predators (mean 80%, range 5% to &gt;100%). Total N transferred (as a rate) was greater in streams with open compared to closed canopies and overall N transfer efficiency generally followed a similar pattern, although was not statistically significant. We used principal component analysis to condense a suite of site characteristics into two environmental components. Total N uptake rates among trophic levels were best predicted by the component that was correlated with latitude, DIN:SRP, GPP:ER, and percent canopy cover. N transfer efficiency did not respond consistently to environmental variables. Our results suggest that canopy cover influences N movement through stream food webs because light availability and primary production facilitate N transfer to higher trophic levels.</t>
  </si>
  <si>
    <t>10.1002/ecy.2009</t>
  </si>
  <si>
    <t>Polito, MJ; Goebel, ME</t>
  </si>
  <si>
    <t>Investigating the use of stable isotope analysis of milk to infer seasonal trends in the diets and foraging habitats of female Antarctic fur seals</t>
  </si>
  <si>
    <t>Antarctic fur seal; Arctocephalus gazella; Diets; Milk; Stable isotopes</t>
  </si>
  <si>
    <t>ARCTOCEPHALUS-GAZELLA PETERS; SOUTHERN ELEPHANT SEALS; NITROGEN ISOTOPES; BREEDING-SEASON; FATTY-ACIDS; FISH DIET; CARBON; PREY; FRACTIONATION; ENRICHMENT</t>
  </si>
  <si>
    <t>The use of intrinsic biomarkers to infer the foraging ecology of marine predators has become a common alternative to traditional methods of estimating diets and foraging behavior. In this study we examined the ability of the stable isotope analysis (delta N-15 and delta C-13) of milk to infer seasonal variations in the diets and foraging habitats of female Antarctic fur seals (Arctocephalus gazella) breeding at Cape Shirreff, Livingston Island, Antarctica. We found that the stable nitrogen values of lipid-free milk were correlated with seasonal changes in female diet composition during the lactation period identified from scat collections. While we could not fully quantifying female diets using isotopic analysis, evidence from both scat collections and stable isotope analysis suggest that Antarctic krill (Euphausia superba) remained a major dietary item throughout lactation. In addition, these two methods independently highlighted the increasing importance of fish and squid in the diets of females as the season progresses. Furthermore, the isotopic values of milk collected during the perinatal fast suggest that females may be foraging in high productivity areas north of the South Shetland Islands and consume a larger proportion of fish and/or squid prior to parturition. While more confirmatory studies are needed to refine these methods, our results suggests that the delta N-15 and delta C-13 values of lipid-free milk can be used as a proxy to describe the foraging ecology of female Antarctic fur seals prior to and across the lactation period. (C) 2010 Elsevier B.V. All rights reserved.</t>
  </si>
  <si>
    <t>10.1016/j.jembe.2010.08.015</t>
  </si>
  <si>
    <t>Lemons, G; Lewison, R; Komoroske, L; Gaos, A; Lai, CT; Dutton, P; Eguchi, T; LeRoux, R; Seminoff, JA</t>
  </si>
  <si>
    <t>Trophic ecology of green sea turtles in a highly urbanized bay: Insights from stable isotopes and mixing models</t>
  </si>
  <si>
    <t>Black turtle; Carbon; Chelonia mydas; Chelonidae; Isotope mixing models; Nitrogen</t>
  </si>
  <si>
    <t>SAN-DIEGO BAY; CHELONIA-MYDAS; FEEDING ECOLOGY; SEAGRASS BEDS; HABITAT USE; CALIFORNIA; CARBON; DIGESTIBILITY; INVERTEBRATES; FRACTIONATION</t>
  </si>
  <si>
    <t>The green turtle, Chelonia mydas, is a circumglobal species that is susceptible to overexploitation as a food resource, incidental mortality in fisheries, and coastal foraging habitat degradation, all of which have contributed to its listing as Endangered on the IUCN Red List. Efforts to recover regional green turtle populations have been hampered by a lack of information on their biology. In particular, temporal patterns of diet intake and habitat use in neritic foraging areas are not well understood. Historical paradigms suggest that adult green turtles are obligate herbivores with diets consisting of seagrasses and/or marine algae. However, these insights are largely based on conventional diet analysis techniques that only yield snapshots of recently consumed foods. Stable isotope analysis has been used to determine contributions of various potential food resources to a consumer's diet, and this approach is commonly applied to identify diet composition and long-term trophic relationships of a species. In this study, we measured the stable carbon (delta C-13) and nitrogen (delta N-15) isotope values of 86 green turtles and seven putative prey species (e.g., algae, seagrass, invertebrates) collected from 2003 to 2008 in San Diego Bay, California, USA, an urbanized coastal bay in the temperate eastern Pacific Ocean. The delta C-13 and delta N-15 values in skin of green turtles in this study ranged from -18.9 parts per thousand to -13.7 parts per thousand and 11.0 parts per thousand to 19.3 parts per thousand, respectively, whereas the values for potential foods ranged from -22.6 parts per thousand to -11.5 parts per thousand for delta C-13 and 10.4 parts per thousand to 15.9 parts per thousand for delta N-15. We applied a leading multisource stable isotope mixing model (Stable Isotope Analysis in R), to determine the main contributors to, and annual variation in, green turtle diet based on comparisons of isotope values of turtles and putative prey species. Mixing model outputs indicated that green turtles consumed an omnivorous diet during all years of this study. Mobile invertebrates had the greatest median dietary distribution (38%), whereas seagrasses (26%) and sessile invertebrates (12%) were also found to be major dietary contributors. Red algae and green algae were also identified as feasible prey species, although at reduced levels. When coupled with information on prey species' spatial distributions, these data also provide insights about the types of habitats visited by foraging green turtles. Local seagrass pastures appear to be of high value, serving as a major food resource and providing habitat for other green turtle prey. Protection of the remaining seagrass habitat in and around San Diego Bay is thus considered essential for local green turtle management, and restoration of degraded seagrass habitats in this highly urbanized bay should be considered a top conservation priority. Published by Elsevier B.V.</t>
  </si>
  <si>
    <t>10.1016/j.jembe.2011.05.012</t>
  </si>
  <si>
    <t>Guerra, R; Simoncelli, S; Pasteris, A</t>
  </si>
  <si>
    <t>Carbon accumulation and storage in a temperate coastal lagoon under the influence of recent climate change (Northwestern Adriatic Sea)</t>
  </si>
  <si>
    <t>Sediments; Organic carbon; Carbon isotope ratio; Mixing models; Sea level changes; Mediterranean Sea</t>
  </si>
  <si>
    <t>ORGANIC-CARBON; PIALASSA BAIONA; SURFACE TEMPERATURE; SURFICIAL SEDIMENTS; MEDITERRANEAN SEA; SALT MARSHES; LEVEL CHANGE; RAVENNA; BURIAL; DELTA-C-13</t>
  </si>
  <si>
    <t>Pialassa Baiona is a shallow temperate coastal lagoon influenced by a variety of factors, including regional climate change and local anthropogenic disturbances. To better understand how these factors influenced modern organic carbon (OC) sources and accumulation rates, we measured OC as well as stable carbon isotopes (delta C-13) in Pb-210-dated sediments within a vegetated saltmarsh habitat and a human impacted habitat. Relative Sea Level (RSL) at the nearby tide gauge station data and four different Sea Surface Temperature (SST) data sets were analyzed starting from 1900 to assess the potential effect of sea ingression and warming on the coastal lagoon sedimentary processes. The source contribution calculated from the MixSIAR Bayesian model revealed a mixed composition of sedimentary OC, dominated by an increase in marine-derived OC after the 1950s, matching with a decrease from autochthonous saltmarsh vegetation (Juncus spp.) in the saltmarsh habitat, and from riverine/estuarine-derived OC in the impacted habitat. RSL rise in the area (8.7 +/- 0.5 mm yr-1 in the period 1900-2014) has been mainly driven by the land subsidence, especially during the central decades of the last century, enhancing the sea ingression into the lagoon. RSL rise influenced changes in sedimentary OC sources and accumulation at different level within the two habitats from the 1950s onward; conversely, no direct effect of SST was detected. (c) 2022 Elsevier B.V. All rights reserved.</t>
  </si>
  <si>
    <t>10.1016/j.rsma.2022.102439</t>
  </si>
  <si>
    <t>Liu, WJ; Li, PJ; Duan, WP; Liu, WY</t>
  </si>
  <si>
    <t>Dry-season water utilization by trees growing on thin karst soils in a seasonal tropical rainforest of Xishuangbanna, Southwest China</t>
  </si>
  <si>
    <t>fog water; limestone ecosystem; stable isotopes; water utilization</t>
  </si>
  <si>
    <t>PINYON-JUNIPER WOODLAND; ARCTOSTAPHYLOS-PATULA; SUMMER PRECIPITATION; COOCCURRING TREES; STABLE-ISOTOPES; PINUS-JEFFREYI; FOG-DRIP; PLANTS; SHALLOW; PATTERNS</t>
  </si>
  <si>
    <t>Stable isotopes were used to evaluate water utilization for three tree species (Cleistanthus sumatranus, Lasiococca comberi var. pseudoverticillata and Celtis wightii) growing on karst soils in the seasonal tropical rainforest of Xishuangbanna, Southwest China. The soil on the site is only 40cm thick but was underlain by thick limestone bedrock with large water storage capacity. Dense radiational fog occurred frequently during the pronounced dry season. Isotope composition of water in xylem, soil and fog were analysed, and soil and stem porous water content were measured concurrently to determine the proportion of water deriving from fog, soil and bedrock by adult trees and seedlings at the peak of the dry season. Results indicated that C. wightii seedlings suffered stronger water stress and greatly relied on available moisture from fog (23.8% on average). This suggests that fog water was an important source for seedling growth during the pronounced dry season. In contrast, adult trees had little or negligible water uptake from fog moisture (3-7% on average) but derived around 63-85% of their water from bedrock sources. Water held within bedrock was essential for meeting plant transpiration requirements over the dry season drought. Copyright (c) 2013 John Wiley &amp; Sons, Ltd.</t>
  </si>
  <si>
    <t>10.1002/eco.1419</t>
  </si>
  <si>
    <t>Karlson, AML; Pilditch, CA; Probert, PK; Leduc, D; Savage, C</t>
  </si>
  <si>
    <t>Large Infaunal Bivalves Determine Community Uptake of Macroalgal Detritus and Food Web Pathways</t>
  </si>
  <si>
    <t>biodiversity-ecosystem function; benthic invertebrates; stable isotopes; keystone species; macroalgal blooms; nutrient cycling; estuary</t>
  </si>
  <si>
    <t>STABLE-ISOTOPES; AUSTROVENUS-STUTCHBURYI; FUNCTIONAL-ROLE; BIODIVERSITY; DIVERSITY; CARBON; MACROFAUNA; TEMPERATE; AMPHIPOD; DENSITY</t>
  </si>
  <si>
    <t>Human activities alter biodiversity, influencing bottom-up and top-down control on food webs which can affect ecosystem functioning. In marine ecosystems, large bivalves play a critical role in benthic-pelagic coupling including nutrient cycling; however, their influence on the uptake of detrital organic matter by benthic communities is less understood. In a replicated factorial field experiment, we examined how the presence or absence (overharvesting scenario) of a large suspension-feeding clam on an intertidal sandflat and the addition of isotopically enriched macroalgal (Ulva sp.) detritus (eutrophication scenario) influenced infaunal biodiversity, and how changes in trophic interactions influenced key ecosystem functions (nutrient cycling and benthic metabolism and primary production). Both clams and Ulva increased community metabolism, but only clams had an effect on nutrient regeneration. We used the C-13- and N-15-enriched Ulva to quantify the effect of clams on detritus uptake in fauna and recovery in sediment. Due to their large biomass, nitrogen incorporation by clams constituted one-third of the infaunal community uptake after 14 days. Clam uptake likely resulted from ingestion of resuspended microphytobentos which had utilized N-15 leaking out from decomposing Ulva. In plots without Ulva addition, the effect of clams on the overall resource utilization by the benthic community using natural abundance isotope niche metrics were tested. In plots without clams, the isotope niche of the community was reduced, and less carbon of pelagic origin was channelled into the infaunal food web. Our results imply that the loss of clams changes trophic pathways and reduces community uptake of macroalgal detritus, potentially exacerbating eutrophication.</t>
  </si>
  <si>
    <t>10.1007/s10021-020-00524-5</t>
  </si>
  <si>
    <t>Liptak, B; Vesely, L; Ercoli, F; Blaha, M; Buric, M; Ruokonen, TJ; Kouba, A</t>
  </si>
  <si>
    <t>Trophic role of marbled crayfish in a lentic freshwater ecosystem</t>
  </si>
  <si>
    <t>biological invasion; Central Europe; parthenogenetic species; Procambarus virginalis; stable isotope</t>
  </si>
  <si>
    <t>PROCAMBARUS-CLARKII; INVASIVE CRAYFISH; STABLE-ISOTOPES; DISCRIMINATION FACTORS; OMNIVOROUS CRAYFISH; NATIVE CRAYFISH; FOOD WEBS; PARTHENOGENESIS; BIODIVERSITY; VIRGINALIS</t>
  </si>
  <si>
    <t>Species' introductions may cause severe adverse effects on freshwater ecosystems and their biota. The marbled crayfish, Procambarus virginalis Lyko, 2017, is an invasive parthenogenetically reproducing crayfish with rapid reproduction, maturation and tolerance to a wide range of environmental conditions, which was introduced to many sites across Europe during the last decade. Due to its recent speciation and limited number of field studies, the knowledge of trophic interactions of the marbled crayfish in freshwater food webs is scarce. An invaded area located in Central Europe was studied to identify the marbled crayfish food web interactions using analysis of carbon C-13 and nitrogen N-15 isotopes. This study brings the first insight into the trophic ecology of marbled crayfish in lentic freshwater ecosystems. Algae and detritus were identified as the most important food sources for the marbled crayfish, while zoobenthos and macrophytes were less important. Moreover, the marbled crayfish was found to be an important food source for top fish predators, but marginal for omnivorous fish. Being able to utilize energy from the bottom of the trophic food web, the marbled crayfish may have important roles in the ecosystem, transferring energy to higher trophic levels. It processes allochthonous and autochthonous matter in the ecosystem, thus being a competitor to other organisms with similar food preferences and impacting zoobenthos, algae and macrophytes through predation or direct consumption. To sum up, the marbled crayfish has a strong ability to utilize food sources from different trophic levels, and, thanks to its life history, can be a highly adaptable invader.</t>
  </si>
  <si>
    <t>10.3391/ai.2019.14.2.09</t>
  </si>
  <si>
    <t>Rexer-Huber, K; Bildstein, KL</t>
  </si>
  <si>
    <t>Winter diet of striated caracara Phalcoboenus australis (Aves, Polyborinae) at a farm settlement on the Falkland Islands</t>
  </si>
  <si>
    <t>Caracaras; Regurgitation pellets; Food stress; Marine subsidy; Human subsidy; Falkland Islands</t>
  </si>
  <si>
    <t>BREEDING SUCCESS; SKUA</t>
  </si>
  <si>
    <t>Striated caracaras occur only on the Falkland Islands and the outer islands of southern Chile and Argentina. In summer, the species associates with seabirds and seals and depends heavily upon them for food. The winter diet is less well understood. We studied the diet of 90-130 mainly juvenile and sub-adult striated caracaras overwintering at a farm on Saunders Island, Falkland Islands, in mid-winter (July-August) 2011. Direct observations of feeding and regurgitation pellets collected at a roost indicate that the winter diet of the striated caracaras at the site is mainly native geese, beetles and other invertebrates, and the carcasses of domestic sheep. This study illustrates seasonal shifts in the diet of this near-threatened South Atlantic endemic and suggests an important nutritional link between juvenile and subadult caracara survival in winter and traditional human activities at sheep farms.</t>
  </si>
  <si>
    <t>10.1007/s00300-012-1266-4</t>
  </si>
  <si>
    <t>Cauvy-Fraunie, S; Dangles, O</t>
  </si>
  <si>
    <t>A global synthesis of biodiversity responses to glacier retreat</t>
  </si>
  <si>
    <t>NATURE ECOLOGY &amp; EVOLUTION</t>
  </si>
  <si>
    <t>KING-GEORGE ISLAND; BAY-NATIONAL-PARK; BENTHIC MACROINVERTEBRATE ASSEMBLAGES; RIVER ECOSYSTEM RESPONSE; SEA-LEVEL RISE; PRIMARY SUCCESSION; COMMUNITY STRUCTURE; CLIMATE-CHANGE; LONGITUDINAL PATTERNS; FUNCTIONAL DIVERSITY</t>
  </si>
  <si>
    <t>Glaciers cover about 10% of the Earth's land area but they are retreating rapidly and many will disappear within decades. Glacier retreat is a worldwide phenomenon increasing the threat to water resources, biodiversity and associated ecosystem services for hundreds of millions of people, mostly in developing countries. Our understanding of the ecological consequences of glacier retreat has improved significantly in the past decade, but we still lack a comprehensive framework for predicting biodiversity responses to glacier retreat globally, across diverse habitats and taxa. By conducting a global meta-analysis of 234 published studies, including more than 2,100 biodiversity surveys covering marine, freshwater and terrestrial assemblages, we show here that taxon abundance and richness generally increase at lower levels of glacier influence, suggesting that diversity increases locally as glaciers retreat. However, significant response heterogeneity was observed between study sites and species: 6-11% of the studied populations, particularly in fjords, would lose out from glacier retreat. Most of the losers are specialist species, efficient dispersers, uniquely adapted to glacial conditions, whereas the winners are generalist taxa colonizing from downstream. Our global analyses also identify key geographic variables (glacier cover, isolation and melting rates, but not latitude or altitude) and species traits (body size and trophic position) likely to modulate taxon sensitivity to glacial retreat. Finally, we propose mechanistic diagrams for model development to predict biodiversity change following glacier retreat.</t>
  </si>
  <si>
    <t>10.1038/s41559-019-1042-8</t>
  </si>
  <si>
    <t>van Leeuwen, A; Huss, M; Gardmark, A; de Roos, AM</t>
  </si>
  <si>
    <t>Ontogenetic specialism in predators with multiple niche shifts prevents predator population recovery and establishment</t>
  </si>
  <si>
    <t>alternative stable community states; community structure; complex life cycle; density dependent growth; diet shift; invasion; life history; ontogenetic niche shift; piscivory; predator extinction; predator-prey dynamics; size-structure mismatch</t>
  </si>
  <si>
    <t>COD GADUS-MORHUA; DIET SHIFTS; SIZE; DYNAMICS; FOOD; MODELS; HISTORY; PREY; REPRODUCTION; COEXISTENCE</t>
  </si>
  <si>
    <t>The effects of ontogenetic niche shifts on community structure and dynamics are underexplored, despite the occurrence of such shifts in the majority of animal species. We studied the form of niche shifts in a predator that exhibits multiple ontogenetic niche shifts, and analyzed how this life history complexity affects the size-structured predator-prey dynamics in the system. The predator represents either an ontogenetic generalist, exhibiting a partial shift to predation (in which case an alternative resource is also available) or an ontogenetic specialist, exhibiting a complete shift (in which case the predator depends entirely on predation). We showed two effects on community dynamics from accounting for a complete niche shift to predation: (1) occurrence of alternative stable community states (coexistence and a prey-only community state) and (2) occurrence of deterministic extinction following initially successful invasion (predators can invade an equilibrium with only prey, but are bound to go extinct after a few generations). Both phenomena are due to the match or mismatch in the timing of predators and suitably sized prey and the growth trajectory of the predator, which is plastic, due to the population feedback on available resources. In the case of persistence without invasion (alternative stable community states), slow growth during the pre-piscivorous life stage is necessary to stay in tune with the prey cycle; in the case of extinction following invasion, slow growth through the pre-piscivorous life stage causes the predator to reach the completely piscivorous stage when there is no prey available to feed upon. Somatic growth rates are directly coupled to food availability, which, in turn, is the result of density-dependent feedbacks in the system. Since they primarily determine these density-dependent feedbacks, the ontogenetic niche shifts in predator life history structure the community to a major extent.</t>
  </si>
  <si>
    <t>10.1890/13-0843.1</t>
  </si>
  <si>
    <t>Kane, W; Brown, R; Bastow, J</t>
  </si>
  <si>
    <t>Monitoring the Return of Marine-Derived Nitrogen to Riparian Areas in Response to Dam Removal on the Elwha River, Washington</t>
  </si>
  <si>
    <t>NORTHWEST SCIENCE</t>
  </si>
  <si>
    <t>marine-derived nitrogen; nitrogen fixation; anadromous Salmon; riparian; stable isotope</t>
  </si>
  <si>
    <t>ELEMENTS TRANSPORTED UPSTREAM; BEARS URSUS-ARCTOS; FRESH-WATER; PACIFIC SALMON; DELTA-C-13 EVIDENCE; COHO SALMON; NUTRIENTS; DELTA-N-15; STREAM; SOIL</t>
  </si>
  <si>
    <t>Two sources of nitrogen to Pacific Northwest riparian areas are marine-derived nitrogen (MDN) via anadromous Pacific salmon (Oncorlomchus spp.) and atmospheric nitrogen fixation via red alder (Alnus rubra). The recent removal of two large dams on the Elwha River, WA, opened up about 60 kin of previously inaccessible river habitat for anadromous salmon. We used naturally abundant stable nitrogen isotopes to establish baseline data to monitor the influx of MDN to riparian zones of Elwha River tributaries post dam removal. We sampled riparian soil, overstory, and understory vegetation in sites with nitrogen-fixing A. rubra and sites with bigleaf maple (Acer mac rophyllum) at an undammed reference site, and along three tributaries, one between the former dams (accessible to anadromous salmon since 2012) and the others upstream of the former darns (no anadromous salmon). Based on delta N-15 measurements of soil and vegetation, we did not detect MDN at any of the tributaries, including the reference tributary. However, the understory riparian vegetation between the former dams had a higher delta N-15 than the other tributaries, which may be due to upstream anthropogenic nitrogen sources. Although A. rubra foliage was isotopically distinct from A. macrophyllum, and A. rubra litter had higher total nitrogen, soil and understory vegetation in A. rubra and A. macrophyllum sites did not differ isotopically. Monitoring of these areas and those further upstream on the Elwha River will allow us to trace the return of MDN to the watershed, and help to clarify the role that anadromous fish play in riparian ecosystems.</t>
  </si>
  <si>
    <t>10.3955/046.094.0203</t>
  </si>
  <si>
    <t>Manlick, PJ; Petersen, SM; Moriarty, KM; Pauli, JN</t>
  </si>
  <si>
    <t>Stable isotopes reveal limited Eltonian niche conservatism across carnivore populations</t>
  </si>
  <si>
    <t>Alaska; British Columbia; foraging; functional roles; Martes; niche conservatism; predator restoration</t>
  </si>
  <si>
    <t>MARTENS MARTES-AMERICANA; PACIFIC SALMON; DIVERSITY; MAMMALS; SPACE; DIETS; GRADIENTS; PENNANTI; OVERLAP; ECOLOGY</t>
  </si>
  <si>
    <t>Niche conservatismthe retention of ecological traits across space and timeis an emerging topic of interest because it can predict responses to global change. The conservation of Grinnellian niche characteristics, like species-habitat associations, has received widespread attention, but the conservation of Eltonian traits such as consumer-resource interactions remains poorly understood. The inability to quantify Eltonian niches through space and time has historically limited the assessment of Eltonian niche conservatism and the dynamics of foraging across populations. Consequently, the relative influence of endogenous factors like phylogeny versus exogenous features like environmental context has rarely been addressed. We tested Eltonian niche conservatism using a paired design to compare foraging among four populations of American martens Martes americana and Pacific martens Martes caurina, morphologically and ecologically similar sister taxa that are allopatrically distributed throughout western North America. We developed a three-stage isotopic framework and then quantified dietary niche overlap between the sister species and paired island-mainland sites to assess the relative influence of endogenous (i.e., species) versus exogenous (i.e., environment) factors on Eltonian niches. First, we calculated pairwise dietary overlap in scaled -space using standard ellipses. We then estimated proportional diets (p-space) for individuals using isotopic mixing models and developed a novel utilization distribution overlap approach to quantify proportional dietary overlap. Lastly, we estimated population-level proportional diets and quantified the differential use of functional prey groups across sites. We detected no pairwise overlap of dietary niches in -space, and distributions of individual diets in p-space revealed little overlap in core diets across populations. All pairwise comparisons of individuals revealed significant differences in diet, and population-level comparisons detected contrasting use of functional prey groups. We developed a multi-faceted isotopic framework to quantify Eltonian niches and found limited evidence of Eltonian niche conservatism across carnivore populations. Our findings are consistent with the growing recognition of dietary plasticity in consumers and suggest that consumer-resource dynamics are largely driven by exogenous environmental factors like land cover and community composition. These results illustrate the context-dependent nature of foraging and indicate consumer functionality can be dynamic.</t>
  </si>
  <si>
    <t>10.1111/1365-2435.13266</t>
  </si>
  <si>
    <t>Bashkin, MA; Binkley, D</t>
  </si>
  <si>
    <t>Changes in soil carbon following afforestation in Hawaii</t>
  </si>
  <si>
    <t>afforestation; Eucalyptus; global climate change; Hawaii; land use; soil carbon; stable carbon isotope ratios; sugarcane plantations</t>
  </si>
  <si>
    <t>TROPICAL SOILS; LAND-USE; PLANTATIONS; BUDGET; SINKS</t>
  </si>
  <si>
    <t>Afforestation in the tropics may sequester soil C and has been proposed as a management tool to aid in controlling rising levels of atmospheric CO2. We measured changes in soil C following afforestation of sugarcane fields with fast-growing Eucalyptus saligna (Sm.) plantations in Hawaii. Using stable C isotopes, we estimated the contributions to changes in total soil C that were due to the loss of C from the prior cane cultivation, and to the gain of C from the new Eucalyptus plantations. Total soil C 10-13 yr after afforestation was 114 and 113 Mg/ha, respectively, in the Eucalyptus and cane plantation. Eucalyptus increased total soil C in the 0-10 cm layer by 11.5 Mg/ha, but that was offset by a loss of 10.1 Mg/ha of cane-derived C from the 10-55 cm layer. The net effect on soil C of afforestation of cultivated lands depends not only on new C gained, but also on C lost from the previous management.</t>
  </si>
  <si>
    <t>10.1890/0012-9658(1998)079[0828:CISCFA]2.0.CO;2</t>
  </si>
  <si>
    <t>Wells, RJD; Rooker, JR; Itano, DG</t>
  </si>
  <si>
    <t>Nursery origin of yellowfin tuna in the Hawaiian Islands</t>
  </si>
  <si>
    <t>Stable carbon and oxygen isotopes; Yellowfin tuna; Nursery origin; Otolith chemistry; Hawaiian Islands; Stock structure</t>
  </si>
  <si>
    <t>BIGEYE THUNNUS-OBESUS; BLUEFIN TUNA; PACIFIC-OCEAN; OTOLITH CHEMISTRY; WESTERN PACIFIC; STABLE-ISOTOPES; FISH OTOLITHS; NATAL ORIGIN; ALBACARES; SALINITY</t>
  </si>
  <si>
    <t>Stable isotopes of carbon (delta C-13) and oxygen (delta O-18) in otolith cores (first 2 mo of age) of young-of-the-year (YOY) yellowfin tuna Thunnus albacares were used as natural tracers to predict the nursery origin of sub-adults (age-1) collected from the Hawaiian Islands. YOY fish were first collected from nurseries throughout the western and central Pacific Ocean (WCPO) to determine whether delta C-13 and delta O-18 values of otolith cores (delta C-13(otolith) and delta O-18(otolith)) were sufficiently different to discriminate individuals from different nurseries used during the YOY period. Nurseries examined included both nearshore Hawaiian Islands and offshore Hawaiian Islands (Cross Seamount), and 4 locations in the equatorial Pacific Ocean: Line Islands, Marshall Islands, Solomon Islands, and Philippines. Significant differences existed in delta C-13(otolith) and delta O-18(otolith) among YOY yellowfin tuna from different nurseries for each year of the 2 yr study period (2008-2009). Individuals from the nearshore Hawaiian Islands were most enriched in delta O-18(otolith), while samples obtained from the Philippines were most depleted in both delta C-13(otolith) and delta O-18(otolith) relative to other regions. Inter-annual variability in otolith core chemistry was minor and only observed for individuals collected from the Philippines. Overall classification success from quadratic discriminant function analysis of YOY yellowfin tuna to their respective nursery of collection was 63 and 87% for 2008 and 2009, respectively. Mixed-stock analysis indicated 91% of the sub-adult yellowfin tuna collected from the nearshore Hawaiian Islands originated from this same nursery. In addition, sub-adults from the offshore location within the Hawaiian Islands appear to originate from the nearshore Hawaiian Islands, highlighting the importance of local production and retention of yellowfin tuna to the standing stock and domestic fisheries of Hawaii.</t>
  </si>
  <si>
    <t>10.3354/meps09833</t>
  </si>
  <si>
    <t>Moreira, MZ; Sternberg, LDL; Martinelli, LA; Victoria, RL; Barbosa, EM; Bonates, LCM; Nepstad, DC</t>
  </si>
  <si>
    <t>Contribution of transpiration to forest ambient vapour based on isotopic measurements</t>
  </si>
  <si>
    <t>Amazon tropical forest; evaporation; stable isotopes; transpiration; water cycle; water vapour</t>
  </si>
  <si>
    <t>AMAZON BASIN; LEAF WATER; TROPICAL DEFORESTATION; CLIMATE CHANGE; DEUTERIUM; O-18; PLANTS; BALANCE; MODEL</t>
  </si>
  <si>
    <t>Using a simple isotope mixing model, we evaluated the relative proportion of water vapour generated by plant transpiration and by soil evaporation at two sites in the Amazon basin. Sampling was carried out at two different soil covers (forest and pasture), in a seasonal tropical rainforest at eastern Amazon where major deforestation is the result of land-use change, and compared to a less seasonal central Amazon forest. In both forests, vapour from transpiration was responsible for most, if not all, of the water vapour generated in the forest, while it could not be detected above the grassy pastures. Thus the canopy transpiration may be a major source of water vapour to the forest and perhaps to the atmosphere during the dry season. The results are discussed in relation to predictive models based on net radiation that usually are not able to distinguish between transpiration and evaporation.</t>
  </si>
  <si>
    <t>10.1046/j.1365-2486.1997.00082.x</t>
  </si>
  <si>
    <t>Trophic structure of fish assemblages from oligotrophic tropical rivers: evidence of growing assimilation of autochthonous primary producers with the increase in river dimensions</t>
  </si>
  <si>
    <t>Resources; Productivity; Food webs; Trophic levels; Carbon sources</t>
  </si>
  <si>
    <t>FOOD-CHAIN LENGTH; CARBON-SOURCES; STABLE-ISOTOPES; ECOSYSTEM SIZE; WEBS; NITROGEN; STREAMS; MODELS; EUTROPHICATION; RESOURCES</t>
  </si>
  <si>
    <t>In this study, we analyzed the trophic structure and carbon sources supporting fish assemblages of five low-productivity rivers with different dimensions. Using carbon (delta C-13) and nitrogen (delta N-15) isotope ratios, we identified the major carbon sources to fish species and estimated fish trophic positions in each river. We observed a similar trophic structure in almost all low-productivity rivers. Detritus (allochthonous resources derived from riparian zone-CPOM and processed organic matter from upstream sources-FPOM) were important to sustain the fish assemblages, especially in smaller rivers. We also observed a growing consumption of autochthonous primary producers, algae and periphyton, with the increase in river dimensions and especially for primary consumers. Fishes from the smallest river occupied lower mean trophic positions; however, the assemblage exhibited wider food-chain length than those from larger rivers. Our results indicate an important role of autochthonous primary producers even in rivers with low nutrient concentrations. These results are important to increase the knowledge about medium-size oligotrophic rivers, especially because tropical rivers can support highly diverse fish assemblages and productive fisheries even exhibiting low in situ primary productivity.</t>
  </si>
  <si>
    <t>10.1007/s10452-023-10018-w</t>
  </si>
  <si>
    <t>Walton, M; Pomeroy, P</t>
  </si>
  <si>
    <t>Use of blubber fatty acid profiles to detect inter-annual variations in the diet of grey seals Halichoerus grypus</t>
  </si>
  <si>
    <t>fatty acids; grey seals; diet; blubber</t>
  </si>
  <si>
    <t>ANTARCTIC FUR SEALS; ADIPOSE-TISSUE; HARBOR-SEALS; CLASSIFICATION TREES; FORAGING ECOLOGY; MORAY-FIRTH; NORTH-SEA; PHOCA-GROENLANDICA; GRAY SEALS; SIGNATURES</t>
  </si>
  <si>
    <t>Diet, and how it varies in place and time, are important factors in understanding the interactions between seals and fisheries, The grey seal eats a wide variety of prey species and variations in availability of prey can lead to changes in both foraging behaviour and diet that could affect the ecological impact of the seals. Since it is difficult to observe the feeding behaviour of seals directly, we have used changes in the fatty acid profiles of blubber to indicate changes in their diet. We studied inter-colony and inter-annual variations in the fatty acid profiles of female seals from 2 Scottish breeding colonies, North Rona (RON) and the Isle of May, over 3 consecutive years from 1996 to 1998. The fatty acid profiles obtained were compared and tested using several multivariate statistical methods, including a new inter-population measure Dfap (a distance measure based on fatty acid profiles), There were significant inter-colony differences in blubber fatty acids in all years,of the study. There were significant within-colony variations among years for the seals at the Isle of May but not at RON. Individual seals sampled in more than 1 yr tended to change in a similar manner at the Isle of May but not at RON. Discriminant analysis of the fatty acid profiles provided classifications of the Isle of May seals according to year with 84 to 97 % accuracy, but was less successful with the RON seals with 56 to 74 % accuracy. Only 4 out of 166 seals were 'mis-classified' into the wrong Isle of May or RON grouping. This analysis suggested a shift in diet at the Isle of May that was supported by evidence from a separate study on the analysis of otoliths in seal faeces.</t>
  </si>
  <si>
    <t>10.3354/meps248257</t>
  </si>
  <si>
    <t>Young, AL; Tallman, RF; Ogle, DH</t>
  </si>
  <si>
    <t>Life history variation in Arctic charr (Salvelinus alpinus) and the effects of diet and migration on the growth, condition, and body morphology of two Arctic charr populations in Cumberland Sound, Nunavut, Canada</t>
  </si>
  <si>
    <t>adaptation; High Arctic; ontogenetic shift; freshwater; marine</t>
  </si>
  <si>
    <t>ONTOGENIC NICHE SHIFTS; TROUT SALMO-TRUTTA; PHENOTYPIC PLASTICITY; RESOURCE POLYMORPHISM; LAKE TROUT; SIZE; FOOD; SPECIATION; HABITAT; FISHES</t>
  </si>
  <si>
    <t>Arctic charr (Salvelinus alpinus (Linnaeus, 1758)) are phenotypically plastic with multiple dietary-morphological relationships observed throughout their circumpolar range. Feeding strategies often differ between Arctic charr life histories and can impact size-at-age and morphological attributes. We examined growth, condition, and body morphology for two High Arctic populations of Arctic charr with anadromous and landlocked life histories. Anadromous Arctic charr had higher growth rates, achieving mean lengths two times those of landlocked Arctic charr by age 10 and had higher overall condition, particularly in the fall. Ontogenetic shifts in diet were suspected in both populations, with an abrupt shift to marine feeding in the anadromous population and a gradual shift to piscivory in the landlocked population. Morphological differences between life histories manifested most predominantly in larger eye diameter, longer pectoral and pelvic fins, and longer upper jaws of landlocked Arctic charr, suggestive of piscivorous feeding specialization of landlocked fish &gt;350 mm. Our findings emphasize the benefits that marine feeding can have for growth and condition of freshwater fishes in Arctic environments and also convey the necessity of adaptive feeding strategies to optimize growth and condition in fishes inhabiting low-production lacustrine habitats.</t>
  </si>
  <si>
    <t>10.1139/as-2019-0036</t>
  </si>
  <si>
    <t>Gadek, CR; Newsome, SD; Beckman, EJ; Chavez, AN; Galen, SC; Bautista, E; Witt, CC</t>
  </si>
  <si>
    <t>Why are tropical mountain passes low for some species? Genetic and stable-isotope tests for differentiation, migration and expansion in elevational generalist songbirds</t>
  </si>
  <si>
    <t>Andean birds; divergence with gene flow; elevational migration; elevational range limits; stable isotopes</t>
  </si>
  <si>
    <t>SPARROWS ZONOTRICHIA-CAPENSIS; ALTITUDINAL MIGRATION; POPULATION-GROWTH; DRINKING-WATER; HOUSE WRENS; DIVERGENCE; HYDROGEN; SELECTION; EVOLUTIONARY; GRADIENT</t>
  </si>
  <si>
    <t>1. Most tropical bird species have narrow elevational ranges, likely reflecting climatic specialization. This is consistent with Janzen's Rule, the tendency for mountain passes to be effectively higher in the tropics. Hence, those few tropical species that occur across broad elevational gradients (elevational generalists) represent a contradiction to Janzen's Rule. 2. Here, we aim to address the following questions. Are elevational generalists being sundered by diversifying selection along the gradient? Does elevational movement cause these species to resist diversification or specialization? Have they recently expanded, suggesting that elevational generalism is short-lived in geological time? 3. To answer these questions, we tested for differentiation, movement and expansion in four elevational generalist songbird species on the Andean west slope. We used morphology and mtDNA to test for genetic differentiation between high-and low-elevation populations. To test for elevational movements, we measured hydrogen isotope (delta H-2) values of metabolically inert feathers and metabolically active liver. 4. Morphology differed for House Wren (Troglodytes aedon) and Hooded Siskin (Spinus magellanicus), but not for Cinereous Conebill (Conirostrum cinereum) and Rufous-collared Sparrow (Zonotrichia capensis) respectively. mtDNA was structured by elevation only in Z. capensis. delta H-2 data indicated elevational movements by two tree-and shrub-foraging species with moderate-to-high vagility (C. cinereum and S. magellanicus), and sedentary behaviour by two terrestrial-foraging species with low-to-moderate vagility (T. aedon and Z. capensis). In S. magellanicus, elevational movements and lack of mtDNA structure contrast with striking morphological divergence, suggesting strong diversifying selection on body proportions across the c. 50 km gradient. All species except C. cinereum exhibited mtDNA haplotype variation consistent with recent population expansion across the elevational gradient, potentially concurrent with Holocene anthropogenic habitat conversion for agriculture. 5. In different ways, each species defies the tendency for tropical birds to have long-term stable distributions and sedentary habits. We conclude that tropical elevational generalism is rare due to evolutionary instability.</t>
  </si>
  <si>
    <t>10.1111/1365-2656.12779</t>
  </si>
  <si>
    <t>Miller, TW; Bosley, KL; Shibata, J; Brodeur, RD; Omori, K; Emmett, R</t>
  </si>
  <si>
    <t>Contribution of prey to Humboldt squid Dosidicus gigas in the northern California Current, revealed by stable isotope analyses</t>
  </si>
  <si>
    <t>Humboldt squid; Dosidicus gigas; California Current; Stable isotopes; Bayesian mixing model; Trophic analysis; Prey</t>
  </si>
  <si>
    <t>GULF-OF-CALIFORNIA; JUMBO SQUID; TROPHIC RELATIONSHIPS; STOMACH CONTENTS; RANGE EXPANSION; FOOD; OMMASTREPHIDAE; CEPHALOPODA; CARBON; DIET</t>
  </si>
  <si>
    <t>Diet studies have shown Humboldt squid Dosidicus gigas to be aggressive opportunistic predators, yet this approach has provided only a limited and potentially biased view of their trophic feeding behavior. As an alternative, we measured the delta C-13 and delta N-15 of D. gigas and their prey from the northern California Current ecosystem (NCC) and applied stable isotope Bayesian mixing models (Stable Isotope Analysis in R [SIAR]) to assess if D. gigas isotopically matched NCC or southern California Current (SCC) migratory end-members and to examine the proportional trophic contributions of prey groups from the NCC to their diet. For the trophic SIAR model, cluster analysis of prey taxa by their respective delta C-13 and delta N-15 values was first applied to consolidate prey into groups, which were then incorporated into the model as source groups to the diet mixture. Model results from examination of NCC and SCC migratory end-members indicated greatest contributions from the NCC system, indicating D. gigas was more integrated with the regional NCC isotopic signature. From the trophic SIAR model, the results indicated mixed but lower trophic-level feeding by D. gigas relative to previous diet-based studies, with greatest contributions from macrozooplankton, ichthyoplankton, and nekton such as juvenile rockfish, market squid, sand lance, and juvenile Pacific hake. Sensitivity analyses of the SIAR model based on varying isotopic fractionation factors of delta C-13 and delta N-15 showed that proportional contributions of prey to squid diets were resilient to change.</t>
  </si>
  <si>
    <t>10.3354/meps10133</t>
  </si>
  <si>
    <t>Pecuchet, L; Jorgensen, LL; Dolgov, AV; Eriksen, E; Husson, B; Skern-Mauritzen, M; Primicerio, R</t>
  </si>
  <si>
    <t>Spatio-temporal turnover and drivers of bentho-demersal community and food web structure in a high-latitude marine ecosystem</t>
  </si>
  <si>
    <t>arcto-boreal ecosystem; Barents Sea; fish-benthos communities; fishing pressure; functional diversity patterns; marine food web; spatial turnover</t>
  </si>
  <si>
    <t>RED KING CRAB; ENVIRONMENTAL GRADIENTS; ECOLOGICAL NETWORKS; DISTURBANCE; NESTEDNESS; ROBUSTNESS; DIVERSITY; TRAITS</t>
  </si>
  <si>
    <t>Aim Assess the spatial and temporal turnover of bentho-demersal marine fauna by integrating ecological metrics at the community and food web levels and evaluate their main environmental and anthropogenic drivers. Location Barents Sea. Method We analysed data of benthic and bentho-pelagic fish and megabenthic invertebrates caught in the Barents Sea ecosystem survey in August-September 2009-2017 to characterize the spatial and temporal variability of bentho-demersal communities and food webs. We used a trait dataset and highly resolved bentho-demersal food web to calculate community and food web metrics in space and time. We spatially clustered the community and food web based on their properties using archetypal analysis and investigated their co-variation with environmental and fishing pressure using (hierarchical) redundancy analysis. Result The community and food web metrics partitioned the Barents Sea into four sub-regions where different pressures act on the bentho-demersal fauna, such as sea ice loss and fisheries. Multiple community metrics (e.g. mean body length and trophic level) varied along an environmental gradient of annual mean sea bottom temperature, trawling intensity and ice-cover, whereas multiple food web metrics (e.g. nestedness and connectance) varied along an environmental gradient of depth and sediment composition. Communities had higher biomass-weighted variability in body size and omnivory values in areas where the Atlantic and Arctic water masses mix. Several food web and community metrics co-varied (e.g. food chain length and mean trophic level). We found no clear temporal trends in the ecological metrics in any of the four sub-regions, but the metrics had large inter-annual variability with some local minima or maxima coinciding with high sea temperature and ice-cover anomalies. Conclusion Analyses at the community and food web level are seldom integrated in ecological studies, while this integration gives complementary information to assess patterns and drivers of ecosystem state and to better prioritize conservation efforts.</t>
  </si>
  <si>
    <t>10.1111/ddi.13580</t>
  </si>
  <si>
    <t>Syphard, AD; Clarke, KC; Franklin, J</t>
  </si>
  <si>
    <t>Simulating fire frequency and urban growth in southern California coastal shrublands, USA</t>
  </si>
  <si>
    <t>chaparral; coastal sage scrub; exotic grass; fire; LANDIS; landscape model; model coupling; urban growth model; wildland urban interface</t>
  </si>
  <si>
    <t>CELLULAR-AUTOMATON MODEL; SAN-FRANCISCO; IMPACTS; REGIMES; DISTURBANCE</t>
  </si>
  <si>
    <t>Fire is an important natural disturbance in the Mediterranean-climate coastal shrublands of southern California. However, anthropogenic ignitions have increased fire frequency to the point that it threatens the persistence of some shrub species and favors the expansion of exotic annual grasses. Because human settlement is a primary driver of increased ignitions, we integrated a landscape model of disturbance and succession (LANDIS) with an urban growth model (UGM) to simulate the combined effects of urban development and high fire frequency on the distribution of coastal shrublands. We tested whether urban development would contribute to an expansion of the wildland-urban interface (WUI) and/or change in average fire return intervals and compared the relative impacts of direct habitat loss and altered fire regimes on functional vegetation types. We also evaluated two methods of integrating the simulation models. The development pattern predicted by the UGM was predominantly aggregated, which minimized the expansion of the WUI and increase in fire frequency, suggesting that fire risk may be higher at intermediate levels of urbanization due to the spatial arrangement of ignition sources and fuel. The comparison of model coupling methods illustrated how cumulative effects of repeated fires may occur gradually as urban development expands across the landscape. Coastal sage scrub species and resprouting chaparral were more susceptible to direct habitat loss, but increased fire frequency was more of a concern to obligate seeder species that germinate from a persistent seed bank. Simulating different scenarios of fire frequency and urban growth within one modeling framework can help managers locate areas of highest risk and determine which vegetation types are most vulnerable to direct habitat loss, altered fire regimes, or both.</t>
  </si>
  <si>
    <t>10.1007/s10980-006-9025-y</t>
  </si>
  <si>
    <t>Rabanus-Wallace, MT; Wooller, MJ; Zazula, GD; Shute, E; Jahren, AH; Kosintsev, P; Burns, JA; Breen, J; Llamas, B; Cooper, A</t>
  </si>
  <si>
    <t>Megafaunal isotopes reveal role of increased moisture on rangeland during late Pleistocene extinctions</t>
  </si>
  <si>
    <t>HUMAN COLONIZATION; MAMMOTH STEPPE; CARBON; BONE; COLLAGEN; TRANSITION; DELTA-N-15; FRANCE; ORIGIN</t>
  </si>
  <si>
    <t>The role of environmental change in the late Pleistocene megafaunal extinctions remains a key question, owing in part to uncertainty about landscape changes at continental scales. We investigated the influence of environmental changes on megaherbi-vores using bone collagen nitrogen isotopes (n=684,63 new) as a proxy for moisture levels in the rangelands that sustained late Pleistocene grazers. An increase in landscape moisture in Europe, Siberia and the Americas during the Last Glacial-Interglacial Transition (LGIT; similar to 25-10kyr bp) directly affected megaherbivore ecology on four continents, and was associated with a key period of population decline and extinction. In all regions, the period of greatest moisture coincided with regional deglaciation and preceded the widespread formation of wetland environments. Moisture-driven environmental changes appear to have played an important part in the late Quaternary megafaunal extinctions through alteration of environments such as rangelands, which supported a large biomass of specialist grazers. On a continental scale, LGIT moisture changes manifested differently according to regional climate and geography, and the stable presence of grasslands surrounding the central forested belt of Africa during this period helps to explain why proportionally fewer African megafauna became extinct during the late Pleistocene.</t>
  </si>
  <si>
    <t>10.1038/s41559-017-0125</t>
  </si>
  <si>
    <t>Kucia, SR; Schummer, ML; Kusack, JW; Hobson, KA; Nicolai, CA</t>
  </si>
  <si>
    <t>Natal origins of Mallards harvested in the Atlantic Flyway of North America: implications for conservation and management</t>
  </si>
  <si>
    <t>Key Words; Anas platyrhynchos; deuterium; harvest management; hatch-year; stable isotope</t>
  </si>
  <si>
    <t>STABLE HYDROGEN; WATERFOWL; EVOLUTION; ABUNDANCE; ISOTOPES; SCAUP</t>
  </si>
  <si>
    <t>. Appropriate management and conservation of migratory species requires knowledge of connectivity between natal or breeding sites and stopover or wintering sites. For game species, such as waterfowl, knowledge of source areas that produce juveniles, which are available for harvest in the autumn-winter, is of considerable interest. External markers have long been used in mark-recapture studies to identify breeding grounds of waterfowl. However, this approach is biased toward regions of marking effort and is logistically difficult in remote locations. Harvest management of Mallards (Anas platyrhynchos) in the U.S. portion of the Atlantic Flyway has assumed that the majority of harvested birds in the U.S. were produced there. We tested this assumption by inferring regions of natal origins of juvenile Mallards (n = 1254) harvested during the 2018-2019 and 2019-2020 hunting seasons in all states in the Atlantic Flyway using stable-hydrogen isotope analyses of breeding-ground grown feathers (62Hf). We created a species-specific feather isoscape and applied a Bayesian assignment approach to identify probable regions of origin. We determined 64% of our sample had 62Hf consistent with origins in Canada versus the U.S. Our data suggested all states harvested Mallards that had origins from the U.S. and Canada throughout their entire hunting season. Our results contrast with long-term breeding population estimates which suggest the majority of breeding pairs of eastern Mallards occur in the U.S. We recommend further investigation into reasons for disparities in national natal origins of harvested Mallards.</t>
  </si>
  <si>
    <t>10.5751/ACE-02383-180110</t>
  </si>
  <si>
    <t>Voight, JR; Lee, RW; Reft, AJ; Bates, AE</t>
  </si>
  <si>
    <t>Scientific Gear as a Vector for Non-Native Species at Deep-Sea Hydrothermal Vents</t>
  </si>
  <si>
    <t>Gorda Ridge; hydrothermal vent; Lepetodrilus; species introduction; stable isotope; subsea vehicle; Juan de Fuca Ridge; Borde Juan de Fuca; Borde Gorda; conducto hidrotermal; introduccion de especies; isotopo estable; Lepetodrilus; vehiculo submarino</t>
  </si>
  <si>
    <t>NORTHEAST PACIFIC; BIODIVERSITY; LEPETODRILIDAE; COMMUNITIES; GASTROPODS; BIVALVES; MUSSELS; LIMPETS; OCEAN</t>
  </si>
  <si>
    <t>The fauna of deep-sea hydrothermal vents are among the most isolated and inaccessible biological communities on Earth. Most vent sites can only be visited by subsea vehicles, which can and do move freely among these communities. Researchers assume individuals of the regionally homogeneous vent fauna are killed by the change in hydrostatic pressure the animals experience when the subsea vehicles, which collected them, rise to the surface. After an Alvin dive, we found 38 apparently healthy individuals of a vent limpet in a sample from a hydrothermally inactive area. Prompted by our identification of these specimens as Lepetodrilus gordensis, a species restricted to vents 635 km to the south of our dive site, we tested whether they were from a novel population or were contaminants from the dive made 36 h earlier. The 16S gene sequences, morphology, sex ratio, bacterial colonies, and stable isotopes uniformly indicated the specimens came from the previous dive. We cleaned the sampler, but assumed pressure changes would kill any organisms we did not remove and that the faunas of the 2 areas were nearly identical and disease-free. Our failure to completely clean the gear on the subsea vehicle meant we could have introduced the species and any diseases it carried to a novel location. Our findings suggest that the nearly inaccessible biological communities at deep-sea vents may be vulnerable to anthropogenic alteration, despite their extreme physical conditions.</t>
  </si>
  <si>
    <t>10.1111/j.1523-1739.2012.01864.x</t>
  </si>
  <si>
    <t>Brown, DS; Ebenezer, KL; Symondson, WOC</t>
  </si>
  <si>
    <t>Molecular analysis of the diets of snakes: changes in prey exploitation during development of the rare smooth snake Coronella austriaca</t>
  </si>
  <si>
    <t>amphibians; Coronella austriaca; dietary analysis; grass snake; molecular diagnostics; Natrix natrix; smooth snake</t>
  </si>
  <si>
    <t>FOOD-HABITS; NATRIX-NATRIX; SECONDARY PREDATION; VIPERA-BERUS; GARTER SNAKE; GUT CONTENTS; BODY-SIZE; DNA; IDENTIFICATION; SELECTION</t>
  </si>
  <si>
    <t>Reptiles are declining in many parts of the world, mainly due to habitat loss and environmental change. A major factor in this is availability of suitable food. For many animals, dietary requirements shift during developmental stages and a habitat will only be suitable for conserving a species if it supports all stages. Conventional methods for establishing diet often rely on visual recognition of morphologically identifiable features of prey in faeces, regurgitation or stomach contents, which suffer from biases and poor resolution of taxa. DNA-based techniques facilitate noninvasive analysis of diet from faeces without these constraints. We tested the hypothesis that diet changes during growth stages of smooth snakes (Coronella austriaca), which have a highly restricted distribution in the UK but are widespread in continental Europe. Small numbers of the sympatric grass snake (Natrix natrix) were analysed for comparison. Faecal samples were collected from snakes and prey DNA analysed using PCR, targeting amphibians, reptiles, mammals and invertebrates. Over 85% of smooth snakes were found to have eaten reptiles and 28% had eaten mammals. Predation on mammals increased with age and was entirely absent among juveniles and subadults. Predation on reptiles did not change ontogenetically. Smooth snakes may, therefore, be restricted to areas of sufficiently high reptile densities to support young snakes.</t>
  </si>
  <si>
    <t>10.1111/mec.12475</t>
  </si>
  <si>
    <t>Armas, C; Padilla, FM; Pugnaire, FI; Jackson, RB</t>
  </si>
  <si>
    <t>Hydraulic lift and tolerance to salinity of semiarid species: consequences for species interactions</t>
  </si>
  <si>
    <t>Juniperus phoenicea; Pistacia lentiscus; Root system; Stable isotopes; Water sources</t>
  </si>
  <si>
    <t>ROOTING DEPTH; WATER-UPTAKE; SOIL-WATER; DROUGHT; SUMMER; STRESS; PLANTS; SALT; REDISTRIBUTION; COMPETITION</t>
  </si>
  <si>
    <t>The different abilities of plant species to use ephemeral or permanent water sources strongly affect physiological performance and species coexistence in water-limited ecosystems. In addition to withstanding drought, plants in coastal habitats often have to withstand highly saline soils, an additional ecological stress. Here we tested whether observed competitive abilities and C-water relations of two interacting shrub species from an arid coastal system were more related to differences in root architecture or salinity tolerance. We explored water sources of interacting Juniperus phoenicea Guss. and Pistacia lentiscus L. plants by conducting physiology measurements, including water relations, CO2 exchange, photochemical efficiency, sap osmolality, and water and C isotopes. We also conducted parallel soil analyses that included electrical conductivity, humidity, and water isotopes. During drought, Pistacia shrubs relied primarily on permanent salty groundwater, while isolated Juniperus plants took up the scarce and relatively fresh water stored in upper soil layers. As drought progressed further, the physiological activity of Juniperus plants nearly stopped while Pistacia plants were only slightly affected. Juniperus plants growing with Pistacia had stem-water isotopes that matched Pistacia, unlike values for isolated Juniperus plants. This result suggests that Pistacia shrubs supplied water to nearby Juniperus plants through hydraulic lift. This lifted water, however, did not appear to benefit Juniperus plants, as their physiological performance with co-occurring Pistacia plants was poor, including lower water potentials and rates of photosynthesis than isolated plants. Juniperus was more salt sensitive than Pistacia, which withstood salinity levels similar to that of groundwater. Overall, the different abilities of the two species to use salty water appear to drive the outcome of their interaction, resulting in asymmetric competition where Juniperus is negatively affected by Pistacia. Salt also seems to mediate the interaction between the two species, negating the potential positive effects of an additional water source via hydraulic lift.</t>
  </si>
  <si>
    <t>10.1007/s00442-009-1447-1</t>
  </si>
  <si>
    <t>Queiros, AM; Stephens, N; Widdicombe, S; Tait, K; McCoy, SJ; Ingels, J; Ruhl, S; Airs, R; Beesley, A; Carnovale, G; Cazenave, P; Dashfield, S; Hua, E; Jones, M; Lindeque, P; McNeill, CL; Nunes, J; Parry, H; Pascoe, C; Widdicombe, C; Smyth, T; Atkinson, A; Krause-Jensen, D; Somerfield, PJ</t>
  </si>
  <si>
    <t>Connected macroalgal-sediment systems: blue carbon and food webs in the deep coastal ocean</t>
  </si>
  <si>
    <t>benthos; blue carbon; carbon cycling; climate change; ecosystem connectivity; food web; macrophyte; mitigation; Paris Agreement; trophic subsidy</t>
  </si>
  <si>
    <t>DISSOLVED INORGANIC CARBON; COMMUNITY STRUCTURE; STABLE-ISOTOPES; MARINE; KELP; IMPACT; OXYGEN; REORGANIZATION; BIOTURBATION; PRODUCTIVITY</t>
  </si>
  <si>
    <t>Macroalgae drive the largest CO2 flux fixed globally by marine macrophytes. Most of the resulting biomass is exported through the coastal ocean as detritus and yet almost no field measurements have verified its potential net sequestration in marine sediments. This gap limits the scope for the inclusion of macroalgae within blue carbon schemes that support ocean carbon sequestration globally, and the understanding of the role their carbon plays within distal food webs. Here, we pursued three lines of evidence (eDNA sequencing, Bayesian Stable Isotope Mixing Modeling, and benthic-pelagic process measurements) to generate needed, novel data addressing this gap. To this end, a 13-month study was undertaken at a deep coastal sedimentary site in the English Channel, and the surrounding shoreline of Plymouth, UK. The eDNA sequencing indicated that detritus from most macroalgae in surrounding shores occurs within deep, coastal sediments, with detritus supply reflecting the seasonal ecology of individual species. Bayesian stable isotope mixing modeling [C and N] highlighted its vital role in supporting the deep coastal benthic food web (22-36% of diets), especially when other resources are seasonally low. The magnitude of detritus uptake within the food web and sediments varies seasonally, with an average net sedimentary organic macroalgal carbon sequestration of 8.75 g C center dot m(-2)center dot yr(-1). The average net sequestration of particulate organic carbon in sediments is 58.74 g C center dot m(-2)center dot yr(-1), the two rates corresponding to 4-5% and 26-37% of those associated with mangroves, salt marshes, and seagrass beds, systems more readily identified as blue carbon habitats. These novel data provide important first estimates that help to contextualize the importance of macroalgal-sedimentary connectivity for deep coastal food webs, and measured fluxes help constrain its role within global blue carbon that can support policy development. At a time when climate change mitigation is at the foreground of environmental policy development, embracing the full potential of the ocean in supporting climate regulation via CO2 sequestration is a necessity.</t>
  </si>
  <si>
    <t>e01366</t>
  </si>
  <si>
    <t>10.1002/ecm.1366</t>
  </si>
  <si>
    <t>Pardo, JCF; Poste, AE; Frigstad, H; Quintana, CO; Trannum, HC</t>
  </si>
  <si>
    <t>The interplay between terrestrial organic matter and benthic macrofauna: Framework, synthesis, and perspectives</t>
  </si>
  <si>
    <t>benthic communities; climate change; land-ocean interactions; macrobenthos; organic carbon; riverine inputs</t>
  </si>
  <si>
    <t>FOOD-WEB STRUCTURE; NITROGEN STABLE-ISOTOPES; PO RIVER DELTA; SALT-MARSH; SPARTINA-ALTERNIFLORA; MARINE-SEDIMENTS; CARBON BURIAL; RHONE RIVER; COMMUNITY STRUCTURE; GLOBAL DISTRIBUTION</t>
  </si>
  <si>
    <t>Ecosystems are shaped by physical, chemical, and biological drivers, which affect the quality and quantity of basal energy sources, with impacts that cascade to higher trophic levels. In coastal, shelf, and marine habitats, terrestrial-derived organic matter (ter-OM) can be a key driver of ecosystem structure and function. Climate change is expected to alter land-ocean connectivity in many regions, with a broad range of potential consequences for impacted ecosystems, particularly in the coastal zone. The benthic compartment is an important link between the large organic carbon pools stored on land and the marine environment. At the same time, the macrofauna plays a key role in the processing, biological uptake, and fate of ter-OM in the aquatic environment, with implications for coastal ecosystem functioning, benthic-pelagic coupling, carbon burial, and biogeochemical cycles. However, information about relationships between land-ocean connectivity (including ter-OM loads) and coastal benthic community responses remains spread across disciplines, and a broad perspective on the potential impacts of a changing climate is still missing. Here, we explore the interplay between benthic macrofaunal communities and ter-OM through a paired narrative and research weaving analysis, which combines systematic mapping and bibliometric analysis. The review describes the past development and status of the research field as well as the lack of information in some geographical regions and habitats worldwide. We highlight the role of macrofauna in carbon cycling and the growing evidence that ter-OM plays a key role in the structure and function of benthic communities, not strictly limited to estuarine habitats. Climate change poses challenges for the prediction of future ter-OM fluxes and potential macrofauna responses to this additional stressor, thus requiring new methodological approaches (e.g., multimarker approaches for OM characterization) and long-term monitoring programs across different habitats and spatiotemporal scales.</t>
  </si>
  <si>
    <t>e4492</t>
  </si>
  <si>
    <t>10.1002/ecs2.4492</t>
  </si>
  <si>
    <t>Pontbriand, T; Davoren, GK; Fortune, SME; Pomerleau, C; Young, BG; Ferguson, SH</t>
  </si>
  <si>
    <t>Differences in individual bowhead whale Balaena mysticetus habitat use, foraging dive depth and diet during the peak feeding season</t>
  </si>
  <si>
    <t>Stable isotopes; Fatty acids; Biopsy sampling; HSSSM; Time-depth recorders; Satellite telemetry</t>
  </si>
  <si>
    <t>FATTY-ACID; TROPHIC RELATIONSHIPS; DELTA-N-15; ZOOPLANKTON; SEGREGATION; DELTA-C-13; MIGRATION; PATTERNS; BEHAVIOR; PREDATOR</t>
  </si>
  <si>
    <t>Shifts in zooplankton quantity and quality caused by climate change could challenge the ability of bowhead whales to meet their energetic requirements. When facing such selection pressure, intra-population variation dampens the negative effects and provides population-level resilience. Previous studies observed inter-individual diet variation in bowhead whales, but the mechanism responsible for the variation was undetermined. We investigated foraging variability in Eastern Canada-West Greenland bowhead whales using dietary biomarkers (stable isotopes, fatty acids) and movement data (satellite telemetry with time-depth recorders) from the same individuals. We found that bowhead whale individuals using distinct summer and fall foraging habitats displayed differences in horizontal movements, foraging dive depth, and diet. For individuals using the Canadian Arctic Archipelago habitat (Foxe Basin, Gulf of Boothia, Prince Regent Inlet, Lancaster Sound and Admiralty Inlet, Nunavut), they performed long distance movements across regions, and their foraging dive depth was generally shallow, but increased from July to November. These whales displayed higher delta 13C and delta 15N values and ratios of C16:1n7/C16:0. Individuals using the West Baffin Bay habitat (Cumberland Sound, Baffin Bay, Davis Strait) were more localized in their horizontal movements and consistent over time in their foraging dive depth, which was generally deeper. These whales displayed lower delta 13C and delta 15N values and ratios of C16:1n7/C16:0. Overall, this inter-individual variation in diet and foraging behaviour could indicate some niche variation which would be beneficial for the population under changing habitats and prey availability.</t>
  </si>
  <si>
    <t>10.3354/meps14238</t>
  </si>
  <si>
    <t>Li, L; Wei, QW; Wu, JM; Zhang, H; Liu, Y; Xie, X</t>
  </si>
  <si>
    <t>Diet of Leptobotia elongata revealed by stomach content analysis and inferred from stable isotope signatures</t>
  </si>
  <si>
    <t>Leptobotia elongata; Dietary shift; Body length; Season; Stomach contents; Stable isotope</t>
  </si>
  <si>
    <t>CHARR SALVELINUS-ALPINUS; TROUT SALMO-TRUTTA; BODY-SIZE; BROWN TROUT; PREY SELECTION; FISH; SHIFTS; ONTOGENY</t>
  </si>
  <si>
    <t>The diet of Leptobotia elongata in the Yibin reach of the Yangtze River, China was investigated by stomach content analysis and by stable isotope analysis from muscle. The results of the two methods were agreement. Both stomach contents and isotope analysis indicated that L. elongata fed in spring mainly on plankton, shrimp and fish, and secondarily on benthic invertebrates and aquatic insect larvae. For the stomach content analysis, the diet composition showed significant differences among the size classes in relative weight of prey items, with L. elongata changing feeding habits at c.110 mm standard length. The smaller individuals fed on benthic invertebrates and aquatic insect larvae, whereas individuals &gt; 109 mm fed mainly on shrimp and fish. A similar shift to piscivory at c.110 mm standard length was found using the stable isotope mixing model to reveal dietary ontogeny by IsoSource software, and the trend in variation of the delta C-13 and delta N-15 was similar with increased body length, and the plankton is important prey item in all size classes. The delta C-13 and delta N-15 values in similar sized individuals showed significant seasonal differences (delta C-13, ANOVA, F = 76.33, p &lt; 0.001 and delta N-15, ANOVA, F = 144.56, p &lt; 0.001), indicating a temporal dietary and trophic level shift. L. elongata is an important commercial species, and the results of the study form part of a detailed investigation of feeding ecology of L. elongata that provides basic data for studying the food web of the upper Yangtze River.</t>
  </si>
  <si>
    <t>10.1007/s10641-015-0414-4</t>
  </si>
  <si>
    <t>Corry, M; Harasti, D; Gaston, T; Mazumder, D; Cresswell, T; Moltschaniwskyj, N</t>
  </si>
  <si>
    <t>Functional role of the soft coral Dendronephthya australis in the benthic food web of temperate estuaries</t>
  </si>
  <si>
    <t>Stable isotopes; Critical habitat; Sponge; Syngnathidae; Estuary; Conservation</t>
  </si>
  <si>
    <t>STABLE-ISOTOPE ANALYSIS; FISH; DELTA-N-15; DELTA-C-13; DIVERSITY; COMMUNITY; TROPHODYNAMICS; FRACTIONATION; OCTOCORALLIA; POPULATIONS</t>
  </si>
  <si>
    <t>The soft coral Dendronephthya australis, with its limited distribution along the central New South Wales (NSW) coastline, forms a habitat within the benthic estuarine environment that supports commercially significant and protected marine species. However, the functional role of the soft coral within this system is unknown. Organisms from primary producers through to secondary consumers were sampled from soft coral and sponge habitats inside the Port Stephens estuary, NSW, Australia in 2014. A food web model of the benthic habitat, created using stable isotopes of carbon and nitrogen, was used to describe the functional role of the soft coral in comparison to sponges, another important habitat for commercially significant and protected marine species. Primary consumers accessed a range of benthic and pelagic energy sources; however, secondary consumers were almost entirely dependent on pelagic energy sources. Soft coral and sponges accessed different primary sources for their energy requirements. There was no evidence that D. australis was used as a direct food source by consumers other than nudibranchs. In contrast, sponges were trophically linked with secondary consumers and are likely to play a direct role in pelagic energy transfer. Amphipods collected from the branches of D. australis were identified as major prey components in the diet of protected syngnathids, suggesting that while the soft coral functions as critical habitat, it is indirectly linked to higher trophic levels.</t>
  </si>
  <si>
    <t>10.3354/meps12498</t>
  </si>
  <si>
    <t>Kuile, AMT; Apigo, A; Bui, A; Butner, K; Childress, JN; Copeland, S; DiFiore, BP; Forbes, ES; Klope, M; Motta, CI; Orr, D; Plummer, KA; Preston, DL; Young, HS</t>
  </si>
  <si>
    <t>Changes in invertebrate food web structure between high- and low-productivity environments are driven by intermediate but not top-predator diet shifts</t>
  </si>
  <si>
    <t>food chain; Araneae; diet DNA metabarcoding; stable isotope analysis</t>
  </si>
  <si>
    <t>BIODIVERSITY; DIVERSITY; STABILITY; COMMUNITY; SIZE</t>
  </si>
  <si>
    <t>Predator-prey interactions shape ecosystem stability and are influenced by changes in ecosystem productivity. However, because multiple biotic and abiotic drivers shape the trophic responses of predators to productivity, we often observe patterns, but not mechanisms, by which productivity drives food web structure. One way to capture mechanisms shaping trophic responses is to quantify trophic interactions among multiple trophic groups and by using complementary metrics of trophic ecology. In this study, we combine two diet-tracing methods: diet DNA and stable isotopes, for two trophic groups (top predators and intermediate predators) in both low- and high-productivity habitats to elucidate where in the food chain trophic structure shifts in response to changes in underlying ecosystem productivity. We demonstrate that while top predators show increases in isotopic trophic position (delta N-15) with productivity, neither their isotopic niche size nor their DNA diet composition changes. Conversely, intermediate predators show clear turnover in DNA diet composition towards a more predatory prey base in high-productivity habitats. Taking this multi-trophic approach highlights how predator identity shapes responses in predator-prey interactions across environments with different underlying productivity, building predictive power for understanding the outcomes of ongoing anthropogenic change.</t>
  </si>
  <si>
    <t>10.1098/rsbl.2022.0364</t>
  </si>
  <si>
    <t>Simpson, SJ; Sims, DW; Trueman, CN</t>
  </si>
  <si>
    <t>Ontogenetic trends in resource partitioning and trophic geography of sympatric skates (Rajidae) inferred from stable isotope composition across eye lenses</t>
  </si>
  <si>
    <t>Sclerochronology; Carbon; Nitrogen; Raja spp.; Ray; Skate; Stable isotopes</t>
  </si>
  <si>
    <t>SCALE SPATIAL VARIATION; GILL-RAKER MORPHOLOGY; FEEDING ECOLOGY; RAJA-CLAVATA; CARBON ISOTOPES; THORNBACK RAY; SOUTH COAST; FISH; DIET; SHIFTS</t>
  </si>
  <si>
    <t>Resource partitioning is expected in sympatric assemblages of predators as a mechanism that reduces competition between individuals of different species or age classes, which in turn can affect population and community interactions as well as resource distribution and availability. However, for species such as benthic skates (Rajidae), the juveniles of which are cryptic and not easily sampled by traditional survey methods, there is a knowledge gap concerning the spatial and trophic ecology during early life stages. The eye lenses of vertebrates grow over their lifetime providing a chronological biochemical record that can be used to infer differences in diet and/or foraging location (trophic geography) throughout the ontogeny of the animal. For the first time, eye lenses of 4 sympatric Rajidae species from the northeast Atlantic were successfully used to recover stable isotope life histories for individual skates. Isotopic separation among species and across life stages within species suggests that habitat partitioning and differences in trophic ecology are present throughout ontogeny. Isotopic data imply that adults are separated from juveniles both spatially and in terms of their diet and the 4 species appear to partition resources more than expected based on previous studies.</t>
  </si>
  <si>
    <t>10.3354/meps13030</t>
  </si>
  <si>
    <t>Eagles-Smith, CA; Suchanek, TH; Colwell, AE; Anderson, NL; Moyle, PB</t>
  </si>
  <si>
    <t>CHANGES IN FISH DIETS AND FOOD WEB MERCURY BIOACCUMULATION INDUCED BY AN INVASIVE PLANKTIVOROUS FISH</t>
  </si>
  <si>
    <t>bioaccumulation; Clear Lake, California, USA; fish; inland silverside; invasions; invasive species; largemouth bass; mercury; nonnative fishes; stable isotopes; Sulphur Bank Mercury Mine; threadfin shad</t>
  </si>
  <si>
    <t>CLEAR-LAKE; TROPHIC POSITION; METHYL MERCURY; THREADFIN SHAD; CONTAMINANT BIOACCUMULATION; MISSISSIPPI SILVERSIDE; AQUATIC ECOSYSTEMS; DOROSOMA-PETENENSE; WATER CHEMISTRY; MENIDIA-AUDENS</t>
  </si>
  <si>
    <t>The invasion, boom, collapse, and reestablishment of a population of the planktivorous threadfin shad in Clear Lake, California, USA, were documented over a 20-year period, as were the effects of changing shad populations on diet and mercury (Hg) bioaccumulation in nearshore fishes. Threadfin shad competitively displaced other planktivorous fish in the lake, such as inland silversides, young-of-year (YOY) largemouth bass, and YOY bluegill, by reducing zooplankton abundance. As a result, all three species shifted from a diet that was dominated by zooplankton to one that was almost entirely zoobenthos. Stable carbon isotopes corroborated this pattern with each species becoming enriched in delta C-13, which is elevated in benthic vs. pelagic organisms. Concomitant with these changes, Hg concentrations increased by similar to 50% in all three species. In contrast, obligate benthivores such as prickly sculpin showed no relationship between diet or delta C-13 and the presence of threadfin shad, suggesting that effects of the shad were not strongly linked to the benthic fish community. There were also no changes in Hg concentrations of prickly sculpin. The temporary extirpation of threadfin shad from the lake resulted in zooplankton densities, foraging patterns, isotope ratios, and Hg concentrations in pelagic fishes returning to pre-shad values. These results indicate that even transient perturbations of the structure of freshwater food webs can result in significant alterations in the bioaccumulation of Hg and that food webs in lakes can be highly resilient.</t>
  </si>
  <si>
    <t>A213</t>
  </si>
  <si>
    <t>A226</t>
  </si>
  <si>
    <t>10.1890/06-1415.1</t>
  </si>
  <si>
    <t>Schmidt, O</t>
  </si>
  <si>
    <t>Intrapopulation variation in carbon and nitrogen stable isotope ratios in the earthworm Aporrectodea longa</t>
  </si>
  <si>
    <t>Aporrectodea longa; diet; Lumbricidae; natural abundance; stable isotopes</t>
  </si>
  <si>
    <t>SOIL ORGANIC-MATTER; N-15 NATURAL-ABUNDANCE; DELTA-C-13; DIET; ECOSYSTEM; C-13; INVERTEBRATES; DYNAMICS; GUT; FRACTIONATION</t>
  </si>
  <si>
    <t>The natural abundance variations in carbon and nitrogen stable isotope ratios in a population of the earthworm Aporrectodea longa, a species known to feed on both soil and plant litter, is reported in this paper. Worms were collected from a small land area of an old white clover field and body tissue and mucus were analyzed separately. The range of isotopic values was small, but patterns of variation were not random. Tissue carbon and nitrogen isotope ratios were significantly higher in adult than in juvenile A. longa and tissue nitrogen isotope ratios tended to increase with increasing biomass of individuals. Further, carbon and nitrogen isotope ratios were positively correlated in both tissue and mucus. Possible causes of the observed patterns, including physiological effects, body composition and assimilation of C and N from different plant, soil and microbial sources are discussed. It is concluded that the causes of natural variability in isotopic composition must be understood and validated experimentally before natural abundance stable isotope methods can be used for the analysis of trophic relations among detritivorous soil invertebrates.</t>
  </si>
  <si>
    <t>10.1046/j.1440-1703.1999.00310.x</t>
  </si>
  <si>
    <t>Pomerleau, C; Matthews, CJD; Gobeil, C; Stern, GA; Ferguson, SH; Macdonald, RW</t>
  </si>
  <si>
    <t>Mercury and stable isotope cycles in baleen plates are consistent with year-round feeding in two bowhead whale (Balaena mysticetus) populations</t>
  </si>
  <si>
    <t>Arctic; Baleen; Bowhead whale; Carbon; Mercury; Nitrogen; Stable isotopes; Time series</t>
  </si>
  <si>
    <t>BEAUFORT SEA; ARCTIC-OCEAN; ZOOPLANKTON COMMUNITIES; NITROGEN DELTA-N-15; MASS CONCENTRATION; CARBON DELTA-C-13; WINTER MOVEMENTS; SPATIAL-PATTERNS; CLIMATE-CHANGE; RATIOS</t>
  </si>
  <si>
    <t>Previous studies have demonstrated that the analysis of biogeochemical tracers along baleen can provide seasonal, annual, and longer term insights into whale movements, habitat use, diet, and ecosystem processes. We measured the mercury (Hg) concentration and stable carbon (delta C-13) and nitrogen (delta N-15) isotope compositions along baleen plates of bowhead whales (Balaena mysticetus) harvested between 1988 and 1996 from the Bering-Chukchi-Beaufort (BCB) and the Eastern Canada-West Greenland (EC-WG) populations. These measurements were compared among individuals and between populations to assess seasonal cycling and to determine if bowhead whales forage year-round rather than fasting in winter. Individuals from the BCB population had synchronous cycles with higher Hg concentrations and lower delta C-13 values in summer and lower Hg concentrations and higher delta C-13 values in winter. EC-WG individuals also had synchronized periodic variations with peak values in isotopic ratios during summer These results reflect an annual cycle of seasonal migration between distinct food webs in both populations. Spring and fall feeding activity was indicated in the intra-annual Hg and delta C-13 cycles along the baleen plates of all whales in our study. These shorter periods, spanning about half the annual growth, have not been previously described in the baleen of these populations, and are consistent with separate foraging areas along the migration routes. The results of this study provide further support for year-round foraging in a species previously thought to fast during winter. Future monitoring of seasonal foraging patterns in baleen would help to determine whether bowhead whales alter their foraging patterns in response to shifts in zooplankton community availability, composition, and phenology.</t>
  </si>
  <si>
    <t>10.1007/s00300-018-2329-y</t>
  </si>
  <si>
    <t>Jackson, MC; Grey, J; Miller, K; Britton, JR; Donohue, I</t>
  </si>
  <si>
    <t>Dietary niche constriction when invaders meet natives: evidence from freshwater decapods</t>
  </si>
  <si>
    <t>community structure; diet breadth; ecosystem functioning; field experiment; interspecific competition; invasive species; Procambarus clarkii; stable isotopes</t>
  </si>
  <si>
    <t>CRAYFISH AUSTROPOTAMOBIUS-PALLIPES; INVASIVE CRAYFISH; PACIFASTACUS-LENIUSCULUS; PROCAMBARUS-CLARKII; ECOSYSTEM SERVICES; EXOTIC CRAYFISH; COMPETITION; COMMUNITY; STREAM; IMPACT</t>
  </si>
  <si>
    <t>Invasive species are a key driver of global environmental change, with frequently strong negative consequences for native biodiversity and ecosystem processes. Understanding competitive interactions between invaders and functionally similar native species provides an important benchmark for predicting the consequences of invasion. However, even though having a broad dietary niche is widely considered a key factor determining invasion success, little is known about the effects of competition with functionally similar native competitors on the dietary niche breadths of invasive species. We used a combination of field experiments and field surveys to examine the impacts of competition with a functionally similar native crab species on the population densities, growth rates and diet of the globally widespread invasive red swamp crayfish in an African river ecosystem. The presence of native crabs triggered significant dietary niche constriction within the invasive crayfish population. Further, growth rates of both species were reduced significantly, and by a similar extent, in the presence of one another. In spite of this, crayfish maintained positive growth rates in the presence of crabs, whereas crabs lost mass in the presence of crayfish. Consequently, over the 3-year duration of the study, crab abundance declined at those sites invaded by the crayfish, becoming locally extinct at one. The invasive crayfish had a dramatic effect on ecosystem structure and functioning, halving benthic invertebrate densities and increasing decomposition rates fourfold compared to the crabs. This indicates that replacement of native crabs by invasive crayfish likely alters the structure and functioning of African river ecosystems significantly. This study provides a novel example of the constriction of the dietary niche of a successful invasive population in the presence of competition from a functionally similar native species. This finding highlights the importance of considering both environmental and ecological contexts in order to predict and manage the impacts of invasive species on ecosystems.</t>
  </si>
  <si>
    <t>10.1111/1365-2656.12533</t>
  </si>
  <si>
    <t>Trophic ecology of Pacific salmon (Oncorhynchus spp.) in the ocean: a synthesis of stable isotope research</t>
  </si>
  <si>
    <t>Trophic partitioning; Spatial partitioning; Carbon; Nitrogen; Meta-analysis; Stable isotope</t>
  </si>
  <si>
    <t>FOOD-WEB STRUCTURE; STOMACH CONTENTS; CARBON ISOTOPES; SURVIVAL RATES; MARINE CARBON; FRESH-WATER; O-NERKA; GORBUSCHA; NITROGEN; DELTA-C-13</t>
  </si>
  <si>
    <t>Increasing interest in the marine trophic dynamics of Pacific salmon has been motivated by the recognition of their sensitivity to changing climate and to the competitive effects of hatchery fish on wild stocks. It has become more common to use stable isotopes to supplement traditional diet studies of salmon in the ocean; however, there have been no integrated syntheses of these data to determine whether stable isotope analyses support the existing conventional wisdom of feeding strategies of the Pacific salmon. We performed a meta-analysis of stable isotope data to examine the extent of trophic partitioning among five species of Pacific salmon during their marine lives. Pink, sockeye, and chum salmon showed very high overlap in resource use and there was no consistent evidence for chum relying on alternative food webs dominated by gelatinous zooplankton. delta N-15 showed that Chinook and coho salmon fed at trophic levels higher than the other three species. In addition, these two species were distinctly enriched in C-13, suggesting more extensive use of coastal food webs compared to the more depleted (pelagic) signatures of pink, sockeye, and chum salmon. This paper presents the first synthesis of stable isotope work on Pacific salmon and provides delta N-15 and delta C-13 values applicable to research on the fate of the marine derived nutrients these organisms transport to freshwater and riparian ecosystems.</t>
  </si>
  <si>
    <t>10.1007/s11284-008-0559-0</t>
  </si>
  <si>
    <t>Ong, TY; Allen, D; Vandermeer, J</t>
  </si>
  <si>
    <t>Huffaker revisited: spatial heterogeneity and the coupling of ineffective agents in biological control</t>
  </si>
  <si>
    <t>agriculture; biological control; connectivity; Huffaker; predator-prey; spatio-temporal heterogeneity</t>
  </si>
  <si>
    <t>ENTOMOPATHOGENIC FUNGI; NATURAL ENEMIES; PEST-CONTROL; BEHAVIOR; PREDATORS; SYSTEM; BIODIVERSITY; COMPLEXITY; OUTBREAKS; RESOURCE</t>
  </si>
  <si>
    <t>In a classic study, Huffaker demonstrated that abiotic forms of spatial heterogeneity could induce stability in predator-prey interactions. Recent theories suggest that space can also act to destabilize predator-prey systems and that stability can arise from coupling of unstable units. Here, using Huffaker's classic experimental design refitted with modern empirical and statistical techniques, we reassess the effect of space on predator-prey interactions when the prey are pests of agriculture and when predators must compete with pathogens for shared prey resources. Using an empirical system including aphids, ladybird beetles, and entomopathogenic fungi, we show that while two different control agents were ineffective at controlling pests in insolation, coupling them together not only improved control of the pest but also reduced the occurrence of large, spatially clustered pest outbreaks. Our results suggest that as agriculture becomes increasingly isolated and consolidated across landscapes, endogenous forms of spatial heterogeneity, which arise from interactions between diverse assemblages of control agents, may break down. We suggest that improving connectivity across landscapes is important for maintaining effective biological control in agroecosystems.</t>
  </si>
  <si>
    <t>e02299</t>
  </si>
  <si>
    <t>10.1002/ecs2.2299</t>
  </si>
  <si>
    <t>Perez-Matus, A; Ospina-Alvarez, A; Camus, PA; Carrasco, SA; Fernandez, M; Gelcich, S; Godoy, N; Ojeda, FP; Pardo, LM; Rozbaczylo, N; Subida, MD; Thiel, M; Wieters, EA; Navarrete, SA</t>
  </si>
  <si>
    <t>Temperate rocky subtidal reef community reveals human impacts across the entire food web</t>
  </si>
  <si>
    <t>Network structure; Marine ecosystems; Fishery; Resilience; Chile</t>
  </si>
  <si>
    <t>TERRITORIAL USER RIGHTS; NETWORK STRUCTURE; HISTORICAL-PERSPECTIVE; INTERTIDAL CONSUMERS; TROPHIC INTERACTIONS; PREDATION INTENSITY; ECOLOGICAL NETWORKS; ADRIATIC SEA; MARINE; NORTHERN</t>
  </si>
  <si>
    <t>Food webs as representations of who eats whom are at the core of community ecology. Incorporation of tools from network theory enables assessment of how complex systems respond to natural and human-induced stressors, revealing how harvesting may degrade the properties and resilience of food webs. We present a comprehensive, coastal marine food web that includes 147 taxa cooccurring on shallow subtidal reefs along the highly productive and exploited Humboldt Current System of central Chile. This food web has connectance of 0.06, link density of 1204 and mean chain length of 4.3. The fractions of intermediate (76%), omnivorous (49%) and cannibalistic (8%) nodes are slightly lower than those observed in other marine food webs. Of the 147 nodes, 34 are harvested. Links to harvested nodes represented 50 to 100% of all trophic links of non-harvested nodes, illustrating the great impact that fishery pressure can have on the food web. The food web was compartmentalized into 5 sub-webs with high representation of harvested taxa. This structure changes if the fishery node is removed. Similarity analyses identified groups of harvested species with non-harvested nodes, suggesting that these tropho-equivalents could be sentinel species for the community-wide impacts of coastal fisheries. We conclude that fishing effects can be transmitted throughout the food web, with no compartments completely unaffected by harvesting. It is urgent to establish monitoring programs for community-wide effects of fisheries and assess whether resilience of these highly productive subtidal food webs has al ready been compromised, thereby identifying essential nodes that require stronger fisheries regulation.</t>
  </si>
  <si>
    <t>10.3354/meps12057</t>
  </si>
  <si>
    <t>Englund, G; Moen, J</t>
  </si>
  <si>
    <t>Testing models of trophic dynamics: The problem of translating from model to nature</t>
  </si>
  <si>
    <t>domain; experimental test; food-chain models; operationalization; minimal models; strategic models; translation modes</t>
  </si>
  <si>
    <t>EXPLOITATION ECOSYSTEMS; FOOD-CHAINS; NUTRIENT AVAILABILITY; NORTH DERBYSHIRE; ALGAL BIOMASS; PRODUCTIVITY; COMMUNITY; SCALE; PATTERNS; HETEROGENEITY</t>
  </si>
  <si>
    <t>Mathematical models of interacting populations have a prominent position in population and community ecology, but are often criticized for not being testable. The authors reviewed tests of a particular model, the exploitation ecosystem hypothesis as it was formulated in Oksanen et al. (1981), in order to study problems that may be encountered when testing models. A general problem is how to determine if an experimental system should be regarded as within the model's theoretical domain or not. The theoretical domain defines the type of system the model is meant to apply to. It is noted that both liberal and strict domain definitions can be problematic. Most important is that a too liberal domain definition can result in false understanding (i.e. that it is falsely concluded that the processes included in the model are controlling the study system). Other problems encountered were more system-specific. Equilibrium predictions were tested in experiments that were too short to reach steady state and in several studies ambiguous definitions and measurements of model variables were found such as productivity, biomass and the number trophic levels. It is concluded that a major obstacle when performing tests is the conceptual and methodological problems encountered when translating model abstractions into an empirical reality.</t>
  </si>
  <si>
    <t>10.1046/j.1442-9993.2003.01249.x</t>
  </si>
  <si>
    <t>Thompson, RM; Mouritsen, KN; Poulin, R</t>
  </si>
  <si>
    <t>Importance of parasites and their life cycle characteristics in determining the structure of a large marine food web</t>
  </si>
  <si>
    <t>energy; helminths; host specificity; intertidal mudflat</t>
  </si>
  <si>
    <t>NEW-ZEALAND COCKLE; LARUS-NOVAEHOLLANDIAE-SCOPULINUS; COMMUNITY STRUCTURE; AUSTROVENUS-STUTCHBURYI; GASTROINTESTINAL HELMINTHS; TROPHIC CASCADES; TRANSMISSION; EVOLUTION; BIODIVERSITY; FACILITATION</t>
  </si>
  <si>
    <t>1. Despite their documented effects on trophic interactions and community structure, parasites are rarely included in food web analyses. The transmission routes of most parasitic helminths follow closely the trophic relationships among their successive hosts and are thus embedded in food webs, in a way that may influence energy flow and the structure of the web. 2. We investigated the impact of parasitism on the food web structure of a New Zealand intertidal mudflat community. Different versions of the food web were analysed, one with no parasites, one with all parasite species and several other versions, each including a single parasite species. We measured key food web metrics such as food chain length, linkage density and proportions of top, intermediate and basal species. 3. The inclusion of all parasite species in the food web resulted in greatly increased mean and maximum food chain length, but had little impact on linkage density and realized connectance. The main change caused by introduction of parasites was the relegation of a number of species from top predators to intermediate status, although the addition of parasites as top predators left the actual ratio of predators to prey relatively unchanged. 4. When individual parasites were added to the food web, their effect on food web properties was generally minimal. However, one trematode species that affected several host species, because of its complex life cycle and low host specificity, produced food web properties similar to those in the web version including all parasite species. 5. The respective effect of individual parasite species was roughly proportional to the number of host species they affected, and thus the life cycle characteristics of parasites determine to a large extent their impact on food web structure. The next step would be to quantify how they affect energy flow through the web.</t>
  </si>
  <si>
    <t>10.1111/j.1365-2656.2004.00899.x</t>
  </si>
  <si>
    <t>Cui, RY; Zhang, D; Wang, HY; Fu, B; Yan, H; Hu, WL; Liu, GC; Chen, AQ</t>
  </si>
  <si>
    <t>Shifts in the sources and fates of nitrate in shallow groundwater caused by agricultural intensification intensity: Revealed by hydrochemistry, stable isotopic composition and source contribution</t>
  </si>
  <si>
    <t>Shallow groundwater; Water and nitrate isotopes; Nitrate source; Agricultural intensification intensity; Nitrogen transformation</t>
  </si>
  <si>
    <t>FRESH-WATER; LAND-USE; NITROGEN; CHINA; FIELD; FRACTIONATION; VULNERABILITY; DELTA-N-15; SYSTEM</t>
  </si>
  <si>
    <t>Groundwater nitrogen (N) pollution in intensive agricultural regions is increasing globally, and understanding the effects of increasing agricultural intensity on the sources and fates of N is critical for the effective control of groundwater pollution. Using multiple stable isotopes (delta 15N-NO3-, delta 18O-NO3-, delta 18O-H2O, delta D-H2O), hydrochemistry and the Bayesian stable isotope mixing model, the sources and fates of N were expounded, and their contributions were quantified in shallow groundwater (SG, n = 325) from an intensive agricultural region, a facility agricultural region and a cropland fallow region. We found that NO3- accounted for 60% of total N, and 52% of SG samples exceeded the WHO NO3- drinking water threshold (10 mg N L-1). Each N form concentrations and NO3- exceeding the standard rate in the intensive and facility agricultural regions were significantly higher than those in the cropland fallow region. Soil N, N fertilizer and manure and sewage were the dominant NO3- contributors in the SG of intensive agricultural regions, contributing to 66%, 21% and 10% of NO3-, respectively. The highest contributions of manure and sewage occurred in the cropland fallow region (46%), followed by the soil N (33%) and N fertilizer (13%), while the N sources in the SG from the facility agricultural region were dominated by manure and sewage (35%), soil N (31%) and N fertilizer (25%). Denitrification was the primary N biogeochemical cycle process in SG from the intensive and facility agricultural regions, whereas nitrification mainly occurred in the cropland fallow region. These results indicated that the shifts in the sources and fates of N in SG were controlled by agricultural intensification intensity, and soil N and manure and sewage, rather than N fertilizer, may become the most dominant N sources in SG in intensive agricultural regions. The N contamination control in SG should pay attention to improving septic tanks and sewage pipelines, the scientific and reasonable stacking of manure, and reducing the soil N pool in intensive agricultural regions.</t>
  </si>
  <si>
    <t>10.1016/j.agee.2022.108337</t>
  </si>
  <si>
    <t>Killam, D; Al-Najjar, T; Clapham, M</t>
  </si>
  <si>
    <t>Giant clam growth in the Gulf of Aqaba is accelerated compared to fossil populations</t>
  </si>
  <si>
    <t>sclerochronology; Tridacna; stable isotopes; conservation palaeobiology</t>
  </si>
  <si>
    <t>STABLE-ISOTOPES; ORGANIC-MATTER; TRIDACNA-MAXIMA; DELTA-N-15 VALUES; SHELL CARBONATE; CORAL GROWTH; NITROGEN; FRACTIONATION; TEMPERATURE; BIVALVES</t>
  </si>
  <si>
    <t>The health of reef-building corals has declined due to climate change and pollution. However, less is known about whether giant clams, reef-dwelling bivalves with a photosymbiotic partnership similar to that found in reef-building corals, are also threatened by environmental degradation. To compare giant clam health against a prehistoric baseline, we collected fossil and modern Tridacna shells from the Gulf of Aqaba, Northern Red Sea. After calibrating daily/twice-daily growth lines from the outer shell layer, we determined that modern individuals of all three species (Tridacna maxima, T. squamosa and T. squamosina) grew faster than Holocene and Pleistocene specimens. Modern specimens also show median shell organic delta N-15 values 4.2 parts per thousand lower than fossil specimens, which we propose is most likely due to increased deposition of isotopically light nitrate aerosols in the modern era. Nitrate fertilization accelerates growth in cultured Tridacna, so nitrate aerosol deposition may contribute to faster growth in modern wild populations. Furthermore, colder winter temperatures and past summer monsoons may have depressed fossil giant clam growth. Giant clams can serve as sentinels of reef environmental change, both to determine their individual health and the health of the reefs they inhabit.</t>
  </si>
  <si>
    <t>10.1098/rspb.2021.0991</t>
  </si>
  <si>
    <t>Lescord, GL; Clayden, MG; Kidd, KA; Kirk, JL; Wang, XW; O'Driscoll, NJ; Muir, DCG</t>
  </si>
  <si>
    <t>Assessing the utility of sulfur isotope values for understanding mercury concentrations in water and biota from high Arctic lakes</t>
  </si>
  <si>
    <t>sulfate; food webs; methylmercury; oligotrophic; bioaccumulation</t>
  </si>
  <si>
    <t>DISSOLVED ORGANIC-MATTER; STABLE-ISOTOPES; FOOD WEBS; SEASONAL-VARIATIONS; SULFATE REDUCTION; LANDLOCKED CHAR; TEMPORAL TRENDS; METHYLMERCURY; BIOMAGNIFICATION; BIOACCUMULATION</t>
  </si>
  <si>
    <t>Methylmercury (MeHg) biomagnifies through aquatic food webs resulting in elevated concentrations in fish globally. Stable carbon and nitrogen isotopes are frequently used to determine dietary sources of MeHg and to model its biomagnification. However, given the strong links between MeHg and sulfur cycling, we investigated whether sulfur isotopes (delta S-34) would improve our understanding of MeHg concentrations ([MeHg]) in Arctic lacustrine food webs. Delta S-34 values and total mercury (THg) or MeHg were measured in water, sediments, and biota from six lakes near Resolute Bay, NU, Canada. In two lakes impacted by historical eutrophication, aqueous sulfate delta S-34 was similar to 8 parts per thousand more positive than sedimentary delta S-34, suggestive of bacterial sulfate reduction in the sediment. In addition, aqueous delta S-34 showed a significant positive relationship with lakes. Within taxa across lakes, [THg] in Arctic char muscle and [MeHg] in their main prey, chironomids, were positively related to their delta S-34 values across lakes, but inconsistent relationships were found across entire food webs among lakes. Across lakes, nitrogen isotopes were better predictors of biotic [THg] and [MeHg] than delta S-34 within this dataset. Our results suggest some linkages between Hg and S biogeochemistry in high Arctic lakes, which is an important consideration given anticipated climate-mediated changes in nutrient cycling.</t>
  </si>
  <si>
    <t>10.1139/as-2018-0022</t>
  </si>
  <si>
    <t>Layer, K; Hildrew, AG; Woodward, G</t>
  </si>
  <si>
    <t>Grazing and detritivory in 20 stream food webs across a broad pH gradient</t>
  </si>
  <si>
    <t>Acidification; Recovery; Herbivory; Stable isotopes; Trophic generalism</t>
  </si>
  <si>
    <t>STABLE-ISOTOPE; COMMUNITY STRUCTURE; TROPHIC INTERACTIONS; BIOLOGICAL RECOVERY; BRITISH STREAMS; ACID; ACIDIFICATION; DYNAMICS; INVERTEBRATES; STABILITY</t>
  </si>
  <si>
    <t>Acidity is a major driving variable in the ecology of fresh waters, and we sought to quantify macroecological patterns in stream food webs across a wide pH gradient. We postulated that a few generalist herbivore-detritivores would dominate the invertebrate assemblage at low pH, with more specialists grazers at high pH. We also expected a switch towards algae in the diet of all primary consumers as the pH increased. For 20 stream food webs across the British Isles, spanning pH 5.0-8.4 (the acid sites being at least partially culturally acidified), we characterised basal resources and primary consumers, using both gut contents analysis and stable isotopes to study resource use by the latter. We found considerable species turnover across the pH gradient, with generalist herbivore-detritivores dominating the primary consumer assemblage at low pH and maintaining grazing. These were joined or replaced at higher pH by a suite of specialist grazers, while many taxa that persisted across the pH gradient broadened the range of algae consumed as acidity declined and increased their ingestion of biofilm, whose nutritional quality was higher than that of coarse detritus. There was thus an increased overall reliance on algae at higher pH, both by generalist herbivore-detritivores and due to the presence of specialist grazers, although detritus was important even in non-acidic streams. Both the ability of acid-tolerant, herbivore-detritivores to exploit both autochthonous and allochthonous food and the low nutritional value of basal resources might render chemically recovering systems resistant to invasion by the specialist grazers and help explain the sluggish ecological recovery of fresh waters whose water chemistry has ameliorated.</t>
  </si>
  <si>
    <t>10.1007/s00442-012-2421-x</t>
  </si>
  <si>
    <t>Werner, C; Schnyder, H; Cuntz, M; Keitel, C; Zeeman, MJ; Dawson, TE; Badeck, FW; Brugnoli, E; Ghashghaie, J; Grams, TEE; Kayler, ZE; Lakatos, M; Lee, X; Maguas, C; Ogee, J; Rascher, KG; Siegwolf, RTW; Unger, S; Welker, J; Wingate, L; Gessler, A</t>
  </si>
  <si>
    <t>Progress and challenges in using stable isotopes to trace plant carbon and water relations across scales</t>
  </si>
  <si>
    <t>LEAF-RESPIRED CO2; DISSOLVED ORGANIC-CARBON; SHORT-TERM VARIATIONS; FAGUS-SYLVATICA L.; USE EFFICIENCY; PHLOEM SAP; ECOSYSTEM RESPIRATION; GAS-EXCHANGE; MESOPHYLL CONDUCTANCE; TREE-RINGS</t>
  </si>
  <si>
    <t>Stable isotope analysis is a powerful tool for assessing plant carbon and water relations and their impact on biogeochemical processes at different scales. Our process-based understanding of stable isotope signals, as well as technological developments, has progressed significantly, opening new frontiers in ecological and interdisciplinary research. This has promoted the broad utilisation of carbon, oxygen and hydrogen isotope applications to gain insight into plant carbon and water cycling and their interaction with the atmosphere and pedosphere. Here, we highlight specific areas of recent progress and new research challenges in plant carbon and water relations, using selected examples covering scales from the leaf to the regional scale. Further, we discuss strengths and limitations of recent technological developments and approaches and highlight new opportunities arising from unprecedented temporal and spatial resolution of stable isotope measurements.</t>
  </si>
  <si>
    <t>10.5194/bg-9-3083-2012</t>
  </si>
  <si>
    <t>Wang, Y; Ren, L; Xu, DP; Fang, DA</t>
  </si>
  <si>
    <t>Exploring the trophic niche characteristics of four carnivorous Cultrinae fish species in Lihu Lake, Taihu Basin, China</t>
  </si>
  <si>
    <t>trophic niche; Cultrinae fish; interspecies relationship; Lihu Lake; stable isotope</t>
  </si>
  <si>
    <t>STABLE-ISOTOPES; COMMUNITY; ECOLOGY; DELTA-N-15; DELTA-C-13; INVASION; WIDTH</t>
  </si>
  <si>
    <t>This study found significant differences between the standard length distributions of humpback and redfin culter and between Mongolian culter and topmouth culter. A stable isotope analysis (delta C-13 and delta N-15) was used to investigate the interspecies differences between the feeding habits and trophic niches of four carnivorous species of Cultrinae fish. The results showed that the delta C-13 and delta N-15 values were significantly correlated with the standard length and species. However, the delta C-13 values of humpback and redfin culter were not significantly different, suggesting that these two fish species had similar food sources. The delta N-15 values of Mongolian culter and topmouth culter were the highest, suggesting that they occupied a higher trophic level and that animal prey was more important in their diets. Moreover, variations in delta C-13 and delta N-15 indicated considerable niche overlap and interspecific competition among the four species. We also evaluated trophic niches, diversity, redundancy, and evenness utilizing isotopic niche metrics, and we estimated asymmetrical niche overlaps. The analysis revealed that four carnivorous species of Cultrinae displayed similar trophic niche sizes and trophic diversity. The trophic traits of topmouth culter clearly defined them as a trophic generalist in terms of the inter-individual variability in their isotopic niches. A significant finding was that the average niche overlap between them was as high as 64.02%; topmouth culter had the greatest trophic overlap with redfin culter (95.52%) and humpback (90.38%), followed by Mongolian culter onto redfin culter (85.32%), indicating that topmouth culter and Mongolian culter benefit the most from the food supply in the habitat, or they are more competitive in the presence of limited resources.</t>
  </si>
  <si>
    <t>10.3389/fevo.2022.954231</t>
  </si>
  <si>
    <t>Jeglinski, JWE; Goetz, KT; Werner, C; Costa, DP; Trillmich, F</t>
  </si>
  <si>
    <t>Same size same niche? Foraging niche separation between sympatric juvenile Galapagos sea lions and adult Galapagos fur seals</t>
  </si>
  <si>
    <t>Arctocephalus galapagoensis; biologging; foraging competition; habitat segregation; ontogeny; stable isotopes; Zalophus wollebaeki</t>
  </si>
  <si>
    <t>IGUANA AMBLYRHYNCHUS-CRISTATUS; STABLE-ISOTOPES; INTERSPECIFIC COMPETITION; INTERFERENCE COMPETITION; CALLORHINUS-URSINUS; FINCHES GEOSPIZA; DIVING BEHAVIOR; GREY SQUIRRELS; BODY-SIZE; FOOD</t>
  </si>
  <si>
    <t>In vertebrates, patterns of resource utilization change throughout development according to age- and or size-specific abilities and requirements. Thus, interspecific competition affects different age classes differently. Adults of sympatric species often show distinct foraging niche segregation, but juvenile resource use might overlap with adult competitors of similar body size. Resultant negative effects on juveniles can have important consequences for population dynamics, yet such interactions have received little attention in studies of mammalian communities. Using GPS tracking devices, time-depth recorders and stable isotope data, we compared diving depth, activity time, trophic position and foraging habitat characteristics to investigate foraging niche overlap between similar-sized sympatric juvenile Galapagos sea lions (Zalophus wollebaeki) and adult Galapagos fur seals (Arctocephalus galapagoensis) and compared each group with much larger-bodied adult Galapagos sea lions. We found little indication for direct competition but a complex pattern of foraging niche segregation: juvenile sea lions and adult fur seals dived to shallow depths at night, but foraged in different habitats with limited spatial overlap. Conversely, juvenile and adult sea lions employed different foraging patterns, but their foraging areas overlapped almost completely. Consistency of foraging habitat characteristics between juvenile and adult sea lions suggests that avoidance of competition may be important in shaping foraging habitat utilization. Resultant specialization on a limited habitat could contribute to low sea lion numbers that contrast with high fur seal abundance. Our data suggest that exploitation by multiple predators within spatially restricted foraging ranges of juveniles might negatively impact juvenile foraging success and ultimately influence population dynamics.</t>
  </si>
  <si>
    <t>10.1111/1365-2656.12019</t>
  </si>
  <si>
    <t>Hoyle, JA; Bowlby, JN; Morrison, BJ</t>
  </si>
  <si>
    <t>Lake whitefish and walleye population responses to dreissenid mussel invasion in eastern Lake Ontario</t>
  </si>
  <si>
    <t>zebra and quagga mussels; Bay of Quinte; Diporeia; ecosystem change; diet; water clarity</t>
  </si>
  <si>
    <t>FOOD-WEB; QUINTE; BAY; TEMPERATURE; PREDATION; COMMUNITY; ABUNDANCE; DYNAMICS; GROWTH; IMPACT</t>
  </si>
  <si>
    <t>We reviewed responses associated with the invasion of dreissenid mussels by two eastern Lake Ontario fish populations and the fisheries they support. Resurging lake whitefish and walleye populations declined following dreissenid mussel invasion in the early 1990s. Impacts on whitefish were associated with the loss of a key diet item, Diporeia, and its replacement with diet items of lower energy value. Impacts featured a die-off, dispersal, declines in juvenile and adult condition and growth rates, delayed age-at-maturity, and several years of reproductive failure. Impacts on walleye were consistent with dreissenid driven ecosystem change, particularly, clearer water. The key response by the walleye population was a downward shift in recruitment levels. This shift appears to be due to a change in the stock-recruitment relationship caused by decreased survival during early life (i.e. egg to 4-months), and suggests that the carrying capacity for these early life stages has diminished. Currently, whitefish reproduction has resumed and walleye reproduction appears stabilized at a lower level. Recent (i.e. 2003 and 2005) whitefish year-classes were relatively large but the fish are growing slowly and annual survival rate is not yet known. The whitefish commercial harvest continues to decline in synchrony with the declining adult whitefish population. The walleye recreational fishery (i.e. effort and harvest) has stabilized at a smaller size consistent with lower walleye year-class strength.</t>
  </si>
  <si>
    <t>PII 906370452</t>
  </si>
  <si>
    <t>10.1080/14634980802530392</t>
  </si>
  <si>
    <t>Park, HJ; Park, TH; Kang, HY; Lee, KS; Kim, YK; Kang, CK</t>
  </si>
  <si>
    <t>Assessment of restoration success in a transplanted seagrass bed based on isotopic niche metrics</t>
  </si>
  <si>
    <t>Restoration assessment; Zostera marina; Seagrass transplanting; Stable isotopes; Isotopic niches; Resource overlap</t>
  </si>
  <si>
    <t>EELGRASS ZOSTERA-MARINA; STABLE-ISOTOPE; CHESAPEAKE BAY; TROPHIC POSITION; CARBON; ASSEMBLAGES; HABITATS; MEADOWS; SUPPORT; ESTUARY</t>
  </si>
  <si>
    <t>A major highlight of restoration efforts is to improve the ecological structure and function of the natural ecosystem in the restored habitat. Assessment of restoration success is a crucial component of an optimal ecological management strategy. In studies to determine the restoration success of a transplanted seagrass habitat by assessing trophic recovery, we examined carbon and nitrogen stable isotope ratios of organic matter sources and macrobenthic assemblages in a transplanted eelgrass Zostera marina bed. The eelgrass bed was restored about 2 years after transplantation in a southern coastal bay of Korea, and consequently, the food web structure in the bed was compared with that in a natural reference site. Our results revealed no significant differences in isotopic values of both macrobenthic consumers and their putative food sources between the transplanted and natural seagrass beds. These isotopic similarities in florae and faunae in the two beds suggest a uniformity in food web structure formed by the diversity and availability of resources, and thereby suggest similarities in the resource?consumer relationship. Isotopic niche indices and high dietary overlaps of feeding guilds in the transplanted and natural beds further suggest the transplanted habitat provides similar ecological functions and ecosystem services to its natural counterpart. Collectively, our results suggest the eelgrass transplantation led to successful restoration of a common seagrass bed, with recovery of the functional properties of the food web structure. Finally, our findings support the idea that stable isotope measures can provide a better understanding of the functioning of restored ecosystems, and improve post-transplantation monitoring efforts for the future planning and managing of successful habitat restoration.</t>
  </si>
  <si>
    <t>10.1016/j.ecoleng.2021.106239</t>
  </si>
  <si>
    <t>Wood, CM; Kryshak, N; Gustafson, M; Hofstadter, DF; Hobart, BK; Whitmore, SA; Dotters, BP; Roberts, KN; Keane, JJ; Sawyer, SC; Gutierrez, RJ; Peery, MZ</t>
  </si>
  <si>
    <t>Density dependence influences competition and hybridization at an invasion front</t>
  </si>
  <si>
    <t>biogeography; conservation; evolution; landscape transformation; niche overlap; secondary contact; speciation</t>
  </si>
  <si>
    <t>CALIFORNIA SPOTTED OWLS; AMERICAN BLACK DUCKS; HABITAT SELECTION; BARRED OWLS; RESOURCE SELECTION; OCCUPANCY; MOUNTAINS; EXPANSION; EXTENSION; SCALES</t>
  </si>
  <si>
    <t>Aim Landscape and climatic change are promoting range shifts, potentially leading to competition and hybridization between formerly isolated species. However, density-dependent interactions can impede the timely identification of associated conservation problems. The barred owl's expansion into the spotted owl's range provides a natural experiment to test for density dependence in niche overlap and hybridization in the early versus late stages of a biological invasion, thus illuminating an important biogeographical process. Location Pacific Northwest, USA to the northern Sierra Nevada, California, USA. Methods In the northern Sierra Nevada, where barred owl density was low, we quantified niche overlap between barred owls and spotted owls along three axes (landscape-scale habitat selection based on passive acoustic survey data, foraging habitat selection measured with GPS tag data, and diet measured with stable isotopes) and assessed hybridization with phenotypic data. We then compared our findings to studies on these species from the Pacific Northwest, where barred owl density is high. Results In the Sierra Nevada, overlap in landscape-scale habitat selection was low (spotted owl sites also occupied by barred owls: 21%), overlap in foraging habitat selection and diet was high (Pianka's niche overlap: 0.802; stable isotope ellipse overlap: 0.52), and hybridization was common (hybrid:barred owl ratio: 0.364). In the Pacific Northwest, niche overlap was high (barred owl occupancy of spotted owl territories: 40%-95%, Pianka's niche overlap of foraging habitat selection and diet: 0.809 and 0.429) and hybridization was rare (hybrid:barred ratio: 0.061). Main conclusions Foraging habitat selection and diet were density-independent and therefore predictive of the competitive exclusion of spotted owls in the Pacific Northwest that has resulted from the barred owl invasion. Landscape-scale monitoring programmes capable of yielding systematic data on multiple species can offer an early warning of biological invasions; however, individual-level traits such as foraging habitat selection may influence the population processes that can determine the outcome of those invasions.</t>
  </si>
  <si>
    <t>10.1111/ddi.13240</t>
  </si>
  <si>
    <t>Hertz, E; Trudel, M; Cox, MK; Mazumder, A</t>
  </si>
  <si>
    <t>Effects of fasting and nutritional restriction on the isotopic ratios of nitrogen and carbon: a meta-analysis</t>
  </si>
  <si>
    <t>Chinook Salmon; diet; food webs; Oncorhynchus tshawytscha; stable isotopes; starvation; trophic</t>
  </si>
  <si>
    <t>STABLE-ISOTOPES; FRACTIONATION; DELTA-N-15; SIZE; DELTA-C-13; MIGRATION; ENRICHMENT; ECOSYSTEM; TISSUES; CHINOOK</t>
  </si>
  <si>
    <t>Many organisms experience fasting in their life time, and this physiological process has the potential to alter stable isotope values of organisms, and confound interpretation of food web studies. However, previous studies on the effects of fasting and starvation on stable isotopes show disparate results, and have never been quantitatively synthesized. We performed a laboratory experiment and meta-analysis to determine how stable isotopes of N-15 and C-13 change with fasting, and we tested whether moderators such as taxa and tissue explain residual variation. We collected literature data from a wide variety of taxa and tissues. We surveyed over 2000 papers, and of these, 26 met our selection criteria, resulting in 51 data points for N-15, and 43 data points for C-13. We determine that fasting causes an average increase in the isotopic value of organisms of 0.5 parts per thousand for N-15 and that the only significant moderator is tissue type. We find that the overall effect size for C-13 is not significant, but when the significant moderator of tissue is considered, significant increases in blood and whole organisms are seen with fasting. Our results show that across tissues and taxa, the nutritional status of an organism must be considered when interpreting stable isotope data, as fasting can cause large differences in stable isotope values that would be otherwise attributed to other factors.</t>
  </si>
  <si>
    <t>10.1002/ece3.1738</t>
  </si>
  <si>
    <t>Wanink, JH; Joordens, JCA</t>
  </si>
  <si>
    <t>Dietary shifts in Brycinus sadleri (Pisces : Characidae) from southern Lake Victoria</t>
  </si>
  <si>
    <t>diet expansion; diel shift; generalists; Lates niloticus; specialists; ontogenetic shift</t>
  </si>
  <si>
    <t>NILE PERCH; NILOTICUS; FISHERY; DECLINE</t>
  </si>
  <si>
    <t>We studied the diet of Brycinus sadleri in Lake Victoria after extensive environmental changes during the 1980s. To check for diet expansion following these changes, as observed in some other fish species, we compared our results with data from the 1950s. Stomach contents were analysed in relation to fish size and time of the day to investigate ontogenetic and diel shifts in the diet. Comparison of diets before and after the environmental changes showed a shift to more generalist feeding. The main food sources in the 1950s were plants during daytime and surface insects at night. Hardly any plant material was eaten during the late 1980s, but chironomid larvae, chaoborid larvae and pupae, shrimps, Odonata nymphs and fish contributed to a broader daytime diet. These prey species were also commonly taken at night, though, like in the 1950s, surface insects accounted for the major part of the diet. We found dietary shifts during ontogeny. Juveniles fed exclusively on zooplankton. Chironomid larvae, relatively large food items in comparison with zooplankton, were the key prey of sub-adult fish. Their importance decreased in the diet of adults, which included even larger prey like shrimps, Odonata nymphs and fish. At night, surface insects replaced chironomid larvae in the diet of adult fish. Diet expansion may result from reduced competition after the decline in fish mass following the Nile perch boom. An alternative explanation, increasing the prey spectrum in response to deteriorated light conditions, is not likely to hold for B. sadleri. The ontogenetic shift to increasingly larger prey and the nocturnal shift to surface insects probably reflect optimal foraging behaviour and diel vertical migration patterns of the fish respectively. These dietary shifts emphasize the feeding flexibility of B. sadleri, which may have been essential in surviving the environmental changes in Lake Victoria.</t>
  </si>
  <si>
    <t>10.1080/14634980701709352</t>
  </si>
  <si>
    <t>Zinkann, AC; Wooller, MJ; O'Brien, D; Iken, K</t>
  </si>
  <si>
    <t>Does feeding type matter? Contribution of organic matter sources to benthic invertebrates on the Arctic Chukchi Sea shelf</t>
  </si>
  <si>
    <t>Essential amino acid stable isotope; fingerprinting; Terrestrial organic matter; Bacterial organic matter; Benthic food web; Feeding strategies; Arctic food webs</t>
  </si>
  <si>
    <t>FOOD-WEB STRUCTURE; BERING-SEA; ICE COVER; TROPHIC STRUCTURE; MARINE-SEDIMENTS; STABLE-ISOTOPES; CLIMATE-CHANGE; FATTY-ACID; PACK ICE; CARBON</t>
  </si>
  <si>
    <t>Benthic communities play an important role in the nutrient cycling of settling organic matter and provide an energy link to higher trophic levels. These benthic communities are highly dependent on the food sources provided through sinking organic material, with pelagic-benthic coupling particularly strong on Arctic shelf systems. Arctic shelves, however, are experiencing shifts in the timing of sea ice breakup that can have severe implications on the amount and composition of organic matter from different primary production sources supplied to the benthos. The role of benthic invertebrates in processing organic matter is typically classified by feeding types. The goal of this study was to evaluate if benthic invertebrate feeding types are a useful concept for understanding how organic matter from various biosynthetic sources is used by benthic invertebrates across the Arctic Chukchi Sea. We employed essential amino acid (EAA) specific stable isotope fingerprinting to identify proportional contributions of three EAA sources (from bacterial, phytoplankton, and terrestrial production) as a proxy of carbon sources to the diets of benthic consumers. When grouped by feeding types, the proportional contributions of the three EAA sources were similar among suspension, deposit feeders and predators/scavengers. Different genera within the same feeding type, however, showed significant differences among the EAA sources, indicating that EAA use is genus-specific rather than feeding type-specific. We discuss characteristics other than feeding mode among genera that could account for different EAA use, including mobility, selectivity of available EAA in sediments, and other trophic aspects such as assimilation efficiency. These characteristics provide useful additional considerations when grouping organisms by feeding types. High proportions of terrestrial EAA were found in the majority of benthic genera across all feeding types and characteristics in this study, reflecting the high proportions of this organic matter source in sediments and confirming that this source is being used by benthic consumers in the Arctic. EAA contributions to various benthic genera across the Chukchi Sea shelf had only weak correlations with environmental variables. While the distinctly different uses of different EAA sources by benthic-feeding genera but not by feeding types may represent high trophic plasticity in Arctic benthic invertebrates, expected climate change-driven shifts in the supply of EAA sources to the Chukchi Sea shelf benthos may still have implications for the composition of benthic communities and energy flow through the benthic food web, including energy pathways that support current top predators.</t>
  </si>
  <si>
    <t>e00205</t>
  </si>
  <si>
    <t>10.1016/j.fooweb.2021.e00205</t>
  </si>
  <si>
    <t>Wollrab, S; Diehl, S; De Roos, AM</t>
  </si>
  <si>
    <t>Simple rules describe bottom-up and top-down control in food webs with alternative energy pathways</t>
  </si>
  <si>
    <t>Bottom-up control; dynamical model; energy channel; enrichment; food chain length; food web; harvesting; indirect effects; top-down control; topology</t>
  </si>
  <si>
    <t>EXPLOITATION ECOSYSTEMS; INTRAGUILD PREDATION; COMMUNITY STRUCTURE; POPULATION-CONTROL; SOUTHERN BENGUELA; TROPHIC DYNAMICS; MARINE MAMMALS; ASSEMBLY RULES; REGIME SHIFTS; SEA OTTERS</t>
  </si>
  <si>
    <t>Many human influences on the world's ecosystems have their largest direct impacts at either the top or the bottom of the food web. To predict their ecosystem-wide consequences we must understand how these impacts propagate. A long-standing, but so far elusive, problem in this endeavour is how to reduce food web complexity to a mathematically tractable, but empirically relevant system. Simplification to main energy channels linking primary producers to top consumers has been recently advocated. Following this approach, we propose a general framework for the analysis of bottom-up and top-down forcing of ecosystems by reducing food webs to two energy pathways originating from a limiting resource shared by competing guilds of primary producers (e.g. edible vs. defended plants). Exploring dynamical models of such webs we find that their equilibrium responses to nutrient enrichment and top consumer harvesting are determined by only two easily measurable topological properties: the lengths of the component food chains (oddodd, oddeven, or eveneven) and presence vs. absence of a generalist top consumer reconnecting the two pathways (yielding looped vs. branched webs). Many results generalise to other looped or branched web structures and the model can be easily adapted to include a detrital pathway.</t>
  </si>
  <si>
    <t>10.1111/j.1461-0248.2012.01823.x</t>
  </si>
  <si>
    <t>Yokoyama, H; Ishihi, Y</t>
  </si>
  <si>
    <t>Variation in food sources of the macrobenthos along a land-sea transect: a stable isotope study</t>
  </si>
  <si>
    <t>stable isotopes; macrobenthos; benthic microalgae; phytoplankton; tidal flat; fish farm</t>
  </si>
  <si>
    <t>ORGANIC-MATTER; WATERSHED INFLUENCES; FISH FARM; NITROGEN; CARBON; RATIOS; IMPACT; DIET; BAY; MACROZOOBENTHOS</t>
  </si>
  <si>
    <t>To evaluate the relative importance for the macrobenthos of possible food sources, including riverine particulate organic matter, reeds, benthic microalgae, seaweeds, coastal phytoplankton and aquaculture-derived matter, over 194 macrofaunal species were collected from 9 intertidal and subtidal stations along the axis of Gokasho Bay, Japan, and their isotopic compositions analyzed. The VC values for terrestrial organic matter were very different from those of the consumers (&gt; 5 parts per thousand), suggesting a negligible trophic role for this source. Differences in delta(15) N between seaweeds and primary consumers were small, suggesting a minor contribution of seaweeds. The delta C-13 values of the majority of consumers fell between coastal phytoplankton and benthic microalgae, allowing the calculation of the relative contribution of these microalgae to the diets of consumers. The estimated contribution ratios and the between-site comparison of the delta C-13 value for the same species along the bay axis suggest a shift of the main food source from benthic microalgae on the mudflat to coastal phytoplankton at the subtidal seaward stations. Several consumers collected from the fish-farm area had enriched delta N-15 and depleted delta C-13 values relative to samples of the same species that occurred outside of the farm area. The delta C-13 values of the consumers at the fish farm were significantly more depleted than those at the other stations. These findings suggest that the consumers inhabiting the farming area incorporate N-15-enriched fish meal and C-13-reduced cereals that are major constituents of fish feed.</t>
  </si>
  <si>
    <t>10.3354/meps07010</t>
  </si>
  <si>
    <t>Moore, JW; Semmens, BX</t>
  </si>
  <si>
    <t>Incorporating uncertainty and prior information into stable isotope mixing models</t>
  </si>
  <si>
    <t>bayesian; carbon; diet; food web; isotopic fractionation; MixSIR; nitrogen; rainbow trout; salmon; sampling importance resampling</t>
  </si>
  <si>
    <t>TROPHIC POSITION; INTRAPOPULATION VARIATION; CARBON ISOTOPES; DELTA-C-13; DELTA-N-15; NITROGEN; ECOLOGY; DIET; FRACTIONATION; ASSUMPTIONS</t>
  </si>
  <si>
    <t>Stable isotopes are a powerful tool for ecologists, often used to assess contributions of different sources to a mixture (e.g. prey to a consumer). Mixing models use stable isotope data to estimate the contribution of sources to a mixture. Uncertainty associated with mixing models is often substantial, but has not yet been fully incorporated in models. We developed a Bayesian-mixing model that estimates probability distributions of source contributions to a mixture while explicitly accounting for uncertainty associated with multiple sources, fractionation and isotope signatures. This model also allows for optional incorporation of informative prior information in analyses. We demonstrate our model using a predator-prey case study. Accounting for uncertainty in mixing model inputs can change the variability, magnitude and rank order of estimates of prey (source) contributions to the predator (mixture). Isotope mixing models need to fully account for uncertainty in order to accurately estimate source contributions.</t>
  </si>
  <si>
    <t>10.1111/j.1461-0248.2008.01163.x</t>
  </si>
  <si>
    <t>Leon-Sanchez, L; Nicolas, E; Nortes, PA; Maestre, FT; Querejeta, JI</t>
  </si>
  <si>
    <t>Photosynthesis and growth reduction with warming are driven by nonstomatal limitations in a Mediterranean semi-arid shrub</t>
  </si>
  <si>
    <t>Climate change; dryland ecosystems; Helianthemum squamatum; leaf trait plasticity; plant nutrient status; plant survival and growth; plant-climate interactions; stable isotopes</t>
  </si>
  <si>
    <t>OXYGEN-ISOTOPE COMPOSITION; CLIMATE-CHANGE; TEMPERATE STEPPE; STOMATAL CONDUCTANCE; NORTHERN-HEMISPHERE; TERRESTRIAL PLANTS; MYCORRHIZAL FUNGI; CARBON ISOTOPES; USE EFFICIENCY; STABLE OXYGEN</t>
  </si>
  <si>
    <t>Whereas warming enhances plant nutrient status and photosynthesis in most terrestrial ecosystems, dryland vegetation is vulnerable to the likely increases in evapotranspiration and reductions in soil moisture caused by elevated temperatures. Any warming-induced declines in plant primary production and cover in drylands would increase erosion, land degradation, and desertification. We conducted a four-year manipulative experiment in a semi-arid Mediterranean ecosystem to evaluate the impacts of a similar to 2 degrees C warming on the photosynthesis, transpiration, leaf nutrient status, chlorophyll content, isotopic composition, biomass growth, and postsummer survival of the native shrub Helianthemum squamatum. We predicted that warmed plants would show reduced photosynthetic activity and growth, primarily due to the greater stomatal limitation imposed by faster and more severe soil drying under warming. On average, warming reduced net photosynthetic rates by 36% across the study period. Despite this strong response, warming did not affect stomatal conductance and transpiration. The reduction of peak photosynthetic rates with warming was more pronounced in a drought year than in years with near-average rainfall (75% and 25-40% reductions relative to controls, respectively), with no indications of photosynthetic acclimation to warming through time. Warmed plants had lower leaf N and P contents, delta C-13, and sparser and smaller leaves than control plants. Warming reduced shoot dry mass production by 31%. However, warmed plants were able to cope with large reductions in net photosynthesis, leaf area, and shoot biomass production without changes in postsummer survival rates. Our findings highlight the key role of nonstomatal factors (biochemical and/or nutritional) in reducing net carbon assimilation rates and growth under warming, which has important implications for projections of plant carbon balance under the warmer and drier climatic scenario predicted for drylands worldwide. Projected climate warming over the coming decades could reduce net primary production by about one-third in semi-arid gypsum shrublands dominated by H. squamatum.</t>
  </si>
  <si>
    <t>10.1002/ece3.2074</t>
  </si>
  <si>
    <t>Leng, MJ; Baneschi, I; Zanchetta, G; Jex, CN; Wagner, B; Vogel, H</t>
  </si>
  <si>
    <t>Late Quaternary palaeoenvironmental reconstruction from Lakes Ohrid and Prespa (Macedonia/Albania border) using stable isotopes</t>
  </si>
  <si>
    <t>TEPHROSTRATIGRAPHIC RECORD; ENVIRONMENTAL-CHANGE; CARBON; WATER; HYDROLOGY; SEDIMENTS; ALBANIA; CLIMATE; OXYGEN; CAVE</t>
  </si>
  <si>
    <t>Here we present stable isotope data from three sediment records from lakes that lie along the Macedonian-Albanian border (Lake Prespa: 1 core, and Lake Ohrid: 2 cores). The records only overlap for the last 40 kyr, although the longest record contains the MIS 5/6 transition (Lake Ohrid). The sedimentary characteristics of both lakes differ significantly between the glacial and interglacial phases. At the end of MIS 6 Lake Ohrid's water level was low (high delta O-18(calcite)) and, although productivity was increasing (high calcite content), the carbon supply was mainly from inorganic catchment rock sources (high delta C-13(carb)). During the last interglacial, calcite and TOC production and preservation increased, progressively lower delta O-18(calcite) suggest increase in humidity and lake levels until around 115 ka. During ca. 80 ka to 11 ka the lake records suggest cold conditions as indicated by negligible calcite precipitation and low organic matter content. In Lake Ohrid, delta C-13(org) are complacent; in contrast, Lake Prespa shows consistently higher delta C-13(org) suggesting a low oxidation of C-13-depleted organic matter in agreement with a general deterioration of climate conditions during the glacial. From 15 ka to the onset of the Holocene, calcite and TOC begin to increase, suggesting lake levels were probably low (high delta O-18(calcite)). In the Holocene (11 ka to present) enhanced productivity is manifested by high calcite and organic matter content. All three cores show an early Holocene characterised by low delta O-18(calcite), apart from the very early Holocene phase in Prespa where the lowest delta O-18(calcite) occurs at ca. 7.5 ka, suggesting a phase of higher lake level only in (the more sensitive) Lake Prespa. From 6 ka, delta O-18(calcite) suggest progressive aridification, in agreement with many other records in the Mediterranean, although the uppermost sediments in one core records low delta O-18(calcite) which we interpret as a result of human activity. Overall, the isotope data present here confirm that these two big lakes have captured the large scale, low frequency palaeoclimate variation that is seen in Mediterranean lakes, although in detail there is much palaeoclimate information that could be gained, especially small scale, high frequency differences between this region and the Mediterranean.</t>
  </si>
  <si>
    <t>10.5194/bg-7-3109-2010</t>
  </si>
  <si>
    <t>Bethke, BJ; Rantala, HM; Ahrenstorff, TD; Kelly, HAW; Kovalenko, KE; Maki, RP; Hirsch, JK; Dumke, JD; Brady, VJ; LeDuc, JF; Hansen, GJA</t>
  </si>
  <si>
    <t>Walleye and yellow perch resource use in large lakes invaded by spiny water fleas and zebra mussels</t>
  </si>
  <si>
    <t>Invasive species; Walleye; Yellow perch; Stable isotopes; Resource partitioning; Littoral and pelagic resources; Food web; Percid</t>
  </si>
  <si>
    <t>STABLE-ISOTOPE ANALYSES; FRESH-WATER; PRIOR INFORMATION; TROPHIC POSITION; SANDER-VITREUS; FOOD WEBS; IMPACTS; GROWTH; FISH; CONSEQUENCES</t>
  </si>
  <si>
    <t>Walleye (Sander vitreus; WAE) and yellow perch (Perca flavescens; YEP; collectively percids) are freshwater fishes threatened by multiple stressors, including aquatic invasive species. Zebra mussels (Dreissena polymorpha; ZM) and spiny water fleas (Bythotrephes cederstromii; SWF) are aquatic invasive species that reduce pelagic zooplankton biomass, an important food resource for both age-0 percids and the prey fish of adult percids. Both percid species are generalist consumers, and it is unknown how they respond to reduced pelagic energy resources associated with invasions. We examined pelagic and littoral energy use in percids from nine large north temperate lakes which vary in invasion status. We sampled adult and age-0 percids from each lake in 2017 or 2018 and analyzed muscle tissue for delta C-13 and delta N-15 isotope ratios. We characterized isotope baselines with littoral and pelagic invertebrates to allow cross-lake comparisons. We estimated the proportion pelagic reliance using Bayesian mixing models and determined the variance contribution of ZM and SWF presence to estimates using model comparison. Pelagic reliance of percids sampled from ZM-invaded lakes was consistently lower than uninvaded lakes, while pelagic reliance of percids sampled from SWF-invaded lakes was greater than uninvaded lakes, although neither effect was statistically distinguishable from zero. Model comparison indicated pelagic reliance of adult WAE, age-0 WAE, and age-0 YEP was influenced by ZM presence, while pelagic reliance of adult YEP was influenced by SWF presence. If percid populations persistently rely on pelagic resources, despite those resources being reduced, there may be negative consequences to growth, survival, or recruitment.</t>
  </si>
  <si>
    <t>10.1007/s10452-023-10030-0</t>
  </si>
  <si>
    <t>Schmutz, A; Schob, C</t>
  </si>
  <si>
    <t>Crops grown in mixtures show niche partitioning in spatial water uptake</t>
  </si>
  <si>
    <t>competition; intercropping; niche overlap; overyielding; plasticity; productivity; resource partitioning; spatial root distribution; spatial water uptake; stable isotopes</t>
  </si>
  <si>
    <t>PHENOTYPIC PLASTICITY; ROOT DISTRIBUTION; STABLE-ISOTOPES; PLANT; COMPLEMENTARITY; SEGREGATION; DIVERSITY; SELECTION; PATTERNS; CAPTURE</t>
  </si>
  <si>
    <t>More diverse plant communities are generally more productive than monocultures. This benefit of species diversity is supposed to stem from resource partitioning of species in mixtures where different species use the resources spatially, temporally, or chemically in distinct ways. With respect to water, the simultaneous cultivation of crops with distinct water uptake patterns might reduce niche overlaps and thus result in higher productivity. However, little is known about whether and how spatial water uptake patterns of crop species differ among different planting arrangements and whether these changes result in increased niche partitioning and explain overyielding in mixtures. Stable isotopes of water and a Bayesian model were used to investigate the spatial water uptake patterns of six different crop species and how these patterns change depending on the planting arrangement (monocultures vs mixtures). Niche overlaps and niche widths in spatial water uptake were compared among the different crop diversity levels and linked to productivity. Furthermore, spatial water uptake was related to competition intensity and overyielding in mixtures. We found evidence for increased niche partitioning in spatial water uptake, and therefore complementary spatial root distributions of crop species, and higher expected productivity in mixtures compared to expected productivity in monocultures both due to inherent species-level differences in water uptake and plasticity in the water uptake pattern of species. We also found a significant relationship of competition and overyielding with observed patterns in spatial water uptake. These results suggest that competition was most intense in shallow soil layers and enhanced overyielding was related to a gradual increase of water uptake in deeper soil layers. Thus, overyielding might be related to a more complete spatial exploitation of available water sources. Synthesis. Differences in spatial water uptake and niche partitioning of intercropped species, driven most likely by a complementary spatial root distribution, might explain why mixtures outperform monocultures. These findings underpin the potential of intercropping systems for a more sustainable agriculture with a more efficient use of soil resources and hence reduced input demands.</t>
  </si>
  <si>
    <t>10.1111/1365-2745.14088</t>
  </si>
  <si>
    <t>Hussey, NE; Olin, JA; Kinney, MJ; McMeans, BC; Fisk, AT</t>
  </si>
  <si>
    <t>Lipid extraction effects on stable isotope values (delta C-13 and delta N-15) of elasmobranch muscle tissue</t>
  </si>
  <si>
    <t>Intra- and inter-species variability; Lipids; Sharks; Skate; Stable isotopes; Urea</t>
  </si>
  <si>
    <t>SHARKS CARCHARHINUS-LEUCAS; JUVENILE BULL SHARKS; DISCRIMINATION FACTORS; FISH-TISSUES; CARBON; DIET; FRACTIONATION; RATIOS; FOOD; UREA</t>
  </si>
  <si>
    <t>Given the known effect of lipid content on delta C-13 values and the potential effect of urea on ON values, examining the effects of lipid extraction, which can potentially extract both, is of particular importance for elasmobranch isotope ecology. Through analysing paired delta C-13, total %C, delta N-15, total %N and C:N values of non-lipid extracted (BULK) and lipid extracted (LE) muscle samples from twenty-one elasmobranch species, we assessed whether lipid extraction was required: (i) to remove lipids given reported low lipid content and, (ii) to determine if delta N-15 values were affected and whether this relates to the retention of isotopically light urea by elasmobranchs. The mean (+/- SD) delta C-13 values of eight out of twenty-one species significantly increased following lipid extraction with two species, the Greenland (Somniosus microcephalus) and whale (Rhincodon typus) shark, showing a marked increase (5.0 +/- 0.4 parts per thousand and 3.3 parts per thousand, respectively). The mean (+/- SD) and maximum increase in delta C-13 values were 0.6 +/- 1.2 parts per thousand and 5.9 parts per thousand, respectively. For delta N-15 data, thirteen species showed a significant increase following lipid extraction and a concomitant reduction in total percent nitrogen (%N). The C:N ratio for these species also increased from unexpectedly low values of &lt;3.0 to similar to 3.0, the value expected for pure protein. The mean and maximum observed increase in delta N-15 values were 0.6 +/- 0.6 parts per thousand and 2.3 parts per thousand, respectively. There was no effect of increasing animal size on delta C-13 and delta N-15 difference (LE-BULK) for the two species examined. Field sampled animals (sampled immediately upon capture in the marine environment) showed a greater delta N-15 difference than animals sampled in the laboratory (sampled several hours after capture in the marine environment) (1.0 +/- 0.5 parts per thousand and 0.4 +/- 0.4 parts per thousand respectively), while estuarine sampled animals (sampled immediately) showed the smallest difference (0.1 +/- 0.6 parts per thousand). The delta C-13 data demonstrate that lipid extraction is required to remove lipids from elasmobranch muscle tissue given both intra- and inter- species variability. In addition, the increase in delta N-15 values, decrease in %N and increase in C:N ratio indicate that lipid extraction is removing soluble urea. Given lower delta N-15 diet-tissue discrimination factors for large marine predators, removal of urea is required to elucidate accurate trophic position estimates and relative food web position of elasmobranchs and for diet reconstruction. It is recommended that investigators undertake lipid extraction trials on elasmobranch muscle tissue to determine effects on delta C-13 and delta N-15 values on a species-by-species basis. Crown Copyright (C) 2012 Published by Elsevier B.V. All rights reserved.</t>
  </si>
  <si>
    <t>10.1016/j.jembe.2012.07.012</t>
  </si>
  <si>
    <t>Schweiger, AK; Cavender-Bares, J; Kothari, S; Townsend, PA; Madritch, MD; Grossman, JJ; Gholizadeh, H; Wang, R; Gamon, JA</t>
  </si>
  <si>
    <t>Coupling spectral and resource-use complementarity in experimental grassland and forest communities</t>
  </si>
  <si>
    <t>ecosystem productivity; individual plant growth; n-dimensional hypervolume concept; optical types; spectral types; spectroscopy</t>
  </si>
  <si>
    <t>PLANT; BIODIVERSITY; DIVERSITY</t>
  </si>
  <si>
    <t>Reflectance spectra provide integrative measures of plant phenotypes by capturing chemical, morphological, anatomical and architectural trait information. Here, we investigate the linkages between plant spectral variation, and spectral and resource-use complementarity that contribute to ecosystem productivity. In both a forest and prairie grassland diversity experiment, we delineated n-dimensional hypervolumes using wavelength bands of reflectance spectra to test the association between the spectral space occupied by individual plants and their growth, as well as between the spectral space occupied by plant communities and ecosystem productivity. We show that the spectral space occupied by individuals increased with their growth, and the spectral space occupied by plant communities increased with ecosystem productivity. Furthermore, ecosystem productivity was better explained by inter-individual spectral complementarity than by the large spectral space occupied by productive individuals. Our results indicate that spectral hypervolumes of plants can reflect ecological strategies that shape community composition and ecosystem function, and that spectral complementarity can reveal resource-use complementarity.</t>
  </si>
  <si>
    <t>10.1098/rspb.2021.1290</t>
  </si>
  <si>
    <t>Senior, MJM; Hamer, KC; Bottrell, S; Edwards, DP; Fayle, TM; Lucey, JM; Mayhew, PJ; Newton, R; Peh, KSH; Sheldon, FH; Stewart, C; Styring, AR; Thom, MDF; Woodcock, P; Hill, JK</t>
  </si>
  <si>
    <t>Trait-dependent declines of species following conversion of rain forest to oil palm plantations</t>
  </si>
  <si>
    <t>Biodiversity; Elaeis guineensis; Malaysia; SE Asia; Stable isotope</t>
  </si>
  <si>
    <t>HABITAT FRAGMENTATION; COMMUNITY STRUCTURE; ECOSYSTEM FUNCTION; CONSERVATION VALUE; TROPHIC POSITION; STABLE-ISOTOPES; LOWLAND FOREST; RESOURCE USE; BIODIVERSITY; DIVERSITY</t>
  </si>
  <si>
    <t>Conversion of natural habitats to agriculture reduces species richness, particularly in highly diverse tropical regions, but its effects on species composition are less well-studied. The conversion of rain forest to oil palm is of particular conservation concern globally, and we examined how it affects the abundance of birds, beetles, and ants according to their local population size, body size, geographical range size, and feeding guild or trophic position. We re-analysed data from six published studies representing 487 species/genera to assess the relative importance of these traits in explaining changes in abundance following forest conversion. We found consistent patterns across all three taxa, with large-bodied, abundant forest species from higher trophic levels, declining most in abundance following conversion of forest to oil palm. Best-fitting models explained 39-66 % of the variation in abundance changes for the three taxa, and included all ecological traits that we considered. Across the three taxa, those few species found in oil palm tended to be small-bodied species, from lower trophic levels, that had low local abundances in forest. These species were often hyper-abundant in oil palm plantations. These results provide empirical evidence of consistent responses to land-use change among taxonomic groups in relation to ecological traits.</t>
  </si>
  <si>
    <t>10.1007/s10531-012-0419-7</t>
  </si>
  <si>
    <t>Ayliffe, LK; Cerling, TE; Robinson, T; West, AG; Sponheimer, M; Passey, BH; Hammer, J; Roeder, B; Dearing, MD; Ehleringer, JR</t>
  </si>
  <si>
    <t>Turnover of carbon isotopes in tail hair and breath CO2 of horses fed an isotopically varied diet</t>
  </si>
  <si>
    <t>carbon isotopes; hair; breath CO2; turnover; model</t>
  </si>
  <si>
    <t>STABLE ISOTOPES; TOOTH ENAMEL; FRACTIONATION; TISSUES; DELTA-C-13; CLIMATE; C-13</t>
  </si>
  <si>
    <t>Temporal stable isotope records derived from animal tissues are increasingly studied to determine dietary and climatic histories. Despite this, the turnover times governing rates of isotope equilibration in specific tissues following a dietary isotope change are poorly known. The dietary isotope changes recorded in the hair and blood bicarbonate of two adult horses in this study are found to be successfully described by a model having three exponential isotope pools. For horse tail hair, the carbon isotope response observed following a dietary change from a C-3 to a C-4 grass was consistent with a pool having a very fast turnover rate (t(1/2)similar to0.5 days) that made up similar to41% of the isotope signal, a pool with an intermediate turnover rate (t(1/2) similar to4 days) that comprised similar to15% of the isotope signal, and a pool with very slow turnover rate (t(1/2) similar to140 days) that made up similar to44% of the total isotope signal. The carbon isotope signature of horse blood bicarbonate, in contrast, had a different isotopic composition, with similar to67% of the isotope signal coming from a fast turnover pool (t(1/2) 0.2 days), similar to17% from a pool with an intermediate turnover rate (t(1/2) similar to3 days) and similar to16% from a pool with a slow turnover rate (t(1/2) similar to50 days). The constituent isotope pools probably correspond to one exogenous and two endogenous sources. The exogenous source equates to our fast turnover pool, and the pools with intermediate and slow turnover rates are thought to derive from the turnover of metabolically active tissues and relatively inactive tissues within the body, respectively. It seems that a greater proportion of the amino acids available for hair synthesis come from endogenous sources compared to the compounds undergoing cellular catabolism in the body. Consequently, the isotope composition of blood bicarbonate appears to be much more responsive to dietary isotope changes, whereas the amino acids in the blood exhibit considerable isotopic inertia.</t>
  </si>
  <si>
    <t>10.1007/s00442-003-1479-x</t>
  </si>
  <si>
    <t>ALISAUSKAS, RT; HOBSON, KA</t>
  </si>
  <si>
    <t>DETERMINATION OF LESSER SNOW GOOSE DIETS AND WINTER DISTRIBUTION USING STABLE ISOTOPE ANALYSIS</t>
  </si>
  <si>
    <t>DELTA-C-13 ANALYSIS; GEESE; IVORY</t>
  </si>
  <si>
    <t>We were interested in demonstrating the existence of different subpopulations of wintering geese. Consequently, we measured stable-isotope ratios of carbon (C-13/C-12) and nitrogen (N-15/N-14), in lipid-extracted breast muscle of 30 lesser snow geese (Chen caerulescens caerulescens) collected in winter from 3 distinct habitat types: coastal marsh in Louisiana (n = 7), rice agriculture in Texas (n = 12), and corn agriculture in Iowa and Missouri (n = 11). We also measured concentrations of the same stable isotopes in 6 winter foods important to geese: Olney's bulrush (Scirpus olneyi) tubers and marshhay cordgrass (Spartina patens) rhizomes from coastal marsh habitat, graminoid and non-graminoid green vegetation and non-agricultural seeds from rice prairie habitat, and corn. With the exception of rhizomes from marsh habitat and non-graminoid forbs from rice prairie, foods were segregated isotopically. This provided potential for isotopic segregation of geese wintering in the 3 habitat types. Outliers were presumably birds that had moved between habitat types or individuals that had not consumed ''average'' diets from within habitats. Stable isotopes can function as natural markers and provide important insight about recent diet or location histories of highly mobile animals such as waterfowl.</t>
  </si>
  <si>
    <t>10.2307/3808999</t>
  </si>
  <si>
    <t>Schowanek, SD; Davis, M; Lundgren, EJ; Middleton, O; Rowan, J; Pedersen, RO; Ramp, D; Sandom, CJ; Svenning, JC</t>
  </si>
  <si>
    <t>Reintroducing extirpated herbivores could partially reverse the late Quaternary decline of large and grazing species</t>
  </si>
  <si>
    <t>extinction; functional ecology; large herbivores; late Quaternary; macroecology; restoration; rewilding; trophic downgrading</t>
  </si>
  <si>
    <t>LATE PLEISTOCENE; MEGAFAUNA EXTINCTIONS; NATIONAL-PARK; RESTORATION; ECOLOGY; MAMMALS; FIRE; DIET; DIVERSITY; IMPACTS</t>
  </si>
  <si>
    <t>Aim Reinstating large, native herbivores is an essential component of ecological restoration efforts, as these taxa can be important drivers of ecological processes. However, many herbivore species have gone globally or regionally extinct during the last 50,000 years, leaving simplified herbivore assemblages and trophically downgraded ecosystems. Here, we discuss to what extent trophic rewilding can undo these changes by reinstating native herbivores. Location Global. Time period We report functional trait changes from the Late Pleistocene to the present, and estimated trait changes under future scenarios. Major taxa studied Wild, large (&gt;= 10 kg), terrestrial, mammalian herbivores. Methods We use a functional trait dataset containing all late Quaternary large herbivores &gt;= 10 kg to look at changes in the body mass and diet composition of herbivore assemblages, a proxy for species' ecological effects. First, we assess how these traits have changed from the Late Pleistocene to the present. Next, we quantify how the current body mass and diet composition would change if all extant, wild herbivores were restored to their native ranges (and if no functional replacements were used), exploring scenarios with different baselines. Results Defaunation has primarily removed large and grazing herbivores. Reinstating extant herbivores across their native ranges would reverse these changes, especially when reinstating them to their prehistoric distributions. It would partially restore herbivore body mass and diet composition to pre-anthropogenic conditions. However, in the absence of complementary interventions (e.g., introducing functional replacements), many herbivore assemblages would remain down-sized and browser dominated, relative to pre-anthropogenic conditions. Main conclusions Many terrestrial herbivore assemblages-and hence ecosystems-would remain trophically downgraded, even after bringing back all extant, native herbivores. Therefore, complementary interventions would be required to achieve complete functional restoration. Nevertheless, our findings suggest that reintroducing the remaining native herbivores would diversify the herbivory and disturbances of herbivore assemblages.</t>
  </si>
  <si>
    <t>10.1111/geb.13264</t>
  </si>
  <si>
    <t>Harding, JMS; Reynolds, JD</t>
  </si>
  <si>
    <t>From earth and ocean: investigating the importance of cross-ecosystem resource linkages to a mobile estuarine consumer</t>
  </si>
  <si>
    <t>connectivity; conservation; cross-ecosystem processes; ecosystem-based management; fisheries; flux; Great Bear Rainforest; landscape structure; Pacific Northwest; particulate organic matter; salmon; subsidy</t>
  </si>
  <si>
    <t>CARBON ISOTOPIC COMPOSITION; RIVER-DOMINATED ESTUARY; CRAB CANCER-MAGISTER; PACIFIC SALMON; SPAWNING SALMON; DUNGENESS CRABS; STABLE-ISOTOPES; ORGANIC-MATTER; RHONE RIVER; FOOD WEBS</t>
  </si>
  <si>
    <t>Externally derived resources often contribute to the structuring of ecological communities. Estuaries are one of the most productive ecosystems in the world and provide an ideal system to test how communities may be shaped by resource subsidies because they occur at the intersection of marine, freshwater and terrestrial habitats. Here we tested the effects of both terrestrial- and salmon-derived subsidies, in addition to other factors such as habitat area, on the diet (inferred from stable isotopes), abundance and size of a mobile estuarine consumer, the Dungeness crab (Metacarcinus magister). Crab trap surveys encompassed 19 watersheds over two seasons in the central coast of British Columbia, Canada, which spanned natural gradients in estuary size, watershed size, riparian tree composition, and Pacific salmon spawning density. Stable isotope ratios of crab tissue confirmed the predictions that estuarine nutrient regimes can be strongly affected by upstream watershed size, salmon density, and the dominance of nitrogen-fixing red alder (Alnus rubra). There were more crabs in larger estuaries and the largest crabs were found in estuaries below the largest watersheds. The proportional contributions of terrestrial- and salmon-derived subsidies to the diet of Dungeness crabs increased with watershed size and salmon density, respectively. These results confirmed that resource subsidies can constitute large proportions of the Dungeness crab's diet, that crab abundance is determined by habitat size, but that crab size is affected by the magnitude of terrestrial resource influx.</t>
  </si>
  <si>
    <t>10.1890/ES14-00029.1</t>
  </si>
  <si>
    <t>Bedolla-Guzman, Y; Masello, JF; Aguirre-Munoz, A; Lavaniegos, BE; Voigt, CC; Gomez-Gutierrez, J; Sanchez-Velasco, L; Robinson, CJ; Quillfeldt, P</t>
  </si>
  <si>
    <t>Year-round niche segregation of three sympatric Hydrobates storm-petrels from Baja California Peninsula, Mexico, Eastern Pacific</t>
  </si>
  <si>
    <t>Ecological segregation; Seabird; Diet; Stable isotopes; Breeding phase; Marine isoscape; Oceanodroma</t>
  </si>
  <si>
    <t>STABLE-ISOTOPE ANALYSIS; ANTARCTIC FULMARINE PETRELS; PTYCHORAMPHUS-ALEUTICUS; OCEANODROMA-LEUCORHOA; TROPHIC RELATIONSHIPS; CHANNEL-ISLANDS; FORAGING AREAS; MIXING MODELS; DIET; DELTA-N-15</t>
  </si>
  <si>
    <t>Ecologically similar species partition their use of resources and habitats and thus coexist due to ecological segregation in space, time, or diet. In seabirds, this segregation may differ over the annual cycle or vary inter-annually. We evaluated niche segregation in 3 sympatric storm-petrel species (Hydrobates melania, H. leucorhous, and H. microsoma) from the San Benito Islands, Mexico, during 2012 and 2013. We used diet samples and carbon (delta C-13) and nitrogen (delta N-15) isotopic values obtained from egg membranes, blood, feathers, and prey. We used krill samples to delineate marine delta C-13 and delta N-15 isoscapes for the Baja California Peninsula. During the breeding season, storm-petrels segregated regarding diet composition, stable isotope values, and isotopic niches. H. melania consumed higher trophic-position prey from neritic waters, while H. leucorhous and H. microsoma foraged on lower-trophic position prey from oceanic waters. Isotopic niches among species did not overlap in 2013, whereas those of H. microsoma and H. leucorhous overlapped in 2012. The feeding strategies of H. melania varied among breeding phases, and adults consumed different prey items from different areas compared to those of their offspring. H. microsoma adults and their chicks consumed the same prey items but from different habitats. During the non-breeding period, niche segregation between species persisted, except for H. microsoma and H. leucorhous during the molt of primary (P1) and undertail cover feathers. These 3 sympatric species coexist through niche segregation based on prey items and foraging areas that vary seasonally and year-round, probably due to changes in oceanographic conditions and the distribution and availability of prey.</t>
  </si>
  <si>
    <t>10.3354/meps13645</t>
  </si>
  <si>
    <t>Kleber, M; Nico, PS; Plante, AF; Filley, T; Kramer, M; Swanston, C; Sollins, P</t>
  </si>
  <si>
    <t>Old and stable soil organic matter is not necessarily chemically recalcitrant: implications for modeling concepts and temperature sensitivity</t>
  </si>
  <si>
    <t>density fractions; differential scanning calorimetry (DSC); near edge X-ray absorption fine structure spectroscopy (NEXAFS); radiocarbon; recalcitrance; scanning transmission X-ray microscopy (STXM); soil organic matter; stable isotopes; turnover time</t>
  </si>
  <si>
    <t>X-RAY MICROSCOPY; HUMIC SUBSTANCES; CARBON DYNAMICS; STABILIZATION; DECOMPOSITION; TURNOVER; NEXAFS; LIGNIN; HETEROGENEITY; RADIOCARBON</t>
  </si>
  <si>
    <t>Soil carbon turnover models generally divide soil carbon into pools with varying intrinsic decomposition rates. Although these decomposition rates are modified by factors such as temperature, texture, and moisture, they are rationalized by assuming chemical structure is a primary controller of decomposition. In the current work, we use near edge X-ray absorption fine structure (NEXAFS) spectroscopy in combination with differential scanning calorimetry (DSC) and alkaline cupric oxide (CuO) oxidation to explore this assumption. Specifically, we examined material from the 2.3-2.6 kg L-1 density fraction of three soils of different type (Oxisol, Alfisol, Inceptisol). The density fraction with the youngest 14C age (Oxisol, 107 years) showed the highest relative abundance of aromatic groups and the lowest O-alkyl C/aromatic C ratio as determined by NEXAFS. Conversely, the fraction with the oldest C (Inceptisol, 680 years) had the lowest relative abundance of aromatic groups and highest O-alkyl C/aromatic C ratio. This sample also had the highest proportion of thermally labile materials as measured by DSC, and the highest ratio of substituted fatty acids to lignin phenols as indicated by CuO oxidation. Therefore, the organic matter of the Inceptisol sample, with a 14C age associated with 'passive' pools of carbon (680 years), had the largest proportion of easily metabolizable organic molecules with low thermodynamic stability, whereas the organic matter of the much younger Oxisol sample (107 years) had the highest proportion of supposedly stable organic structures considered more difficult to metabolize. Our results demonstrate that C age is not necessarily related to molecular structure or thermodynamic stability, and we suggest that soil carbon models would benefit from viewing turnover rate as codetermined by the interaction between substrates, microbial actors, and abiotic driving variables. Furthermore, assuming that old carbon is composed of complex or 'recalcitrant' compounds will erroneously attribute a greater temperature sensitivity to those materials than they may actually possess.</t>
  </si>
  <si>
    <t>10.1111/j.1365-2486.2010.02278.x</t>
  </si>
  <si>
    <t>Decottignies, P; Beninger, PG; Rince, Y; Robins, RJ; Riera, P</t>
  </si>
  <si>
    <t>Exploitation of natural food sources by two sympatric, invasive suspension-feeders: Crassostrea gigas and Crepidula fornicata</t>
  </si>
  <si>
    <t>slipper limpet; oyster; diet; stable isotopes; IsoSource; delta C-13; delta N-15</t>
  </si>
  <si>
    <t>NITROGEN STABLE-ISOTOPES; MARENNES-OLERON BAY; MIXING MODELS; SPARTINA-ALTERNIFLORA; BENTHIC INVERTEBRATES; PARTICLE CLEARANCE; CERASTODERMA-EDULE; ORGANIC-MATTER; ESTUARINE; CARBON</t>
  </si>
  <si>
    <t>The natural diets of the introduced suspension-feeders Crassostrea gigas (Thunberg) and Crepidula fornicata (L.) were determined at a mid-latitudinal oyster-farming site within their European range (Bourgneuf Bay, France). Carbon and nitrogen stable isotope deviations of Pacific oysters and slipper limpets were compared with potential food sources on 3 sampling dates (March, July and November 2003). Four end-members were assimilated by the 2 species: C-3 angiosperm detritus, macroalgae-C-4 plant detritus, marine phytoplankton and benthic diatoms. Given the lack of source digestibility data for suspension-feeders, and these 2 species in particular, extreme feasible combinations of relative end-member contributions were calculated according to 2 assimilation scenarios, using either IsoSource software or a concentration- dependent model. For both Crassostrea gigas and Crepidula fornicata, benthic and planktonic microalgae dominated diets on the 3 sampling dates. Planktonic microalgae were ingested in greater proportions than benthic species in July and November; however, benthic diatoms also formed a constant and significant part of diets in these months, and were consumed in greater proportions than planktonic species in March. Plant (especially macroalgal) detritus played a major role in the diets of the 2 suspension-feeders, notably in March 2003 when it became the principal ingested source. The substantial contribution of plant detritus to the natural diets of these species has not previously been reported. Although Crassostrea gigas and Crepidula fornicata showed significantly different isotopic deviations in March and July 2003, trophic niches of Crassostrea gigas and Crepidula fornicata overlapped on all 3 sampling dates, with a greater ingestion of identical sources in November. These 2 invasive species could therefore be trophic competitors in the context of end-member supply limitation. Contrary to previous analyses conducted on these 2 species in Europe, this study reports significant dietary overlap. Ecosystem-specific diet studies of invasive species are thus necessary in order to understand trophic overlap/ competition as a function of the diversity and availability of local food sources.</t>
  </si>
  <si>
    <t>10.3354/meps334179</t>
  </si>
  <si>
    <t>Savoca, MS; Tyson, CW; McGill, M; Slager, CJ</t>
  </si>
  <si>
    <t>Odours from marine plastic debris induce food search behaviours in a forage fish</t>
  </si>
  <si>
    <t>plastic pollution; forage fish; Engraulis mordax; olfaction; foraging</t>
  </si>
  <si>
    <t>CALIFORNIA CURRENT; DIMETHYL SULFIDE; KEYSTONE SIGNIFICANCE; ANCHOVY; OCEAN; ACIDIFICATION; PREDATORS; INGESTION; MOLECULES; ECOLOGY</t>
  </si>
  <si>
    <t>Plastic pollution is an anthropogenic stressor in marine ecosystems globally. Many species of marine fish (more than 50) ingest plastic debris. Ingested plastic has a variety of lethal and sublethal impacts and can be a route for bioaccumulation of toxic compounds throughout the food web. Despite its pervasiveness and severity, our mechanistic understanding of this maladaptive foraging behaviour is incomplete. Recent evidence suggests that the chemical signature of plastic debris may explain why certain species are predisposed to mistaking plastic for food. Anchovy (Engraulis sp.) are abundant forage fish in coastal upwelling systems and a critical prey resource for top predators. Anchovy ingest plastic in natural conditions, though the mechanism they use to misidentify plastic as prey is unknown. Here, we presented wild-caught schools of northern anchovy (Engraulis mordax) with odour solutions made of plastic debris and clean plastic to compare school-wide aggregation and rheotactic responses relative to food and food odour presentations. Anchovy schools responded to plastic debris odour with increased aggregation and reduced rheotaxis. These results were similar to the effects food and food odour presentations had on schools. Conversely, these behavioural responses were absent in clean plastic and control treatments. To our knowledge, this is the first experimental evidence that adult anchovy use odours to forage. We conclude that the chemical signature plastic debris acquires in the photic zone can induce foraging behaviours in anchovy schools. These findings provide further support for a chemosensory mechanism underlying plastic consumption by marine wildlife. Given the trophic position of forage fish, these findings have considerable implications for aquatic food webs and possibly human health.</t>
  </si>
  <si>
    <t>10.1098/rspb.2017.1000</t>
  </si>
  <si>
    <t>Clem, CS; Hobson, KA; Harmon-Threatt, AN</t>
  </si>
  <si>
    <t>Insights into natal origins of migratory Nearctic hover flies (Diptera: Syrphidae): new evidence from stable isotope (delta H-2) assignment analyses</t>
  </si>
  <si>
    <t>biological control; deuterium; hover fly; insect migration; isoscapes; pollination; stable isotopes; Syrphidae</t>
  </si>
  <si>
    <t>MONARCH BUTTERFLIES; SEASONAL MIGRATION; HYDROGEN; ARMYWORM; INSECTS; APHID; LEPIDOPTERA; POPULATION; ECOLOGY</t>
  </si>
  <si>
    <t>Hover flies (Diptera: Syrphidae) are an important group of insects that provide a multitude of key ecosystem services including pollination and biological control, yet many of their major life history traits are not understood. Some Palearctic hover fly species are known to migrate in response to changing seasonal conditions, yet this behavior is almost entirely unrecognized in Nearctic species. At least one species, Eupeodes americanus, is partially migratory during autumn while Allograpta obliqua may be non-migratory, but it is unknown where these insects originate and how far they may travel. We examined natal origins of two Nearctic hover fly species, A. obliqua and E. americanus, using stable hydrogen isotope (delta H-2) measurements of metabolically inactive tissues (wings and legs) to derive a hover fly delta H-2 isoscape. While A. obliqua was mostly of local origin, several E. americanus were sourced from northern latitudes in the Midwestern United States and Canada, representing travel distance of up to 3000 km likely using seasonally favorable air currents. This phenomenon is expected to have major ecological and economic ramifications, especially in the realm of plant pollination ecology and biological control.</t>
  </si>
  <si>
    <t>10.1111/ecog.06465</t>
  </si>
  <si>
    <t>Hatch, SA</t>
  </si>
  <si>
    <t>Kittiwake diets and chick production signal a 2008 regime shift in the Northeast Pacific</t>
  </si>
  <si>
    <t>Black-legged kittiwake; Steller sea lion; Forage fish; Capelin; Climate change; 60-year cycle; Pacific Decadal Oscillation; Prey relative occurrence</t>
  </si>
  <si>
    <t>CAPELIN MALLOTUS-VILLOSUS; LIONS EUMETOPIAS-JUBATUS; PRINCE-WILLIAM-SOUND; CLIMATE OSCILLATIONS; SEABIRD POPULATIONS; EMPIRICAL-EVIDENCE; LIFE-HISTORY; FORAGE FISH; BERING-SEA; OCEAN</t>
  </si>
  <si>
    <t>I examined similar to 2700 food samples collected from adult and nestling black-legged kittiwakes Rissa tridactyla from 1978 through 2011 on Middleton Island in the Gulf of Alaska. The kittiwake diet was composed chiefly of fish, but invertebrates were taken in appreciable quantities in April and May. Upon spring arrival at the colony, adult kittiwakes foraged regularly at night on vertically migrating mesopelagic prey-lanternfishes (Myctophidae), squids, crustaceans, and polychaetes-a behavior they largely discontinued by egg-laying. During incubation and chick-rearing, food samples contained mostly (similar to 85% by weight) Pacific sand lance Ammodytes hexapterus, capelin Mallotus villosus, Pacific herring Clupea pallasii, sablefish Anopoploma fimbria, krill (Euphausiidae), and juvenile salmon Onchorynchus gorboscha and O. keta. A salient finding over the longitudinal study was the emergence, twice, of capelin as a dominant forage species-once in 2000 to 2003, and again in 2008 through 2011. Kittiwakes responded to capelin availability by producing markedly higher numbers of fledged young. The 2000 to 2003 event corresponded to a previously documented shift to cooler conditions in the NE Pacific, which apparently was relatively limited in magnitude or duration. The more recent transition appears stronger and may be more lasting. I submit that 2008 was an important turning point, marking a substantive reversal of warm conditions that began with the well-documented regime shift of 1977. That interpretation is consistent with the existence of a similar to 60 yr cycle in ocean and atmospheric conditions in the North Pacific. All else being equal, it predicts the next 20 to 30 yr will be favorable for species such as kittiwakes and Steller sea lions, which seemed to respond negatively to the 1977 to 2007 warm phase of the Pacific Decadal Oscillation.</t>
  </si>
  <si>
    <t>10.3354/meps10161</t>
  </si>
  <si>
    <t>Stable nitrogen and carbon isotope ratios in multiple tissues of the northern fur seal Callorhinus ursinus: implications for dietary and migratory reconstructions</t>
  </si>
  <si>
    <t>stable isotopes; northern fur seals; feeding ecology; foraging; migration; trophic dynamics</t>
  </si>
  <si>
    <t>FOOD-WEB STRUCTURE; TROPHIC RELATIONSHIPS; GROWTH-RATE; PLANKTON DELTA-C-13; NATURAL-ABUNDANCE; ORGANIC-MATTER; BERING-SEA; FRACTIONATION; PHYTOPLANKTON; TURNOVER</t>
  </si>
  <si>
    <t>We investigated changes in trophic level and feeding location over time in juvenile male northern fur seals Callorhinus ursinus from the Pribilof Islands, Alaska, using stable nitrogen (delta(15)N) and carbon (delta(13)C) isotope analyses of their fur, muscle, blubber, brain, liver, and kidney tissues. Mean delta(15)N values were non-uniform between tissues and ranged from 14.9 parts per thousand (fur) to 17.1 parts per thousand (lipid extracted blubber). Mean VC values also varied with tissue type and ranged from -24.7 parts per thousand (non-lipid extracted blubber) to -17.5parts per thousand (fur). Mean isotope values of tissues clustered into groups coincident with their estimated protein and isotope turnover times, with fur representing the most remote incorporation of isotopic data, followed by muscle (delta(15)N = 15.1 to 15.6parts per thousand; delta(13)C = -18.1parts per thousand), brain (delta(15)N = 17.0parts per thousand; delta(13)C = -18.4 to -18.1 parts per thousand), blubber (delta(15)N = 17.1 parts per thousand; delta(13)C = -19.7 parts per thousand to -18.1 parts per thousand), kidney (delta(15)N = 16.4 parts per thousand; delta(13)C = -18.5 to -18.2parts per thousand), and liver (delta(15)N = 16.0parts per thousand to 16.2 parts per thousand; delta(13)C = -18.4 %o to -18.2parts per thousand). Mean kidney and liver delta(15)N values (similar to16.3parts per thousand) indicated that juvenile males from St. Paul and St. George Islands were feeding at the same trophic level during summer 1997. Mean kidney and liver delta(13)C values suggested that juvenile males from St. George Island (delta(13)C = -18.2parts per thousand) were feeding at the Bering Sea shelf break, while juvenile males from St. Paul Island (delta(13)C = -18.5parts per thousand) were feeding more on the continental shelf. Comparing delta(15)N ratios of fur with delta(15)N values from all other tissues allowed us to estimate that juvenile males were at their lowest trophic level when they were at the youngest age (similar to2 yr old) targeted in this study. Mean delta(15)N values from tissues collected opportunistically from 2 nulliparous females (delta(15)N values ranged from 16.1parts per thousand for muscle to 18.0parts per thousand for blubber) and 2 post-parturient females (delta(15)N values ranged from 16.1 parts per thousand for muscle to 18.9 parts per thousand for blubber) suggested that, at all times, females were feeding at higher trophic levels than juvenile males. Lipid-extracted blubber samples from juvenile males had much higher delta(15)N values,(17.1 %o) and VC values (-19.7 to -18.1parts per thousand) than non-lipid extracted blubber (-16.0 and similar to-24.7parts per thousand, respectively), underscoring the importance of lipid removal when analyzing tissues for stable isotopes.</t>
  </si>
  <si>
    <t>10.3354/meps236289</t>
  </si>
  <si>
    <t>Webb, JK; Shine, R; Christian, KA</t>
  </si>
  <si>
    <t>Does intraspecific niche partitioning in a native predator influence its response to an invasion by a toxic prey species?</t>
  </si>
  <si>
    <t>conservation; population; predation; snake; toxic prey</t>
  </si>
  <si>
    <t>TOAD BUFO-MARINUS; DEATH ADDER; CANE TOAD; AUSTRALIA; ELAPIDAE; SNAKE; POPULATIONS; DIMORPHISM; BUFONIDAE; SERPENTES</t>
  </si>
  <si>
    <t>The introduced and highly toxic cane toad (Bufo marinus) is rapidly spreading across northern Australia where it may affect populations of large terrestrial vertebrate predators. The ecological impact of cane toads will depend upon the diets, foraging modes and habitat use of native predators, and their feeding responses to cane toads. However, intraspecific niche partitioning may influence the degree of vulnerability of predators to toxic prey, as well as the time course of the impact of alien invaders on native species. We studied the diet of the northern death adder Acanthophis praelongus and their feeding responses to cane toads. In the laboratory, death adders from all size classes and sexes readily consumed frogs and cane toads. Diets of free ranging A. praelongus from the Adelaide River floodplain were more heterogeneous. Juvenile snakes ate mainly frogs (39% of prey items) and small scincid lizards (43%). Both sexes displayed an ontogenetic dietary shift from lizards to mammals, but adult males fed on frogs (49%) and mammals (39%) whereas adult females (which grew larger than males) fed mainly on mammals (91%) and occasionally, frogs (9%). Feeding rates and body condition of adult snakes varied temporally and tracked fluctuations in prey availability. These results suggest that cane toads may negatively affect populations of northern death adders in the Darwin region. However, we predict that different size and sex classes of A. praelongus will experience differential mortality rates over different timescales. The initial invasion of large toads may affect adult males, but juveniles may be unaffected until juvenile toads appear the following year, and major affects on adult female death adders may be delayed until annual rainfall fluctuations reduce the availability of alternative (rodent) prey.</t>
  </si>
  <si>
    <t>10.1111/j.1442-9993.2005.01437.x</t>
  </si>
  <si>
    <t>Jonsson, T; Karlsson, P; Jonsson, A</t>
  </si>
  <si>
    <t>Trophic interactions affect the population dynamics and risk of extinction of basal species in food webs</t>
  </si>
  <si>
    <t>ECOLOGICAL COMPLEXITY</t>
  </si>
  <si>
    <t>Food webs; Spectral colour; Primary producers; Basal species; Environmental stochasticity; Extinction risk; Interaction strength</t>
  </si>
  <si>
    <t>CAPITA INTERACTION STRENGTH; PREY BODY-SIZE; ENVIRONMENTAL NOISE; VARIABLE ENVIRONMENTS; STABILITY; COLOR; VARIABILITY; PERSISTENCE; MODELS; AUTOCORRELATION</t>
  </si>
  <si>
    <t>This paper addresses effects of trophic complexity on basal species, in a Lotka-Volterra model with stochasticity. We use simple food web modules, with three trophic levels, and expose every species to random environmental stochasticity and analyze (1) the effect of the position of strong trophic interactions on temporal fluctuations in basal species' abundances and (2) the relationship between fluctuation patterns and extinction risk. First, the numerical simulations showed that basal species do not simply track the environment, i.e. species dynamics do not simply mirror the characteristics of the applied environmental stochasticity. Second, the extinction risk of species was related to the fluctuation patterns of the species. More specifically, we show (i) that despite being forced by random stochasticity without temporal autocorrelation (i.e. white noise), there is significant temporal autocorrelation in the time series of all basal species' abundances (i.e. the spectra of basal species are red-shifted), (ii) the degree of temporal autocorrelation in basal species time series is affected by food web structure and (iii) the degree of temporal autocorrelation tend to be correlated to the extinction risks of basal species. Our results emphasize the role of food web structure and species interactions in modifying the response of species to environmental variability. To shed some light on the mechanisms we compare the observed pattern in abundances of basal species with analytically predicted patterns and show that the change in the predicted pattern due to the addition of strong trophic interactions is correlated to the extinction risk of the basal species. We conclude that much remain to be understood about the mechanisms behind the interaction among environmental variability, species interactions, population dynamics and vulnerability before we quantitatively can predict, for example, effects of climate change on species and ecological communities. Here, however, we point out a new possible approach for identifying species that are vulnerable to environmental stochasticity by checking the degree of temporal autocorrelation in the time series of species. Increased autocorrelation in population fluctuations can be an indication of increased extinction risk. (C) 2009 Elsevier BM. All rights reserved.</t>
  </si>
  <si>
    <t>10.1016/j.ecocom.2009.05.013</t>
  </si>
  <si>
    <t>Wang, YX; Fang, NF; Tong, LS; Shi, ZH</t>
  </si>
  <si>
    <t>Source identification and budget evaluation of eroded organic carbon in an intensive agricultural catchment</t>
  </si>
  <si>
    <t>Soil erosion; Check dam; Sediment sources; Soil organic carbon; Stable carbon isotope</t>
  </si>
  <si>
    <t>LOESS PLATEAU; SOIL-EROSION; SUSPENDED SEDIMENT; NITROGEN ISOTOPES; CHECK-DAMS; CHINA; MATTER; RIVER; DEPOSITION; CYCLE</t>
  </si>
  <si>
    <t>Soil erosion affects the redistribution of soil and associated soil organic carbon (SOC) from different landforms, and it has significant implications regarding the fate of eroded SOC and terrestrial carbon sequestration. Despite the importance of soil erosion, few studies have evaluated the sources and budget of eroded SOC in the Loess Plateau region, which suffers from severe soil erosion. Based on an 11.3 m check dam sediment profile, we used the Cs-137 activity and extreme rainfall events as dating methods to date sediment sequences. In addition, the natural abundance levels of the stable carbon isotope (delta C-13) of bulk organic matter and a two-end-member mixing model were used to discriminate the sources of eroded SOC from different siltation stages retained by the check dam in an intensive agricultural catchment of the Loess Plateau, China. The eroded SOC captured by the check dam was compared to potential source materials from different landscape units, which included sloping cropland and gully surface soils (0-5 cm). The results showed that the check dam intercepted 98.5 Gg of eroded soil and 172.6 Mg of SOC. The eroded SOC was primarily sourced from sloping cropland, which contributed to 81.3% of the total SOC retained by the check dam, whereas the gully soils contributed to 18.7% during the entire siltation stage. Additionally, the contribution of sloping cropland to eroded SOC increased from 1960 to 1990 as a result of rainfall and anthropogenic activities. A total of 89.7 Mg SOC was lost during soil erosion processes at a rate of 0.17 Mg ha(-1) yr(-1) and accounted for approximately 30% of the total eroded SOC exported from the eroding areas. Our results indicate that the soil erosion process has been an important net source of SOC in the study catchment. The check dam served as a carbon storage and sequestration structure for the hilly loess region due to its beneficial conditions for carbon sequestration over broad temporal and spatial distributions.</t>
  </si>
  <si>
    <t>10.1016/j.agee.2017.07.011</t>
  </si>
  <si>
    <t>Spiller, DA; Piovia-Scott, J; Wright, AN; Yang, LH; Takimoto, G; Schoener, TW; Iwata, T</t>
  </si>
  <si>
    <t>Marine subsidies have multiple effects on coastal food webs</t>
  </si>
  <si>
    <t>allochthonous inputs; Anolis sagrei; apparent competition; apparent mutualism; Conocarpus erectus; Exumas, central Bahamas; food webs; herbivory; lizards; marine subsidies; resource pulse; seaweed</t>
  </si>
  <si>
    <t>GULF-OF-CALIFORNIA; INTRODUCED PREDATORS; PERIODICAL CICADAS; TROPHIC CASCADES; APPARENT COMPETITION; NUMERICAL RESPONSE; STABLE-ISOTOPES; AQUATIC INSECTS; DYNAMICS; LIZARDS</t>
  </si>
  <si>
    <t>The effect of resource subsidies on recipient food webs has received much recent attention. The purpose of this study was to measure the effects of significant seasonal seaweed deposition events, caused by hurricanes and other storms, on species inhabiting subtropical islands. The seaweed represents a pulsed resource subsidy that is consumed by amphipods and flies, which are eaten by lizards and predatory arthropods, which in turn consume terrestrial herbivores. Additionally, seaweed decomposes directly into the soil under plants. We added seaweed to six shoreline plots and removed seaweed from six other plots for three months; all plots were repeatedly monitored for 12 months after the initial manipulation. Lizard density (Anolis sagrei) responded rapidly, and the overall average was 63% higher in subsidized than in removal plots. Stable-isotope analysis revealed a shift in lizard diet composition toward more marine-based prey in subsidized plots. Leaf damage was 70% higher in subsidized than in removal plots after eight months, but subsequent damage was about the same in the two treatments. Foliage growth rate was 70% higher in subsidized plots after 12 months. Results of a complementary study on the relationship between natural variation in marine subsidies and island food web components were consistent with the experimental results. We suggest two causal pathways for the effects of marine subsidies on terrestrial plants: (1) the fertilization effect in which seaweed adds nutrients to plants, increasing their growth rate, and (2) the predator diet shift effect in which lizards shift from eating local prey (including terrestrial herbivores) to eating mostly marine detritivores.</t>
  </si>
  <si>
    <t>10.1890/09-0715.1</t>
  </si>
  <si>
    <t>Negishi, JN; Terui, A; Nessa, B; Miura, K; Oiso, T; Sumitomo, K; Kyuka, T; Yonemoto, M; Nakamura, F</t>
  </si>
  <si>
    <t>High resilience of aquatic community to a 100-year flood in a gravel-bed river</t>
  </si>
  <si>
    <t>Abundance; Fish; Food web; Macroinvertebrates; Water pollution</t>
  </si>
  <si>
    <t>NUTRIENT ENRICHMENT; ISOTOPE RATIOS; FOOD WEBS; BENTHIC INVERTEBRATES; RAINBOW-TROUT; STREAM; DISTURBANCE; NITROGEN; CATCHMENT; RECOVERY</t>
  </si>
  <si>
    <t>Our understanding of ecosystem responses to exceedingly large rare flood events is currently limited. We report the resilience of aquatic community to a 100-year record-high flood, and how it varies depending on levels of water pollution, in a fourth-order gravel-bed river in northern Japan. We used data on riparian landscape structure, channel morphology, and community structure of aquatic fauna, which were collected in sites with and without effluent before (1 month-3 years) and after (10 months) the flood. Carbon and nitrogen stable isotope ratios of consumers and basal resources were measured only before (1 year) the flood. We observed aquatic food web with introduced rainbow trout (Oncorhynchus mykiss) as the top predator, with variable relative contributions of basal resources and their pathways to the rainbow trout, under the effects of water pollution. Biofilm-originating dietary carbon became the more dominant resource, with a slightly shorter food-chain length in the polluted sites. The flood led to a loss of riparian forest and a substantial increase in the proportion of exposed gravel bars (5-24%). While the average river-bed elevation changed a little, the localized scours of river bed down to &gt; 2 m were observed with lateral shifts of channel thalweg. Despite the landscape-level physical and structural changes of ecosystem, aquatic community showed a remarkably high resilience exhibiting negligible changes in abundance, except in the polluted site where only fish abundance showed a slight decrease. This study suggests that the abundance of aquatic organisms in gravel-bed rivers is resilient to a flood of unprecedented magnitude in recent history.</t>
  </si>
  <si>
    <t>10.1007/s11355-019-00373-y</t>
  </si>
  <si>
    <t>Hodge, AE; Gese, EM; Kluever, BM</t>
  </si>
  <si>
    <t>Does water availability shift dietary preferences of coyotes in the west desert of Utah?</t>
  </si>
  <si>
    <t>Coyote; Desert; Diet; Free water; Leporidae</t>
  </si>
  <si>
    <t>GREAT-BASIN DESERT; KIT FOX; VULPES-MACROTIS; WILDLIFE; CARNIVORE; REMOVAL; ECOLOGY; ABUNDANCE; PATTERNS; OVERLAP</t>
  </si>
  <si>
    <t>Water is one of the most essential resources on the planet and shapes entire ecosystems. Across the western United States, thousands of artificial water sources have been installed to assist wildlife populations in arid environments. It has been reported that kit foxes (Vulpes macrotis) can live independently of free-drinking water, but coyotes (Canis latrans) would have to more than triple their intake of prey biomass to meet energy re-quirements. However, previous researchers discovered no change in coyote space use, nor were survival rates of coyotes influenced by the removal of water sources. We predicted coyote diets in the treatment areas (i.e., water removed) would show an increase in leporids, as a source of preformed water after the water removal to compensate for the lack of free water. However, we found no evidence of a dietary shift by coyotes towards large -bodied prey (i.e., leporids) after water sources were removed; occurrence of leporids in the coyote diet decreased after water removal in both the control and treatment areas. Based on this study and previous research in Utah's west desert, coyotes in the Great Basin ecosystem were not influenced by artificial water sources in a spatial, demographic, or dietary capacity.</t>
  </si>
  <si>
    <t>10.1016/j.jaridenv.2022.104833</t>
  </si>
  <si>
    <t>Nash, LN; Antiqueira, PAP; Romero, GQ; de Omena, PM; Kratina, P</t>
  </si>
  <si>
    <t>Warming of aquatic ecosystems disrupts aquatic-terrestrial linkages in the tropics</t>
  </si>
  <si>
    <t>aquatic&amp;#8211; terrestrial linkages; body size; climate warming; cross&amp;#8208; ecosystem subsidies; decomposition; habitat size; insect emergence; tank&amp;#8208; bromeliads</t>
  </si>
  <si>
    <t>FOOD-WEB STRUCTURE; TROPHIC CASCADES; HABITAT SIZE; TOP-DOWN; TEMPERATURE; DECOMPOSITION; STREAM; CARBON; EUTROPHICATION; PREDATORS</t>
  </si>
  <si>
    <t>Aquatic ecosystems are tightly linked to terrestrial ecosystems by exchanges of resources, which influence species interactions, community dynamics and functioning in both ecosystem types. However, our understanding of how this coupling responds to climate warming is restricted to temperate, boreal and arctic regions, with limited knowledge from tropical ecosystems. We investigated how warming aquatic ecosystems impact cross-ecosystem exchanges in the tropics, through the export of aquatic resources into the terrestrial environment and the breakdown of terrestrial resources within the aquatic environment. We experimentally heated 50 naturally assembled aquatic communities, contained within different-sized tank-bromeliads, to a 23.5-32 degrees C gradient of mean water temperatures. The biomass, abundance and richness of aquatic insects emerging into the terrestrial environment all declined with rising temperatures over a 45-day experiment. Structural equation and linear mixed effects modelling suggested that these impacts were driven by deleterious effects of warming on insect development and survival, rather than being mediated by aquatic predation, nutrient availability or reduced body size. Decomposition was primarily driven by microbial activity. However, total decomposition by both microbes and macroinvertebrates increased with temperature in all but the largest ecosystems, where it decreased. Thus, warming decoupled aquatic and terrestrial ecosystems, by reducing the flux of aquatic resources to terrestrial ecosystems but variably enhancing or reducing terrestrial resource breakdown in aquatic ecosystems. In contrast with increased emergence observed in warmed temperate ecosystems, future climate change is likely to reduce connectivity between tropical terrestrial and aquatic habitats, potentially impacting consumers in both ecosystem types. As tropical ectotherms live closer to their thermal tolerance limits compared to temperate species, warming can disrupt cross-ecosystem dynamics in an interconnected tropical landscape and should be considered when investigating ecosystem-level consequences of climate change.</t>
  </si>
  <si>
    <t>10.1111/1365-2656.13505</t>
  </si>
  <si>
    <t>Matley, JK; Maes, GE; Devloo-Delva, F; Huerlimann, R; Chua, G; Tobin, AJ; Fisk, AT; Simpfendorfer, CA; Heupel, MR</t>
  </si>
  <si>
    <t>Integrating complementary methods to improve diet analysis in fishery-targeted species</t>
  </si>
  <si>
    <t>coral reef; coral trout; diet; fisheries; metabarcoding; next-generation sequencing; Plectropomus; stable isotopes; stomach contents</t>
  </si>
  <si>
    <t>CORAL-REEF FISH; PLECTROPOMUS-LEOPARDUS; ECOLOGICAL CONSEQUENCES; HABITAT DEGRADATION; TEMPORAL VARIATION; MARINE RESERVES; DNA; COMMUNITIES; SERRANIDAE; DIVERSITY</t>
  </si>
  <si>
    <t>Developing efficient, reliable, cost-effective ways to identify diet is required to understand trophic ecology in complex ecosystems and improve food web models. A combination of techniques, each varying in their ability to provide robust, spatially and temporally explicit information can be applied to clarify diet data for ecological research. This study applied an integrative analysis of a fishery-targeted species groupPlectropomus spp. in the central Great Barrier Reef, Australia, by comparing three diet-identification approaches. Visual stomach content analysis provided poor identification with similar to 14% of stomachs sampled resulting in identification to family or lower. A molecular approach was successful with prey from similar to 80% of stomachs identified to genus or species, often with several unique prey in a stomach. Stable isotope mixing models utilizing experimentally derived assimilation data, identified similar prey as the molecular technique but at broader temporal scales, particularly when prior diet information was incorporated. Overall, Caesionidae and Pomacentridae were the most abundant prey families (&gt;50% prey contribution) for all Plectropomus spp., highlighting the importance of planktivorous prey. Less abundant prey categories differed among species/color phases indicating possible niche segregation. This study is one of the first to demonstrate the extent of taxonomic resolution provided by molecular techniques, and, like other studies, illustrates that temporal investigations of dietary patterns are more accessible in combination with stable isotopes. The consumption of mainly planktivorous prey within this species group has important implications within coral reef food webs and provides cautionary information regarding the effects that changing resources could have in reef ecosystems.</t>
  </si>
  <si>
    <t>10.1002/ece3.4456</t>
  </si>
  <si>
    <t>Wong, MKL; Lee, RH; Leong, CM; Lewis, OT; Guenard, B</t>
  </si>
  <si>
    <t>Trait-mediated competition drives an ant invasion and alters functional diversity</t>
  </si>
  <si>
    <t>community; functional trait; limiting similarity; niche; trait hierarchy</t>
  </si>
  <si>
    <t>COMMUNITY ECOLOGY; THERMAL TOLERANCE; TRADE-OFF; HYMENOPTERA; DOMINANCE; HIERARCHIES; SIMILARITY; CONSISTENT; VEGETATION</t>
  </si>
  <si>
    <t>The assumption that differences in species' traits reflect their different niches has long influenced how ecologists infer processes from assemblage patterns. For instance, many assess the importance of environmental filtering versus classical limiting-similarity competition in driving biological invasions by examining whether invaders' traits are similar or dissimilar to those of residents, respectively. However, mounting evidence suggests that hierarchical differences between species' trait values can distinguish their competitive abilities (e.g. for the same resource) instead of their niches. Whether such trait-mediated hierarchical competition explains invasions and structures assemblages is less explored. We integrate morphological, dietary, physiological and behavioural trait analyses to test whether environmental filtering, limiting-similarity competition or hierarchical competition explain invasions by fire ants on ant assemblages. We detect both competition mechanisms; invasion success is not only explained by limiting similarity in body size and thermal tolerance (presumably allowing the invader to exploit different niches from residents), but also by the invader's superior position in trait hierarchies reflecting competition for common trophic resources. We find that the two mechanisms generate complex assemblage-level functional diversity patterns-overdispersion in some traits, clustering in others-suggesting their effects are likely missed by analyses restricted to a few traits and composite trait diversity measures.</t>
  </si>
  <si>
    <t>10.1098/rspb.2022.0504</t>
  </si>
  <si>
    <t>Evans, HS; Coulter, AA; Johnson, AL; Lamer, JT; Whitledge, GW</t>
  </si>
  <si>
    <t>Comparison of resource use by invasive Black Carp and native fishes using isotopic niche analysis reveals spatial variation in potential competition</t>
  </si>
  <si>
    <t>Invasive carps; delta C-13; delta N-15; SIBER; Aquatic invasive species (AIS)</t>
  </si>
  <si>
    <t>DRUM APLODINOTUS-GRUNNIENS; STABLE-ISOTOPES; MYLOPHARYNGODON-PICEUS; MISSISSIPPI RIVER; BLUE CATFISH; DIET; CONSEQUENCES; OVERLAP; IMPACT; DELTA-N-15</t>
  </si>
  <si>
    <t>Invasive Black Carp (Mylopharyngodon piceus) pose a dual threat to North American freshwater ecosystems through consumption of threatened and endangered mussels and competition with native molluscivores. Despite the potential for Black Carp to compete with native riverine fishes for mussels and other invertebrate prey, only one published study has compared Black Carp trophic position with that of native fishes and only encompassed a single river. The objectives of this study were to assess trophic overlap between Black Carp and two native fish species in the Mississippi River Basin using isotopic niche analysis. Dorsal muscle tissue samples were collected from Black Carp, Freshwater Drum (Aplodinotus grunniens), and Blue Catfish (Ictalurus furcatus) and analyzed for delta 13C and delta 15N. Although overlap in isotopic niches between Black Carp and native species was low to moderate (10-48%) across most comparisons, native species isotopic niches were entirely or almost entirely inside Black Carp isotopic niche in the Upper/Middle Mississippi River and Lower Mississippi River, indicating that potential for competition for food resources may vary spatially. Intraspecific isotopic niche overlap among locations within the Mississippi River Basin was highly variable (0-69%) for all three species. This variation appeared to be driven by differences among locations, highlighting the importance of assessing interspecific isotopic niche overlap spatially. Broad isotopic niches exhibited by Black Carp in the Mississippi River Basin are indicative of substantial trophic diversity among individuals and use of multiple basal energy sources. The large breadth of their trophic niche has likely contributed to Black Carp invasion success.</t>
  </si>
  <si>
    <t>10.1007/s10530-023-03038-y</t>
  </si>
  <si>
    <t>Nottestad, L; Krafft, BA; Anthonypillai, V; Bernasconi, M; Langard, L; Mork, HL; Ferno, A</t>
  </si>
  <si>
    <t>Recent changes in distribution and relative abundance of cetaceans in the Norwegian Sea and their relationship with potential prey</t>
  </si>
  <si>
    <t>whales; dolphins; spatial distribution; shift; feeding; pelagic fish; climate change</t>
  </si>
  <si>
    <t>WHALES ORCINUS-ORCA; CLIMATE-CHANGE; KILLER WHALES; MARINE MAMMALS; SUMMER; PATTERNS; DIET</t>
  </si>
  <si>
    <t>This study aimed to assess possible shifts in distributional patterns of cetaceans residing in the Norwegian Sea, and to relate the distribution to their feeding ecology during the summer seasons of 2009, 2010, and 2012. During this same period, historically large abundances in the order of 15 million tonnes pelagic planktivorous fish such as Norwegian spring -spawning herring (Clupea harengus), northeast Atlantic mackerel (Scomber scombrus) and blue whiting (Micromesistius poutassou), have been reported feeding in the Norwegian Sea during the summer. There is also observed elevated average surface temperatures and a reduction in zooplankton biomass during the last two decades. Such changes might influence species composition, distribution patterns and feeding preferences of cetaceans residing the region. Our results show higher densities of toothed whales, killer whales (Orcinus orca) and pilot whales (Globicephala melas), than the previous norm for these waters. Baleen whales, such as minke whales (Balaenoptera acutorostrata) and fin whales (Balaenoptera physalus), which are often associated with macro-zooplankton, displayed a distribution overlap with pelagic fish abundances. Humpback whales (Megaptera novaeangliae) were observed in low numbers, indicating a shift in habitat preference, compared to sighting data collected only few years earlier. Our study illustrate that both small and large cetaceans that reside in the Norwegian Sea have the capability to rapidly perform shifts in distribution and abundance patterns strongly associated with adaptive search behavior in relation to both changing levels of abundance in their prey and elevated sea -surface temperatures. This study provides new evidence on high ecological plasticity in response to changing predator-prey trophic relationships and elevated sea -surface temperatures.</t>
  </si>
  <si>
    <t>10.3389/fevo.2014.00083</t>
  </si>
  <si>
    <t>Allen, DE; Pringle, MJ; Butler, DW; Henry, BK; Bishop, TFA; Bray, SG; Orton, TG; Dalal, RC</t>
  </si>
  <si>
    <t>Effects of land-use change and management on soil carbon and nitrogen in the Brigalow Belt, Australia: I. Overview and inventory</t>
  </si>
  <si>
    <t>RANGELAND JOURNAL</t>
  </si>
  <si>
    <t>Acacia harpophylla; carbon-nitrogen ratio; land clearance; pastures; regrowth; stable isotopes</t>
  </si>
  <si>
    <t>ORGANIC-CARBON; VEGETATION; RESTORATION; DELTA-C-13; PASTURE; FORESTS; STOCKS; BIODIVERSITY; QUEENSLAND; REGROWTH</t>
  </si>
  <si>
    <t>Soil and land-management interactions in Australian native-forest regrowth remain a major source of uncertainty in the context of the global carbon economy. We sampled soil total organic C (TOC) and soil total N (TN) stocks at 45 sites within the Brigalow ecological community of the Brigalow Belt bioregion, Queensland, Australia. The sites were matched as triplets representing three land uses, specifically: uncleared native brigalow forest ('Remnant'); grassland pasture ('Pasture'), derived by clearing native vegetation and maintained as pasture for a minimum of 10 years, and; regrowing native brigalow forest ('Regrowth', stand ages ranging from 10 to 58 years) that had developed spontaneously after past vegetation clearing for pasture establishment. Soil TOC fractions and natural abundance of soil C and N isotopes were examined to obtain insight into C and N dynamics. An updated above-and belowground carbon budget for the bioregions was generated. Average soil TOC stocks at 0-0.3-m depth ranged from 19 to 79 Mg ha(-1) and soil TN stocks from 1.8 to 7.1 Mg ha(-1) (2.5th and 97.5th percentiles, respectively). A trend in stocks was apparent with land use: Remnant &gt; Regrowth congruent to Pasture sites. Soil delta C-13 ranged from -14 to -27%, and soil delta N-15 ranged from 4% to 17%, in general reflecting the difference between Pasture (C-4-dominated) land use and N-2-fixing (C-3-dominated) Remnant and Regrowth. Mid-infrared spectroscopy predicted C fractions as a percentage of soil TOC stock, which ranged from 5% to 60% (particulate), 20-80% (humus) and 9-30% (resistant/inert). The geo-referenced soil and management information we collected is important for the calibration of C models, for the estimation of national C accounts, and to inform policy developments in relation to land-resource management undertaken within the Brigalow Belt bioregions of Australia.</t>
  </si>
  <si>
    <t>10.1071/RJ16009</t>
  </si>
  <si>
    <t>Feder, HM; Iken, K; Blanchard, AL; Jewett, SC; Schonberg, S</t>
  </si>
  <si>
    <t>Benthic food web structure in the southeastern Chukchi Sea: an assessment using delta C-13 and delta N-15 analyses</t>
  </si>
  <si>
    <t>Arctic; Chukchi Sea; Kotzebue Sound; Benthos; POC; Stable isotopes; Marine food web</t>
  </si>
  <si>
    <t>TROPHIC RELATIONSHIPS; ORGANIC-MATTER; ICE ALGAE; CARBON ISOTOPES; ARCTIC BENTHOS; CLIMATE-CHANGE; SHELF; PHYTOPLANKTON; COMMUNITY; ECOSYSTEM</t>
  </si>
  <si>
    <t>The benthos of the southeastern Chukchi Sea shelf is typified by high faunal abundance and biomass resulting from settlement of a large proportion of seasonal phytoplankton under highly nutritious offshore Bering Shelf Anadyr Water (BSAW). In contrast, inshore Alaska Coastal Water (ACW) is much less productive. Yet the Chukchi Bight and Kotzebue Sound, located under ACW in the southeastern Chukchi Sea, contain a substantial faunal abundance and biomass of invertebrates, fishes and marine mammals. We examined food web structure to gain an understanding of how a relatively rich benthic fauna with a high biomass can be supported under ACW with a supposedly low flux of carbon to the benthos. We measured stable isotope (delta C-13 and delta N-15) values of selected organisms (from zooplankton to fishes) as markers of food sources and trophic position to compare fauna on the shelf under BSAW with that in the Chukchi Bight and Kotzebue Sound under ACW. Relative isotope position of organisms in all three regions was similar, even though some pelagic species within the Sound were depleted in delta C-13 compared to the other regions. We attribute the depletion to the influence of terrestrially derived carbon. We suggest that the hydrodynamics along an oceanic front between the Chukchi Shelf and the Chukchi Bight support the advection of nutrient-rich POC into the Bight and Sound as additional food sources to local production. We conclude that local conditions and multiple POC sources in the Bight and Sound support the substantial population of benthic invertebrates and the fishes, seabirds, and marine mammals that feed on them.</t>
  </si>
  <si>
    <t>10.1007/s00300-010-0906-9</t>
  </si>
  <si>
    <t>Detjen, M; Sterling, E; Gomez, A</t>
  </si>
  <si>
    <t>Stable isotopes in barnacles as a tool to understand green sea turtle (Chelonia mydas) regional movement patterns</t>
  </si>
  <si>
    <t>CARETTA-CARETTA; CENTRAL PACIFIC; MARINE TURTLES; COMMENSAL; ECOLOGY; O-18; PHYLOGEOGRAPHY; INDICATORS; DIVERSITY; PARASITES</t>
  </si>
  <si>
    <t>Sea turtles are migratory animals that travel long distances between their feeding and breeding grounds. Traditional methods for researching sea turtle migratory behavior have important disadvantages, and the development of alternatives would enhance our ability to monitor and manage these globally endangered species. Here we report on the isotope signatures in green sea-turtle (Chelonia mydas) barnacles (Platylepas sp.) and discuss their potential relevance as tools with which to study green sea turtle migration and habitat use patterns. We analyzed oxygen (delta O-18) and carbon (delta C-13) isotope ratios in barnacle calcite layers from specimens collected from green turtles captured at the Palmyra Atoll National Wildlife Refuge (PANWR) in the central Pacific. Carbon isotopes were not informative in this study. However, the oxygen isotope results suggest likely regional movement patterns when mapped onto a predictive oxygen isotope map of the Pacific. Barnacle proxies could therefore complement other methods in understanding regional movement patterns, informing more effective conservation policy that takes into account connectivity between populations.</t>
  </si>
  <si>
    <t>10.5194/bg-12-7081-2015</t>
  </si>
  <si>
    <t>Wright, PGR; Newton, J; Agnelli, P; Budinski, I; Di Salvo, I; Flaquer, C; Fulco, A; Georgiakakis, P; Martinoli, A; Mas, M; Mazija, M; Mucedda, M; Papadatou, E; Petrov, B; Rodrigues, L; Mathews, F; Russo, D</t>
  </si>
  <si>
    <t>Hydrogen isotopes reveal evidence of migration ofMiniopterus schreibersiiin Europe</t>
  </si>
  <si>
    <t>Chiroptera; Long-distance migration; Stable isotope; Wildlife conservation; Schreiber's bat; Climate change; Movement ecology</t>
  </si>
  <si>
    <t>BATS; ISOSCAPES; ORIGINS; RATES</t>
  </si>
  <si>
    <t>Background The Schreiber's bat,Miniopterus schreibersii, is adapted to long-distance flight, yet long distance movements have only been recorded sporadically using capture-mark-recapture. In this study, we used the hydrogen isotopic composition of 208 wing and 335 fur specimens from across the species' European range to test the hypothesis that the species migrates over long distances. Results After obtaining the hydrogen isotopic composition (delta H-2) of each sample, we performed geographic assignment tests by comparing the delta H-2 of samples with the delta H-2 of sampling sites. We found that 95 bats out of 325 showed evidence of long-distance movement, based on the analysis of either fur or wing samples. The eastern European part of the species range (Greece, Bulgaria and Serbia) had the highest numbers of bats that had moved. The assignment tests also helped identify possible migratory routes, such as movement between the Alps and the Balkans. Conclusions This is the first continental-scale study to provide evidence of migratory behaviour ofM. schreibersiithroughout its European range. The work highlights the need for further investigation of this behaviour to provide appropriate conservation strategies.</t>
  </si>
  <si>
    <t>10.1186/s12898-020-00321-7</t>
  </si>
  <si>
    <t>Scholl, AE; Taylor, AH</t>
  </si>
  <si>
    <t>Fire regimes, forest change, and self-organization in an old-growth mixed-conifer forest, Yosemite National Park, USA</t>
  </si>
  <si>
    <t>climate change; dendroecology; ecological restoration; fire regimes; forest age structure; prefire suppression reference conditions; spatial patterns</t>
  </si>
  <si>
    <t>NORTHERN SIERRA-NEVADA; CLIMATE-CHANGE; PRESCRIBED-FIRE; ECOLOGICAL RESTORATION; SOUTHERN CASCADES; TREE MORTALITY; CALIFORNIA; HISTORY; MOUNTAINS; WILDERNESS</t>
  </si>
  <si>
    <t>Fire is recognized as a keystone process in dry mixed-conifer forests that have been altered by decades of fire suppression. Restoration of fire disturbance to these forests is a guiding principle of resource management in the U.S. National Park Service. Policy implementation is often hindered by a poor understanding of forest conditions before fire exclusion, the characteristics of forest changes since excluding fire, and the influence of topographic or self-organizing controls on forest structure. In this study the spatial and temporal characteristics of fire regimes and forest structure are reconstructed in a 2125-ha mixed-conifer forest. Forests were multi-aged, burned frequently at low severity and fire-return interval, and forest structure did not vary with slope aspect, elevation, or slope position. Fire exclusion has caused an increase in forest density and basal area and a compositional shift to shade-tolerant and fire-intolerant species. The median point fire-return interval and extent of a fire was 10 yr and 115 ha, respectively. The pre-Euro-American settlement fire rotation of 13 yr increased to 378 yr after 1905. The position of tire scars within tree rings indicates that 79% of fires burned in the midsummer to fall period. The spatial pattern of burns exhibited self-organizing behavior. Area burned was 10-fold greater when an area had not been burned by the previous fire. Fires were frequent and widespread, but patches of similar aged trees were &lt;0.2 ha, suggesting small fire-caused canopy openings. Managers need to apply multiple burns at short intervals for a sustained period to reduce surface fuels and create small canopy openings characteristic of the reference forest. By coupling explicit reference conditions with consideration of current conditions and projected climate change, management activities can balance restoration and risk management.</t>
  </si>
  <si>
    <t>10.1890/08-2324.1</t>
  </si>
  <si>
    <t>Higgins, SN; Vander Zanden, MJ</t>
  </si>
  <si>
    <t>What a difference a species makes: a meta-analysis of dreissenid mussel impacts on freshwater ecosystems</t>
  </si>
  <si>
    <t>benthic-pelagic coupling; biological invasion; cross-habitat subsidies; Dreissena spp.; ecosystem engineer; exotic species; facilitation; food web disruption; invasive species; quagga mussel; zebra mussel</t>
  </si>
  <si>
    <t>LAURENTIAN GREAT-LAKES; BENTHIC MACROINVERTEBRATE COMMUNITIES; EXOTIC ZEBRA MUSSELS; LOW-NUTRIENT LAKES; ST-LAWRENCE-RIVER; SAGINAW BAY; UNIONID BIVALVES; HUDSON RIVER; NEW-YORK; SUSPENSION FEEDERS</t>
  </si>
  <si>
    <t>We performed a meta-analysis of published studies and long-term monitoring data sets to evaluate the effects of dreissenid mussels (Dreissena polymorpha and D. rostriformis bugensis), two of the world's most problematic biological invaders, on the biogeochemistry, flora, and fauna of lakes and rivers across North America and Eurasia. Dreissenid effects were structured along two distinct energy pathways. For the pelagic-profundal pathway, large mean reductions in phytoplankton (-35% to -78%) and zooplankton (-40% to -77%) biomass occurred and were dependent on habitat type. The largest effects were found in rivers, followed by littoral and pelagic habitats in lakes. In contrast, benthic energy pathways within littoral habitats of lakes and rivers showed dramatic increases in mean benthic algal and macrophyte biomass (+170% to +180%), sediment-associated bacteria (about +2000%), non-dreissenid zoobenthic biomass (+160% to +210%), and total zoobenthic biomass, which includes dreissenid mussel soft tissues (+2000%). Our study quantifies the remarkable ability of these invasive mussels to shift aquatic food webs and energy flow from pelagic-profundal to benthic littoral energy pathways, and it provides a basis for forecasting their impacts in diverse freshwater ecosystems. Our meta-analysis approach was a powerful tool for moving beyond the idiosyncrasies of individual case studies and may be equally powerful for assessing impacts of other biological invaders.</t>
  </si>
  <si>
    <t>10.1890/09-1249.1</t>
  </si>
  <si>
    <t>Brandt, C; Dercon, G; Cadisch, G; Nguyen, LT; Schuller, P; Linares, CB; Santana, AC; Golosov, V; Benmansour, M; Amenzou, N; Zhang, XB; Rasche, F</t>
  </si>
  <si>
    <t>Towards global applicability? Erosion source discrimination across catchments using compound-specific delta C-13 isotopes</t>
  </si>
  <si>
    <t>Compound-specific stable isotopes (CSSI); Fatty acid methyl ester (FAME); Stable isotope analysis in R (SCAR); Sediment source discrimination; Agro-ecological zones</t>
  </si>
  <si>
    <t>PRECISION CONSERVATION; SEDIMENT SOURCES; FALLOUT RADIONUCLIDES; SUSPENDED SEDIMENT; SPATIAL-ANALYSIS; ORGANIC-MATTER; FRENCH ALPS; N-ALKANES; SUSTAINABILITY; IDENTIFICATION</t>
  </si>
  <si>
    <t>Accurate identification of soil erosion hot spots across catchments of different sizes and agro-ecologies through the use of conventional tracing techniques has proven challenging. Since this problem hinders implementation of precise soil conservation measures by land managers and decision-making bodies, novel evidence-based techniques are needed. To meet this need, the International Atomic Energy Agency (IAEA, Vienna, Austria) initiated the Coordinated Research Project entitled Integrated Isotopic Approaches for an Area-wide Precision Conservation to Control the Impacts of Agricultural Practices on Land Degradation and Soil Erosion - D1.20.11 in 2008. This project emphasized the application of isotopic approaches to identify hot spots of land degradation in agricultural catchments to develop effective soil conservation measures. As one key outcome of this project, we present here an aligned protocol to explore the potential of compound-specific stable isotope (CSSI) analysis of individual fatty acids (FA) combined with Bayesian statistics to discriminate sediment sources across six catchments of different sizes and agro-ecologies. The global applicability of the CSSI approach was first tested on the basis of major land use categories (i.e., forest, cultivated and non-cultivated land) as potential sediment sources in the studied catchments. These land use categories were then further resolved into specific land use types (e.g., cassava and maize fields, orchards) to assess the potential resolution threshold of the CSSI technique. In a final step, the influence of miscellaneous sources (e.g., roads, channel banks) that had the potential to distort proportional contributions to sediment deposition was assessed. The introduced aligned protocol of the CSSI technique was applied to discriminate individual erosion sources based on land use types of tested catchments. Merging catchment-specific land use types with broader land use categories made it possible to determine inter catchment comparisons of isotopic signatures due to significant differences in delta C-13 values of fatty acids when cultivated land was present. Notably, no correlations were found between different catchment sizes, agroecologies, number and type of land use types, or soil organic carbon concentrations and the number of significant delta C-13 fatty acid values of the various land use types. Thus, we propose that the presented CSSI technique has the potential to identify soil erosion hot spots in contrasting catchments of different sizes and agro-ecologies.</t>
  </si>
  <si>
    <t>10.1016/j.agee.2018.01.010</t>
  </si>
  <si>
    <t>Gauthier, G; Giroux, JF; Reed, A; Bechet, A; Belanger, L</t>
  </si>
  <si>
    <t>Interactions between land use, habitat use, and population increase in greater snow geese: what are the consequences for natural wetlands?</t>
  </si>
  <si>
    <t>agriculture land; greater snow geese; habitat use; population increase; wetland</t>
  </si>
  <si>
    <t>RESERVES; WINTER; FAT; MOVEMENTS; MIGRATION; DYNAMICS; BUDGETS; ENERGY; DIETS</t>
  </si>
  <si>
    <t>The North American greater snow goose population has increased dramatically during the last 40 years. We evaluated whether refuge creation, changes in land use on the wintering and staging grounds, and climate warming have contributed to this expansion by affecting the distribution, habitat use, body condition, and migration phenology of birds. We also reviewed the effects of the increasing population on marshes on the wintering grounds, along the migratory routes and on the tundra in summer. Refuges established before 1970 may have contributed to the initial demographic increase. The most important change, however, was the switch from a diet entirely based on marsh plants in spring and winter (rhizomes of Scirpus/Spartina) to one dominated by crops (corn/young grass shoots) during the 1970s and 1980s. Geese now winter further north along the US Atlantic coast, leading to reduced hunting mortality. Their migratory routes now include portions of southwestern Quebec where corn production has increased exponentially. Since the mid-1960s, average temperatures have increased by 1-2.4 degrees C throughout the geographic range of geese, which may have contributed to the northward shift in wintering range and an earlier migration in spring. Access to spilled corn in spring improved fat reserves upon departure for the Arctic and may have contributed to a high fecundity. The population increase has led to intense grazing of natural wetlands used by geese although these habitats are still largely undamaged. The foraging in fields allowed the population to exceed limits imposed by natural marshes in winter and spring, but also prevented permanent damage because of their overgrazing.</t>
  </si>
  <si>
    <t>10.1111/j.1365-2486.2005.00944.x</t>
  </si>
  <si>
    <t>Quan, WM; Fu, CZ; Jin, BS; Luo, YQ; Li, B; Chen, JK; Wu, JH</t>
  </si>
  <si>
    <t>Tidal marshes as energy sources for commercially important nektonic organisms: stable isotope analysis</t>
  </si>
  <si>
    <t>fish; food web; Phragmites australis; plant invasion; prawn; Spartina alterniflora; Yangtze River estuary; nursery habitat</t>
  </si>
  <si>
    <t>CORDGRASS SPARTINA-ALTERNIFLORA; REED PHRAGMITES-AUSTRALIS; RESTORED SALT MARSHES; ESTUARINE FOOD WEBS; BENTHIC MICROALGAE; COMMON REED; YANGTZE ESTUARY; DETRITUS; INVASION; CARBON</t>
  </si>
  <si>
    <t>Tidal marshes provide nursery habitats for many commercial nektonic species; thus, determining trophic linkages between tidal marshes and aquatic consumers is important for sustaining fishery production in estuarine ecosystems. We examined stable isotopes (delta C-13, delta N-15) in 4 commercial nekton species (Chelon haematocheilus, Synechogobius ommaturus, Lateolabrax maculatus and Exopalaemon carinicauda) in the tidal marshes of the Yangtze River estuary, China. We estimated the frequency and range of potential contribution (0 to 100%) from different food sources (benthic microalgae, suspended particulate organic matter, the invasive C-4 plant Spartina alterniflora and native C-3 plants Phragmites australis and Scirpus mariqueter) to the nektonic consumers, and then pooled the contributions for primary producers with similar isotope values (giving 3 groups: microalgae, invasive C-4 plant and native C-3 plants). Marsh vascular plants and microalgae were at the base of the food web supporting these nektonic species. For C. haematocheilus and S. ommaturus, vascular plants constituted a larger fraction of their carbon source than microalgae. S. alterniflora contributed more than 50% of their total organic carbon and was more important than the native C-3 plants. For L. maculatus and E. carinicauda, intermediate delta C-13 values precluded definitive assignment of a major carbon source. We have shown that tidal marshes provide important food sources for some dominant estuarine nektonic species, and that the exotic plant S. alterniflora has been incorporated into aquatic food webs of the Yangtze River estuary.</t>
  </si>
  <si>
    <t>10.3354/meps07160</t>
  </si>
  <si>
    <t>Tei, S; Sugimoto, A; Yonenobu, H; Kotani, A; Maximov, TC</t>
  </si>
  <si>
    <t>Effects of extreme drought and wet events for tree mortality: Insights from tree-ring width and carbon isotope ratio in a Siberian larch forest</t>
  </si>
  <si>
    <t>LARIX-CAJANDERI; STABLE-ISOTOPES; CENTRAL YAKUTIA; RADIAL GROWTH; SEVERITY INDEX; CLIMATE-CHANGE; PERMAFROST; WATER; DISCRIMINATION; RESPONSES</t>
  </si>
  <si>
    <t>Recent studies suggest that forest vulnerability to tree mortality has increased as a result of extreme climate events such as severe drought and heavy rain. However, little is known about the mortality processes, particularly when they are induced by heavy rain. A dendroecological analysis was conducted on living and dead trees in a Siberian larch forest using the chronologies of 30 years of radial growth and carbon isotope (Delta C-13) discrimination. The analysis demonstrates the relationship between heavy rain and larch tree mortality. Radial growth and Delta C-13 patterns in dead trees at a wet subsite diverged from those of living trees only during the heavy rain period in 2005-2007. On the other hand, the radial growth and Delta C-13 patterns in dead trees at the dry subsite diverged from those of living trees after severe drought events in 1998 and in 2002-2003. At the wet subsite, the heavy rain was intense enough to push the larch trees past their mortality threshold, whereas previous drought conditions also contributed to tree mortality at the dry subsite. Our results demonstrated that the process of larch tree mortality differs with site-specific topographical soil moisture conditions, even when synchronous tree death occurs in a specific year of climatic extremes.</t>
  </si>
  <si>
    <t>e2143</t>
  </si>
  <si>
    <t>10.1002/eco.2143</t>
  </si>
  <si>
    <t>Smith, SD; Devitt, DA; Sala, A; Cleverly, JR; Busch, DE</t>
  </si>
  <si>
    <t>Water relations of riparian plants from warm desert regions</t>
  </si>
  <si>
    <t>riparian; phreatophyte; ground water; plant water relations; water stress; transpiration; sap flow; stable isotopes; Tamarix; Populus; Salix; Prosopis</t>
  </si>
  <si>
    <t>EASTERN SIERRA-NEVADA; TAMARIX-RAMOSISSIMA; EUCALYPTUS-CAMALDULENSIS; GROUNDWATER DISCHARGE; STABLE ISOTOPE; INSTREAM FLOW; STREAM WATER; PHREATOPHYTES; VEGETATION; CALIFORNIA</t>
  </si>
  <si>
    <t>Riparian plants have been classified as drought avoiders due to their access to an abundant subsurface water supply. Recent water-relations research that tracks water sources of riparian plants using the stable isotopes of water suggests that many plants of the riparian zone use ground water rather than stream water and not all riparian plants are obligate phreatophytes (dependent on ground water as a moisture source) but may occasionally be dependent on unsaturated soil moisture sources. A more thorough understanding of riparian plant-water relations must include water-source dynamics and how those dynamics vary over both space and time. Many rivers in the desert Southwest have been invaded by the exotic shrub Tamarix ramosissima (saltcedar. Our studies of Tamarix invasion into habitats formerly dominated by native riparian forests of primarily Populus and Sallix have shown that Tamarix successfully invades these habitats because of its (I) greater tolerance to water stress and salinity, (2) status as a facultative, rather than obligate, phreatophyte and, therefore, its ability to recover from droughts and periods of ground-water drawdown, and (3! superior regrowth after fire. Analysis of water-loss rates indicate that Tamarix-dominated stands can have extremely high evapotranspiration rates when water tables are high but not necessarily when water tables are lower. Tamarix has leaf-level transpiration rates that are comparable to native species, whereas sap-flow rates per unit sapwood area are higher than in natives, suggesting that Tamarix maintains higher leaf area than can natives, probably due to its greater water stress tolerance. Tamarix desiccates rind salinizes floodplains, due to its salt exudation and high transpiration rates, and may also accelerate fire cycles, thus predisposing these ecosystems to further loss of native taxa. Riparian species on regulated rivers can be exposed to seasonal water stress due to depression of floodplain water tables and elimination of annual hoods. This can potentially result in a community shift toward more stress-tolerant taxa, such as Tamarix, due to the inability of other riparian specie!, to germinate and establish in the desiccated floodplain environment. Management efforts aimed at maintaining native forests on regulated rivers and slowing the spread of Tamarix invasion must include at least partial reintroduction of historical flow regimes, which favor the recruitment of native riparian species and reverse long-term desiccation of desert floodplain environments.</t>
  </si>
  <si>
    <t>10.1007/BF03161683</t>
  </si>
  <si>
    <t>Robinson, JR; Rowan, J; Campisano, CJ; Wynn, JG; Reed, KE</t>
  </si>
  <si>
    <t>Late Pliocene environmental change during the transition from &amp;ITAustralopithecus&amp;IT to &amp;ITHomo&amp;IT</t>
  </si>
  <si>
    <t>CARBON-ISOTOPE FRACTIONATION; OMO-TURKANA BASIN; HADAR FORMATION; AUSTRALOPITHECUS-AFARENSIS; EARLY HOMO; EVOLUTION; CLIMATE; AFAR; DIET; PALEOENVIRONMENTS</t>
  </si>
  <si>
    <t>It has long been hypothesized that the transition from Australopithecus to Homo in eastern Africa was linked to the spread of open and arid environments near the Plio-Pleistocene boundary, but data for the latest Pliocene are scarce. Here we present new stable carbon isotope data from the late Pliocene mammalian fauna from Ledi-Geraru, in the lower Awash Valley (LAV), Ethiopia, and mammalian community analyses from the LAV and Turkana Basin. These data, combined with pedogenic carbonate stable isotopes, indicate that the two regions were largely similar through the Plio-Pleistocene, but that important environmental differences existed during the emergence of Homo around 2.8 million years ago. The mid-Pliocene to late Pliocene interval in the LAV was characterized by increasingly C-4-dominated, arid and seasonal environments. The early Homo mandible LD 350-1 has a carbon isotope value similar to that of earlier Australopithecus from the LAV, possibly indicating that the emergence of Homo from Australopithecus did not involve a dietary shift. Late Pliocene LAV environments contrast with contemporaneous environments in the Turkana Basin, which were more woody and mesic. These findings have important implications for the environmental conditions surrounding the emergence of Homo, as well as recent hypotheses regarding Plio-Pleistocene environmental change in eastern Africa.</t>
  </si>
  <si>
    <t>10.1038/s41559-017-0159</t>
  </si>
  <si>
    <t>Tang, SB; Liu, JF; Gilliam, FS; Hietz, P; Wang, ZH; Lu, XK; Zeng, FY; Wen, DZ; Hou, EQ; Lai, Y; Fang, YT; Tu, Y; Xi, D; Huang, ZQ; Zhang, DX; Wang, R; Kuang, YW</t>
  </si>
  <si>
    <t>Drivers of foliar N-15 trends in southern China over the last century</t>
  </si>
  <si>
    <t>atmospheric CO(2)global change; foliar nitrogen concentrations; foliar nitrogen isotopes; nitrogen availability; nitrogen deposition</t>
  </si>
  <si>
    <t>ATMOSPHERIC NITROGEN DEPOSITION; ISOTOPIC COMPOSITION; MYCORRHIZAL FUNGI; NATURAL-ABUNDANCE; SOIL-NITROGEN; ELEVATED CO2; N CONTENT; CARBON; DELTA-N-15; RESPONSES</t>
  </si>
  <si>
    <t>Foliar stable nitrogen (N) isotopes (delta N-15) generally reflect N availability to plants and have been used to infer about changes thereof. However, previous studies of temporal trends in foliar delta N-15 have ignored the influence of confounding factors, leading to uncertainties on its indication to N availability. In this study, we measured foliar delta N-15 of 1811 herbarium specimens from 12 plant species collected in southern China forests from 1920 to 2010. We explored how changes in atmospheric CO2, N deposition and global warming have affected foliar delta N-15 and N concentrations ([N]) and identified whether N availability decreased in southern China. Across all species, foliar delta N-15 significantly decreased by 0.82 parts per thousand over the study period. However, foliar [N] did not decrease significantly, implying N homeostasis in forest trees in the region. The spatiotemporal patterns of foliar delta N-15 were explained by mean annual temperature (MAT), atmospheric CO2 (PCO2$$ {\mathrm{P}}_{{\mathrm{CO}}_2} $$), atmospheric N deposition, and foliar [N]. The spatiotemporal trends of foliar [N] were explained by MAT, temperature seasonality, PCO2$$ {\mathrm{P}}_{{\mathrm{CO}}_2} $$, and N deposition. N deposition within the rates from 5.3 to 12.6 kg N ha(-1) year(-1) substantially contributed to the temporal decline in foliar delta N-15. The decline in foliar delta N-15 was not accompanied by changes in foliar [N] and therefore does not necessarily reflect a decline in N availability. This is important to understand changes in N availability, which is essential to validate and parameterize biogeochemical cycles of N.</t>
  </si>
  <si>
    <t>10.1111/gcb.16285</t>
  </si>
  <si>
    <t>Henke, T; Patterson, WP; Olafsdottir, GA</t>
  </si>
  <si>
    <t>First record of niche overlap of native European plaice (Pleuronectes platessa) and non-indigenous European flounder (Platichthys flesus) on nursery grounds in Iceland</t>
  </si>
  <si>
    <t>global change; invasive species; juveniles; trophic competition; stable isotopes</t>
  </si>
  <si>
    <t>JUVENILE FLATFISH; MARINE; IMPACTS; INVASIONS; ECOLOGY</t>
  </si>
  <si>
    <t>Fifteen non-indigenous species have been recorded in Icelandic waters over the past decades, of which six have been classified as invasive or potentially invasive. One of these potentially invasive species is the European flounder (Platichthys flesus). Platichthys flesus is a recent arrival that was firstly identified in 1999 and has, since then, established a population around the whole country. In this study we evaluated if there is niche overlap between juvenile P. flesus and native juvenile European plaice (Pleuronectes platessa) on nursery' grounds at three sites in west Iceland. Considering the presumed clockwise spread of P. flesus' population around the country, the southernmost site. BorgarfiOrour. was treated as the site of earlier settlement of P. flesus. Similarly, the northernmost site, Onundarfjorour, was heated as the site of later settlement. We used stomach content and stable isotope analyses to examine if there was a significant niche overlap between P. flesus and P. platessa and to examine if the extent of niche overlap varied between sites. Multiple cohorts of P. flesus and native P. platessa were present at all sites and there was high niche overlap between species with no indication of trophic niche segregation nor change with time from establishment of P. flesus. The current study has shown the co-occurrence and niche overlap of non-indigenous P. flesus and native P. platessa on nursery, grounds in Iceland and highlighted the establishment of P. flesus in Iceland as a rare case study to investigate colonisation processes of non-indigenous fish species in sub-arctic marine environments.</t>
  </si>
  <si>
    <t>10.3391/ai.2020.15.4.08</t>
  </si>
  <si>
    <t>Cristescu, B; Stenhouse, GB; Boyce, MS</t>
  </si>
  <si>
    <t>Grizzly bear diet shifting on reclaimed mines</t>
  </si>
  <si>
    <t>Brown bear; Environmental impact; GPS clusters; Mine reclamation; Scat analysis; Ursus arctos</t>
  </si>
  <si>
    <t>Industrial developments and reclamation change habitat, possibly altering large carnivore food base. We monitored the diet of a low-density population of grizzly bears occupying a landscape with open-pit coal mines in Canada. During 2009-2010 we instrumented 10 bears with GPS radiocollars and compared their feeding on reclaimed coal mines and neighboring Rocky Mountains and their foothills. In addition, we compared our data with historical bear diet for the same population collected in 2001-2003, before extensive mine reclamation occurred. Diet on mines (n = 331 scats) was dominated by non-native forbs and graminoids, while diets in the Foothills and Mountains consisted primarily of ungulates and Hedysarum spp. roots respectively, showing diet shifting with availability. Field visitation of feeding sites (n = 234 GPS relocation clusters) also showed that ungulates were the main diet component in the Foothills, whereas on reclaimed mines bears were least carnivorous. These differences illustrate a shift to feeding on non-native forbs while comparisons with historical diet reveal emergence of elk as an important bear food. Food resources on reclaimed mines attract bears from wilderness areas and bears may be more adaptable to landscape change than previously thought. The grizzly bear's ready use of mines cautions the universal view of this species as umbrella indicative of biodiversity. (C) 2015 The Authors. Published by Elsevier B.V.</t>
  </si>
  <si>
    <t>10.1016/j.gecco.2015.06.007</t>
  </si>
  <si>
    <t>Curry, RA; Doherty, CA; Jardine, TD; Currie, SL</t>
  </si>
  <si>
    <t>Using movements and diet analyses to assess effects of introduced muskellunge (Esox masquinongy) on Atlantic salmon (Salmo salar) in the Saint John River, New Brunswick</t>
  </si>
  <si>
    <t>radio and acoustic tracking; stable isotopes; modeling diets</t>
  </si>
  <si>
    <t>STABLE-ISOTOPE ANALYSIS; BROOK TROUT; FOOD-WEB; PREDATION; FISH; NITROGEN; CARBON; CONSEQUENCES; DELTA-N-15; COMMUNITY</t>
  </si>
  <si>
    <t>The muskellunge was introduced in the Saint John River system from stockings in a headwater lake in the 1970s. They have migrated down the system as far as the river's first dam, Mactaquac Hydroelectric Facility, at Fredericton and appear to have established several reproducing populations along the river. This exotic invader represents a potential threat to the severely depleted Atlantic salmon stocks in the river. We radio-tracked muskellunge over a 2-year period in the middle reaches. Home ranges extended to similar to 100 km in both riverine and lacustrine areas, including 78% of individuals trans-located upstream of the dam making their way back through the dam successfully. Downstream of the dam, home ranges were &lt; 25 km. No spawning areas were detected. An isotope analyses of diet indicated that the large sub-adults and adults had established the greatest proportion of their biomass in a more N-15 depleted environment typical of areas farther upstream. Isotope mixing models could not accurately determine the proportion of Atlantic salmon smolts that may have been consumed by muskellunge, but anadromous salmon had &lt;= 7% probabilities of being in the diet. A bioenergetics model suggested &lt;= 5% of the annual food intake by muskellunge occurs during the smolt out-migration period. For the Saint John River, the impacts of growing numbers of muskellunge are multi-faceted creating a complex management challenge. Muskellunge appear to minimally increase predation risk for Atlantic salmon smolts while their increasing numbers are creating a growing recreational fishery and potential threat to the native fish community and ecosystem.</t>
  </si>
  <si>
    <t>10.1007/s10641-007-9187-8</t>
  </si>
  <si>
    <t>Sheppard-Brennand, H; Dworjanyn, SA; Poore, AGB</t>
  </si>
  <si>
    <t>Global patterns in the effects of predator declines on sea urchins</t>
  </si>
  <si>
    <t>TOP-DOWN CONTROL; LATITUDINAL GRADIENT; MARINE RESERVES; TROPHIC CASCADES; STRONGYLOCENTROTUS-DROEBACHIENSIS; COMMUNITY STRUCTURE; PREY INTERACTIONS; FISH PREDATION; TEMPERATE; METAANALYSIS</t>
  </si>
  <si>
    <t>Latitudinal gradients in the strength of biotic interactions have long been proposed, but empirical evidence for the expectation of more intense predation, herbivory and competition at low latitudes has been mixed. Here, we use a meta-analysis to test the prediction that predation pressure on sea urchins, a group of consumers with a particularly strong influence on community structure in the world's oceans, is strongest in the tropics. We then examine which biotic and abiotic factors best correlate with biogeographic and within habitat patterns in sea urchin responses to predation. Consistent with expectations, predator impacts on sea urchins were highest in tropical coral reefs and decreased towards the poles in rocky reef habitats (&gt; 25 degrees absolute latitude). However, latitude and temperature were weakly correlated with effect sizes, and the strongest predictor of predator impacts was sea urchin species. This suggests an important role of prey identity (i.e. traits including behaviour, physical, and chemical defences) rather than large scale abiotic factors in determining variation in interaction strengths. Ecosystem-shaping sea urchins such as Tripneustes gratilla, Diadema savignyi and Centrostephanus rodgersii were strongly impacted by consumers, indicating a tight coupling between predators of these species and their boom and bust prey. Anthropogenic activities such as over-fishing, climate change and habitat destruction are causing rapid environmental change, and understanding how predation pressure varies with temperature, across habitats and among prey species, will aid in predicting the likelihood of ecosystem wide effects (via trophic cascades).</t>
  </si>
  <si>
    <t>10.1111/ecog.02380</t>
  </si>
  <si>
    <t>Twining, CW; Brenna, JT; Lawrence, P; Winkler, DW; Flecker, AS; Hairston, NG</t>
  </si>
  <si>
    <t>Aquatic and terrestrial resources are not nutritionally reciprocal for consumers</t>
  </si>
  <si>
    <t>aerial insectivores; aquatic insects; compound-specific stable isotopes; ecological subsidies; highly unsaturated omega-3 fatty acids</t>
  </si>
  <si>
    <t>POLYUNSATURATED FATTY-ACIDS; RATIO MASS-SPECTROMETRY; FRESH-WATER; ISOTOPE RATIO; DOCOSAHEXAENOIC ACID; PACIFIC SALMON; GROWTH; ECOSYSTEMS; SUBSIDIES; PRODUCTIVITY</t>
  </si>
  <si>
    <t>Aquatic and terrestrial ecosystems are connected through reciprocal fluxes of energy and nutrients that can subsidize consumers. Past research on reciprocal aquatic-terrestrial subsidies to consumers has generally focused on subsidy quantity while ignoring major differences in the nutritional composition of aquatic and terrestrial resources. Because aquatic resources contain substantially more highly unsaturated omega-3 fatty acids (HUFAs) than terrestrial resources, aquatic subsidies may play a unique role by supplying these critical compounds to both aquatic and terrestrial consumers. Here, we first characterized nutritional quality in terms of HUFA content in aquatic and terrestrial insect prey. We then used bulk stable isotope analyses to estimate subsidy use by stream and riparian consumers coupled with compound-specific stable isotope analyses, which allowed us to document consumer HUFA sources. Finally, in order to understand the nutritional importance of aquatic-derived HUFAs for riparian consumers, we conducted manipulative diet experiments on Eastern Phoebe (Sayornis phoebe) chicks in the laboratory. Aquatic insects were significantly enriched in HUFAs, mainly in terms of eicosapentaenoic acid (EPA), compared with terrestrial insects. Stream fishes relied mainly upon aquatic resources, while insectivorous birds varied in their use of aquatic subsidies across sites. However, like stream fishes, Eastern Phoebe chicks received HUFAs from aquatic insects, even when they were heavily reliant upon terrestrial insects for their overall diet. In the laboratory, dietary HUFAs, such as those supplied by aquatic insects, increased the growth rate and condition of Eastern Phoebe chicks. This study demonstrates that aquatic and terrestrial subsidies are not nutritionally reciprocal from the perspective of consumers because aquatic resources are the main source of critical fatty acids for both stream and riparian consumers. It also confirms previous findings on the nutritional importance of HUFAs for riparian birds, demonstrating that an insectivorous riparian lifestyle influences avian nutritional needs. Finally, our findings raise the possibility that birds and other riparian insectivores may experience nutritional mismatches with terrestrial prey if they do not have access to high-quality aquatic subsidies as a consequence of aquatic habitat degradation or shifts in consumer and resource phenology. A plain language summary is available for this article.</t>
  </si>
  <si>
    <t>10.1111/1365-2435.13401</t>
  </si>
  <si>
    <t>Wagenhoff, A; Liess, A; Pastor, A; Clapcott, JE; Goodwin, EO; Young, RG</t>
  </si>
  <si>
    <t>Thresholds in ecosystem structural and functional responses to agricultural stressors can inform limit setting in streams</t>
  </si>
  <si>
    <t>ecological thresholds; effects-based criteria; nutrient targets; diffuse pollution</t>
  </si>
  <si>
    <t>PRIMARY UPTAKE COMPARTMENTS; BOOSTED REGRESSION TREES; NITROGEN STABLE-ISOTOPES; DEPOSITED FINE SEDIMENT; NEW-ZEALAND STREAMS; LAND-USE GRADIENTS; ECOLOGICAL THRESHOLDS; NUTRIENT CRITERIA; SUBSIDY-STRESS; BENTHIC ALGAE</t>
  </si>
  <si>
    <t>Setting numeric in-stream objectives (limits, criteria) to inform limits on catchment loads for major land use stressors is a promising policy instrument to prevent ecosystem degradation. Management objectives can be informed by thresholds identified from stressor response shapes of ecological indicators based on field survey data. Use of multiple structural and functional indicators and different organism groups provides multiple lines of evidence to make objectives more robust. We measured a suite of ecological indicators during a regional field survey in New Zealand. We built flexible boosted regression tree (BRT) models with a predictor set consisting of nutrient, sediment, and environmental variables and investigated the fitted functions for different types of thresholds across each stressor gradient. Congruence of impact initiation (II) thresholds for N among macroinvertebrate metrics and 2 periphyton indicators provided multiple lines of evidence for ecosystem change with small increases in N concentrations above background levels. Impact cessation (IC) on macroinvertebrate metrics at total N = 0.5 mg/L (below N concentrations that saturate important ecosystem processes) highlighted sensitivity of macroinvertebrate communities to eutrophication. We found few stressor response relationships for sediment. We suggest use of sediment-specific macroinvertebrate metrics and a reliable measure of deposited fine sediment in the future. Few indicators responded to phosphorus (P) concentration. Limited information for setting P objectives highlights the need to develop alternative indicators of P loading. Statistical analysis based on single-stressor inferential threshold models suggested that these models carry high risk of identifying spurious thresholds and are less suitable for setting management objectives. II and IC thresholds of multiple ecological indicators can be used to set robust objectives aimed at different levels of protection of ecosystem health.</t>
  </si>
  <si>
    <t>10.1086/690233</t>
  </si>
  <si>
    <t>Weems, SL; Monger, HC</t>
  </si>
  <si>
    <t>Banded vegetation-dune development during the Medieval Warm Period and 20th century, Chihuahuan Desert, New Mexico, USA</t>
  </si>
  <si>
    <t>carbon isotopes; climate change; desert geomorphology; emergence; Little Ice Age; Medieval Warm Period; object-based image analysis; positive feedback mechanisms; soil radiocarbon dating</t>
  </si>
  <si>
    <t>SOUTHERN NEW-MEXICO; RIO-GRANDE RIFT; CLIMATE-CHANGE; PEDOGENIC CARBONATE; STABLE-ISOTOPES; JORNADA BASIN; ACACIA-ANEURA; SOIL; DYNAMICS; PATTERN</t>
  </si>
  <si>
    <t>With the advent of systematic high-resolution satellite photography, striking geometric shapes of banded vegetation several km(2) in size, but not apparent from the ground, have been documented for many areas of the arid and semiarid world. Banded vegetation, in which dense perennial vegetation alternates with bands of bare soil may originate from geomorphic processes, ecological self-organization, or human land use. In the Chihuahuan Desert of New Mexico prominent arc-shaped bands of vegetation and dunes occur along the contact of a piedmont slope (bajada) and basin floor. The origin and chronology of this banded vegetation-dune complex was investigated using early aerial photography (1936-1942), landscape photography (1918), vegetation and soil surveys (1858, 1918), soil stratigraphy, C-13/C-12 ratios, and C-14 dating. These methods reveal two periods of eolian deposition. The first began in the Medieval Warm Period (ca. AD 900-1300) and was followed by a period of landscape stability during the Little Ice Age (ca. AD 1500 to 1850). The second began in the late-1800s when widespread desertification occurred throughout the American Southwest. Banded vegetation was initiated after formation of erosional scarplets that functioned as obstacles upon which eolian sand accumulated, thus becoming a dam to overland flow and causing strips of vegetation to form. Banded vegetation in this study is an emergent pattern produced by a coupled ecologic-geomorphic-climatic system. The stratigraphic record produced by this system enables us to compare current ecological responses to climate change with baseline prehistorical responses to climate change.</t>
  </si>
  <si>
    <t>10.1890/ES11-00194.1</t>
  </si>
  <si>
    <t>O'Gorman, EJ; Olafsson, OP; Demars, BOL; Friberg, N; Gudbergsson, G; Hannesdottir, ER; Jackson, MC; Johansson, LS; McLaughlin, OB; Olafsson, JS; Woodward, G; Gislason, GM</t>
  </si>
  <si>
    <t>Temperature effects on fish production across a natural thermal gradient</t>
  </si>
  <si>
    <t>natural experiment; Arctic; Hengill; freshwater; Salmo trutta fario; PIT tag; mark-recapture; ecosystem services</t>
  </si>
  <si>
    <t>TROUT SALMO-TRUTTA; GEOTHERMALLY HEATED STREAM; FOOD-WEB STRUCTURE; BROWN TROUT; CLIMATE-CHANGE; BODY-SIZE; ONCORHYNCHUS-MYKISS; SALVELINUS-ALPINUS; POTENTIAL IMPACTS; SENTINEL SYSTEMS</t>
  </si>
  <si>
    <t>Global warming is widely predicted to reduce the biomass production of top predators, or even result in species loss. Several exceptions to this expectation have been identified, however, and it is vital that we understand the underlying mechanisms if we are to improve our ability to predict future trends. Here, we used a natural warming experiment in Iceland and quantitative theoretical predictions to investigate the success of brown trout as top predators across a stream temperature gradient (4-25 degrees C). Brown trout are at the northern limit of their geographic distribution in this system, with ambient stream temperatures below their optimum for maximal growth, and above it in the warmest streams. A five-month mark-recapture study revealed that population abundance, biomass, growth rate, and production of trout all increased with stream temperature. We identified two mechanisms that contributed to these responses: (1) trout became more selective in their diet as stream temperature increased, feeding higher in the food web and increasing in trophic position; and (2) trophic transfer through the food web was more efficient in the warmer streams. We found little evidence to support a third potential mechanism: that external subsidies would play a more important role in the diet of trout with increasing stream temperature. Resource availability was also amplified through the trophic levels with warming, as predicted by metabolic theory in nutrient-replete systems. These results highlight circumstances in which top predators can thrive in warmer environments and contribute to our knowledge of warming impacts on natural communities and ecosystem functioning.</t>
  </si>
  <si>
    <t>10.1111/gcb.13233</t>
  </si>
  <si>
    <t>Yohannes, E; Rothhaupt, KO</t>
  </si>
  <si>
    <t>Dual-tracer-based isotope turnover rates in a highly invasive mysid Limnomysis benedeni from Lake Constance</t>
  </si>
  <si>
    <t>(NaNO3)-N-15; (NaHCO3)-C-13; stable isotope; delta C-13; delta N-15</t>
  </si>
  <si>
    <t>STABLE-ISOTOPES; CRUSTACEA MYSIDA; NITROGEN; CARBON; DELTA-C-13; CZERNIAVSKY; ECOLOGY; TIME; TOO</t>
  </si>
  <si>
    <t>Understanding the ecological patterns of invasive species and their habitats require an understanding of the species' foraging ecology. Stable carbon (delta C-13) and nitrogen (delta N-15) isotope values provide useful information into the study of animal ecology and evolution, since the isotope ratios of consumers reflect consumer's dietary patterns. Nevertheless, the lack of species- and element-specific laboratory-derived turnover rates could limit their application. Using a laboratory-based dual stable isotope tracer approach ((NaNO3)-N-15 and (NaHCO3)-C-13), we evaluated the delta N-15 and delta C-13 isotope turnover rates in full-grown adult invasive Limnomysis benedeni from Lake Constance. We provide delta N-15 and delta C-13 turnover rates based on nonlinear least-squares regression and posterior linear regression models. Model precisions and fit were evaluated using Akaike's information criterion. Within a couple of days, the delta N-15 and delta C-13 of mysids began to change. Nevertheless, after about 14 days, L. benedeni did not reach equilibrium with their new isotope values. Since the experiment was conducted on adult subjects, it is evident that turnover was mainly influenced by metabolism (in contrast to growth). Unlike traditional dietary shifts, our laboratory-based dual stable isotope tracer approach does not shift the experimental organisms into a new diet and avoids dietary effects on isotope values. Results confirm the application of isotopic tracers to label mysid subpopulations and could be used to reflect assimilation and turnover from the labeled dietary sources. Field-based stable isotope studies often use isotopic mixing models commonly assuming diet-tissue steady state. Unfortunately, in cases where the isotopic composition of the animal is not in equilibrium with its diet, this can lead to highly misleading conclusions. Thus, our laboratory-based isotopic incorporation rates assist interpretation of the isotopic values from the field and provide a foundation for future research into using isotopic tracers to investigate invasion ecology.</t>
  </si>
  <si>
    <t>10.1002/ece3.2928</t>
  </si>
  <si>
    <t>Jin, ZF; Pan, ZY; Jin, MT; Li, FL; Wan, Y; Gu, B</t>
  </si>
  <si>
    <t>Determination of nitrate contamination sources using isotopic and chemical indicators in an agricultural region in China</t>
  </si>
  <si>
    <t>Crop rotations; Groundwater chemistry; Nitrogen isotopes; Oxygen isotopes</t>
  </si>
  <si>
    <t>NITROGEN ISOTOPES; GROUND-WATER; DENITRIFICATION; DELTA-N-15; DELTA-O-18; POLLUTION; SEAWATER; VALUES</t>
  </si>
  <si>
    <t>Stable isotopic measurements (delta N-15 and delta O-18), combined with hydrochemical assessment, were used to elucidate the chemical quality of groundwater and the sources of nitrate (NO3-) in the groundwater in an agricultural region at Huzhou City, China. Paddy rice (Zhejing 41) and vegetables (Chinese cabbage) are the typical crops grown in the study area. The chemical properties of groundwater in the study area were controlled using natural geochemical processes and anthropogenic activities. The results show that SO42- and NH4+ were the major contaminants. Surficial conditions influenced the shallow groundwater. However, no relationship between the ion concentration in groundwater and well depth was found. The combined use of isotopes was useful for identifying NO3- sources. The isotopic values for delta N-15 and delta O-18 ranged from -0.8%. to 20.8% and from -2.0%. to 18.8%., respectively. The isotopic data were definitive and revealed that N-fertilizer, soil organic matter, and manure dominated the sources of NO3- in the study area. The delta N-15 and delta O-18 data for NO3- indicated a significant degree of nitrification and a lesser extent of denitrification in the agricultural area. Spatial variations in delta N-15 for NO3- showed that NO(3)(-)concentration and delta N-15 values in the upper groundwater (&lt;200 cm) were higher than the values in the lower groundwater (&gt;200 cm). (C) 2012 Elsevier B.V. All rights reserved.</t>
  </si>
  <si>
    <t>10.1016/j.agee.2012.03.017</t>
  </si>
  <si>
    <t>Fournier, AMV; Sullivan, AR; Bump, JK; Perkins, M; Shieldcastle, MC; King, SL</t>
  </si>
  <si>
    <t>Combining citizen science species distribution models and stable isotopes reveals migratory connectivity in the secretive Virginia rail</t>
  </si>
  <si>
    <t>Bayesian; citizen science; eBird; feathers; hydrogen isotopes; migration; migratory connectivity; species distribution model; Virginia rail Rallus limicola; delta D animal origins</t>
  </si>
  <si>
    <t>DELTA-D; HYDROGEN; PREDICTION; ORIGINS; MAXENT; MARSH</t>
  </si>
  <si>
    <t>1. Stable hydrogen isotope (delta D) methods for tracking animal movement are widely used yet often produce low resolution assignments. Incorporating prior knowledge of abundance, distribution or movement patterns can ameliorate this limitation, but data are lacking for most species. We demonstrate how observations reported by citizen scientists can be used to develop robust estimates of species distributions and to constrain dD assignments. 2. We developed a Bayesian framework to refine isotopic estimates of migrant animal origins conditional on species distribution models constructed from citizen scientist observations. To illustrate this approach, we analysed the migratory connectivity of the Virginia rail Rallus limicola, a secretive and declining migratory game bird in North America. 3. Citizen science observations enabled both estimation of sampling bias and construction of bias-corrected species distribution models. Conditioning dD assignments on these species distribution models yielded comparably high-resolution assignments. 4. Most Virginia rails wintering across five Gulf Coast sites spent the previous summer near the Great Lakes, although a considerable minority originated from the Chesapeake Bay watershed or Prairie Pothole region of North Dakota. Conversely, the majority of migrating Virginia rails from a site in the Great Lakes most likely spent the previous winter on the Gulf Coast between Texas and Louisiana. 5. Synthesis and applications. In this analysis, Virginia rail migratory connectivity does not fully correspond to the administrative flyways used to manage migratory birds. This example demonstrates that with the increasing availability of citizen science data to create species distribution models, our framework can produce high-resolution estimates of migratory connectivity for many animals, including cryptic species. Empirical evidence of links between seasonal habitats will help enable effective habitat management, hunting quotas and population monitoring and also highlight critical knowledge gaps.</t>
  </si>
  <si>
    <t>10.1111/1365-2664.12723</t>
  </si>
  <si>
    <t>Haug, T; Falk-Petersen, S; Greenacre, M; Hop, H; Lindstrom, U; Meier, S; Nilssen, KT; Wold, A</t>
  </si>
  <si>
    <t>Trophic level and fatty acids in harp seals compared with common minke whales in the Barents Sea</t>
  </si>
  <si>
    <t>Harp seals; minke whales; stable isotopes; fatty acids; Barents Sea</t>
  </si>
  <si>
    <t>PHOCA-GROENLANDICA; STABLE-ISOTOPES; BALAENOPTERA-ACUTOROSTRATA; PAGOPHILUS-GROENLANDICUS; NORTHEAST ATLANTIC; HOODED SEALS; SEASONAL DISTRIBUTION; FEEDING-HABITS; BODY CONDITION; FOOD</t>
  </si>
  <si>
    <t>The objectives of this study were to explore trophic levels and possible diet overlap between harp seals (Pagophilus groenlandicus) and common minke whales (Balaenoptera acutoroostrata) in the Barents Sea using stable isotopes of nitrogen (delta N-15) and carbon (delta C-13) and fatty acid analyses, and to explore the energy pathways from the plankton to the top predators. Blubber and muscle samples from 93 harp seals and 20 minke whales were collected in the southern Barents Sea in May 2011. The study showed that harp seals were at a higher trophic level than minke whales during spring. This supported previous diet studies suggesting a more fish-dominant diet for seals, as compared with the whales, at this time of the year. The stable isotopes and fatty acids indicated niche separation between the seals and the whales, and between different age groups of the harp seals. Older seals had fatty acid profiles more equal to minke whales as compared with younger seals. Furthermore, while the fatty acid profiles suggested that krill were of particular importance for the young seals, the profiles from older seals and whales suggested that fish dominated their diets.</t>
  </si>
  <si>
    <t>10.1080/17451000.2017.1313988</t>
  </si>
  <si>
    <t>Wellman, S; Kidd, KA; Podemski, CL; Blanchfield, PJ; Paterson, MJ</t>
  </si>
  <si>
    <t>Incorporation of wastes by native species during and after an experimental aquaculture operation</t>
  </si>
  <si>
    <t>cage aquaculture; stable isotope analysis; Rainbow Trout; aquaculture waste; nitrogen isotopes; carbon isotopes</t>
  </si>
  <si>
    <t>CAGE AQUACULTURE; STABLE-ISOTOPES; LAKE-HURON; WATER; DELTA-N-15; CARBON; TROUT; FISH; DELTA-C-13; NITROGEN</t>
  </si>
  <si>
    <t>Freshwater aquaculture increases dissolved and particulate nutrients near fish cages, but the degree to which they are incorporated into tissues of native animals is uncertain. At the Experimental Lakes Area in northwestern Ontario, Canada, a cage culture of Rainbow Trout was operated seasonally for 5 y, and invertebrates and fishes were collected before, during, and after culturing from the experimental lake and a reference lake to assess changes in stable isotopes of C and N in their tissues. The feed contained marine fishmeal and was higher in C and N isotope values (delta C-13 and delta N-15) than lake biota by &gt;= 4 parts per thousand (all taxa) and 3 parts per thousand (all invertebrates), respectively. During the aquaculture operation, delta N-15 of littoral and pelagic invertebrates, profundal chironomids, minnows, and Lake Trout (Salvelinus namaycush) increased by 2 to 5 parts per thousand relative to before aquaculture values. In the 1(st) and 2(nd) years after aquaculture, delta N-15 of several invertebrate taxa and all fishes continued to increase 1 to 2 parts per thousand/y. In contrast, during aquaculture, only minnows and trout had significant increases (up to 3 parts per thousand) in delta C-13. In the period after aquaculture, the delta C-13 of fishes, plankton, and profundal chironomids declined to below values measured before or during aquaculture. Isotopic analysis of native biota can be used to monitor assimilation of cage culture wastes in freshwater ecosystems.</t>
  </si>
  <si>
    <t>10.1086/692028</t>
  </si>
  <si>
    <t>Krause, DJ; Goebel, ME; Kurle, CM</t>
  </si>
  <si>
    <t>Leopard seal diets in a rapidly warming polar region vary by year, season, sex, and body size</t>
  </si>
  <si>
    <t>Stable isotope mixing model; Apex predator; Top down; Prey shift; Hydrurga leptonyx; Climate change; Animal-borne video</t>
  </si>
  <si>
    <t>STABLE-ISOTOPE RATIOS; ANTARCTIC FUR SEALS; HYDRURGA-LEPTONYX; DISCRIMINATION FACTORS; CALLORHINUS-URSINUS; TEMPORAL VARIATION; PRIOR INFORMATION; FORAGING ECOLOGY; MIXING MODELS; TOP PREDATOR</t>
  </si>
  <si>
    <t>Background Resolving the preferred prey items and dietary proportions of leopard seals is central to understanding food-web dynamics in the rapidly-warming Antarctic Peninsula region. Previous studies have identified a wide range of prey items; however, due to anecdotal or otherwise limited information, leopard seal diets remain unresolved by seal sex, individual, body size, region, and season. Over the 2013, 2014, and 2017 field seasons we collected scat, tissue samples (red blood cells and plasma; n = 23) for stable isotope analyses, and previously-reported animal-borne video from 19 adult leopard seals foraging near mesopredator breeding colonies at Cape Shirreff, Livingston Island. We summarized a priori diet information from scat and video analysis and applied a three-isotope (delta C-13, delta N-15, delta S-34), four-source (fish, fur seal, krill, penguin) Bayesian mixing model to examine temporal variability in both prey sources and leopard seal tissues. Results The austral spring diets of males and females focused on Antarctic krill (31.7-38.0%), notothen fish (31.6-36.5%), and penguin (24.4-26.9%) and were consistent across all 3 years. Several lines of evidence suggest the transition to summer foraging was distinct for males and females. Female diets transitioned rapidly to higher delta N-15 values (+2.1 parts per thousand), indicating increased consumption of penguin (29.5-46.2%) and energy-dense Antarctic fur seal pup (21.3-37.6%). Conclusions The seasonal increase in leopard seal delta N-15 values, and thus fur seal in their diet, was predictably related to larger body size; it may also be forcing reductions to the largest Antarctic fur seal colony in the Antarctic Peninsula. Our ensemble sampling approach reduces historical biases in monitoring marine apex predator diets. Further, our results are necessary to best inform regional fisheries management planning.</t>
  </si>
  <si>
    <t>10.1186/s12898-020-00300-y</t>
  </si>
  <si>
    <t>Song, G; Wang, HL; Shi, LF</t>
  </si>
  <si>
    <t>Climate evolution since 9.32 cal ka BP in Keluke Lake, northeastern Qaidam Basin, China</t>
  </si>
  <si>
    <t>Keluke lake; Grain size; delta C-13 of authigenic carbonate; Holocene climate change</t>
  </si>
  <si>
    <t>HOLOCENE ENVIRONMENTAL-CHANGES; GRAIN-SIZE; STABLE ISOTOPES; SEDIMENTS; CARBON; TIBET; VEGETATION; PLATEAU</t>
  </si>
  <si>
    <t>Core sediments from Keluke Lake in transitional zone between arid central Asia and monsoon Asia, provide insights into the advance-retreat history of the summer monsoon and the Westerlies. Sediment grain size and delta C-13 of authigenic carbonate reveal paleoclimatic evolution since 9.32 cal ka BP: a dry-cold climate in the early Holocene, a wet-cold climate in the early stage of mid-Holocene, a relatively dry-warm climate in the late stage of mid-Holocene and, a moderately wet and frequently oscillating climate after 2.5 cal ka BP. Keluke Lake was mainly controlled by the Westerlies from 9.32 to 5.8 cal ka BP, and was dominated by the East Asia monsoon during 5.8-2.5 cal ka BP. While in the late Holocene, this area was re-controlled by the Westerlies since 2.5 cal ka BP. The boundary line between the Westerlies controlled arid central Asia and monsoon Asia varied during the Holocene. When the Westerlies strengthened and the East Asian summer monsoon weakened, the boundary line may be pushed southeastward, and vice versa. Generally, the climate in this area showed a wet-cold and dry-warm variation.</t>
  </si>
  <si>
    <t>10.1016/j.jaridenv.2020.104149</t>
  </si>
  <si>
    <t>Kaemingk, MA; Chizinski, CJ; Allen, CR; Pope, KL</t>
  </si>
  <si>
    <t>Ecosystem size predicts social-ecological dynamics</t>
  </si>
  <si>
    <t>angler behavior; complex adaptive systems; cross-scale interactions; discontinuity hypothesis; recreational fisheries; social-ecological systems</t>
  </si>
  <si>
    <t>FOOD-CHAIN LENGTH; RECREATIONAL-FISHERIES; ANGLERS; DISCONTINUITIES; SPECIALIZATION; REGULATIONS; DIVERSITY; PATTERNS; HARVEST; SYSTEMS</t>
  </si>
  <si>
    <t>Recreational fisheries are complex adaptive systems that are inherently difficult to manage because of heterogeneous user groups (consumptive vs. nonconsumptive) that use patchily distributed resources on the landscape (lakes, rivers, coastlines). There is a need to identify which system components can effectively predict and be used to manage nonlinear and cross-scale dynamics within these systems. We examine how ecosystem size or water body size can be used to explain complicated and elusive angler-resource dynamics in recreational fisheries. Water body size determined angler behavior among 48 Nebraska, U.S.A. water bodies during an 11-year study. Angler behavior was often unique and nonlinear across water body sizes. For example, anglers spent more time fishing and harvested more fish at larger water bodies compared to smaller water bodies. Time fished increased across smaller water bodies, but reached a threshold at larger water bodies. The number of fish released increased as a function of water body size across smaller water bodies and then plateaued. Subtle changes in water body size caused abrupt changes in angler behavior, that is, water body size structures angler-resource dynamics in recreational fisheries. We believe that including water body size, a simple and easily measured metric, in fisheries management will increase effectiveness of cross-scale actions and minimize unintended consequences for recreational fisheries. Applying uniform management actions, e.g., harvest regulations, across small and large water bodies may elicit contrasting angler-resource responses. Water body size may also be useful for understanding angler typologies. Based on our findings, we expect that ecosystem size is a prominent and valuable system component that will determine and explain coupled user-resource dynamics in other complex adaptive systems.</t>
  </si>
  <si>
    <t>10.5751/ES-10961-240217</t>
  </si>
  <si>
    <t>Ercoli, F; Ruokonen, TJ; Hamalainen, H; Jones, RI</t>
  </si>
  <si>
    <t>Does the introduced signal crayfish occupy an equivalent trophic niche to the lost native noble crayfish in boreal lakes?</t>
  </si>
  <si>
    <t>Invasive species; Niche width; Stable isotopes; Food sources; Boreal lakes</t>
  </si>
  <si>
    <t>LITTORAL MACROINVERTEBRATE COMMUNITIES; SPECIES PACIFASTACUS-LENIUSCULUS; STABLE-ISOTOPES; OMNIVOROUS CRAYFISH; ASTACUS-ASTACUS; FOOD WEBS; STREAM; POPULATION; WIDTH; BIODIVERSITY</t>
  </si>
  <si>
    <t>The introduced North-American signal crayfish (Pacifastacus leniusculus) has become widespread throughout Europe where it has often replaced the native noble crayfish (Astacus astacus). The impact of this replacement on ecosystem processes in boreal lakes is still largely unknown. We compared the trophic niches of these two crayfish species in 16 small to medium sized boreal lakes in southern Finland; eight lakes with noble crayfish and eight lakes where the native crayfish populations had been lost and replaced by signal crayfish. We analysed carbon and nitrogen stable isotopes from samples of the crayfish and their putative food sources, and used stable isotope models to compare trophic niche widths of the two species of crayfish and to quantify the food sources used by them. At species level the signal crayfish exhibited a substantially larger trophic niche than that of the noble crayfish, but within-lake populations of the species did not differ in their niche widths. The isotopic niches of the two species strongly overlapped, and while the estimated proportions of food resources (profundal and littoral macroinvertebrates, terrestrial leaf detritus and macrophytes) used by crayfish varied considerably among individual populations, they did not differ consistently between the species. Our results suggest that, contrary to often expressed concerns, replacement of lost noble crayfish populations by the signal crayfish may not greatly alter the littoral food web structure in boreal lakes.</t>
  </si>
  <si>
    <t>10.1007/s10530-014-0645-x</t>
  </si>
  <si>
    <t>Fischer, H; Schmitt, J; Bock, M; Seth, B; Joos, F; Spahni, R; Lienert, S; Battaglia, G; Stocker, BD; Schilt, A; Brook, EJ</t>
  </si>
  <si>
    <t>N2O changes from the Last Glacial Maximum to the preindustrial - Part 1: Quantitative reconstruction of terrestrial and marine emissions using N2O stable isotopes in ice cores</t>
  </si>
  <si>
    <t>ATMOSPHERIC NITROUS-OXIDE; ABRUPT CLIMATE-CHANGE; OXYGEN MINIMUM ZONE; MILLENNIAL-SCALE; OCEAN CIRCULATION; METHANE EMISSIONS; ASIAN MONSOON; CARBON-CYCLE; TRACE GASES; CO2</t>
  </si>
  <si>
    <t>Using high-precision and centennial-resolution ice core information on atmospheric nitrous oxide concentrations and its stable nitrogen and oxygen isotopic composition, we quantitatively reconstruct changes in the terrestrial and marine N2O emissions over the last 21 000 years. Our reconstruction indicates that N2O emissions from land and ocean increased over the deglaciation largely in parallel by 1.7 +/- 0.3 and 0.7 +/- 0.3 TgN yr(-1), respectively, relative to the Last Glacial Maximum level. However, during the abrupt Northern Hemisphere warmings at the onset of the Bolling-Allerod warming and the end of the Younger Dryas, terrestrial emissions respond more rapidly to the northward shift in the Intertropical Convergence Zone connected to the resumption of the Atlantic Meridional Overturning Circulation. About 90% of these large step increases were realized within 2 centuries at maximum. In contrast, marine emissions start to slowly increase already many centuries before the rapid warmings, possibly connected to a re-equilibration of subsurface oxygen in response to previous changes. Marine emissions decreased, concomitantly with changes in atmospheric CO2 and delta C-13(CO2), at the onset of the termination and remained minimal during the early phase of Heinrich Stadial 1. During the early Holocene a slow decline in marine N2O emission of 0.4 TgN yr(-1) is reconstructed, which suggests an improvement of subsurface water ventilation in line with slowly increasing Atlantic overturning circulation. In the second half of the Holocene total emissions remain on a relatively constant level, but with significant millennial variability. The latter is still difficult to attribute to marine or terrestrial sources. Our N2O emission records provide important quantitative benchmarks for ocean and terrestrial nitrogen cycle models to study the influence of climate on nitrogen turnover on timescales from several decades to glacial-interglacial changes.</t>
  </si>
  <si>
    <t>10.5194/bg-16-3997-2019</t>
  </si>
  <si>
    <t>Otani, Y; Nakanishi, Y</t>
  </si>
  <si>
    <t>Stable isotope study on nitrogen and sulfur impact to coral ecosystem of Yoron, Japan</t>
  </si>
  <si>
    <t>TROPICS</t>
  </si>
  <si>
    <t>Coral reef; growth ring analysis; chemical fertilizer; waters pollution; nitrogen &amp; sulfate isotope</t>
  </si>
  <si>
    <t>In Yoron Island, cultivation of Sugarcane makes up 52 % of the agriculture on the island, and it comes with extensive use of chemical fertilizers with ammonium sulfate. Moreover, as the main island is geographically formed from karst by the raised coral reef, precipitation smoothly flows to the sea through the underground. In this process, sulfate is brought to the sea as well. It is believed that potential hazards are then caused to the coral reef ecosystem. Considering this background, we aimed to evaluate the influence of sulfate on coral reef by analyzing the stable isotopes ratio of nitrogen (delta N-15) and sulfur (delta S-34). Since the delta S-34 of sulfate is 0 %, the same value would also be shown in coral skeleton if there were significant effect of inflows. Our result reveals that delta N-15 value in coral skeleton is similar to that of the chemical fertilizer. A contrary, delta S-34 value obtained did not show similarity with that of the sulfate. However, from the analysis of the delta S-34 in growth ring, we witness a decrease of 2 % to 5 % from 1979 to 2013 and from 1990 to 2013. The conclusive result is that the delta S-34 value in coral skeleton is not significantly affected by that of the value of sulfate fertilizer. Nonetheless, the consistent decrease of delta S-34 from 1979 to 2013 may possibly be related to the increase of inflow of land-substance with low delta S-34 value to the sea.</t>
  </si>
  <si>
    <t>10.3759/tropics.MS18-04</t>
  </si>
  <si>
    <t>Feng, YX; Song, W; Lin, DM; Punt, AE; Chen, XJ</t>
  </si>
  <si>
    <t>Spatial difference in feeding habits but similar foraging strategy for energy acquisition in jumbo squid</t>
  </si>
  <si>
    <t>Jumbo squid; Energy accumulation; Foraging strategy; Stable isotope; Cephalopod</t>
  </si>
  <si>
    <t>DOSIDICUS-GIGAS CEPHALOPODA; EASTERN TROPICAL PACIFIC; FATTY-ACID PROFILES; STABLE-ISOTOPES; MOROTEUTHIS-INGENS; ILLEX-ARGENTINUS; TROPHIC POSITION; STOMACH CONTENTS; REPRODUCTION; GROWTH</t>
  </si>
  <si>
    <t>Obtaining sufficient energy is vital for maintaining basal functions and supporting physiological activities, but there is still a lack of empirical data related to foraging strategies in relation to energy acquisition. We investigated the foraging strategy of the jumbo squid Dosidicus gigas when energy demands for growth and reproduction increase as maturation. The analyses are based on the energy density technique to determine energy accumulation and stable isotope analysis to evaluate feeding habits, as well as quantification of the relationship between energy accumulation and isotopic values. We argue that mature female D. gigas may either exclusively feed on high trophic prey items, or increase food intake with opportunistic feeding to meet energy demands. Results indicated that mature female D. gigas varied in energy accumulation between equatorial waters and the north and south of Peru's Exclusive Economic Zone. Similar results were obtained by analyzing the spatial differences in delta N-15 and delta C-13, and isotopic niches. In contrast, mature D. gigas exhibit a positive relationship between energy accumulation and delta N-15, but little evidence for a correlation between energy accumulation and delta C-13 or chlorophyll a concentration. Cumulatively, our results provide evidence that mature female D. gigas differ spatially in energy accumulation and feeding habits, but have a foraging strategy that increases the intake of higher trophic prey items to meet energy demands for growth and reproduction.</t>
  </si>
  <si>
    <t>10.1007/s10452-023-10035-9</t>
  </si>
  <si>
    <t>Duarte, L; Rossi, F; Docal, C; Viejo, RM</t>
  </si>
  <si>
    <t>Effects of alga Fucus serratus decline on benthic assemblages and trophic linkages at its retreating southern range edge</t>
  </si>
  <si>
    <t>Canopy-forming algae; Fucus serratus; Rear range edge margin; delta N-15; delta C-13; Stable isotope analysis; Food web</t>
  </si>
  <si>
    <t>STABLE-ISOTOPE DELTA-C-13; INTERTIDAL MACROALGAE; FEEDING PREFERENCES; FOOD PREFERENCE; CLIMATE-CHANGE; BODY-SIZE; MARINE; DELTA-N-15; HABITAT; KELP</t>
  </si>
  <si>
    <t>Canopy-forming seaweeds are important coastal ecosystem engineers that sustain diverse multi-trophic assemblages. Their losses, with the subsequent reduction in habitat complexity, have been documented across many parts of the world and are often attributed to climate change and other anthropogenic factors. The general aim of the present study was to understand the repercussions of the decline of the canopy-forming alga Fucus serratus L. at its retreating southern range edge in the diversity and food-web linkages of intertidal assemblages. Few studies have attempted to document changes in benthic food webs following canopy loss. We examined the differences among southern locations situated at different distances from the range margin: those at the very edge, where F. serratus experienced a dramatic decline during recent years (marginal locations), and those where F. serratus is still dominant (central locations). Comparisons were made among locations situated at the same latitude and sharing a recent history of F. serratus dominance. Trophic relationships were analyzed using natural abundances of carbon and nitrogen stable isotopes. We report clear changes in the structure of benthic assemblages and lower trophic positioning of some consumers, suggesting an overall shrinkage of the food web length at the contracting range edge of F. serratus, which will transfer to higher trophic levels. Under present and future climatic scenarios, shifts in the distribution of coastal ecosystem engineers could entail a reorganization of local natural assemblages and food webs. More attention should be given to measure how much these shifts can modify the whole coastal food webs and their functioning.</t>
  </si>
  <si>
    <t>10.3354/meps11248</t>
  </si>
  <si>
    <t>Preiss, K; Adam, IKU; Gebauer, G</t>
  </si>
  <si>
    <t>Irradiance governs exploitation of fungi: fine-tuning of carbon gain by two partially myco-heterotrophic orchids</t>
  </si>
  <si>
    <t>partial myco-heterotrophy; Orchidaceae; stable isotopes; carbon gain; irradiance; mycorrhiza</t>
  </si>
  <si>
    <t>NONPHOTOSYNTHETIC INDIVIDUALS; CORALLORHIZA-TRIFIDA; ERICACEAE; NITROGEN; PHOTOSYNTHESIS; MIXOTROPHY; ABUNDANCE; PYROLEAE; PLANTS; GREEN</t>
  </si>
  <si>
    <t>While all members of the Orchidaceae are fully dependent on mycorrhizal fungi during their achlorophyllous juvenile stages, mature plants may remain fully myco-heterotrophic, become fully autotrophic or develop a nutritional mode where the carbon gain through photosynthesis is complemented by organic carbon from fungal partners. This so-called partial myco-heterotrophy is intriguingly complex. Current knowledge indicates a large range in the proportion of fungus-derived carbon between and within partially myco-heterotrophic plant species. However, the driving factors for this variation are so far mostly unknown. Here we show for two green species of the orchid genus Cephalanthera that light availability is the major determinant of the degree of myco-heterotrophy. Using leaf stable isotope natural abundance analysis together with time-integrated microscale light climate monitoring we could demonstrate that there is a sensitive reaction to varying light availability within forests. Low light levels result in strong myco-heterotrophy while higher irradiances successively drive the orchids towards autotrophy. Our results demonstrate that partial myco-heterotrophy in these species is not a static nutritional mode but a flexible mechanism driven by light availability which allows a balanced usage of carbon resources available in nature.</t>
  </si>
  <si>
    <t>10.1098/rspb.2009.1966</t>
  </si>
  <si>
    <t>Seymour, J; Horstmann-Dehn, L; Wooller, MJ</t>
  </si>
  <si>
    <t>Proportion of higher trophic-level prey in the diet of Pacific walruses (Odobenus rosmarus divergens)</t>
  </si>
  <si>
    <t>Walrus; Stable isotopes; Pinnipeds; Eiders; Mixing model</t>
  </si>
  <si>
    <t>CARBON-ISOTOPE; LIPID EXTRACTION; STABLE-ISOTOPES; RINGED SEAL; NITROGEN; PREDATION; PATTERNS; ECOLOGY; FRACTIONATION; LACTATION</t>
  </si>
  <si>
    <t>During nutritionally stressful situations, Pacific walruses (Odobenus rosmarus divergens) may switch from preying on benthic invertebrates to higher trophic-level prey (HTLP) (e.g., pinnipeds and/or seabirds). We applied a Bayesian mixing model to stable isotope (C and N) data from analyses of various tissues (tongue and lumbar muscle, skin, and liver) to quantify the proportional contribution of HTLP to walruses (n = 293 individuals). The mode contribution of HTLP to walrus diet was similar to 22 % (+/- 10 %) based on muscle mixing models, which is consistent with results from contaminant studies of Atlantic walruses (Odobenus rosmarus rosmarus), but higher than estimates based on historical stomach content analyses of Pacific walruses. A broader range in the proportion of HTLP (0-60 %) shown by mixing models using stable isotope data from liver and skin of walruses indicated they pursue an opportunistic foraging strategy. Data from the HTLP-consuming walruses were comparable with our stable isotope data of a known seal-eating walrus. No significant difference was evident between the estimated contributions of HTLP to the diet of male versus female walruses (P &gt; 0.01). This finding suggests that changes in diet base for walruses are not influenced by the sex of the predator.</t>
  </si>
  <si>
    <t>10.1007/s00300-014-1492-z</t>
  </si>
  <si>
    <t>Ruegg, KC; Anderson, EC; Harrigan, RJ; Paxton, KL; Kelly, JF; Moore, F; Smith, TB</t>
  </si>
  <si>
    <t>Genetic assignment with isotopes and habitat suitability (GAIAH), a migratory bird case study</t>
  </si>
  <si>
    <t>avian ecology; migratory connectivity; movement ecology; population assignment; Wilson's warbler</t>
  </si>
  <si>
    <t>STABLE-ISOTOPES; COMPARATIVE EQUILIBRATION; WILSONIA-PUSILLA; NATAL ORIGINS; CONNECTIVITY; POPULATIONS; RESOLUTION; HYDROGEN; GENOMICS; DNA</t>
  </si>
  <si>
    <t>1. Identifying migratory connections across the annual cycle is important for studies of migrant ecology, evolution and conservation. While recent studies have demonstrated the utility of high-resolution SNP-based genetic markers for identifying population-specific migratory patterns, the accuracy of this approach relative to other intrinsic tagging techniques has not yet been assessed. 2. Here, using a straightforward application of Bayes' Rule, we develop a method for combining inferences from high-resolution genetic markers, stable isotopes and habitat suitability models, to spatially infer the breeding origin of migrants captured anywhere along their migratory pathway. Using leave-one-out cross validation, we compare the accuracy of this combined approach with the accuracy attained using each source of data independently. 3. Our results indicate that when each method is considered in isolation, the accuracy of genetic assignments far exceeded that of assignments based on stable isotopes or habitat suitability models. However, our joint assignment method consistently resulted in small, but informative increases in accuracy and did help to correct misassignments based on genetic data alone. We demonstrate the utility of the combined method by identifying previously undetectable patterns in the timing of migration in a North American migratory songbird, the Wilson's warbler. 4. Overall, our results support the idea that while genetic data provides the most accurate method for tracking animals using intrinsic markers when each method is considered independently, there is value in combining all three methods. The resulting methods are provided as part of a new computationally efficient R-package, gaiah, allowing broad application of our statistical framework to other migratory animal systems.</t>
  </si>
  <si>
    <t>10.1111/2041-210X.12800</t>
  </si>
  <si>
    <t>Rhoades, CC; Eckert, GE; Coleman, DC</t>
  </si>
  <si>
    <t>Soil carbon differences among forest, agriculture, and secondary vegetation in lower montane Ecuador</t>
  </si>
  <si>
    <t>deforestation; Ecuador; pasture; secondary forest; Setaria sphacelata; soil carbon sequestration; soil organic matter; stable carbon isotopes; sugar cane agriculture</t>
  </si>
  <si>
    <t>ORGANIC-MATTER DYNAMICS; C-13 NATURAL-ABUNDANCE; LAND-USE; TROPICAL DEFORESTATION; ATMOSPHERIC CARBON; EASTERN AMAZONIA; PASTURE; CULTIVATION; STORAGE; SAVANNAS</t>
  </si>
  <si>
    <t>In the lower montane region of northwestern Ecuador, forest clearing for sugar cane and pasture production occurs simultaneously with recolonization of secondary forest vegetation on abandoned agricultural lands. We estimated the loss of forest-derived soil C (light in C-13) and the accumulation of C from replicate sugar cane and pasture vegetation (heavy in C-13) using a stable C isotope technique. We also measured differences in the proportion of soil C derived from C-3 and C-4 plants across a land-use progression from agricultural fields through successional communities and undisturbed forest. Total soil C was 23 Mg/ha lower in the upper 30 cm following 50 yr of sugar cane production (24% decrease) compared to old-growth forest. The net change (-0.4 Mg.ha(-1).yr(-1)) in soil C consisted of 1.3 Mg/ha annual losses of original forest C and 0.9 Mg/ha annual gains of C from sugar cane. After 15 yr beneath pasture, soil C was 11 Mg/ha less in the upper 30 cm than beneath forest (12% decrease). During that period, 33% of the original forest C was lost, compared to 68% released during 50 yr of sugar cane cultivation. Rate of forest C loss, C-4-C accumulation, and net soil C change differed little between two distinct pasture types. Setaria sphacelata pasture and a traditional mixed-species pasture both contained more total soil C and added C-4-C more rapidly than sugar cane. Under second-growth forest, soil C increased by 1.9 Mg.ha(-1).yr(-1), the result of a 3 Mg/ha annual increase in C, carbon and a 1.1 Mg/ha annual loss of C-4 carbon. The total soil C pool returned to preclearing levels within 20 yr. While widespread reforestation may be thwarted by high demands for land in northwestern Ecuador, agricultural land-use options exist that can contribute to increased soil C stocks.</t>
  </si>
  <si>
    <t>10.2307/2641109</t>
  </si>
  <si>
    <t>Le Bras-Goude, G; Claustre, F</t>
  </si>
  <si>
    <t>EXPLOITATION OF DOMESTIC MAMMALS IN THE EASTERN PYRENEES DURING THE NEOLITHIC HUMAN DIETARY PATTERNS AT THE SITE OF MONTOU (CORBERES-LES-CABANES, FRANCE) USING BONE COLLAGEN STABLE ISOTOPES (delta C-13, delta N-15)</t>
  </si>
  <si>
    <t>NEOLITHIC; PYRENEES; DIET; ISOTOPE; CARBON; NITROGEN</t>
  </si>
  <si>
    <t>NITROGEN ISOTOPES; CARBON; RATIOS; MARINE; AGE; ENRICHMENT; N-15</t>
  </si>
  <si>
    <t>The neolithisation process is at the origin of many socio-economic and cultural changes in the northwestern Mediterranean since the end of the 7(th) millnennium BC. Within thus chronological and cultural framework, we carried out stable isotope analyses on both animal and human bones at the archaeological site of Montou (Corberes-les-Cabanes. Eastern Pyrenees) in order to study the dietary patterns of a human group considered as mobile breeders in these highlands. The results show, among other things, that the main part of human diet proteins derived from terrestial animal resources, probably from domestic livestock, but in various proportion according to the individual. No marine and/or freshwater resources were consumed Moreover, dogs show similar stable isotope values as human and they probably shared the same food resorces Lastly, dietary patterns at Montou seems to be similar to those of other Neolithic populations in Languedoc plain area whatever the type of site</t>
  </si>
  <si>
    <t>Harvey, E; Altermatt, F</t>
  </si>
  <si>
    <t>Regulation of the functional structure of aquatic communities across spatial scales in a major river network</t>
  </si>
  <si>
    <t>altitude; aquatic biodiversity; indirect effects; land use change; macroinvertebrates; meta-community; path analysis; Rhine River; Switzerland; river network; riverscape; trophic structure</t>
  </si>
  <si>
    <t>FOOD-WEB STRUCTURE; FRESH-WATER; BIODIVERSITY PATTERNS; METACOMMUNITY STRUCTURE; MULTIPLE STRESSORS; REGIONAL PROCESSES; SPECIES RICHNESS; FINE SEDIMENT; DIVERSITY; CONSEQUENCES</t>
  </si>
  <si>
    <t>Moving beyond species count data is an essential step to better understand the effects of environmental perturbations on biodiversity and ecosystem functions, and to eventually better predict the strength and direction of those effects. Here, coupling an integrative path analysis approach with data from an extensive countrywide monitoring program, we tested the main spatial, environmental and anthropogenic drivers of change in the functional structure of aquatic macroinvertebrate communities along the entire Swiss Rhine river catchment. Functional structure was largely driven by inherent altitudinal variation influencing and cascading to regional scaled factors such as land use change and position in the riverine network, which, in turn, transformed local habitat structure variables. Those cascading effects across scales propagated through the biotic community, first affecting prey and, in turn, predators. Our results illustrate how seemingly less important local factors can act as essential transmission belts, propagating through direct and indirect pathways across scales to generate the specific context in which each functional group will strive or not, leading to characteristic landscape wide variations in functional community structure.</t>
  </si>
  <si>
    <t>e02633</t>
  </si>
  <si>
    <t>10.1002/ecy.2633</t>
  </si>
  <si>
    <t>Neer, JA; Rose, KA; Cortes, E</t>
  </si>
  <si>
    <t>Simulating the effects of temperature on individual and population growth of Rhinoptera bonasus: a coupled bioenergetics and matrix modeling approach</t>
  </si>
  <si>
    <t>cownose ray; bioenergetics; matrix model; population dynamics; global climate change; movement</t>
  </si>
  <si>
    <t>GULF-OF-MEXICO; LIFE-HISTORY; CARCHARHINUS-PLUMBEUS; DEMOGRAPHIC-ANALYSIS; SANDBAR SHARK; COWNOSE RAY; MYLIOBATIS-CALIFORNICA; OXYGEN-CONSUMPTION; TOMALES BAY; AGE</t>
  </si>
  <si>
    <t>Cownose rays Rhinoptera bonasus typify the K-selected life history strategy that makes their population dynamics susceptible to variation in natural and anthropogenic factors. We used an individual-based bioenergetics model, coupled to a matrix projection model, to predict how water temperatures warmer and cooler than current conditions would affect the individual growth and the population dynamics of cownose rays. The bioenergetics model simulated the daily growth, survival, and reproductive output of a cohort of female individuals from birth over their lifetime. Warmer and cooler temperature scenarios under alternative assumptions about ray movement were simulated. Under warmer conditions, daily consumption rate would have to increase by about 12 % or weights-at-age would decrease by 10 to 17 %, while under cooler conditions, daily consumption would have to decrease by about 14% or weights-at-age would increase by about 15%. Slowed individual growth under warmer water temperatures translated into slowed population growth rate, decreased net reproductive rate, longer generation time, and higher but delayed age-specific reproductive values. For example, under the scenario that resulted in the slowest individual growth rates, the population growth rate would decrease from 0.027 to 0.005 yr(-1). Population growth rates were more sensitive to variation in survival rates, especially those of mature age-classes, than to fertility rates. Our coupling of an individual-based bioenergetics model with a matrix projection model offers a potentially powerful approach for relating how, with limited to moderate information, changes in environmental variables and habitat that affect individual growth can be expressed as population-level responses.</t>
  </si>
  <si>
    <t>10.3354/meps329211</t>
  </si>
  <si>
    <t>Kitchens, LL; Rooker, JR; Reynal, L; Falterman, BJ; Saillant, E; Murua, H</t>
  </si>
  <si>
    <t>Discriminating among yellowfin tuna Thunnus albacares nursery areas in the Atlantic Ocean using otolith chemistry</t>
  </si>
  <si>
    <t>Yellowfin tuna; Atlantic Ocean; Otolith chemistry; Nursery discrimination; Trace elements; Stable isotopes</t>
  </si>
  <si>
    <t>SNAPPER PAGRUS-AURATUS; BLUEFIN TUNA; POPULATION-STRUCTURE; PACIFIC-OCEAN; ISOTOPIC COMPOSITION; FISH OTOLITHS; MARINE FISH; SALINITY; MANGANESE; FRACTIONATION</t>
  </si>
  <si>
    <t>Otolith chemistry of young-of-year (YOY) yellowfin tuna Thunnus albacares was examined to determine whether chemical signatures are distinct across major spawning areas in the Atlantic Ocean. YOY yellowfin tuna otoliths were collected from 4 locations in the Atlantic Ocean (Gulf of Mexico, Caribbean Sea, Cape Verde, and Gulf of Guinea) from 2013-2015, and trace element (Li, Mg, Mn, Sr, Zn, and Ba) and stable isotope (delta C-13 and delta O-18) analyses were conducted to investigate regional variation in otolith chemical composition. Results indicated that significant regional differences in chemical signatures existed for each cohort of YOY yellowfin tuna investigated. Quadratic discriminant function analysis showed that nursery assignment accuracies based on otolith trace elements and stable isotopes were 64-85% for each cohort, justifying the use of these natural tracers as regional discriminators for yellowfin tuna. Significant interannual variability in regional signatures was also detected, highlighting the importance of age-class matching when using the baseline of nursery signatures to estimate the origin of sub-adult and adult yellowfin tuna. This study clearly demonstrates that baseline chemical signatures in the otoliths of YOY yellowfin tuna are distinct and can therefore serve as an effective tool for assigning older individuals to their nursery of origin, ultimately providing a way to improve our understanding of the population connectivity and mixing rates of this species in the Atlantic Ocean.</t>
  </si>
  <si>
    <t>10.3354/meps12676</t>
  </si>
  <si>
    <t>Kadila, HK; Nakwaya, DN; Butler, M; Iitembu, JA</t>
  </si>
  <si>
    <t>Insights into feeding interactions of shallow water cape hake (Merluccius capensis) and cape horse mackerel (Trachurus capensis) from the Northern Benguela (Namibia)</t>
  </si>
  <si>
    <t>Stable isotopes; Stomach contents; Feeding interactions; Northern Benguela ecosystem; Shallow water cape hake; Cape horse mackerel</t>
  </si>
  <si>
    <t>MARINE ECOSYSTEM; LATITUDINAL GRADIENTS; SPATIAL VARIATION; STABLE-ISOTOPES; STOMACH CONTENT; NICHE WIDTH; M-PARADOXUS; DIET; FISH; HABITS</t>
  </si>
  <si>
    <t>Shallow water cape hake (SWCH) (Merluccius capensis) and cape horse mackerel (CHM) (Trachurus capensis) are ecologically and commercially important species in the northern Benguela ecosystem (Namibia). The understanding of their feeding interactions is however still limited. In this study, stable isotope measurements [carbon (delta 13C) and nitrogen (delta 15N)] of their muscles and stomach contents were used to understand their feeding interactions. Muscle tissues and stomach contents (n= 404), were collected during bottom trawl surveys in Namibian waters (November 2017). Results indicated that krill (Euphausiids) was the dominant prey in the diet of CHM and smaller SWCH, while the importance of CHM in the diet of larger SWCH was observed. Jacopever (Helicolenus dactylopterus) dominated the diet of SWCH that were larger than 51 cm. The diet compositions of the two species changed with latitude, an indication of the influence of prey availability. A potential for interspecific feeding competitions between the two species was observed as krill and anchovy were found as their common prey species. Significant differences were found in both delta 15N values and delta 13C values of the two species. A significant positive relationship between delta 13C values and size were observed for both species. A negative relationship between delta 15N values and size was observed in CHM. The length ranges of isotopic intersections were 34 to 36 cm for delta 15N and 32 cm to 40 cm for delta 13C, an indication that young SWCH possibly interacts more with larger CHM. Although there was niche overlap, a wider niche for SWCH than CHM was observed. This is the first study that has combined stable isotopes and stomach content analysis methodologies, to understand the feeding interaction of SWCH and CHM. (C) 2020 Elsevier B.V. All rights reserved.</t>
  </si>
  <si>
    <t>10.1016/j.rsma.2020.101071</t>
  </si>
  <si>
    <t>VICTORIA, RL; MARTINELLI, LA; TRIVELIN, PCO; MATSUI, E; FORSBERG, BR; RICHEY, JE; DEVOL, AH</t>
  </si>
  <si>
    <t>THE USE OF STABLE ISOTOPES IN STUDIES OF NUTRIENT CYCLING - CARBON ISOTOPE COMPOSITION OF AMAZON VARZEA SEDIMENTS</t>
  </si>
  <si>
    <t>AMAZONIA; BRAZIL; CARBON; ISOTOPES; NITROGEN; NUTRIENT CYCLING; RIVER; SEDIMENTS; TROPICS; VARZEA</t>
  </si>
  <si>
    <t>SALT-MARSH; SOILS; RIVER</t>
  </si>
  <si>
    <t>In order to characterize the organic and isotopic compositions and the origin of the sediment deposited in the Amazon river floodplain, samples from lake bottom, grass cover, and vegetation free sediments were studied. The results obtained showed that after deposition the organic characteristics of these sediments were altered according to their environment. Thus, compared to river-transported fine particulate organic matter (FPOM), samples from the lake bottom sediments showed increases in carbon and nitrogen concentrations, and decreases in delta-C-13 values due to the low isotopic composition of the particulate organic carbon in the lakes. Samples from areas covered by grasses had lower nitrogen and carbon relative to FPOM. The isotopic composition was changed by organic matter produced by the grasses, becoming less negative in delta-C-13 in the downriver direction. In the vegetation-free samples, collected over areas that had been recently drained, the isotopic composition did not change in relation to FPOM, but a decrease in carbon and nitrogen was observed.</t>
  </si>
  <si>
    <t>10.2307/2388518</t>
  </si>
  <si>
    <t>Tobin, PC; Cremers, KT; Hunt, L; Parry, D</t>
  </si>
  <si>
    <t>All quiet on the western front? Using phenological inference to detect the presence of a latent gypsy moth invasion in Northern Minnesota</t>
  </si>
  <si>
    <t>Establishment; Lymantria dispar; Spread; Stratified dispersal</t>
  </si>
  <si>
    <t>LYMANTRIA-DISPAR LEPIDOPTERA; FOREST TENT CATERPILLAR; PROPAGULE PRESSURE; INSECT; ESTABLISHMENT; DISPERSAL; SPREAD; GROWTH; POPULATIONS; MODEL</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</si>
  <si>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</si>
  <si>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10.1007/s10530-016-1248-5</t>
  </si>
  <si>
    <t>Scherer, RD; Doll, AC; Rea, LD; Christ, AM; Stricker, CA; Witteveen, B; Kline, TC; Kurle, CM; Wunder, MB</t>
  </si>
  <si>
    <t>Stable isotope values in pup vibrissae reveal geographic variation in diets of gestating Steller sea lions Eumetopias jubatus</t>
  </si>
  <si>
    <t>Stable isotopes; Vibrissae; Steller sea lion; Carbon; Nitrogen; Mixing model; Diet composition</t>
  </si>
  <si>
    <t>CALLORHINUS-URSINUS; POPULATION DECLINE; DELTA-N-15; DELTA-C-13; CARBON; ALASKA; PREY; FRACTIONATION; EXTINCTION; RESPONSES</t>
  </si>
  <si>
    <t>Multiple factors, including limitation in food resources, have been proposed as possible causes for the lack of recovery of the endangered western segment of the Steller sea lion population in the United States. Because maternal body condition has important consequences on fetal development and neonatal survival, the diets of pregnant females may be particularly important in regulating population sizes. We used the stable carbon and nitrogen isotope values of vibrissae from Steller sea lion pups as an indirect indicator of maternal diets during gestation. Combining these data with isotope data from potential prey species in a Bayesian mixing model, we generated proportional estimates of dietary consumption for key prey. Our analysis indicated that females in the most westerly metapopulations relied heavily on Atka mackerel and squid, whereas females inhabiting the Gulf of Alaska region had a fairly mixed diet, and the metapopulation of Southeast Alaska showed a strong reliance on forage fish. These results are similar to previous data from scat collections; however, they indicate a possible under-representation of soft-bodied prey (squid) or prey with fragile skeletons (forage fish) from analyses of data from scats. This study supports the utility of stable isotope modeling in predicting diet composition in gestating adult female Steller sea lions during winter, using pup vibrissae.</t>
  </si>
  <si>
    <t>10.3354/meps11255</t>
  </si>
  <si>
    <t>Yamamura, O; Funamoto, T; Chimura, M; Honda, S; Oshima, T</t>
  </si>
  <si>
    <t>Interannual variation in diets of walleye pollock in the Doto area, in relation to climate variation</t>
  </si>
  <si>
    <t>Diet shift; Climate variation; Cannibalism; Appendicularians; Diaphus theta</t>
  </si>
  <si>
    <t>EASTERN BERING-SEA; SUB-ARCTIC PACIFIC; OSCILLATING CONTROL HYPOTHESIS; WESTERN NORTH PACIFIC; THERAGRA-CHALCOGRAMMA; OYASHIO REGION; VERTICAL-DISTRIBUTION; JAPAN; APPENDICULARIA; ECOSYSTEM</t>
  </si>
  <si>
    <t>Interannual variation in the diet of walleye pollock Theragra chalcogramma along the southeastern coast of Hokkaido Island (Doto area) was analyzed using &gt; 15 000 specimens collected in the periods 1989-1992 and 1995-2011, in relation to oceanographic variables. The area experienced a warm period from 1998 to 2002, which was preceded and followed by cold periods. An apparent shift in diet occurred between the first cold period and the warm period. Appendicularians (larvaceans) became an important summer prey for small-sized pollock (&lt;= 300 mm SL) in addition to copepods and euphausiids, which were also important before the onset of the warm period. In medium-and large-sized pollock, an abrupt decrease in mesopelagic fishes (mainly myctophid Diaphus theta) was observed in stomach contents 3 yr after the 1997/1998 climate regime shift, possibly reflecting a recruitment failure of D. theta. Appendicularians, cannibalism and anchovy Engraulis japonica compensated for the disappearance of mesopelagic fishes from the diet. During autumn and winter, a similar shift from micronekton (mainly D. theta and firefly squid Watasenia scintillans) to euphausiids (exclusively Euphausia pacifica) and cannibalism was found between 2000 and 2001. Although diet changes lagged the onset of the warm period, condition factor increased immediately after the regime shift. This inconsistency may be attributable to the bioenergetic response of juvenile pollock, which attain better growth at warmer temperatures. Thus, in the Doto area, the effect of climate variation on the survival of pollock seemed to be limited, due to their flexible feeding behaviors.</t>
  </si>
  <si>
    <t>10.3354/meps10445</t>
  </si>
  <si>
    <t>Cui, G; Liu, Y; Tong, SZ</t>
  </si>
  <si>
    <t>Hydrogeochemical processes controlling the salinity of surface water and groundwater in an inland saline-alkali wetland in western Jilin, China</t>
  </si>
  <si>
    <t>hydrogeochemical processes; inland wetland; salinity; hydrochemistry; stable isotope</t>
  </si>
  <si>
    <t>PHRAGMITES-AUSTRALIS; SALINIZATION</t>
  </si>
  <si>
    <t>Understanding the hydrochemical evolutionary mechanisms of surface water and groundwater in saline-alkali wetlands in arid and semi-arid regions is necessary for assessing how wetland water resource utilization and restoration processes may affect the natural interface between wetland salinity and water. The Momoge National Nature Reserve (MNNR) is an inland wetland in northeastern China that is mainly fed by irrigation water and floods from the Nenjiang River. The purpose of the present study is to describe the spatial distribution characteristics of surface water and groundwater hydrochemistry and salinity in the MNNR and analyze the main processes controlling these parameters. The composition of stable isotopes (delta H-2 and delta O-18) and water chemistry, including the levels of Na, K, Ca, Mg, HCO3, SO4, and Cl, of 156 water samples were analyzed. The results show that the lake water in the MNNR is at a risk of salinization owing to a high degree of evaporation. The analysis of the ion ratio and mineral saturation index showed that the ions in water are primarily derived from aquifer leaching, and the precipitation of Ca2+ and Mg2+ resulted in lower Ca2+ and Mg2+ levels in lake water than in groundwater. Hydrogen and oxygen stable isotope and deuterium excess analyses show that evaporation is the dominant factor controlling the hydrochemistry and salinity of lake water in the MNNR. Long-term effective monitoring of lake water and groundwater must be developed to provide an early warning for the salinization of lake water and a scientific basis for the protection and restoration of wetland ecosystem functions within the MNNR.</t>
  </si>
  <si>
    <t>10.3389/fevo.2022.993849</t>
  </si>
  <si>
    <t>Rosenberg, Y; Simon-Blecher, N; Lalzar, M; Yam, R; Shemesh, A; Alon, S; Perna, G; Cardenas, A; Voolstra, CR; Miller, DJ; Levy, O</t>
  </si>
  <si>
    <t>Urbanization comprehensively impairs biological rhythms in coral holobionts</t>
  </si>
  <si>
    <t>biological rhythms; coral holobiont; coral reef; coral reef decline; molecular ecology; urbanization</t>
  </si>
  <si>
    <t>UNFOLDED PROTEIN RESPONSE; ENVIRONMENTAL-CHANGE; COMMUNITY STRUCTURE; STABLE-ISOTOPES; GENE-EXPRESSION; RED-SEA; REEFS; ZOOXANTHELLAE; RELEASE; CYCLES</t>
  </si>
  <si>
    <t>Coral reefs are in global decline due to climate change and anthropogenic influences (Hughes et al., Conservation Biology, 27: 261-269, 2013). Near coastal cities or other densely populated areas, coral reefs face a range of additional challenges. While considerable progress has been made in understanding coral responses to acute individual stressors (Dominoni et al., Nature Ecology &amp; Evolution, 4: 502-511, 2020), the impacts of chronic exposure to varying combinations of sensory pollutants are largely unknown. To investigate the impacts of urban proximity on corals, we conducted a year-long in-natura study-incorporating sampling at diel, monthly, and seasonal time points-in which we compared corals from an urban area to corals from a proximal non-urban area. Here we reveal that despite appearing relatively healthy, natural biorhythms and environmental sensory systems were extensively disturbed in corals from the urban environment. Transcriptomic data indicated poor symbiont performance, disturbance to gametogenic cycles, and loss or shifted seasonality of vital biological processes. Altered seasonality patterns were also observed in the microbiomes of the urban coral population, signifying the impact of urbanization on the holobiont, rather than the coral host alone. These results should raise alarm regarding the largely unknown long-term impacts of sensory pollution on the resilience and survival of coral reefs close to coastal communities.</t>
  </si>
  <si>
    <t>10.1111/gcb.16144</t>
  </si>
  <si>
    <t>Cao, HY; Han, L; Liu, ZH; Li, LZ</t>
  </si>
  <si>
    <t>Monitoring and driving force analysis of spatial and temporal change of water area of Hongjiannao Lake from 1973 to 2019</t>
  </si>
  <si>
    <t>Hongjiannao Lake; Remote sensing; Landsat; Spatiotemporal change; Climate; Human activities</t>
  </si>
  <si>
    <t>TIBETAN PLATEAU; IDENTIFICATION; RUNOFF</t>
  </si>
  <si>
    <t>Hongjiannao Lake is the largest desert freshwater lake in China and the world?s largest breeding habitat for gulls, which is of great significance to the local ecological environment and the breeding of key protected birds, and was listed as a national key protected lake in 2012. This study uses Landsat series satellite remote sensing data from 1973 to 2019 in combination with the NDWI water body index and OSTU adaptive threshold methods to obtain a 46-year area dataset for the study area. On this basis, the temporal and spatial evolution of the lake and its coupling relationship with natural factors and human activities were studied. The results show that (1) during the period 1973?2019, Hongjiannao Lake has undergone three stages: slight shrinkage (1973?1997), sharp shrinkage (1997?2015), and expansion (2015?2019); (2) The shrinkage of the Hongjiannao Lake is mainly caused by anthropogenic factors, followed by natural factors. The anthropogenic factors mainly consist of the upstream river construction reservoirs, industrial development of water and vegetation growth increased water demand; (3) For the first time, the preliminary results of the conservation measures implemented since 2012 were analyzed. This is mainly reflected in the positive growth of the Hongjiannao Lake for the first time since its long-term shrinkage in 1997. This phenomenon is mainly due to measures such as artificially increasing rainfall and ecological water replenishment. Climate change (high evaporation, low precipitation) and human activities (construction of upstream water conservancy projects, coal mining, lagoon road construction, irrigation water use, etc.) are the key factors contributing to the changes in lake area during the shrinkage period. It is suggested that the study area should carry out artificial rain enhancement and surface ecological water replenishment to scientifically and rationally utilize water resources in the basin, effectively suppress the shrinkage of Hongjiannao Lake, and achieve long-term sustainable restoration of the wetland ecology.</t>
  </si>
  <si>
    <t>10.1016/j.ecoinf.2021.101230</t>
  </si>
  <si>
    <t>Caizergues, A; Van Wilgenburg, SL; Hobson, KA</t>
  </si>
  <si>
    <t>Unraveling migratory connectivity of two European diving ducks: a stable isotope approach</t>
  </si>
  <si>
    <t>Breeding origin; Common pochard; Deuterium; Migratory connectivity; Natal origin; Stable isotopes; Tufted duck</t>
  </si>
  <si>
    <t>TEAL ANAS-CRECCA; DELTA-D; GEOGRAPHIC-VARIATION; POPULATION DECLINES; MOVEMENT PATTERNS; LESSER SCAUP; HYDROGEN; ORIGINS; BIRDS; FEATHERS</t>
  </si>
  <si>
    <t>Quantifying the strength of migratory connectivity or the degree to which breeding and wintering populations are connected is crucial for conservation and management of migratory birds. Using stable hydrogen isotope ratios of secondary flight feathers (delta H-2(f)), we assessed the breeding origins/locations of 666 common pochards (Aythya ferina) and 190 tufted ducks (A. fuligula) captured in France during the 2005-2006 and 2008-2009 wintering seasons. Isotopic values of common pochards wintering on Grand-lieu Lake (western France) displayed a marked bimodal spatial distribution supportive of strong contributions of both northern (60-65A degrees of latitude) and central European (45-55A degrees of latitude) origins. According to the temporal distribution of delta H-2(f) values, the presence of common pochards of northern origin reached a maximum at the peak of the wintering season (December-January). In contrast, tufted duck did not display a clear bimodal pattern in delta H-2(f), with individuals displaying a more northerly origin (60-70A degrees of latitude), likely of Russian and Scandinavian origin. First-year individuals had more northern origins than adults, suggesting that either isotopic discrimination differed among age groups or, more probably, that some adults may undergo moult at latitudes lower than that of their breeding ground. Tufted ducks with northerly delta H-2(f) values were observed early in the season in individuals sampled in eastern France and late in the season in those sampled in western France. The effects of winter severity on the distribution of individuals over the wintering range were supported for the tufted duck with more northerly values recorded during harsh winters. Management implications of these results are discussed.</t>
  </si>
  <si>
    <t>10.1007/s10344-016-1048-3</t>
  </si>
  <si>
    <t>Loria, A; Archambault, P; Burt, A; Ehrman, A; Grant, C; Power, M; Stern, GA</t>
  </si>
  <si>
    <t>Mercury and stable isotope (delta C-13 and delta N-15) trends in decapods of the Beaufort Sea</t>
  </si>
  <si>
    <t>Mercury; Stable isotopes; Shrimp; Beaufort sea</t>
  </si>
  <si>
    <t>BIOLOGICAL OCEANOGRAPHIC DATA; WHALES DELPHINAPTERUS-LEUCAS; SCLEROCRANGON-BOREAS PHIPPS; MARINE FISHES PROJECT; FOOD-WEB STRUCTURE; TROPHIC RELATIONSHIPS; FEEDING-BEHAVIOR; RINGED SEALS; ARCTIC-OCEAN; WATER MASS</t>
  </si>
  <si>
    <t>To date, limited data are available on mercury (Hg) concentrations in Arctic benthos. It is important that we establish baseline Hg concentrations in benthic communities to improve our understanding of Hg within the Arctic marine ecosystem because they are food sources of key species, such as beluga whales, which are consumed by Inuit as a part of their traditional diet. In this study, we present Hg concentrations (total and monomethyl-THg and MMHg) in three shrimp species in the Canadian Beaufort Sea region: Eualus gaimardii, Sclerocrangon boreas and Sclerocrangon ferox. We compared the variability between the three species and investigated whether it could be accounted for by regional (depth, latitude, longitude) or biological indices (stable isotope, SI, ratios of nitrogen and carbon). E. gaimardii exhibited the lowest mean delta N-15 and delta C-13 values and mean THg and MMHg concentrations, whereas S. boreas had the highest mean delta N-15 value and S. ferox had the highest mean delta C-13 value and mean THg and MMHg concentrations. Differences in SI and Hg data among the three species were attributed to their different trophic functional groups, regional features and relative incidences of species collected at our sampling sites. The determination of baseline THg and MMHg concentrations and insight on how concentrations vary with geographical correlates reported here among three common Arctic decapod species will contribute to closing the Hg-benthos knowledge gaps within the Arctic food web.</t>
  </si>
  <si>
    <t>10.1007/s00300-020-02646-x</t>
  </si>
  <si>
    <t>Keyzer, MA; Merbis, MD; Pavel, IFPW; van Wesenbeeck, CFA</t>
  </si>
  <si>
    <t>Diet shifts towards meat and the effects on cereal use: can we feed the animals in 2030?</t>
  </si>
  <si>
    <t>food consumption pattern; meat demand; dietary change; cereal feed demand; land use</t>
  </si>
  <si>
    <t>CONSUMPTION PATTERNS; FOOD; AGRICULTURE; AQUACULTURE</t>
  </si>
  <si>
    <t>The paper argues that current international projections of meat and feed demand may underestimate future consumption patterns, for mainly two reasons: demand projections are based on income extrapolation with an assumed demand elasticity and feed requirements per unit of meat are taken to be fixed. Instead, we propose a structural specification that includes a dietary shift towards meat as per capita income increases, and we account for a shift from traditional to cereal intensive feeding technologies. Our finding is that under the commonly assumed growth rates of per capita income, world cereal feed demand will be significantly higher in the coming 30 years than is currently projected by international organizations, even if we allow for price effects. Compared to other factors that are generally expected to affect the future world food situation, the quantitative impact of the increased cereal feed demand greatly exceeds that of GMOs and climate change in the coming three decades. (c) 2005 Elsevier B.V. All rights reserved.</t>
  </si>
  <si>
    <t>10.1016/j.ecolecon.2004.12.002</t>
  </si>
  <si>
    <t>Power, ME; Parker, MS; Dietrich, WE</t>
  </si>
  <si>
    <t>Seasonal reassembly of a river food web: Floods, droughts, and impacts of fish</t>
  </si>
  <si>
    <t>algal blooms; Cladophora glomerata; context dependency; effect sizes; flood scour; food chain length; interaction strength; Lavinia (Hesperoleucas) symmetricus; long-term studies; Mediterranean hydrologic regimes; Oncorhynchus mykiss; predator impacts</t>
  </si>
  <si>
    <t>NORTHERN CALIFORNIA STREAMS; GRAZING MINNOWS; INTERACTION STRENGTH; PISCIVOROUS BASS; DESERT STREAM; ALGAE; DISTURBANCE; RESPONSES; COMMUNITY; PALATABILITY</t>
  </si>
  <si>
    <t>Eighteen years of field observations and five summer field experiments in a coastal California river suggest that hydrologic regimes influence algal blooms and the impacts of fish on algae, cyanobacteria, invertebrates, and small vertebrates. In this Mediterranean climate, rainy winters precede the biologically active summer low-flow season. Cladophora glomerata, the filamentous green alga that dominates primary producer biomass during summer, reaches peak biomass during late spring or early summer. Cladophora blooms are larger if floods during the preceding winter attained or exceeded bankfull discharge'' (sufficient to mobilize much of the river bed, estimated at 120 m(3)/s). In 9 out of 12 summers preceded by large bed-scouring floods, the average peak height of attached Cladophora turfs equaled or exceeded 50 cm. In five out of six years when flows remained below bankfull, Cladophora biomass peaked at lower levels. Flood effects on algae were partially mediated through impacts on consumers in food webs. In three experiments that followed scouring winter floods, juvenile steelhead (Oncorhynchus mykiss) and roach (Lavinia (Hesperoleucas) symmetricus) suppressed certain insects and young-of-the-year fish fry, affecting persistence or accrual of algae positively or negatively, depending on the predator-specific vulnerabilities of primary consumers capable of suppressing algae during a given year. During two post-flood years, these grazers were more vulnerable to small predators (odonates and fish fry, which stocked steelhead always suppressed) than to experimentally manipulated, larger fish, which had adverse effects on algae in those years. During one post-flood year, all enclosed grazers capable of suppressing algae were consumed by steelhead, which therefore had positive effects on algae. During drought years, when no bed-scouring winter flows occurred, large armored caddisflies (Dicosmoecus gilvipes) were more abundant during the subsequent summer. In drought-year experiments, stocked fish had little or no influence on algal standing crops, which increased only when Dicosmoecus were removed from enclosures. Flood scour, by suppressing invulnerable grazers, set the stage for fish mediated effects on algae in this river food web. Whether these effects were positive or negative depended on the predator-specific vulnerabilities of primary consumers that dominated during a given summer.</t>
  </si>
  <si>
    <t>10.1890/06-0902.1</t>
  </si>
  <si>
    <t>Hayden, B; Harrod, C; Sonninen, E; Kahilainen, KK</t>
  </si>
  <si>
    <t>Seasonal depletion of resources intensifies trophic interactions in subarctic freshwater fish communities</t>
  </si>
  <si>
    <t>diet; resource competition; ruffe; stable isotopes; whitefish; winter ecology</t>
  </si>
  <si>
    <t>COREGONUS-LAVARETUS L.; CLIMATE-CHANGE; ICE-COVER; WHITEFISH; SEGREGATION; MAINTENANCE; SYNOPSIS; ECOLOGY; BIOLOGY; GROWTH</t>
  </si>
  <si>
    <t>1. Climate change in recent decades has resulted in an increase in both the density and diversity of consumers in subarctic freshwater ecosystems. Despite this, harsh winter conditions in the region limit productivity and may serve as a bottleneck driving trophic interactions within the fish community, potentially determining the outcome of climate change for resident biota. However, due to the difficulties in sampling during winter months, few studies have assessed seasonal variation in the ecological interactions between native and range-expanding species in subarctic regions. We examined seasonal variation in activity, diet (stomach content) and resource use (C-13 and N-15 stable isotope ratios) of two fishes: the resident cold-water-adapted European whitefish (Coregonus lavaretus L.) and the range-expanding cool-water-adapted ruffe (Gymnocephalus cernua L.) in lakes with low and high consumer density. Results were contrasted with seasonal availability of benthic and pelagic resources and indirect measures of individual fitness, that is condition, growth and estimated lipid content (muscle elemental C:N ratio) of both species. The effects of fish density were apparent in both the diet and resource use of whitefish, which altered their diet and displayed reduced stomach fullness during winter in high-density lakes. This was associated with an overall reduction in whitefish growth, condition and estimated lipid content in high-density lakes, which was especially pronounced during winter. Ruffe utilised a greater proportion of profundal resources than whitefish in both summer and winter, potentially exploiting a vacant niche. Ruffe maintained condition and lipid reserves throughout the winter, highlighting the potential for further northward range expansion of the species. Winter acts as a seasonal bottleneck in subarctic lakes, but assumptions that this bottleneck primarily selects against warmer-water-adapted invasive species such as ruffe may be too restrictive. The effects of seasonal resource depletion on fish condition and invertebrate density were most severe in lakes with a high density of fish, and in these conditions, the cold-water-adapted resident whitefish was most adversely affected.</t>
  </si>
  <si>
    <t>10.1111/fwb.12564</t>
  </si>
  <si>
    <t>Tewfik, A; Rasmussen, JB; McCann, KS</t>
  </si>
  <si>
    <t>Anthropogenic enrichment alters a marine benthic food web</t>
  </si>
  <si>
    <t>allochthonous nutrients; anthropogenic nutrient enrichment; autochthonous detritus; benthic macrophytes; Caribbean seagrass bed; diversity; macro-invertebrate grazers; overgrazing; phytoplankton; sea urchins; seagrass detritus; stable isotopes</t>
  </si>
  <si>
    <t>SEA-URCHIN; LYTECHINUS-VARIEGATUS; NUTRIENT ENRICHMENT; EPIPHYTIC ALGAE; STABLE-ISOTOPES; ORGANIC-MATTER; SEAGRASS BED; NITROGEN; COMMUNITIES; DIET</t>
  </si>
  <si>
    <t>The identification and understanding of shifts in resource availability and community structure caused by a variety of anthropogenic perturbations is essential to future rehabilitation efforts and recovery of essential ecosystem processes. We focus here on the contribution of nutrient enrichment to the overgrazing of macrophyte-dominated systems, which has often been linked to predator and competition-release of urchins due to overfishing. However, the contribution of nutrient loading to the progression and persistence of this phenomenon should also be considered. In an effort to understand the contribution. of nutrient loading to the overgrazing phenomenon and associated simplified community in a Caribbean, seagrass bed, a detailed isotopic (delta C-13, delta N-15) assessment of the food web structure was conducted at both a nutrient-enriched and a control site. The general pattern at the enriched site indicated significantly lighter delta C-13 signatures (i.e., phytoplankton influenced) for non-generalist primary consumers (i.e., specialist grazers, subsurface deposit feeders) and for the sediment organic material (SOM) when compared to the control site. The contribution of phytoplankton and associated particulate organic material to the SOM was also different, 7% vs. 44% at the enriched and control site, respectively. The loss of the autochthonous seagrass detritus pool, in the wake of high densities of generalist urchins (&gt; 66 000 individuals/ha) and low overall consumer diversity, appears to have been partially replaced by opportunistic alternatives, epiphytes but mainly phytoplankton, that benefit directly from elevated input of anthropogenic, allochthonous nutrients. The availability of such alternative, allochthonous resources to generalist urchins could potentially allow for the persistence of simplified seagrass communities. Here, elevated densities of urchins enable a persistent suppression of autochthonous benthic-macrophyte production through grazing and the consumption of newly recruited competitors and predators.</t>
  </si>
  <si>
    <t>10.1890/04-1537</t>
  </si>
  <si>
    <t>Gustine, DD; Barboza, PS; Lawler, JP; Arthur, SM; Shults, BS; Persons, K; Adams, LG</t>
  </si>
  <si>
    <t>Characteristics of foraging sites and protein status in wintering muskoxen: insights from isotopes of nitrogen</t>
  </si>
  <si>
    <t>REINDEER RANGIFER-TARANDUS; OVIBOS-MOSCHATUS; DENSITY-DEPENDENCE; BODY-COMPOSITION; STABLE-ISOTOPES; PEARY CARIBOU; BANKS ISLAND; CLIMATE; REPRODUCTION; POPULATIONS</t>
  </si>
  <si>
    <t>Identifying links between nutritional condition of individuals and population trajectories greatly enhances our understanding of the ecology, conservation, and management of wildlife. For northern ungulates, the potential impacts of a changing climate to populations are predicted to be nutritionally mediated through an increase in the severity and variance in winter conditions. Foraging conditions and the availability of body protein as a store for reproduction in late winter may constrain productivity in northern ungulates, yet the link between characteristics of wintering habitats and protein status has not been established for a wild ungulate. We used a non-invasive proxy of protein status derived from isotopes of N in excreta to evaluate the influence of winter habitats on the protein status of muskoxen in three populations in Alaska (2005-2008). Multiple regression and an information-theoretic approach were used to compare models that evaluated the influence of population, year, and characteristics of foraging sites (components of diet and physiography) on protein status for groups of muskoxen. The observed variance in protein status among groups of muskoxen across populations and years was partially explained (45%) by local foraging conditions that affected forage availability. Protein status improved for groups of muskoxen as the amount of graminoids in the diet increased (-0.430 +/- 0.31, beta +/- 95% CI) and elevation of foraging sites decreased (0.824 +/- 0.67). Resources available for reproduction in muskoxen are highly dependent upon demographic, environmental, and physiographic constraints that affect forage availability in winter. Due to their very sedentary nature in winter, muskoxen are highly susceptible to localized foraging conditions; therefore, the spatial variance in resource availability may exert a strong effect on productivity. Consequently, there is a clear need to account for climate-topography effects in winter at multiple scales when predicting the potential impacts of climatic shifts on population trajectories of muskoxen.</t>
  </si>
  <si>
    <t>10.1111/j.1600-0706.2011.19215.x</t>
  </si>
  <si>
    <t>Yohannes, E; Berthoud, JL; Woog, F</t>
  </si>
  <si>
    <t>Trait based niche differentiation in tetrakas (Bernieridae) endemic to Madagascar: A multi-isotope approach</t>
  </si>
  <si>
    <t>Bernieridae; morphometry; ecological niche; stable isotopes; stable carbon (delta 13C); stable nitrogen (delta 15N) isotope; stable sulfur isotope; Madagascar</t>
  </si>
  <si>
    <t>STABLE-ISOTOPES; MOLECULAR SYSTEMATICS; FUNCTIONAL DIVERSITY; ADAPTIVE RADIATION; RAIN-FOREST; NITROGEN; CARBON; BIRDS; WARBLERS; RATIOS</t>
  </si>
  <si>
    <t>Introduction: Tropical rainforest species interact with each other and their environment over a wide range of spatiotemporal scales. However, our understanding of resource partitioning and the mechanisms of avian species coexistence is largely restricted to subjective visual observations or acoustic monitoring. Therefore, the relative magnitudes of interspecific and intraspecific differences in resource use have remained difficult to quantify, particularly regarding different diets and habitat use. The eastern rainforest belt of Madagascar is inhabited by several species of insectivorous tetrakas belonging to an endemic bird family of Madagascar (Bernieridae). These species occupy similar habitats in the forest understory and are morphologically similar but because of likely differences (e.g., in foraging behaviors) we expect their foraging niches to be segregated allowing coexistence. Methods: We examined the niche differentiation of four of these species: the Grey-crowned Tetraka (Xanthomixis cinereiceps), Long-billed Tetraka (Bernieria madagascariensis), Spectacled Tetraka (Xanthomixis zosterops), and White-throated Oxylabes (Oxylabes madagascariensis) in the Maromizaha rainforest in eastern Madagascar combining morphometry with stable carbon, nitrogen, and sulfur isotope ratios (delta C-13, delta N-15, and delta S-34) from feathers. Results: We show considerable variation in isotopic niche positions, niche breadth and interspecific niche overlap. In two species, the Long-billed Tetraka and Spectacled Tetraka, we found an indication of sex-specific niche space, with males exhibiting a larger isotopic niche-area relative to females. Morphological traits of five species (including the Wedge-tailed Tetraka, Hartertula flavoviridis) coupled with stable isotope data provided explanations of patterns of niche overlap and isotopic position. Discussion: The observed isotopic niche differences may be explained by differences in resource acquisition strategies that might be associated with specific morphological traits and spatial distribution. This may play an important role in niche differentiation among coexisting and phylogenetically closely related species.</t>
  </si>
  <si>
    <t>10.3389/fevo.2023.1082226</t>
  </si>
  <si>
    <t>Llaneza, L; Lopez-Bao, JV</t>
  </si>
  <si>
    <t>Indirect effects of changes in environmental and agricultural policies on the diet of wolves</t>
  </si>
  <si>
    <t>Long-termdiet shift; EU policies; Sanitary regulations; Rural economy; Canis lupus; Livestock predation; Cattle; Scavenging; Free-ranging horses; Human-wildlife conflicts</t>
  </si>
  <si>
    <t>WOLF CANIS-LUPUS; PREDATION; CARNIVORES; LIVESTOCK; POLITICS; SANITARY; EUROPE</t>
  </si>
  <si>
    <t>Policies have the potential to affect human-wildlife coexistence. However, despite consequences being evident beforehand or emerging soon after their implementation, potential conflicts between policies and biodiversity conservation are not always easy to predict. Wolves feeding on anthropogenic food sources (AFS) usually fall into conflict with humans, mainly due to predation on livestock. But the availability of AFS can be influenced by different policies leading to diet shifts, which could trigger new conflicts or exacerbate existing ones. Here, we show a long-term shift in the diet of wolves in northwestern Iberia over the last three decades and discuss its potential connection to changes in sanitary, environmental, and socioeconomic policies. Wolves persisted for a long time due to the activity of humans with AFS accounting for &gt; 94 % of their diet. Our results suggest a connection between a diet shift in wolves and changes in policies, from a broad diet including more feedlot (pigs, chickens) and medium-sized (goats and dogs) species, mainly in the form of carrion, to a more narrow diet based primarily on large domestic ungulates (cattle and horses). We discuss the potential implications of the observed shift in the diet of wolves on human-wolf conflicts. We also call attention on the pressing need to integrate policies into biodiversity conservation to anticipate future conservation and management dilemmas.</t>
  </si>
  <si>
    <t>10.1007/s10344-015-0966-9</t>
  </si>
  <si>
    <t>Schoeninger, MJ; Iwaniec, UT; Nash, LT</t>
  </si>
  <si>
    <t>Ecological attributes recorded in stable isotope ratios of arboreal prosimian hair</t>
  </si>
  <si>
    <t>primates; feeding ecology; stable isotope ratios</t>
  </si>
  <si>
    <t>NATURAL N-15 ABUNDANCE; CARBON ISOTOPES; NITROGEN ISOTOPES; C-13/C-12 RATIOS; BONE-COLLAGEN; DIET; PLANTS; FOREST; PRIMATES; ANIMALS</t>
  </si>
  <si>
    <t>Carbon and nitrogen stable isotope ratios were measured in hair samples from two species of Galago from Gedi Ruins National Monument in eastern Kenya and from Lepilemur leucopus from Beta Mahafaly Special Reserve in southern Madagascar. Forest structure was generally similar in the two areas but average rainfall was lower in Madagascar. Species average delta(13)C values varied with feeding height in the forest canopy and with average rainfall level as expected from reported variation in plant delta(13)C values, G. garnettii, which feeds higher in the forest canopy, had less negative delta(13)C values than G. zanzibaricus, which spends more time below 5 m. L. leucopus, from a drought-afflicted forest, had less negative hair delta(13)C values than the two galago species. The values within the Lepilemur sample showed a positive linear relation with percent dependence on a CAM tree species and with xeric conditions within the species reserve; Nitrogen stable isotope ratios varied with trophic level of feeding and with time spent feeding on leguminous plants. The insectivorous galagos had significantly more positive delta(15)N values than the folivorous L. leucopus. Within the Lepilemur sample, delta(15)N values varied inversely with the percent of feeding time spent on leguminous plants, The range of delta(15)N and delta(13)C values in each of the prosimian species is larger than reported for animals fed monotonous diets and for New World monkey species. The monkey species feed as groups of individuals whereas the prosimians have solitary feeding habits. The ranges in the prosimian species apparently reflect the greater variation in diet among individual prosimians compared to individual monkeys. The isotope data reported here are equivalent, on average, to those reported for other arboreal species from similar forest habitats and with similar dietary habits. This supports the use of such data for paleoecological reconstruction of forest and woodland systems and diet reconstruction of extinct primate populations and species.</t>
  </si>
  <si>
    <t>10.1007/s004420050372</t>
  </si>
  <si>
    <t>Suraprasit, K; Jaeger, JJ; Shoocongdej, R; Chaimanee, Y; Wattanapituksakul, A; Bocherens, H</t>
  </si>
  <si>
    <t>Long-Term Isotope Evidence on the Diet and Habitat Breadth of Pleistocene to Holocene Caprines in Thailand: Implications for the Extirpation and Conservation of Himalayan Gorals</t>
  </si>
  <si>
    <t>serow; goral; refugee; bulk carbon isotope; paleoecology; Quaternary; Southeast Asia</t>
  </si>
  <si>
    <t>LATE MIDDLE PLEISTOCENE; TOOTH ENAMEL PHOSPHATE; JAMMU-AND-KASHMIR; NAEMORHEDUS-GRISEUS; ARTIODACTYLA BOVIDAE; SEROW CAPRICORNIS; STABLE-ISOTOPES; SON PROVINCE; HORSE EQUUS; SNAKE CAVE</t>
  </si>
  <si>
    <t>Three taxa within the subfamily Caprinae (Himalayan goral Naemorhedus goral, Chinese goral Naemorhedus griseus, and Sumatran serow Capricornis sumatraensis) live in the mountainous upland forests of Southeast Asia, where they are considered as vulnerable or near threatened species. Co-occurrences between these two recognized genera have been documented from some Pleistocene fossil sites in Thailand, suggesting more widely overlapping distribution in the past than today. However, diet and habitat preferences of these Pleistocene and present-day coexisting species have rarely been investigated so far. For the past three decades, stable carbon and oxygen isotope analyses become more commonplace in ecological investigations, allowing us to explore the diets and habitats of ancient and extant animals as well as to reconstruct environmental conditions in the past. We reconstructed diets and habitats of these taxa from five fossil sites in Thailand during the past 400,000 years (from the Middle Pleistocene to the Early Holocene) and from some modern wildlife using the isotopic analysis of carbonate in tooth enamel, in order to test species co-occurrence patterns during the Pleistocene and to examine possible changes of their niche breadths over evolutionary time. Our carbon isotope analysis revealed remarkably different ecological patterns between Naemorhedus and Capricornis. The Pleistocene Sumatran serow has been a greater generalist than both the Himalayan and Chinese gorals that fed on pure C-4 or mixed C-3 and C-4 plants restricted to an open landscape habitat and than its extant population that occupies a closed-canopy forest. This suggests that the habitat contraction of the modern wildlife is likely due to the Holocene climate change and the human impacts on Thai ecosystems. In addition to the loss or reduction of grasslands after the latest Pleistocene when rainforests became dominant and besides the human hunting and predation pressure, the high interspecific competition likely contributed to the extirpation of Himalayan gorals in Thailand. Developing a strategic plan for the future biodiversity conservation, a long-term historical isotope approach allowed us to predict the contrasting habitat suitability, a lowland grassland, for these two threatened goral species as testified by their ecological persistence during the Pleistocene.</t>
  </si>
  <si>
    <t>10.3389/fevo.2020.00067</t>
  </si>
  <si>
    <t>Schulz, G; Sanders, T; van Beusekom, JEE; Voynova, YG; Schol, A; Dahnke, K</t>
  </si>
  <si>
    <t>Suspended particulate matter drives the spatial segregation of nitrogen turnover along the hyper-turbid Ems estuary</t>
  </si>
  <si>
    <t>KINETIC ISOTOPE FRACTIONATION; COASTAL MARINE ECOSYSTEMS; COLNE ESTUARY; MACROTIDAL ESTUARY; SEDIMENT DYNAMICS; OXIDE PRODUCTION; STABLE-ISOTOPES; RIVER COLNE; FRESH-WATER; NITRATE</t>
  </si>
  <si>
    <t>Estuaries are nutrient filters and change riverine nutrient loads before they reach coastal oceans. Their morphology have been extensively changed by anthropogenic activities like draining, deepening and dredging to meet economic and social demand, causing significant regime changes like tidal amplifications and in some cases to hyperturbid conditions. Furthermore, increased nutrient loads, especially nitrogen, mainly by agriculture cause coastal eutrophication. Estuaries can either act as a sink or as a source of nitrate, depending on environmental and geomorphological conditions. These factors vary along an estuary, and change nitrogen turnover in the system. Here, we investigate the factors controlling nitrogen turnover in the hyperturbid Ems estuary (Northern Germany), which has been strongly impacted by human activities. During two research cruises in August 2014 and June 2020, we measured water column properties, dissolved inorganic nitrogen, dual stable isotopes of nitrate and dissolved nitrous oxide concentration along the estuary. We found that three distinct biogeochemical zones exist along the estuary. A strong fractionation (similar to 26 parts per thousand) of nitrate stable isotopes points towards nitrate removal via water column denitrification in the hyper-turbid tidal river, driven by anoxic conditions in deeper water layers. In the middle reaches of the estuary nitrification gains importance, turning this section into a net nitrate source. The outer reaches are dominated by mixing, with nitrate uptake in 2020. We find that the overarching control on biogeochemical nitrogen cycling, zonation and nitrous oxide production in the Ems estuary is exerted by suspended particulate matter concentrations and the linked oxygen deficits.</t>
  </si>
  <si>
    <t>10.5194/bg-19-2007-2022</t>
  </si>
  <si>
    <t>Hironaka, Y; Koike, F</t>
  </si>
  <si>
    <t>Guild structure in the food web of grassland arthropod communities along an urban-rural landscape gradient</t>
  </si>
  <si>
    <t>body size; food habit; landscape planning; megafauna; metabolic theory; urbanization</t>
  </si>
  <si>
    <t>BODY-SIZE; CHAIN LENGTH; MANAGEMENT; STABILITY; DIVERSITY; RESPONSES; FRAGMENTATION; URBANIZATION; BIODIVERSITY; COMPLEXITY</t>
  </si>
  <si>
    <t>Urbanization is a major cause of ecosystem change, and arthropods are a principal component of grassland ecosystems, which are often found in human-dominated landscapes. Although higher trophic level arthropods have been expected to be the most sensitive to urbanization, researchers are debating whether this is the case. We compared the guild structure of grassland arthropod food webs along an urban-rural gradient in the Tokyo metropolitan area, the largest metropolitan area in the world. Arthropod communities were sampled, and guild types were classified by body size and food habit. The guild structure of arthropod food webs was compared among various types of grasslands, and the effects on the guild structure of the surrounding landscape and local vegetation were analyzed. The arthropod guild structure varied along the urban-rural gradient. Large carnivores were abundant in semi-natural grassland ecosystems in the traditional rural landscape, which was at one end of the studied urban-rural gradient. In contrast, small carnivores, omnivores, and detritivores were abundant in the artificial grassland ecosystems of the urban landscape at the other end of the gradient. Because very large carnivores are vulnerable to urbanization activities, rural landscapes rich in these species should be conserved.</t>
  </si>
  <si>
    <t>10.2980/20-2-3575</t>
  </si>
  <si>
    <t>Keogan, K; Lewis, S; Howells, RJ; Newell, MA; Harris, MP; Burthe, S; Phillips, RA; Wanless, S; Phillimore, AB; Daunt, F</t>
  </si>
  <si>
    <t>No evidence for fitness signatures consistent with increasing trophic mismatch over 30 years in a population of European shag Phalacrocorax aristotelis</t>
  </si>
  <si>
    <t>Ammodytes marinus; breeding phenology; environmental change; lesser sandeel; long&amp;#8208; term study; match&amp;#8211; mismatch hypothesis; stabilising selection; trophic asynchrony</t>
  </si>
  <si>
    <t>SANDEEL AMMODYTES-MARINUS; GLOBAL CLIMATE-CHANGE; NORTH-SEA; LESSER SANDEEL; BREEDING SUCCESS; ENVIRONMENTAL VARIABILITY; WILD BIRD; PHENOLOGY; DIET; PERFORMANCE</t>
  </si>
  <si>
    <t>As temperatures rise, timing of reproduction is changing at different rates across trophic levels, potentially resulting in asynchrony between consumers and their resources. The match-mismatch hypothesis (MMH) suggests that trophic asynchrony will have negative impacts on average productivity of consumers. It is also thought to lead to selection on timing of breeding, as the most asynchronous individuals will show the greatest reductions in fitness. Using a 30-year individual-level dataset of breeding phenology and success from a population of European shags on the Isle of May, Scotland, we tested a series of predictions consistent with the hypothesis that fitness impacts of trophic asynchrony are increasing. These predictions quantified changes in average annual breeding success and strength of selection on timing of breeding, over time and in relation to rising sea surface temperature (SST) and diet composition. Annual average (population) breeding success was negatively correlated with average lay date yet showed no trend over time, or in relation to increasing SST or the proportion of principal prey in the diet, as would be expected if trophic mismatch was increasing. At the individual level, we found evidence for stabilising selection and directional selection for earlier breeding, although the earliest birds were not the most productive. However, selection for earlier laying did not strengthen over time, or in relation to SST or slope of the seasonal shift in diet from principal to secondary prey. We found that the optimum lay date advanced by almost 4 weeks during the study, and that the population mean lay date tracked this shift. Our results indicate that average performance correlates with absolute timing of breeding of the population, and there is selection for earlier laying at the individual level. However, we found no fitness signatures of a change in the impact of climate-induced trophic mismatch, and evidence that shags are tracking long-term shifts in optimum timing. This suggests that if asynchrony is present in this system, breeding success is not impacted. Our approach highlights the advantages of examining variation at both population and individual levels when assessing evidence for fitness impacts of trophic asynchrony.</t>
  </si>
  <si>
    <t>10.1111/1365-2656.13376</t>
  </si>
  <si>
    <t>Helser, TE; Lai, HL; Black, BA</t>
  </si>
  <si>
    <t>Bayesian hierarchical modeling of Pacific geoduck growth increment data and climate indices</t>
  </si>
  <si>
    <t>Pacific geoduck; Growth increment; Pacific Decadal Oscillation; Climate change; Bayesian model; Hierarchical model; North Pacific Ocean</t>
  </si>
  <si>
    <t>STABLE-ISOTOPES; GENUS SEBASTES; FISH; METAANALYSIS; TEMPERATURE; MOLLUSK; AGE; RECONSTRUCTION; SHELLS; LENGTH</t>
  </si>
  <si>
    <t>Growth increment widths from hard structures of marine and freshwater fish and bivalve species are increasingly used to model growth and elucidate relationships with environmental variability. Fully characterizing the intrinsic age-related growth variation among individuals within and between populations, while estimating the extrinsic environmental effects simultaneously, can be challenging. Using the long-lived bivalve Pacific geoduck (Panopea generosa), we develop an integrated approach to analyze the relationship between growth increment data and climate indices using Bayesian hierarchical methods. Fitting models to growth increment data from multiple individuals over two sites, we examined different covariance structures related to random individual effects, long- and short-term environmental effects and unexplained errors. The best fitting hierarchical model accounted for a site-specific mean growth response, individual growth variability through random parameter effects, and site-specific error variances. Extrinsic environmental effects on growth were also significant and included a random year effect and the Pacific Decadal Oscillation (PDO) as a predictor of mean growth across both individuals and sites. Once intrinsic age-related growth was accounted for. PDO accounted for 18% to total variability in growth increment data: geoduck shell size was predicted to increase as a function of larger PDO anomalies. However, the greatest variability in growth increment data was explained by random year effects (similar to 60-70%), and while largely unexplained, sea surface temperature (SST) is a likely determinant on geoduck growth rates showing a positive growth-SST response. Published by Elsevier B.V.</t>
  </si>
  <si>
    <t>10.1016/j.ecolmodel.2012.08.024</t>
  </si>
  <si>
    <t>Nordstrom, MC; Demopoulos, AWJ; Whitcraft, CR; Rismondo, A; McMillan, P; Gonzalez, JP; Levin, LA</t>
  </si>
  <si>
    <t>Food web heterogeneity and succession in created saltmarshes</t>
  </si>
  <si>
    <t>habitat heterogeneity; macroinvertebrates; Mediterranean climate; restoration; stable isotopes; tidal wetland; trophic interactions; vascular plants; Venice Lagoon</t>
  </si>
  <si>
    <t>STABLE-ISOTOPE RATIOS; RESTORATION ECOLOGY; ECOSYSTEM SERVICES; TROPHIC STRUCTURE; TEMPORAL-CHANGES; NICHE WIDTHS; BIODIVERSITY; COMMUNITIES; LANDSCAPE; NITROGEN</t>
  </si>
  <si>
    <t>Ecological restoration must achieve functional as well as structural recovery. Functional metrics for re-establishment of trophic interactions can be used to complement traditional monitoring of structural attributes. In addition, topographic effects on food web structure provide added information within a restoration context; often, created sites may require spatial heterogeneity to effectively match structure and function of natural habitats. We addressed both of these issues in our study of successional development of benthic food web structure, with focus on bottom-up-driven changes in macroinvertebrate consumer assemblages in the saltmarshes of the Venice Lagoon, Italy. We combined quantified estimates of the changing community composition with stable isotope data (C-13:C-12 and N-15:N-14) to compare the general trophic structure between created (2-14years) marshes and reference sites and along topographic elevation gradients within saltmarshes. Macrofaunal invertebrate consumers exhibited local, habitat-specific trophic patterns. Stable isotope-based trophic structure changed with increasing marsh age, in particular with regard to mid-elevation (Salicornia) habitats. In young marshes, the mid-elevation consumer signatures resembled those of unvegetated ponds. The mid-elevation of older and natural marshes had a more distinct Salicornia zone food web, occasionally resembling that of the highest (Sarcocornia-dominated) elevation. In summary, this indicates that primary producers and availability of vascular plant detritus structure consumer trophic interactions and the flow of carbon. Functionally different consumers, subsurface-feeding detritivores (Oligochaeta) and surface grazers (Hydrobia sp.), showed distinct but converging trajectories of isotopic change over time, indicating that successional development may be asymmetric between brown' (detrital) guilds and green' (grazing) guilds in the food web.Synthesis and applications. Created marsh food webs converged into a natural state over about a decade, with successional shifts seen in both consumer community composition and stable isotope space. Strong spatial effects were noted, highlighting the utility of stable isotopes to evaluate functional equivalence in spatially heterogeneous systems. Understanding the recovery of functional properties such as food web support, and their inherent spatial variability, is key to planning and managing successful habitat restoration. Created marsh food webs converged into a natural state over about a decade, with successional shifts seen in both consumer community composition and stable isotope space. Strong spatial effects were noted, highlighting the utility of stable isotopes to evaluate functional equivalence in spatially heterogeneous systems. Understanding the recovery of functional properties such as food web support, and their inherent spatial variability, is key to planning and managing successful habitat restoration.</t>
  </si>
  <si>
    <t>10.1111/1365-2664.12473</t>
  </si>
  <si>
    <t>Ruiz-Cooley, RI; Garcia, KY; Hetherington, ED</t>
  </si>
  <si>
    <t>Effects of lipid removal and preservatives on carbon and nitrogen stable isotope ratios of squid tissues: Implications for ecological studies</t>
  </si>
  <si>
    <t>Dimethylsulfoxide; Ethanol; Formaldehyde; Lipid extractions; Stable isotopes</t>
  </si>
  <si>
    <t>FATTY-ACID; FOOD-WEB; TROPHIC RELATIONSHIPS; DELTA-C-13; DELTA-N-15; CEPHALOPODS; EXTRACTION; BEAKS; DIET; FISH</t>
  </si>
  <si>
    <t>Stable isotope analysis of carbon (C) and nitrogen (N) in animal tissues is an important approach to investigate the tropic status and habitat of marine species. Some biases due to lipid extractions and preservation can hinder the interpretation of results, yet their effects have not been investigated in squid. In this study, we evaluated the effects of lipid extraction and preservatives (dimethylsulfoxide (DMSO), 70% ethanol, and 10% buffered formaldehyde) on the delta C-13, delta N-15 and C:N ratios in squid muscle. Beaks were placed under the same treatments with the exception of DMSO. Muscle and beak samples remained under treatment for 375 days and 416 days, respectively. Our results indicate that lipid extractions increased the mean values of unpreserved samples by 0.8 parts per thousand. for delta C-13 and by 0.68 parts per thousand. for delta N-15. Preservatives also affected the isotopic composition in muscle at different magnitudes. DMSO remarkably reduced and increased the variability for delta C-13 and delta N-15 values among samples, formalin mainly reduced delta C-13 values by 1.5 parts per thousand, whereas ethanol increased both delta C-13 and delta N-15 by &lt;= 0.8 parts per thousand. Lipid extractions eliminated the effect of DMSO and ethanol for delta C-13 and delta N-15, and formalin only for delta N-15. In beak, negligible shifts in delta C-13, delta N-15 and C:N ratios were recorded after preservation in ethanol and formalin. Although lipid extractions can be recommended to reduce the effect of preservation, further research is needed to develop correction models for isotopic shifts associated with both lipid extractions in unpreserved and preserved muscle tissues. Lipid extractions per se could introduce a bias that may have important implications for ecological studies. Published by Elsevier B.V.</t>
  </si>
  <si>
    <t>10.1016/j.jembe.2011.07.002</t>
  </si>
  <si>
    <t>Farly, L; Hudon, C; Cattaneo, A; Cabana, G</t>
  </si>
  <si>
    <t>Seasonality of a Floodplain Subsidy to the Fish Community of a Large Temperate River</t>
  </si>
  <si>
    <t>delta C-13; delta N-15; Fish productivity; Floodplain subsidy; Flood Pulse Concept; Hydrology; Littoral zone; Mixing model; St. Lawrence River; Temperate river</t>
  </si>
  <si>
    <t>ST-LAWRENCE-RIVER; STABLE-ISOTOPE; FOOD-WEB; ORGANIC-MATTER; PULSE CONCEPT; CARBON; TERRESTRIAL; DELTA-C-13; ECOSYSTEM; NITROGEN</t>
  </si>
  <si>
    <t>This study examines the temporal and spatial variability of the floodplain trophic contribution to the fish community of Lake Saint-Pierre, a large (approximate to 300 km(2)), shallow (approximate to 3 m) widening of the St. Lawrence River (Quebec, Canada). We hypothesized that floodplain contribution to fish diet would be maximal during the early growing period following the seasonal flood and at sites located closest to the floodplain. Carbon stable isotope ratios (delta C-13) of invertebrates and 35 fish species were analyzed at the beginning and at the end of two growing seasons, at increasing distances from the floodplain. Floodplain contribution, in the form of exported aquatic invertebrates, was estimated at the fish community (littoral versus main river), species and individual fish level, using a stable isotopic mixing model and a linear mixed model selection. As hypothesized, fish captured in the early part of the growing season near the floodplain benefitted from the largest floodplain contribution, which decreased during the late growing season. In addition, floodplain contribution differed among fish species, being higher in small or immature littoral species (northern pike, yellow perch, blackchin and golden shiners) than for larger taxa inhabiting the main river channel (shorthead redhorse, white sucker and channel catfish). Our study revealed that floodplain production during the early growing season represents a key food resource to a large portion of the riverine food web, thus highlighting the essential role of the floodplain in human-altered temperate rivers.</t>
  </si>
  <si>
    <t>10.1007/s10021-019-00374-w</t>
  </si>
  <si>
    <t>Stephens, SR; Orr, TJ; Dearing, MD</t>
  </si>
  <si>
    <t>Chiseling Away at the Dogma of Dietary Specialization in Dipodomys Microps</t>
  </si>
  <si>
    <t>delta C-13; Atriplex confertifolia; chisel-toothed kangaroo rat; diet shifts; Dipodomys microps; disturbance; environment; Mojave Desert; museum specimens; saltbush; specialization; stable isotopes</t>
  </si>
  <si>
    <t>TOOTHED KANGAROO RAT; LAND-USE; DISCRIMINATION; FRACTIONATION; ISOTOPES; MAMMALS; CLIMATE; NICHE</t>
  </si>
  <si>
    <t>Dipodomys microps, the chisel-toothed kangaroo rat, is heralded as one of few mammalian herbivores capable of dietary specialization. Throughout its range, the diet of D. microps is thought to consist primarily of Atriplex confertifolia (saltbush), a C-4 plant, and sparing amounts of C-3 plants. Using stable isotopes of carbon and nitrogen as natural diet tracers, we asked whether D. microps is an obligate specialist on saltbush. We analyzed hair samples of D. microps for isotopes from historic and recent museum specimens (N = 66). A subset of samples (N = 17) from 2017 that were associated with field notes on plant abundances were further evaluated to test how local saltbush abundance affects its inclusion in the diet of D. microps. Overall, we found that the chisel-toothed kangaroo rat facultatively specializes on saltbush and that the degree of specialization has varied over time and space. Moreover, saltbush abundance dictates its inclusion in the diet. Furthermore, roughly a quarter of the diet is comprised of insects, and over the past century, insects have become more prevalent and saltbush less prevalent in the diet. We suggest that environmental factors such as climate change and rangeland expansion have caused D. microps to include more C-3 plants and insects.</t>
  </si>
  <si>
    <t>10.3390/d11060092</t>
  </si>
  <si>
    <t>Mosbacher, JB; Schmidt, NM; Michelsen, A</t>
  </si>
  <si>
    <t>Impacts of eriophyoid gall mites on arctic willow in a rapidly changing Arctic</t>
  </si>
  <si>
    <t>Invertebrate; Herbivory; Plant parasite; Salix arctica; Stable isotopes; Fluorescence</t>
  </si>
  <si>
    <t>SEX-BIASED HERBIVORY; UV-B RADIATION; MYCORRHIZAL FUNGI; VERTEBRATE HERBIVORES; COMMUNITY STRUCTURE; SOLIDAGO-ALTISSIMA; NITROGEN ISOTOPES; INSECT HERBIVORES; PLANT-COMMUNITIES; GLOBAL CHANGE</t>
  </si>
  <si>
    <t>Arctic plants and herbivores are subject to ongoing climatic changes that are more rapid and extreme than elsewhere on the planet, and thus it is pivotal to understand the arctic plant-herbivore interactions in a global change context. We examined how infestation by an eriophyoid gall mite affects the circumpolar shrub Salix arctica, and how the effects vary across vegetation types. Specifically, we compared multiple leaf characteristics (leaf area, biomass, nutrient levels, delta N-15 and delta C-13, and stress and performance of the photosynthetic apparatus) of infested leaves to those of un-infested leaves. Furthermore, we examined how altered environmental conditions, here experimentally manipulated levels of temperature, water and nutrients, shading, and UV-B radiation, affect the prevalence, density, and intensity of gall mite infestation and its impacts on S. arctica. Infested leaves were smaller in area and biomass and had lower nitrogen and carbon pools. However, their carbon concentration was higher, possibly because the galls acted as carbon sinks. The smaller photosynthetic area and lower nutrient content caused increased stress on the photosynthetic apparatus in infested leaves. The remaining leaf tissue responded with a higher photosynthetic performance, although there were indications of a general reduction in photosynthesis. Female leaves were more affected than male leaves. The experimental manipulations of environmental conditions did not affect the gall prevalence, density, or intensity on S. arctica leaves. Rather, plants responded positively to the treatments, reducing the effects of the galls to in-significance. This suggests a higher tolerance and defense against gall mites under future climate conditions.</t>
  </si>
  <si>
    <t>10.1007/s00300-013-1393-6</t>
  </si>
  <si>
    <t>Mondal, R; Bhat, A</t>
  </si>
  <si>
    <t>Investigating the trophic ecology of freshwater fish communities from central and eastern Indian streams using stable isotope analysis</t>
  </si>
  <si>
    <t>Trophic structure; Stream fish community; Food web length; Feeding guild; Stable isotope analysis</t>
  </si>
  <si>
    <t>FOOD-WEB STRUCTURE; FEEDING-HABITS; CHAIN LENGTH; RIVER; DIET; NICHE; PATTERNS; MODELS; FLOW; ASSEMBLAGES</t>
  </si>
  <si>
    <t>Stable isotope analysis (SIA) has been used over the last decade to decipher trophic relationships between organisms, especially in freshwater and marine systems. Using SIA to understand food web patterns in stream communities, we present a first time investigation on trophic structure of fish communities from two ecoregions in eastern and central India. This study is based on pooled pre-monsoon samples from each region, which were analyzed for their isotopic carbon and nitrogen. Fish dietary data from secondary literature and available databases based on their known gut content analysis were included for calculating average food web lengths. Despite being located within the tropics and therefore from similar ecological and climatic conditions, subtle differences were observed in the food web shape and food web lengths of fish communities from the two regions. Food web length was longer in central Indian streams compared to eastern Indian streams. Higher trophic diversity and lower trophic redundancy among fishes of central India were indicative of specialized feeding. On the other hand, a greater utilization of diverse basal resources indicated feeding niche overlap and greater omnivory among fishes in eastern India. Benthopelagic fishes were found to be the largest guild and occupied the largest area as well as maximum carbon and nitrogen ranges. In addition to providing an understanding of the trophic patterns in tropical stream ecosystems, our work serves as a baseline for future studies on trophic structure in Indian stream fish communities.</t>
  </si>
  <si>
    <t>10.1007/s42974-021-00049-4</t>
  </si>
  <si>
    <t>Newton, AC; Dick, JMP; Heaton, THE</t>
  </si>
  <si>
    <t>Stable carbon isotope composition (delta C-13) of Acacia tortilis subsp spirocarpa (A Rich) Brenan growing at three semi-arid sites in Kenya</t>
  </si>
  <si>
    <t>drought tolerance; tropical trees; stable isotopes; mycorrhiza; Acacia tortilis</t>
  </si>
  <si>
    <t>DISCRIMINATION; MYCORRHIZAL</t>
  </si>
  <si>
    <t>Carbon isotope ratios (delta(13)C) were obtained from foliage and branch wood samples of Acacia tortilis grown with and without microbial inoculation, on three semi-arid sites in Kenya. delta(13)C ratios were higher in trees grown on the two drier sites than on the wetter site. In addition, delta(13)C ratios of seedlings inoculated with a mixed microbial inoculum (VA mycorrhiza with rhizobia) were higher than uninoculated controls at the wetter site. These preliminary results suggest that Acacia tortilis trees growing on drier sites display relatively high water-use efficiencies, and that in some situations microbial inoculation may increase water-use efficiency of outplanted trees. (C) 1996 Academic Press Limited</t>
  </si>
  <si>
    <t>10.1006/jare.1996.0113</t>
  </si>
  <si>
    <t>Bloomfield, EJ; Guzzo, MM; Middel, TA; Ridgway, MS; McMeans, BC</t>
  </si>
  <si>
    <t>Seasonality can affect ecological interactions between fishes of different thermal guilds</t>
  </si>
  <si>
    <t>seasonality; stable isotope; acoustic telemetry; trophic niche; lake trout; smallmouth bass; thermal guild; coexistence</t>
  </si>
  <si>
    <t>TROUT SALVELINUS-NAMAYCUSH; FOOD-WEB STRUCTURE; FRESH-WATER FISH; STABLE-ISOTOPES; SMALLMOUTH BASS; HABITAT USE; TEMPORAL VARIATION; TROPHIC POSITION; LIPID-CORRECTION; DEPTH SELECTION</t>
  </si>
  <si>
    <t>Seasonality could play a crucial role in structuring species interactions. For example, many ectotherms alter their activity, habitat, and diet in response to seasonal temperature variation. Species also vary widely in physiological traits, like thermal preference, which may mediate their response to seasonal variation. How behavioral responses to seasonality differ between competing species and alter their overlap along multiple niche axes in space and time, remains understudied. Here, we used bulk carbon and nitrogen stable isotopes combined with stomach content analysis to determine the seasonal diet overlap between a native cold-water species [lake trout (Salvelinus namaycush)] and a range-expanding warm-water species [smallmouth bass (Micropterus dolomieu)] in two north-temperate lakes over 2 years. We coupled these analyses with fine-scale acoustic telemetry from one of the lakes to determine seasonal overlap in habitat use and activity levels. We found that dietary niche overlap was higher in the spring, when both species were active and using more littoral resources, compared to the summer, when the cold-water lake trout increased their reliance on pelagic resources. Telemetry data revealed that activity rates diverged in the winter, when lake trout remained active, but the warm-water smallmouth bass reduced their activity. Combining stable isotopes and stomach contents with acoustic telemetry was a powerful approach for demonstrating that species interactions are temporally and spatially dynamic. In our case, the study species diverged in their diet, habitat, and activity more strongly during certain times of the year than others, in ways that were consistent with their thermal preferences. Despite large differences in thermal preference, however, there were times of year when both species were active and sharing a common habitat and prey source (i.e., resource overlap was greater in spring than summer). Based on our findings, important ecological processes are occurring during all seasons, which would be missed by summer sampling alone. Our study stresses that quantifying multiple niche axes in both space and time is important for understanding the possible outcomes of altered seasonal conditions, including shorter winters, already arising under a changing climate.</t>
  </si>
  <si>
    <t>10.3389/fevo.2022.986459</t>
  </si>
  <si>
    <t>Cambie, G; Kaiser, MJ; Marriott, AL; Fox, J; Lambert, G; Hiddink, JG; Overy, T; Bennet, SA; Leng, MJ; McCarthy, ID</t>
  </si>
  <si>
    <t>Stable isotope signatures reveal small-scale spatial separation in populations of European sea bass</t>
  </si>
  <si>
    <t>Dicentrarchus labrax; Stable isotopes; Random forest classification model; Feeding ground; Stock boundaries</t>
  </si>
  <si>
    <t>DICENTRARCHUS-LABRAX; LIFE-HISTORY; ATLANTIC SALMON; MARINE; DELTA-N-15; DELTA-C-13; MIGRATIONS; NITROGEN; MOVEMENTS; FOOD</t>
  </si>
  <si>
    <t>Scientific information about European sea bass Dicentrarchus labrax stocks in the NE Atlantic is limited and a more accurate definition of the stock boundaries in the area is required to improve assessment and management advice. We investigated the connectivity and movement patterns of D. labrax in Wales (UK) using the stable isotope (delta C-13 and delta N-15) composition of their scales. Analysis of delta C-13 and delta N-15 values in the last growing season was performed on 189 adult sea bass caught at 9 coastal feeding grounds. Fish &gt; 50 cm total length (TL) caught in estuaries had very low delta C-13, which is characteristic of freshwater (organic/soil) input, indicating the primary use of estuaries as feeding areas. A random forest classification model was used to test for any differences in delta N-15 and delta C-13 values between north, mid and south Wales and whether it was possible to correctly assign a fish to the area where it was caught. This analysis was restricted to fish of a similar size (40-50 cm TL) caught in open coastal areas (n = 156). The classification model showed that about 75% of the fish could be correctly assigned to their collection region based on their isotope composition. The majority of the misclassifications of fish were of fish from north Wales classifying to mid Wales and vice versa, while the majority of fish from south Wales were correctly assigned (80%). Our findings suggest that 2 sub-populations of sea bass in Welsh waters use separate feeding grounds (south vs. mid/north Wales), and may need separate management.</t>
  </si>
  <si>
    <t>10.3354/meps11636</t>
  </si>
  <si>
    <t>Carman, VG; Falabella, V; Maxwell, S; Albareda, D; Campagna, C; Mianzan, H</t>
  </si>
  <si>
    <t>Revisiting the ontogenetic shift paradigm: The case of juvenile green turtles in the SW Atlantic</t>
  </si>
  <si>
    <t>Chelonia mydas; Green turtles; Habitat use; Ontogenetic shift; State-space modeling; SW Atlantic</t>
  </si>
  <si>
    <t>LOGGERHEAD SEA-TURTLES; CHELONIA-MYDAS; HABITAT USE; SATELLITE TRACKING; HOME-RANGE; COASTAL WATERS; INCIDENTAL CAPTURE; CARETTA-CARETTA; HATCHLING GREEN; FORAGING AREA</t>
  </si>
  <si>
    <t>The green turtle (Chelonia mydas) is a subcosmopolitan species found in tropical and temperate latitudes. The best knowledge on its behavior described an abrupt and irreversible ontogenetic shift that takes place early in life in some areas such as the Greater Caribbean and Australia. Young turtles move from oceanic to neritic habitats, from pelagic to benthic feeding and from an omnivorous to an herbivorous diet. However, whether this pattern applies elsewhere in the range of the species is not known. In the temperate waters of the South West (SW) Atlantic, preliminary evidence suggests that these juveniles would not comply with the tenets of an abrupt and irreversible ontogenetic shift as in tropical waters. We satellite tracked 9 neritic juveniles moving along the coast of Argentina, and applied a switching state-space model combined with kernel density estimation to identify preferential putative foraging areas and migratory routes. Results indicate that immature green turtles are not strictly herbivores or neritic in the temperate SW Atlantic. In summer and fall, juveniles foraged most of the time in estuarine areas without submerged macrophytes. In winter and spring, the turtles migrated north to warm coastal areas where macroalgae and seagrass are available. Concomitant to pelagic feeding, some turtles reached deep water areas where macrophytes are unlikely to occur. Adaptation to local conditions explains behavior better for the SW Atlantic than the abrupt and irreversible ontogenic shift described for warmer waters. (c) 2012 Elsevier B.V. All rights reserved.</t>
  </si>
  <si>
    <t>10.1016/j.jembe.2012.06.007</t>
  </si>
  <si>
    <t>Said, A; Imran, M; Waseem, MT; Khan, AM; Khalique, N; Sarwar, G; Ahmad, RM</t>
  </si>
  <si>
    <t>Feeding niche overlap between native and alien fishes in Swat River, Khyber Pakhtunkhwa, Pakistan</t>
  </si>
  <si>
    <t>Alien species; Dietary overlap; Resource competition; Stable isotope analysis; Trophic niche metrics; Aquatic feeding ecology</t>
  </si>
  <si>
    <t>CARP CYPRINUS-CARPIO; STABLE-ISOTOPES; COMMUNITIES; DELTA-N-15</t>
  </si>
  <si>
    <t>One of the major causes of biodiversity loss in freshwater ecosystems is the introduction of alien species. The common carp has been established in every freshwater ecosystem of Pakistan and is a leading threat to the native ichthyofauna. In the present study, stable isotopes of nitrogen and carbon (delta N-15 and delta C-13) are used to explore the feeding niche overlap among alien Cyprinus carpio (common carp) and native omnivorous fishes including Tor putitora (mahseer) and Barilius pakistanicus (Pakistani chalwa) from Swat River, Khyber Pakhtunkhwa (KP), Pakistan. Differences in mean values of delta N-15 and delta C-13 among the species were found non-significant. Community-wide metrics within delta C-13-delta N-15 bi-plot space reflecting vital aspects of the trophic structure were also calculated. It was found that all the selected species were feeding at the same trophic level, whereas niche size and trophic diversity of common carp was greater compared to both of the native species which indicated that this alien fish is a highly opportunistic feeder on different food items with multiple basal resources having a wide range of delta C-13 values. Mahseer occupied a very small trophic niche within the niche space of common carp. This shows that mahseer is relatively a specialist feeder on fewer food sources; hence, mahseer might be subjected to the higher threat posed by the alien species. The trophic niche area of Pakistani chalwa was also smaller than common carp but wider than mahseer indicating a relatively lower degree of overlap with common carp.</t>
  </si>
  <si>
    <t>10.1007/s10641-022-01254-4</t>
  </si>
  <si>
    <t>Attayde, JL; Ripa, J</t>
  </si>
  <si>
    <t>The coupling between grazing and detritus food chains and the strength of trophic cascades across a gradient of nutrient enrichment</t>
  </si>
  <si>
    <t>adaptive foraging; eutrophication; food webs; habitat coupling; nutrient cycling; shallow lakes; trophic dynamics</t>
  </si>
  <si>
    <t>TOP-DOWN CONTROL; ENERGY-FLOW; COMMUNITY STRUCTURE; LAKE ECOSYSTEMS; BOTTOM-UP; DYNAMICS; WEBS; STABILITY; PRODUCTIVITY; HERBIVORES</t>
  </si>
  <si>
    <t>A minimal food web model was constructed comprising one grazing and one detritus food chain coupled by nutrient cycling and generalist carnivores to investigate how prey preference by carnivores may affect the strength of trophic cascades across a gradient of nutrient enrichment. The equilibrium or mean abundance of each food web component and the magnitude of the carnivore effect on lower trophic levels were calculated for different values of the prey preference and nutrient input parameters. Our model predicts that nutrient enrichment increases the mean abundances of carnivores, autotrophs and detritus, but the magnitude of this effect is dependent on the prey preference term. On the other hand, herbivores and detritivores are relatively unaffected by enrichment but are strongly affected by carnivore preference. Carnivores have a negative effect on herbivores and a positive effect on autotrophs and detritus, whereas the effect on detritivores can be both positive and negative. At high preference for herbivores, carnivores have a positive effect on detritivores, because the positive effect of increased detritus availability due to reduced herbivore grazing outweighs the negative effect of predation. At high preference for detritivores, the balance is changed in the other direction. We argue that in systems where authochtonous primary production is the major source of detritus, herbivores can control the rates of detritus production and have indirect effects on detritivores, which may feed back into effects on herbivores through their shared enemies. This positive feedback is probably one mechanism affecting the resilience of alternative stable states in shallow lakes.</t>
  </si>
  <si>
    <t>10.1007/s10021-008-9174-8</t>
  </si>
  <si>
    <t>Turner, KW; Wolfe, BB; McDonald, I</t>
  </si>
  <si>
    <t>Monitoring 13 years of drastic catchment change and the hydroecological responses of a drained thermokarst lake</t>
  </si>
  <si>
    <t>water isotopes; thermokarst lake drainage; remotely piloted aircraft systems; UAV; drone; AVIRIS-NG; Landsat; hydrology; water chemistry; hydroecology; climate change; shrub vegetation</t>
  </si>
  <si>
    <t>OLD CROW FLATS; WATER ISOTOPE TRACERS; ARCTIC COASTAL-PLAIN; SURFACE-WATER; NORTHWESTERN ALASKA; DEPTH ESTIMATION; SHRUB EXPANSION; TUNDRA; VEGETATION; YUKON</t>
  </si>
  <si>
    <t>Catastrophic drainage of thermokarst lakes transforms portions of former lakebed to terrestrial settings, which have largely unknown consequences for the remaining aquatic habitat. Old Crow Flats, northern Yukon (Canada), is a lake-rich area that has recently experienced a climate-driven increase in lake drainage frequency. A notable example occurred during June 2007 when Zelma Lake (originally 12 km2) lost over 80% of its volume. Here we integrate remote sensing techniques with in situ hydrological and limnological measurements over 13 years following drainage to (1) monitor water surface area and terrestrial land cover change and (2) identify associated effects on aquatic conditions. An airborne drone system was used to provide training data for land cover classification of AVIRIS-NG data, which indicated that tall willow shrubs covered 30.8% of the former lake area by 2017. Lake water isotope-derived deuterium excess increased during the 13-year record indicating that hydrological input increased with greater snowpack accumulation within encroaching vegetation. Limnological conditions were highly variable and eutrophic during the first few years following drainage but became more stable as vegetation colonized the former lakebed. This long-term study provides insight into aquatic responses to thermokarst lake drainage and shrub vegetation proliferation, which are increasing in many Arctic and subarctic landscapes.</t>
  </si>
  <si>
    <t>10.1139/AS-2020-0022</t>
  </si>
  <si>
    <t>Monteiro, S; Ferreira, M; Vingada, JV; Lopez, A; Brownlow, A; Mendez-Fernandez, P</t>
  </si>
  <si>
    <t>Application of stable isotopes to assess the feeding ecology of long-finned pilot whale (Globicephala melas) in the Northeast Atlantic Ocean</t>
  </si>
  <si>
    <t>Isotopic mixing models; Trophic relationships; Feeding habitat; Marine mammals; Northeast Atlantic</t>
  </si>
  <si>
    <t>NITROGEN ISOTOPE; MARINE MAMMALS; FORAGING ECOLOGY; FOOD-WEB; DIET; CARBON; DELTA-N-15; CETACEANS; DOLPHINS; WESTERN</t>
  </si>
  <si>
    <t>In order to improve our knowledge on the feeding ecology of long-finned pilot whales (Globicephala melas) in Northeast Atlantic waters, skin samples of 68 long-finned pilot whales stranded in Northwest Iberia (n = 22) and Scotland (n = 46) were analysed using stable isotopes of delta C-13 and delta N-15. Isotopic mixing models were applied to obtain a quantitative estimate of the proportion of the main prey species in the diet of pilot whales. Stable isotope analysis revealed that 57.8-73.8% of the diet in Northwest Iberia consisted in curled octopus (Eledone cirrhosa), followed by European flying squid (Todarodes sagittatus), while in Scotland the predominant prey species was either Histioteuthis sp. or T. sagittatus, depending of the trophic enrichment factor applied. These results are generally in accordance with previous stomach content studies; however, the isotopic analysis may provide new information regarding key prey species and habitat use that could be missed or underestimated if only stomach contents analysis were used. Additionally, considering that the Atlantic Coast of Iberia was responsible for 95% of the landings of the main prey consumed by pilot whales in this area, between 2000 and 2010, these data provide trophic baseline information to be taken into account in fishery impact assessment studies and management decisions. (C) 2015 Elsevier B.V. All rights reserved.</t>
  </si>
  <si>
    <t>10.1016/j.jembe.2015.01.007</t>
  </si>
  <si>
    <t>Caputi, SS; Rossi, L; Pons, X; Careddu, G; Calizza, E; Costantini, ML</t>
  </si>
  <si>
    <t>Trophic attractiveness for soil fauna of residues of Bt and near-isogenic maize: a C and N stable isotope-based study</t>
  </si>
  <si>
    <t>Soil fauna; Detritus; Food web; Bt maize; Stable isotopes; Food chains</t>
  </si>
  <si>
    <t>FOOD-WEB STRUCTURE; MICROBIAL COMMUNITY STRUCTURE; BACILLUS-THURINGIENSIS; PREDATORY ARTHROPODS; INSECTICIDAL TOXIN; LEAF DETRITUS; PESTICIDE USE; CORN; CROPS; DECOMPOSITION</t>
  </si>
  <si>
    <t>Genetically modified (GM) crops are considered a good way to reduce insecticide use and the presence of certain agricultural pests, thus improving food and environmental safety. Nevertheless, effects of GM plant residues on the soil food web are still poorly understood. Zea mays L., enriched with a gene from Bacillus thuringiensis Berliner subsp. kurstaki (Bt) as a defence against the maize borer, is widely cultivated. In this study, we explored the invertebrate food webs associated with residues of Bt and non-Bt maize, respectively represented by DKC6575, with a Cry1Ab transgene (event MON810), and its near-isogenic Tietar variety, in a five-month field experiment. C and N stable isotopes and Bayesian mixing models were used to assess trophic niche metrics and track nutrient flows from maize residues and weeds occurring in maize crops to invertebrate detritivores and predators. While there were no initial differences in the structural components of maize residues between varieties, after five months of exposure in the field, the lignin content was higher and the organic matter content was lower in non-Bt than in Bt maize. Organic matter depletion over time was associated with a decrease in primary consumer abundance and an increase in their trophic niche width in both Bt and non-Bt maize, but it was faster in the former. The abundance of primary consumers and predators was higher in non-Bt than in Bt maize, but the distribution of organisms across trophic levels differed between varieties, with prey availability being lower in non-Bt than in Bt maize. This allowed Bt-associated predators to maintain a diet based primarily on the maize food chain throughout the experimental period. In contrast, non-Bt-associated predators were more dependent on weed-feeding prey by the end of the experiment, increasing the coupling between the maize and weed energy channels in the soil food web. Some taxon-specific effects were evident. Less vagile organisms such as Diptera had a specific diet mostly related to maize regardless of variety and time, while the diets of more vagile organisms like Coleoptera and Opiliones changed the most over time. Overall, our results suggest that the attractiveness of non-Bt maize residues for invertebrate consumers is higher than the Bt variety, although the higher recalcitrant content following decomposition reduces it over time. The attractiveness also affects the movement of invertebrate predators (potentially including pest control agents) and thus nutrient flows in tritrophic detritus-based food webs in cultivated and uncultivated plots.</t>
  </si>
  <si>
    <t>10.1016/j.agee.2022.107868</t>
  </si>
  <si>
    <t>Ghosh, P; Rajawat, VS; Nazir, A; Banerjee, Y; Nath, AK; Sakthivel, T</t>
  </si>
  <si>
    <t>Stable isotope on hilsa shad (Tenualosa ilisha) otoliths revealed migratory behavior of a population found in Hooghly River, West Bengal, India</t>
  </si>
  <si>
    <t>Stable isotopes; Hooghly River; Migratory behavior; Otolith microchemistry; Hilsa shad</t>
  </si>
  <si>
    <t>STOCK DISCRIMINATION; MOVEMENT PATTERNS; GANGA RIVER; WATER; DELTA-O-18; CHEMISTRY; DELTA-C-13; SALINITY; ORIGINS; ESTUARY</t>
  </si>
  <si>
    <t>Anadromous fishes like hilsa shad are found near the delta region of Ganges River which are exotic and carry economic potential. The river offers a tidal environment connecting with marine and freshwater ecosystem providing nutrient-rich seasonal water for their growth and development. The complex migratory pattern of these fishes is a major concern in fisheries research. The present study is based on a large collection of isotopic data from otolith specimens of varying sizes covering population of varying age. Here we examined their stable isotopic signature and relate it with their age and locations in the stream length. Otolith delta O-18 showed significant relationships with fish sizes (length and weight) and distance from the river mouth and can provide a new tool to distinguish their habitats. Small size individuals show affinity for freshwater, while bigger individuals originates from Bay area. The ANOVA and discriminant function analysis (DFA) is used to check whether the fish inhabiting upstream and downstream can be categorized by their delta O-18 values and to define the composition of the end member. Further, a numerical model of two component mixing is introduced to prescribe the integrated time interval, equated with their size to define specific habitat. The significant variations in otolith delta O-18 values are found between upstream and downstream of the Hooghly River, and the DFA showed the overall 81% of individuals were assigned to the upstream or downstream of the Diamond Harbour, while the remaining individuals of 1-2 years age represent mobile population, probably participating in the successful spawning and feeding activities. This method allowed understanding the migration tendency of adult individual (fraction of time spend in the freshwater) and clearly identified the habitat based on isotopic ratios in otolith specimens. This study will serve as template for understanding the aquaculture potential and scientific management policies for hilsa shad in the West Bengal region.</t>
  </si>
  <si>
    <t>10.1007/s10641-022-01215-x</t>
  </si>
  <si>
    <t>Zhang, B; Zhang, JC; Hastings, A; Fu, ZY; Yuan, YD; Zhai, L</t>
  </si>
  <si>
    <t>Contrasting plant responses to multivariate environmental variations among species with divergent elevation shifts</t>
  </si>
  <si>
    <t>climate change; functional trait; land-use change; nutrient; species shift; stable isotope; water</t>
  </si>
  <si>
    <t>WATER-USE EFFICIENCY; CLIMATE-CHANGE; RANGE SHIFTS; PHOSPHORUS LIMITATION; NUTRIENT LIMITATION; FUNCTIONAL TRAITS; FRESH-WATER; NITROGEN; ECOSYSTEM; CARBON</t>
  </si>
  <si>
    <t>The general predictions of climate impacts on species shifts (e.g., upward shift) cannot directly inform local species conservation, because local-scale studies find divergent patterns instead of a general one. For example, our previous study found three shift patterns with elevation (strong down-, moderate down-, and up-slope shifts) in temperate mountain forests. The divergent shifts are hypothesized to arise from both multivariate environmental variations with elevation and corresponding species-specific responses. To test this hypothesis, we sampled soils and leaves to measure elevation variations in soil conditions and determined plant responses using discriminations against heavier isotopes, carbon (C-13) and nitrogen (N-15). Functional traits of the species studied were also extracted from a public trait dataset. We found that: (1) With low soil water contents at low elevations, only the leaves of up-shifters had lower C-13 discriminations at low vs. high elevations; (2) With low soil P contents at high elevations, only the leaves of moderate down-shifters had higher N-15 discriminations at high vs. low elevations; (3) The leaves of strong down-shifters did not show significant elevation patterns of the discriminations; (4) The contrasting responses among the three types of shifters agree with their functional dissimilarity, suggested by their separate locations in a multitrait space. Taken together, the divergent shifts are associated with the elevation variations in environmental conditions and contrasting plant responses. The contrasting responses could result from the functional dissimilarity among species. Therefore, a detailed understanding of both local environmental variations and species-specific responses can facilitate accurate predictions of species shifts to inform local species conservation.</t>
  </si>
  <si>
    <t>e02488</t>
  </si>
  <si>
    <t>10.1002/eap.2488</t>
  </si>
  <si>
    <t>Carreira, BM; Segurado, P; Orizaola, G; Goncalves, N; Pinto, V; Laurila, A; Rebelo, R</t>
  </si>
  <si>
    <t>Warm vegetarians? Heat waves and diet shifts in tadpoles</t>
  </si>
  <si>
    <t>Amphibian; carnivory; climate change; diet regulation; Discoglossus galganoi; herbivory; Hyla arborea; Hyla meridionalis; omnivory; stable isotope mixing models</t>
  </si>
  <si>
    <t>CLIMATE-CHANGE; TEMPERATURE; PLASTICITY; EXTREMES; FITNESS; TIME; METAANALYSIS; VARIABILITY; PERFORMANCE; PREDICTORS</t>
  </si>
  <si>
    <t>Temperature can play an important role in determining the feeding preferences of ectotherms. In light of the warmer temperatures arising with the current climatic changes, omnivorous ectotherms may perform diet shifts toward higher herbivory to optimize energetic intake. Such diet shifts may also occur during heat waves, which are projected to become more frequent, intense, and longer lasting in the future. Here, we investigated how heat waves of different duration affect feeding preferences in omnivorous anuran tadpoles and how these choices affect larval life history. In laboratory experiments, we fed tadpoles of three species on animal, plant, or mixed diet and exposed them to short heat waves (similar to the heat waves these species experience currently) or long heat waves (predicted to increase under climate change). We estimated the dietary choices of tadpoles fed on the mixed diet using stable isotopes and recorded tadpole survival and growth, larval period, and mass at metamorphosis. Tadpole feeding preferences were associated with their thermal background, with herbivory increasing with breeding temperature in nature. Patterns in survival, growth, and development generally support decreased efficiency of carnivorous diets and increased efficiency or higher relative quality of herbivorous diets at higher temperatures. All three species increased herbivory in at least one of the heat wave treatments, but the responses varied among species. Diet shifts toward higher herbivory were maladaptive in one species, but beneficial in the other two. Higher herbivory in omnivorous ectotherms under warmer temperatures may impact species differently and further contribute to changes in the structure and function of freshwater environments.</t>
  </si>
  <si>
    <t>10.1002/ecy.1541</t>
  </si>
  <si>
    <t>Cumming, GS; Ndlovu, M; Mutumi, GL; Hockey, PAR</t>
  </si>
  <si>
    <t>Responses of an African wading bird community to resource pulses are related to foraging guild and food-web position</t>
  </si>
  <si>
    <t>Barberspan; eutrophication; nutrients; resilience; shorebird</t>
  </si>
  <si>
    <t>LONG-TERM TRENDS; WATERBIRDS</t>
  </si>
  <si>
    <t>1. The immediate impacts of nutrient inputs on aquatic systems are well documented, but the ways in which resource pulses affect the wider food web of water-associated vertebrates remain obscure. 2. We monitored the wading bird community of Barberspan, a natural freshwater lake and Ramsar wetland in South Africa, before, during and after the addition of a pulse of nutrients in the form of a sewage overspill from an upstream processing facility. We counted waders at 13 points around the lake over 3 years, every 2 months from March 2007 to March 2010, and sampled water quality during all counting periods from January 2008 to January 2010. 3. We used our data to test the hypothesis that wading birds that forage directly at lower trophic levels and/or on prey populations that have fast turnover rates, such as those of phytoplankton and invertebrates, will be more heavily influenced by nutrient addition than birds that forage on species with lower turnover rates and/or at higher trophic levels (such as frogs and fish). 4. During the sampling period Barberspan experienced a significant, nutrient-driven decline and subsequent recovery in dissolved oxygen and pH. This trend was mirrored by significant changes in the wading bird community. Partial Mantel tests and Canonical Correspondence Analysis (CCA) showed that the nutrient pulse had marked short-term, negative impacts on both the diversity and the abundance of medium-sized, shoreline foragers such as scolopacids (e.g. sandpipers). 5. Our analysis supports the proposal that both food-web position and the turnover rate of the prey population are strong influences on ecological responses to resource pulses. Analysis of time series of principal components that describe community composition suggested that recovery of the prey base was rapid and that the bird community was able to respond via immigration. These results must, of course, be considered provisional in the absence of replicated experimental data. 6. More generally, we interpret our results as suggesting that two different mechanisms act in different directions to determine the sensitivity of secondary and tertiary consumers to changes in their prey. First, for earlier consumers (i.e. that forage lower in the food web), there are (on average) fewer generalist consumers and fewer stored nutrients in the intervening trophic levels. This increases the sensitivity of earlier consumer populations to changes in the composition of the primary consumer community. Second, the dynamics of prey populations lower in the food web tend to be faster, making recovery faster and serving to decrease the sensitivity of earlier consumers to perturbations. These dynamics may obscure the impacts of nutrient pulses in cases where additional analysis of system trajectories is not undertaken.</t>
  </si>
  <si>
    <t>10.1111/fwb.12040</t>
  </si>
  <si>
    <t>Srivastava, DS; Trzcinski, MK; Richardson, BA; Gilbert, B</t>
  </si>
  <si>
    <t>Why Are Predators More Sensitive to Habitat Size than Their Prey? Insights from Bromeliad Insect Food Webs</t>
  </si>
  <si>
    <t>species-area relationship; trophic rank hypothesis; phytotelmata; incidence functions; predation</t>
  </si>
  <si>
    <t>SPECIES-AREA RELATIONSHIP; DIVERSITY; RICHNESS; BIODIVERSITY; COMMUNITIES; NUMBER; MODEL</t>
  </si>
  <si>
    <t>Ecologists have hypothesized that the exponent of species-area power functions (z value) should increase with trophic level. The main explanation for this pattern has been that specialist predators require prior colonization of a patch by their prey, resulting in a compounding of the effects of area up trophic levels. We propose two novel explanations, neither of which assumes trophic coupling between species. First, sampling effects can result in different z values if the abundances of species differ (in mean or evenness) between trophic levels. Second, when body size increases between trophic levels, effects of body size on z values may appear as differences between trophic levels. We test these alternative explanations using invertebrate food webs in 280 bromeliads from three countries. The z value of predators was higher than that of prey. Much of the difference in z values could be explained by sampling effects but not by body size effects. When damselflies occurred in the species pool, predator z values were even higher than predicted, as damselflies avoid small, drought-prone bromeliads. In one habitat, dwarf forests, detrital biomass became decoupled from bromeliad size, which also caused large trophic differences in z values. We argue that there are often simpler explanations than trophic coupling to explain differences in z values between trophic levels.</t>
  </si>
  <si>
    <t>10.1086/592868</t>
  </si>
  <si>
    <t>MILTON, DA; BLABER, SJM; RAWLINSON, NJF</t>
  </si>
  <si>
    <t>DIET, PREY SELECTION AND THEIR ENERGETIC RELATIONSHIP TO REPRODUCTION IN THE TROPICAL HERRING HERKLOTSICHTHYS QUADRIMACULATUS IN KIRIBATI, CENTRAL PACIFIC</t>
  </si>
  <si>
    <t>DIET; PREY SELECTION; HERRING</t>
  </si>
  <si>
    <t>CLUPEA-HARENGUS-MEMBRAS; TROPHIC RELATIONSHIPS; SEXUAL-MATURATION; NORTHERN ANCHOVY; ENGRAULIS-MORDAX; SOLOMON-ISLANDS; TUNA BAITFISH; PARTICULATE; FISHES; GROWTH</t>
  </si>
  <si>
    <t>Herklotsichthys quadrimaculatus (gold-spot herring) is a short-lived tropical herring (maximum age 1 yr) that matures at 5 mo and spawns continuously thereafter. It forms an important component of the tuna baitfish catches in Kiribati, Central Pacific, but fluctuates widely in numbers. We examined diet and prey selection in the field to determine the influence of diet on reproduction and to see whether fluctuations in spawning activity were related to changes in the diet or prey available. H. quadrimaculatus is a particulate-feeder that feeds mainly at night, actively selecting both larger high-calorie zooplankton taxa and larger individuals of other taxa. The composition of the diet varied over the 2 yr of the study in relation to variations in the abundance of the main zooplankton taxa and not in relation to spawning activity. Fish of both sexes approaching sexual maturity ate more high-calorie prey (Teleostei and Caridea) than younger fish. This shift in diet would have a selective advantage for short-lived species, enabling them to continue growing rapidly while developing gonads. The energy content of muscle, gonads, and Liver was examined in female H. quadrimaculatus at all stages of gonad development. There was no difference in the tissues, which had a mean content of 22.7 +/- 0.3 kJ g(-1) dry wt. The energy content of the liver was positively related to the energy content of the gonads but not to the mean dietary energy intake. The mean energy content of the gonads and the mean daily energy intake were inversely related, probably due to the body cavity having a smaller capacity. The mean daily energy intake was not related to the interval between spawnings or to the proportion of recently spent fish. The mean energy costs of producing an average-sized batch of eggs during peak spawning were too high to be obtained only from surplus intake. Both the liver mass and energy content declined in spent fish, which suggests that energy stored in the liver was mobilized during periods of frequent spawning. These results are consistent with recent findings that the spawning frequency of temperate clupeids is related to the animal's nutritional status.</t>
  </si>
  <si>
    <t>10.3354/meps103239</t>
  </si>
  <si>
    <t>Wing, SR; Wing, LC; O'Connell-Milne, SA; Barr, D; Stokes, D; Genovese, S; Leichter, JJ</t>
  </si>
  <si>
    <t>Penguins and Seals Transport Limiting Nutrients Between Offshore Pelagic and Coastal Regions of Antarctica Under Changing Sea Ice</t>
  </si>
  <si>
    <t>biological nutrient vector; Antarctica; climate change; sea ice; penguin; seal; nutrients; Antarctic toothfish; krill; silverfish; iron; stable isotopes</t>
  </si>
  <si>
    <t>SILVERFISH PLEURAGRAMMA-ANTARCTICUM; WESTERN ROSS SEA; ADELIE PENGUINS; WEDDELL SEALS; EMPEROR PENGUINS; CLIMATE-CHANGE; METAL CONCENTRATIONS; BENTHIC COMMUNITIES; IRON FERTILIZATION; BALEEN WHALES</t>
  </si>
  <si>
    <t>Large animals such as sea birds and marine mammals can transport limiting nutrients between different regions of the ocean, thereby stimulating and enhancing productivity. In Antarctica this process is influenced by formation and breakup of sea ice and its influence on the feeding behaviour of predators and their prey. We used analyses of bioactive metals (for example, Fe, Co, Mn), macronutrients (for example, N) and stable isotopes (delta C-13 and delta N-15) in the excreta of Adelie (Pygoscelis adeliae) and emperor penguins (Aptenodytes forsteri) as well as Weddell seals (Leptonychotes weddellii) from multiple sites, among multiple years (2012-2014) to resolve how changes in sea ice dynamics, as indicated by MODIS satellite images, were coincident with prey switching and likely changes in nutrient fluxes between the offshore pelagic and coastal zones. We also sampled excreta of the south polar skua (Stercorarius maccormicki), which preys on penguins and scavenges the remains of both penguins and seals. We found strong coincidence of isotopic evidence for prey switching, between euphausiids (Euphausia superba and E. crystallorophias) and pelagic/cryopelagic fishes (for example, Pleuragramma antarcticum) in penguins, and between pelagic/cryopelagic fishes and Antarctic toothfish (Dissostichus mawsoni) in Weddell seals, with changes in sea ice cover among years. Further, prey switching was strongly linked to changes in the concentrations of nutrients (Fe and N) deposited in coastal environments by both penguins and seals. Our findings have important implications for understanding how the roles of large animals in supporting coastal productivity may shift with environmental conditions in polar ecosystems.</t>
  </si>
  <si>
    <t>10.1007/s10021-020-00578-5</t>
  </si>
  <si>
    <t>Sagouis, A; Cucherousset, J; Villeger, S; Santoul, F; Bouletreau, S</t>
  </si>
  <si>
    <t>Non-native species modify the isotopic structure of freshwater fish communities across the globe</t>
  </si>
  <si>
    <t>RATIOS PROVIDE; WIDE MEASURES; FOOD; BIODIVERSITY; ECOSYSTEMS; DIVERSITY; PATTERNS</t>
  </si>
  <si>
    <t>Multiple anthropogenic pressures including the widespread introductions of non-native species threaten biodiversity and ecosystem functioning notably by modifying the trophic structure of communities. Here, we provided a global evaluation of the impacts of non-native species on the isotopic structure (C-13 and N-15) of freshwater fish communities. We gathered the stable isotope values (n = 4030) of fish species in 496 fish communities in lentic (lakes, backwaters, reservoirs) and lotic (running waters such as streams, rivers) ecosystems throughout the world and quantified the isotopic structure of communities. Overall, we found that communities containing non-native species had a different isotopic structure than communities without non-native species. However, these differences varied between ecosystem types and the trophic positions of non-native species. In lotic ecosystems, communities containing non-native species had a larger total isotopic niche than communities without non-native species. This was primarily driven by the addition of non-native predators at the top of the food chain that increased N-15 range without modifying the isotopic niche size of native species. In lentic ecosystems, non-native primary consumers increased N-15 range and this was likely driven by an increase of resource availability for species at higher trophic levels, increasing food chain length. The introduction of non-native secondary consumers at the centre of the isotopic niche of recipient communities decreased the core isotopic niche size, the C-13 range of recipient communities and the total isotopic niche of coexisting native species. These results suggested a modified contribution of the basal resources consumed (e.g. multi-chain omnivory) and an increase level of competition with native species. Our results notably imply that, by affecting the isotopic structure of freshwater fish communities at a global scale, non-native species represent an important source of perturbations that should be accounted for when investigating macro-ecological patterns of community structure and biotic interactions.</t>
  </si>
  <si>
    <t>10.1111/ecog.01348</t>
  </si>
  <si>
    <t>Kirby, R; Macfarland, DM; Pauli, JN</t>
  </si>
  <si>
    <t>Consumption of intentional food subsidies by a hunted carnivore</t>
  </si>
  <si>
    <t>anthropogenic effects; bait; black bears; foraging; stable isotopes; supplemental food; Ursus americanus</t>
  </si>
  <si>
    <t>AMERICAN BLACK BEARS; STABLE-ISOTOPES; DIET; AVAILABILITY; PREFERENCES; SELECTION; ECOLOGY; BROWN; CORN</t>
  </si>
  <si>
    <t>Wildlife consumption of human foods is common and these subsidies can alter a species' behavior, demography, and interspecific interactions, and lead to conflicts with humans. Intentional food subsidies, including feeding or baiting of wildlife for viewing or hunting, can represent a large energy source. We studied consumption of bait for an American black bear (Ursus americanus) population in northern Wisconsin. Given the state's liberal baiting regulations, we hypothesized that bear baits would be highly available, and that bears would readily consume such baits within a hunting season. We documented the abundance of bear bait on forestlands, and quantified the diets of harvested black bears using stable isotopes and Bayesian mixing models to determine the relative contribution of human foods to individual and population diets. Baits occurred at 0.25 bait stations/km(2) on public lands, and bears (n=180) were subsidized by these baits, which contributed to &gt;40% of their diet. Our analysis of multiple tissue types with different turnover rates revealed that harvested bears were relying on subsidies throughout their lifetimes. Patterns of bait consumption were primarily influenced by age-sex class; adult males were the most reliant on human foods, followed by adult females. We found a high level of food subsidization in this bear population. We posit that the high density of bears in northern Wisconsin may be partly due to subsidies. Our results reveal how baits used for hunting can become an important resource for free-ranging bears and highlight the importance of considering potential consequences when bait is used in harvest management. (c) 2017 The Wildlife Society. We found that hunter-deployed bear baits were highly available on public lands in northern Wisconsin, USA and that baits contributed to &gt;40% of harvested black bear diets, not only in the year of their harvest but throughout their lifetimes. We postulate that this subsidization is contributing to the high bear population density in the state, and we recommend management actions to limit the availability of this highly caloric and novel food resource on the landscape.</t>
  </si>
  <si>
    <t>10.1002/jwmg.21304</t>
  </si>
  <si>
    <t>Smith, NG; Jones, CM</t>
  </si>
  <si>
    <t>Substituting otoliths for chemical analyses: Does sagitta = lapillus?</t>
  </si>
  <si>
    <t>otolith chemistry; sagitta; lapillus; stable isotopes</t>
  </si>
  <si>
    <t>STABLE-ISOTOPE RECORDS; FISH OTOLITHS; ELEMENTAL FINGERPRINTS; ARAGONITIC OTOLITHS; COD; MICROCHEMISTRY; CHEMISTRY; OXYGEN; FRACTIONATION; SEASONALITY</t>
  </si>
  <si>
    <t>Chemical analysis of fish otoliths has become an important technique in fisheries science with widespread applications. Most research up to this point has focused predominantly on sagittal otoliths, but the underlying assumptions may also apply to lapilli. The goal of this study was to determine whether lapilli and sagittae have the same otolith chemistry and whether one can be substituted for the other for solution-based chemical analysis in wild-captured fish. We compared the stable isotope chemistry (delta C-13 and delta O-18) of paired sagittae and lapilli of juvenile spotted seatrout Cynoscion nebulosus collected from Chesapeake Bay seagrass beds in 2002. Stable isotopic signatures were significantly different in both carbon and oxygen for paired sagittae and lapilli. Both delta C-13 and delta O-18 values were higher in the sagitta relative to the lapillus. As a correlate to isotopic analysis, shape measurements were taken on paired sagittae and lapilli for growth comparison. While the 2 otoliths are a similar size at formation, the sagitta grows faster, quickly outgrowing the lapillus during the juvenile stage. We expected that after detrending isotope data to account for fish length, the relation with otolith growth would become clear. Surprisingly, this was not true for either delta C-13 or delta O-18. Carbon isotopic differences appear to be strongly influenced by metabolism, and the relationship of delta O-18 with otolith growth is obscured by a variable environment. Our results clearly show that sagittae is not equal to lapilli for solution-based whole otolith analysis. Moreover, while the sagitta reflects the juvenile stage environment with greater fidelity, the lapillus reflects the larval stage more strongly.</t>
  </si>
  <si>
    <t>Steiner, CF; Schwaderer, AS; Huber, V; Klausmeier, CA; Litchman, E</t>
  </si>
  <si>
    <t>Periodically forced food-chain dynamics: model predictions and experimental validation</t>
  </si>
  <si>
    <t>Brachionus calyciflorus; Chlamydomonas reinhardtii; environmental forcing; periodic mortality; phytoplankton; predator-prey dynamics; seasonal succession; seasonality; transient dynamics; zooplankton</t>
  </si>
  <si>
    <t>NORTH-ATLANTIC OSCILLATION; CLIMATE-CHANGE; TRANSIENT DYNAMICS; EUROPEAN LAKES; SYSTEMS; EVENTS; PHYTOPLANKTON; ALGAE; ZOOPLANKTON; SUCCESSION</t>
  </si>
  <si>
    <t>Despite the recognition of the importance of seasonal forcing in nature, remarkably few studies have theoretically explored periodically forced community dynamics. Here we employ a novel approach called successional state dynamics'' (SSD) to model a seasonally forced predator-prey system. We first generated analytical predictions of the effects of altered seasonality on species persistence and the timing of community state transitions. We then parameterized the model using a zooplankton-phytoplankton system and tested quantitative predictions using controlled experiments. In the majority of cases, timing of zooplankton and algal population peaks matched model predictions. Decreases in growing-period length delayed algal blooms, consequently delaying peaks in zooplankton abundance. Predictions of increased probability of predator extinction at low growing-period lengths were also upheld experimentally. Our results highlight the utility of the SSD modeling approach as a framework for predicting the effects of altered seasonality on the structure and dynamics of multitrophic communities.</t>
  </si>
  <si>
    <t>10.1890/08-2377.1</t>
  </si>
  <si>
    <t>Okun, N; Lewin, WC; Mehner, T</t>
  </si>
  <si>
    <t>Top-down and bottom-up impacts of juvenile fish in a littoral reed stand</t>
  </si>
  <si>
    <t>consumption; habitat coupling; phosphorus allocation</t>
  </si>
  <si>
    <t>FRESH-WATER ECOSYSTEMS; PERCH PERCA-FLAVESCENS; ROACH RUTILUS-RUTILUS; PELAGIC FOOD WEBS; YELLOW PERCH; SUBMERGED MACROPHYTES; LAKE; PHOSPHORUS; ZOOPLANKTON; PHYTOPLANKTON</t>
  </si>
  <si>
    <t>1. Research has often focused on pelagic food chains and processes of lakes; less is known about the contribution of benthic energy flows to whole-lake ecosystem energetics. This stems from the fact that the shoreline and littoral habitats, which provide a key linkage between sediment and water column, have only recently become a significant focus for study. 2. This study aimed to quantify the feeding and phosphorus allocation of a juvenile fish community in a littoral zone of a shallow lake in response to the biomass succession of the invertebrate prey community. Habitats comprising reed and adjacent open water were sampled over two consecutive years during day and night. 3. Although there were substantial year-to-year differences in the biomass of invertebrates, the fish community composition, diet consumption rates and phosphorus allocations were very similar in both study years. Biomasses and predation impacts by juvenile fish on prey groups were substantially higher within the reeds than in the adjacent open water habitat. This may be explained by the refuge-seeking behaviour of the fish. 4. In general, invertebrates were negligibly influenced by fish feeding, with the exception for a strong top-down control of large cladocerans. In response to the resulting low Daphnia biomass, fish were forced to switch to a higher degree of benthivory. Consequently, juvenile fish in littoral reed stands may shift benthic-derived energy and phosphorus via the excretion of soluble reactive phosphorus into the open water.</t>
  </si>
  <si>
    <t>10.1111/j.1365-2427.2005.01361.x</t>
  </si>
  <si>
    <t>Singh, NJ; Ecke, F; Katzner, T; Bagchi, S; Sandstrom, P; Hornfeldt, B</t>
  </si>
  <si>
    <t>Consequences of migratory coupling of predators and prey when mediated by human actions</t>
  </si>
  <si>
    <t>conflict; lead poisoning; migration; predator-prey; reindeer; scale; scavengers; synchrony; toxicology</t>
  </si>
  <si>
    <t>EAGLES AQUILA-CHRYSAETOS; ADULT GOLDEN EAGLES; BREEDING-SEASON; MOVEMENTS; BEHAVIOR; POPULATION; MANAGEMENT; EXPOSURE; UNGULATE; ECOLOGY</t>
  </si>
  <si>
    <t>Aim Animal migrations influence ecosystem structure, dynamics and persistence of predator and prey populations. The theory of migratory coupling postulates that aggregations of migrant prey can induce large-scale synchronized movements in predators, and this coupling is consequential for the dynamics of ecological communities. The degree to which humans influence these interactions remains largely unknown. We tested whether creation of large resource pulses by humans such as seasonal herding of reindeer Rangifer tarandus and hunting of moose, Alces alces, can induce migratory coupling with Golden Eagles, Aquila chrysaetos, and whether these lead to demographic consequences for the eagles. Location Fennoscandia. Methods We used movement data from 32 tracked Golden Eagles spanning 125 annual migratory cycles over 8 years. We obtained reindeer distribution data through collaboration with reindeer herders based on satellite tracking of reindeer, and moose harvest data from the national hunting statistics for Sweden. We assessed demographic consequences for eagles from ingesting lead from ammunition fragments in moose carcasses through survival estimates and their links with lead concentrations in eagles' blood. Results In spring, eagles migrated hundreds of kilometres to be spatially and temporally coupled with calving reindeer, whereas in autumn, eagles matched their distribution with the location and timing of moose hunt. Juveniles were more likely to couple with reindeer calving, whereas adults were particularly drawn to areas of higher moose harvest. Due to this coupling, eagles ingested lead from spent ammunition in moose offal and carcasses and the resulting lead toxicity increased the risk of mortality by 3.4 times. Main conclusions We show how migratory coupling connects landscape processes and that human actions can influence migratory coupling over large spatial scales and increase demographic risks for predators. We provide vital knowledge towards resolving human-wildlife conflicts and the conservation of protected species over a large spatial and temporal scale.</t>
  </si>
  <si>
    <t>10.1111/ddi.13373</t>
  </si>
  <si>
    <t>Reum, JCP; Jennings, S; Hunsicker, ME</t>
  </si>
  <si>
    <t>Implications of scaled N-15 fractionation for community predator-prey body mass ratio estimates in size-structured food webs</t>
  </si>
  <si>
    <t>body mass; food web; predator-prey; size spectra; transfer efficiency; trophic level</t>
  </si>
  <si>
    <t>DISCRIMINATION FACTORS DELTA-N-15; STABLE-ISOTOPE; DELTA-C-13 VALUES; MARINE ECOSYSTEMS; SPECIES ABUNDANCE; BIOMASS FLOW; FISH; CONSEQUENCES; EFFICIENCIES; DEPENDENCY</t>
  </si>
  <si>
    <t>Nitrogen stable isotope ratios (N-15) may be used to estimate community-level relationships between trophic level (TL) and body size in size-structured food webs and hence the mean predator to prey body mass ratio (PPMR). In turn, PPMR is used to estimate mean food chain length, trophic transfer efficiency and rates of change in abundance with body mass (usually reported as slopes of size spectra) and to calibrate and validate food web models. When estimating TL, researchers had assumed that fractionation of N-15 (N-15) did not change with TL. However, a recent meta-analysis indicated that this assumption was not as well supported by data as the assumption that N-15 scales negatively with the N-15 of prey. We collated existing fish community N-15-body size data for the Northeast Atlantic and tropical Western Arabian Sea with new data from the Northeast Pacific. These data were used to estimate TL-body mass relationships and PPMR under constant and scaled N-15 assumptions, and to assess how the scaled N-15 assumption affects our understanding of the structure of these food webs. Adoption of the scaled N-15 approach markedly reduces the previously reported differences in TL at body mass among fish communities from different regions. With scaled N-15, TL-body mass relationships became more positive and PPMR fell. Results implied that realized prey size in these size-structured fish communities are less variable than previously assumed and food chains potentially longer. The adoption of generic PPMR estimates for calibration and validation of size-based fish community models is better supported than hitherto assumed, but predicted slopes of community size spectra are more sensitive to a given change or error in realized PPMR when PPMR is small.</t>
  </si>
  <si>
    <t>10.1111/1365-2656.12405</t>
  </si>
  <si>
    <t>Saez, CA; Perez-Matus, A; Lobos, MG; Oliva, D; Vasquez, JA; Bravo, M</t>
  </si>
  <si>
    <t>Environmental assessment in a shallow subtidal rocky habitat: approach coupling chemical and ecological tools</t>
  </si>
  <si>
    <t>holdfast; marine pollution; invertebrate; Lessonia trabeculata; metal; sediment</t>
  </si>
  <si>
    <t>LESSONIA-TRABECULATA VILLOUTA; INVERTEBRATE COMMUNITIES; MACROFAUNAL COMMUNITY; METAL CONCENTRATIONS; SPECIES COMPOSITION; MARINE-SEDIMENTS; TRACE-METALS; KELP; HOLDFASTS; BIODIVERSITY</t>
  </si>
  <si>
    <t>Environmental policy and legislation pursuing the protection of marine ecosystems have commonly considered pollutant content in abiotic matrices. Nevertheless, this approach does not describe the eventual effects on living organisms. The aim of this study was to couple two monitoring tools for environmental diagnostics: the chemical tool, metal concentrations in hard-bottom sediments; and the ecological tool, observations of invertebrate communities inhabiting Lessonia trabeculata holdfasts. The study was conducted during austral summer, in central Chile, in a subtidal ecosystem threatened by a sewage outfall, and was compared with a nearby control zone. Environmental assessment was conducted at three different sites with distances ranging from the outfall to 60m (there was similar site disposal in control zone). Metal levels in sediments were highest in the site closest to the outfall, decreasing with distance, and were also low in control sites. Changes found in community taxonomic diversity were consistent with the presence of the outfall, especially at 30m away. The subtidal ecosystem was polluted. It is important to incorporate these multi-and interdisciplinary approaches to environmental research and legislation in order to obtain information that represents effects at different timescales, improves field logistics and truthfully characterises environmental conditions.</t>
  </si>
  <si>
    <t>10.1080/02757540.2011.619529</t>
  </si>
  <si>
    <t>Hepburn, CD; Pritchard, DW; Cornwall, CE; McLeod, RJ; Beardall, J; Raven, JA; Hurd, CL</t>
  </si>
  <si>
    <t>Diversity of carbon use strategies in a kelp forest community: implications for a high CO2 ocean</t>
  </si>
  <si>
    <t>algae; carbon concentrating mechanisms; coralline algae; kelp forest; light; ocean acidification; stable isotopes</t>
  </si>
  <si>
    <t>INORGANIC CARBON; CONCENTRATING MECHANISMS; CLIMATE-CHANGE; ACIDIFICATION; MACROALGAE; ALGAE; MACROPHYTES; ECOSYSTEMS; ORGANISMS; ISOTOPE</t>
  </si>
  <si>
    <t>Mechanisms for inorganic carbon acquisition in macroalgal assemblages today could indicate how coastal ecosystems will respond to predicted changes in ocean chemistry due to elevated carbon dioxide (CO2). We identified the proportion of noncalcifying macroalgae with particular carbon use strategies using the natural abundance of carbon isotopes and pH drift experiments in a kelp forest. We also identified all calcifying macroalgae in this system; these were the dominant component of the benthos (by % cover) at all depths and seasons while cover of noncalcareous macroalgae increased at shallower depths and during summer. All large canopy-forming macroalgae had attributes suggestive of active uptake of inorganic carbon and the presence of a CO2 concentration mechanism (CCM). CCM species covered, on average, 15-45% of the benthos and were most common at shallow depths and during summer. There was a high level of variability in carbon isotope discrimination within CCM species, probably a result of energetic constraints on active carbon uptake in a low light environment. Over 50% of red noncalcifying species exhibited values below -30 parts per thousand suggesting a reliance on diffusive CO2 uptake and no functional CCM. Non-CCM macroalgae covered on average 0-8.9% of rock surfaces and were most common in deep, low light habitats. Elevated CO2 has the potential to influence competition between dominant coralline species (that will be negatively affected by increased CO2) and noncalcareous CCM macroalgae (neutral or positive effects) and relatively rare (on a % cover basis) non-CCM species (positive effects). Responses of macroalgae to elevated CO2 will be strongly modified by light and any responses are likely to be different at times or locations where energy constrains photosynthesis. Increased growth and competitive ability of noncalcareous macroalgae alongside negative impacts of acidification on calcifying species could have major implications for the functioning of coastal reef systems at elevated CO2 concentrations.</t>
  </si>
  <si>
    <t>10.1111/j.1365-2486.2011.02411.x</t>
  </si>
  <si>
    <t>Manfrin, A; Lehmann, D; van Grunsven, RHA; Larsen, S; Syvaranta, J; Wharton, G; Voigt, CC; Monaghan, MT; Holker, F</t>
  </si>
  <si>
    <t>Dietary changes in predators and scavengers in a nocturnally illuminated riparian ecosystem</t>
  </si>
  <si>
    <t>spiders; food web; ALAN; predator-prey; stable isotopes; SIAR; feeding strategies</t>
  </si>
  <si>
    <t>STABLE-ISOTOPE ANALYSES; TERRESTRIAL FOOD WEBS; LIGHT POLLUTION; AQUATIC INSECTS; RESOURCE SUBSIDIES; CARBON ISOTOPES; LIFE-HISTORY; SPECTRAL COMPOSITION; BIOLOGICAL-CONTROL; TIME CONSTRAINTS</t>
  </si>
  <si>
    <t>Aquatic and terrestrial ecosystems are linked by fluxes of carbon and nutrients in riparian areas. Processes that alter these fluxes may therefore change the diet and composition of consumer communities. We used stable carbon isotope (C-13) analyses to test whether the increased abundance of aquatic prey observed in a previous study led to a dietary shift in riparian consumers in areas illuminated by artificial light at night (ALAN). We measured the contribution of aquatic-derived carbon to diets in riparian arthropods in experimentally lit and unlit sites along an agricultural drainage ditch in northern Germany. The C-13 signature of the spider Pachygnatha clercki (Tetragnathidae) was 0.7 parts per thousand lower in the ALAN-illuminated site in summer, indicating a greater assimilation of aquatic prey. Bayesian mixing models also supported higher intake of aquatic prey under ALAN in spring (34% versus 21%). In contrast, isotopic signatures for P. clercki (0.3 parts per thousand) and Pardosa prativaga (0.7 parts per thousand) indicated a preference for terrestrial prey in the illuminated site in spring. Terrestrial prey intake increased in spring for P. clercki under ALAN (from 70% to 74%) and in spring and autumn for P. prativaga (from 68% to 77% and from 67% to 72%) and Opiliones (from 68% to 72%; 68% to 75%). This was despite most of the available prey (up to 80%) being aquatic in origin. We conclude that ALAN changed the diet of riparian secondary consumers by increasing the density of both aquatic and terrestrial prey. Dietary changes were species- and season-specific, indicating that the effects of ALAN may interact with phenology and feeding strategy. Because streetlights can occur in high density near freshwaters, ALAN may have widespread effects on aquatic-terrestrial ecosystem linkages.</t>
  </si>
  <si>
    <t>10.1111/oik.04696</t>
  </si>
  <si>
    <t>Thompson, JR; Lambert, KF; Foster, DR; Broadbent, EN; Blumstein, M; Almeyda Zambrano, AM; Fan, YC</t>
  </si>
  <si>
    <t>The consequences of four land-use scenarios for forest ecosystems and the services they provide</t>
  </si>
  <si>
    <t>ecosystem services; land use; scenarios; socio-ecological futures</t>
  </si>
  <si>
    <t>CLIMATE-CHANGE; MASSACHUSETTS; CONSERVATION; SIMULATION; BIOMASS; BIODIVERSITY; OWNERSHIPS; MANAGEMENT; MODEL</t>
  </si>
  <si>
    <t>Anticipating landscape-to regional-scale impacts of land use on ecosystems and the services they provide is a central challenge for scientists, policymakers, and resource managers. Working with a panel of practitioners and regional experts, we developed and analyzed four plausible but divergent land-use scenarios that depict the future of Massachusetts from 2010 to 2060 to address two questions: (1) How do the magnitude and spatial distribution of ecosystem service provisioning vary under the different land-use regimes? and (2) What are the synergies and trade-offs among direct human uses, ecosystem services, and habitat quality? Each scenario specifies the detailed prescriptions for the major uses of the forests, including conversion to residential and commercial development, clearing new farmland, shifting silvicultural practices, and designating forests protected from development. We simulated the land-use scenarios and their interactions with anticipated climate change by coupling statistical models of land use to the LANDIS-II landscape model and then evaluated the outcomes in terms of the magnitude and spatial distribution of (1) direct human uses of the landscape (residential and commercial development, agricultural, timber harvest), (2) ecosystem services (carbon storage, flood regulation, nutrient retention), and (3) habitat quality (forest tree species composition, interior forest habitat). Across all scenarios, conflicts occurred between dispersed residential development and the supply of ecosystem services and habitat quality. In all but the scenario that envisioned a significant agricultural expansion, forest growth resulted in net increases in aboveground carbon storage, despite the concomitant forest clearing and harvesting. One scenario, called Forests as Infrastructure, showed the potential for synergies between increased forest harvest volume through the sustainable practices that encouraged the maintenance of economically and ecologically important tree species, and carbon storage. This scenario also showed trade-offs between development density and water quantity and quality at the watershed scale. The process of integrated scenario analysis led to important insights for land managers and policymakers in a populated forested region where there are tensions among development, forest harvesting, and land conservation. More broadly, the results emphasize the need to consider the consequences of contrasting land-use regimes that result from the interactions between human decisions and spatially heterogeneous landscape dynamics.</t>
  </si>
  <si>
    <t>e01469</t>
  </si>
  <si>
    <t>10.1002/ecs2.1469</t>
  </si>
  <si>
    <t>McNabb, DM; Halaj, J; Wise, DH</t>
  </si>
  <si>
    <t>Inferring trophic positions of generalist predators and their linkage to the detrital food web in agroecosystems: a stable isotope analysis</t>
  </si>
  <si>
    <t>detrital food web; stable isotopes; generalist predators; spiders; carabids; detritivores</t>
  </si>
  <si>
    <t>LABORATORY EXPERIMENTS; INTRAGUILD PREDATION; NITROGEN ISOTOPES; INSECT PREDATORS; GROUND BEETLES; WOLF SPIDERS; PREY; COLEOPTERA; DELTA-C-13; CARABIDAE</t>
  </si>
  <si>
    <t>We investigated the feasibility of using stable isotope analysis of carbon and nitrogen to infer the trophic level of generalist arthropod predators and the relative strengths of their linkages to detrital and grazing food webs in agroecosystems. Generalist predators are potential biocontrol agents because they prey on herbivores in the grazing food web. Many of these predators also feed on detritivores and fungivores in the soil food web; thus, knowledge of this detrital trophic link may be instrumental to the effective manipulation of generalist predators to enhance their effectiveness in biological control. We analyzed patterns of isotopic concentrations of delta C-13 and delta N-15 in several groups of arthropod predators and their potential prey in replicated cucurbit gardens to which a detrital supplement had been added. Similarity in delta C-13 values between spiders and Collembola suggests that detritivores in this crop system may represent a key prey resource for small spiders, including sheet-web weavers (Linyphiidae) and juvenile wolf spiders (Lycosidae). Isotopic values of delta N-15 place spiders more than one trophic level above Collembola, perhaps dire to substantial intraguild predation and cannibalism. Patterns of delta C-13 and delta N-15 for carabid beetles reveal large interspecific variation in the extent of omnivory, in agreement with documented broad ranges of carabid feeding habits. We conclude that stable isotope analysis is a promising tool for investigating trophic connections in arthropod-dominated food webs in agroecosystems.</t>
  </si>
  <si>
    <t>10.1078/0031-4056-00087</t>
  </si>
  <si>
    <t>Zhao, LY; Schell, DM</t>
  </si>
  <si>
    <t>Stable isotope ratios in harbor seal Phoca vitulina vibrissae: effects of growth patterns on ecological records</t>
  </si>
  <si>
    <t>vibrissae; growth patterns; foraging ecology; stable isotopes; pinnipeds</t>
  </si>
  <si>
    <t>CALLORHINUS-URSINUS; MARINE MAMMALS; TISSUES; CARBON; ALASKA; DIET; GULF; FRACTIONATION; PINNIPEDS; TURNOVER</t>
  </si>
  <si>
    <t>Growth rates and patterns of vibrissae (whiskers) in captive harbor seals Phoca vitulina were examined by intravenous infusion of N-15-labeled amino acid tracers to mark their keratinous tissues. The use of vibrissa segmental isotopic analysis as diet indicators was evaluated during controlled feeding trials. Harbor seals shed their vibrissae annually. Replacement of new vibrissae started in May or June, depending on individual seals. Growth rates of new vibrissae were very fast at up to 0.78 mm d(-1) during summer and fall, and then changed to a much slower growth rate throughout winter and early spring. An average growth rate of 0.075 mm d(-1) was obtained from 1 vibrissa from December to May. delta(13)C and delta(15)N values in vibrissae co-varied and reflected temporal variations of diet or habitat changes of seals, particularly over a rapid growth period from late spring to fall. Compared with other tissues such as blood components, vibrissae can be sampled less invasively and archive ecological records over a longer period. Vibrissa segmental isotopic analysis provides a more flexible tool for studying foraging ecology of wild seals, despite the varying seasonal growth rates and annual replacements.</t>
  </si>
  <si>
    <t>10.3354/meps281267</t>
  </si>
  <si>
    <t>Hardtle, W; Niemeyer, T; Assmann, T; Aulinger, A; Fichtner, A; Lang, A; Leuschner, C; Neuwirth, B; Pfister, L; Quante, M; Ries, C; Schuldt, A; von Oheimb, G</t>
  </si>
  <si>
    <t>Climatic responses of tree-ring width and delta C-13 signatures of sessile oak (Quercus petraea Liebl.) on soils with contrasting water supply</t>
  </si>
  <si>
    <t>PLANT ECOLOGY</t>
  </si>
  <si>
    <t>Climate change; Dendrochemistry; Dendroecology; Luxembourg; Water use efficiency</t>
  </si>
  <si>
    <t>FAGUS-SYLVATICA L.; EUROPEAN BEECH; USE EFFICIENCY; GROWTH RELATIONSHIPS; STABLE-ISOTOPES; MATT. LIEBL.; FOREST; DROUGHT; CARBON; INCREMENT</t>
  </si>
  <si>
    <t>We investigated climate-growth relationships (in terms of tree-ring width, basal area increment (BAI), and tree-ring delta C-13 signatures) of Quercus petraea in Central Europe (Luxembourg). Tree responses were assessed for 160 years and compared for sites with contrasting water supply (i.e. Cambisols vs. Regosols with 175 and 42 mm available water capacity, respectively). Oak trees displayed very low climate sensitivity, and climatic variables explained only 24 and 21 % of variance in tree-ring width (TRW) (Cambisol and Regosol sites, respectively). Contrary to our expectations, site-related differences in growth responses (i.e. BAI, delta C-13 signatures) to climate shifts were not significant. This finding suggests a high plasticity of oak trees in the study area. Despite a distinct growth depression found for all trees in the decade 1988-1997 (attributable to increasing annual mean temperatures by 1.1 A degrees C), oak trees completely recovered in subsequent years. This indicates a high resilience of sessile oak to climate change. Shifts in delta C-13(corr) signatures were mainly affected by temperature, and peaks in delta C-13(corr) values (corrected for the anthropogenic increase in atmospheric CO2) coincided with decadal maximum temperatures. Correlations between delta C-13 signatures and TRW (mainly affected by precipitation) were not significant. This finding suggests that wood growth often was disconnected from carbon assimilation (e.g. due to carbon storage in the trunk or allocation to seeds). Since the selection of drought-resistant tree species gains importance within the context of adaptive forest management strategies, Q. petraea proves to be an adaptive tree species in Central Europe's forests under shifting climatic conditions.</t>
  </si>
  <si>
    <t>10.1007/s11258-013-0239-1</t>
  </si>
  <si>
    <t>Leverkus, AB; Castro, J; Delgado-Capel, MJ; Molinas-Gonzalez, C; Pulgar, M; Maranon-Jimenez, S; Delgado-Huertas, A; Querejeta, JI</t>
  </si>
  <si>
    <t>Restoring for the present or restoring for the future: enhanced performance of two sympatric oaks (Quercus ilex and Quercus pyrenaica) above the current forest limit</t>
  </si>
  <si>
    <t>assisted colonization; climate change; isotopic analysis; reforestation; stable isotopes; uphill shifts</t>
  </si>
  <si>
    <t>CARBON-ISOTOPE DISCRIMINATION; ASSISTED COLONIZATION; ECOLOGICAL RESTORATION; STOMATAL CONDUCTANCE; STABLE OXYGEN; CLIMATE; PLANTS; LEAF; SHRUBS; REFORESTATION</t>
  </si>
  <si>
    <t>Reforestation is common to restore degraded ecosystems, but tree-species choice often neglects ongoing environmental changes. We evaluated the performance of planted seedlings of two oak species at two sites in a Mediterranean mountain (Sierra Nevada, SE Spain): one located within the current altitudinal forest range (1,600-1,760 m), and one above the upper forest limit (1,970-2,120 m). The forest service planted 1,350 seedlings of the deciduous Pyrenean oak and the evergreen Holm oak in a postfire successional shrubland. After 2 years, seedlings were monitored for survival, and a subset of 110 Pyrenean oaks and 185 Holm oaks were harvested for analyses of biomass and foliar nutrient status, C-13, and O-18. Both species showed the highest survival and leaf N status above the upper forest limit, and survival increased with altitude within each plot. The deciduous oak benefited most from planting at higher altitude, and it also had greater biomass at the higher site. Correlations between foliar N, O-18, and C-13 across elevations indicate tighter stomatal control of water loss and greater water-use efficiency with increasing plant N status at higher altitude, which may represent a so-far overlooked positive feedback mechanism that could foster uphill range shifts in water-limited mountain regions. Given ongoing trends and future projections of increasing temperature and aridity throughout the Mediterranean region, tree-species selection for forest restoration should target forecasted climatic conditions rather than those prevailing in the past. This study highlights that ecosystem restoration provides an opportunity to assist species range shifts under rapidly changing climate.</t>
  </si>
  <si>
    <t>10.1111/rec.12259</t>
  </si>
  <si>
    <t>Kowalczyk, ND; Chiaradia, A; Preston, TJ; Reina, RD</t>
  </si>
  <si>
    <t>Linking dietary shifts and reproductive failure in seabirds: a stable isotope approach</t>
  </si>
  <si>
    <t>seabird ecology; isotopic niche width; Bayesian models; stable isotopes</t>
  </si>
  <si>
    <t>PENGUINS EUDYPTULA-MINOR; BODY CONDITION; BREEDING PERFORMANCE; FORAGING BEHAVIOR; PYGOSCELIS-PAPUA; ADELIE PENGUINS; PHILLIP-ISLAND; BASS STRAIT; FOOD; SUCCESS</t>
  </si>
  <si>
    <t>Diet-related breeding failure in seabirds has been attributed to declines in key prey abundance, the quality of prey and overall prey availability. However, identifying which aspect of diet is responsible for reproductive failure is challenging due to the practicalities of measuring prey utilization and the actual availability and abundance of those resources. In this study, stable isotope-based Bayesian models, in combination with indices of resource availability, were used to assess the links between prey availability, seabird diet and reproductive success in a generalist, inshore top predator, the little penguin, Eudyptula minor. The most probable causes for the sharp decrease in little penguin reproductive performance were diminished localized populations of anchovies, Engraulis australis, in combination with the scarcity of alternative prey. Low dietary diversity and the consumption of low trophic value prey were observed in this period. In the contrasting following year, penguins consumed increased levels of anchovy as well as a high diversity of prey. High dietary diversity and the consumption of high trophic value prey were observed in birds' pre-breeding and breeding diet and likely led to early breeding and high reproductive success. Our results highlight that resource abundance and the availability of a variety of prey taxa are critical factors in enabling this inshore seabird to adjust to changes in environmental conditions and fluctuations in prey. An understanding of seabird diet is integral to their conservation and management. Monitoring seabird trophic niche dimensions and reproductive parameters can elucidate causes for population declines and can provide information about particular prey species and foraging locations that require protection.</t>
  </si>
  <si>
    <t>10.1111/1365-2435.12216</t>
  </si>
  <si>
    <t>Gharnit, E; Dammhahn, M; Garant, D; Reale, D</t>
  </si>
  <si>
    <t>Resource Availability, Sex, and Individual Differences in Exploration Drive Individual Diet Specialization</t>
  </si>
  <si>
    <t>animal personality; individual diet specialization; exploration; stable isotopes; eastern chipmunk</t>
  </si>
  <si>
    <t>NICHE WIDTH; POPULATION; PREFERENCES</t>
  </si>
  <si>
    <t>Individual diet specialization (IDS) is widespread and can affect the ecological and evolutionary dynamics of populations in significant ways. Extrinsic factors (e.g., food abundance) and individual variation in energetic needs, morphology, or physiology have been suggested as drivers of IDS. Behavioral traits like exploration and boldness can also impact foraging decisions, although their effects on IDS have not yet been investigated. Specifically, variation among individuals in exploratory behavior and their position along the exploration/exploitation trade-off may affect their foraging behavior, acquisition of food items, and home range size, which may in turn influence the diversity of their diet. Here, we analyzed stable carbon and nitrogen isotopes in hair of wild eastern chipmunks, Tamias striatus, to investigate the influence of individual differences in exploration on IDS. We found that exploration profile, sex, and yearly fluctuations in food availability explained differences in the degree of dietary specialization and in plasticity in stable carbon and stable nitrogen over time. Thus, consistent individual differences in exploration can be an important driver of within-population niche specialization and could therefore affect within-species competition. Our results highlight the need for a more thorough investigation of the mechanisms underlying the link between individual behavioral differences and diet specialization in wild animal populations.</t>
  </si>
  <si>
    <t>10.1086/719669</t>
  </si>
  <si>
    <t>Yang, YH; Ji, CJ; Robinson, D; Zhu, B; Fang, HJ; Shen, HH; Fang, JY</t>
  </si>
  <si>
    <t>Vegetation and Soil N-15 Natural Abundance in Alpine Grasslands on the Tibetan Plateau: Patterns and Implications</t>
  </si>
  <si>
    <t>carbon:nitrogen ratio; climate; isotope; nitrogen cycle; soil delta N-15; soil texture; vegetation delta N-15</t>
  </si>
  <si>
    <t>FOLIAR NITROGEN ISOTOPES; PRECIPITATION GRADIENT; MYCORRHIZAL FUNGI; GLOBAL PATTERNS; RAIN-FOREST; CARBON; DELTA-N-15; PLANT; AVAILABILITY; DYNAMICS</t>
  </si>
  <si>
    <t>The natural abundance of nitrogen (N) stable isotopes (delta N-15) has the potential to enhance our understanding of the ecosystem N cycle at large spatial scales. However, vegetation and soil delta N-15 patterns along climatic and edaphic gradients have not yet been fully understood, particularly for high-altitude ecosystems. Here we determined vegetation and soil delta N-15 in alpine grasslands on the Tibetan Plateau by conducting four consecutive regional surveys during 2001-2004, and then examined their relationships with both climatic and edaphic variables. Our results showed that both vegetation and soil N in Tibetan alpine grasslands were more N-15-enriched than global averages. Vegetation delta N-15 did not exhibit any significant trend along the temperature gradient, but decreased significantly with an increase in precipitation amount. In contrast, soil delta N-15 did not vary with either mean annual temperature or precipitation. Our results also indicated that soil delta N-15 exhibited a slight increase with clay content, but decreased with soil carbon:nitrogen ratio. A general linear model analysis revealed that variations in vegetation delta N-15 were dominantly determined by climatic variables, whereas soil delta N-15 was related to edaphic variables. These results provide clues for potential climatic and edaphic regulations on ecosystem N cycle in these high-altitude regions.</t>
  </si>
  <si>
    <t>10.1007/s10021-013-9664-1</t>
  </si>
  <si>
    <t>Schmidt, SN; Harvey, CJ; Vander Zanden, MJ</t>
  </si>
  <si>
    <t>Historical and contemporary trophic niche partitioning among Laurentian Great Lakes coregonines</t>
  </si>
  <si>
    <t>ciscoes; deepwater coregonines; food webs; Great Lakes; preserved specimens; stable isotopes; trophic niche</t>
  </si>
  <si>
    <t>STABLE-ISOTOPE ANALYSIS; FOOD-WEB STRUCTURE; NITROGEN ISOTOPES; FISH COMMUNITY; DELTA-C-13; SUPERIOR; DELTA-N-15; FRACTIONATION; RESTORATION; ECOLOGY</t>
  </si>
  <si>
    <t>Anthropogenic activities have significantly altered freshwater fish communities. Extirpations of deepwater coregonines (Coregonus spp.), a diverse group of fish species, have left vast areas of the Laurentian Great Lakes devoid of a deepwater fish community. Currently, fisheries managers are considering restoring populations by reintroducing deepwater coregonines from Lake Superior and Lake Nipigon. However, little is known about the historical ecology of deepwater coregonines, and species characterization has proved difficult. We used stable isotope analysis of museum-preserved and contemporary specimens to investigate if (1) coregonine species historically occupied distinct niches and (2) the pattern of trophic niche partitioning has changed over the last century. Across all lakes, individual species occupied distinct trophic niches, confirming that these species were ecologically distinct. Understanding trophic niche partitioning helps resolve uncertainty about distinctness of species within and across lakes and may provide a better ecological basis for rehabilitation of Great Lakes food webs and ecosystems.</t>
  </si>
  <si>
    <t>10.1890/09-0906.1</t>
  </si>
  <si>
    <t>Matsuzaki, SS; Kadoya, T</t>
  </si>
  <si>
    <t>Trends and stability of inland fishery resources in Japanese lakes: introduction of exotic piscivores as a driver</t>
  </si>
  <si>
    <t>capture fisheries; commercially important species; ecosystem goods; fishing efficiency; human stressors; invasions; lake size; macroecology; piscivorous fish; sustainability; top-down drivers</t>
  </si>
  <si>
    <t>FOOD-CHAIN LENGTH; ECOSYSTEM SERVICES; UNIT EFFORT; FUNCTIONAL DIVERSITY; SPECIES INVASIONS; LARGEMOUTH BASS; COMMUNITIES; LONG; WEB; BIODIVERSITY</t>
  </si>
  <si>
    <t>Although many studies have focused on marine resources, few studies have considered the resources of inland fisheries. Inland fishery resources are typically either monitored on the basis of catch data alone or are not assessed quantitatively at all, despite their social, economic, and ecological importance. Because freshwater ecosystems have been severely degraded by human activities, evaluating the trends and current status of fishery resources and assessing their drivers are urgent tasks. We compiled long-term data on the annual catch, fishing effort, and fishing power of 23 Japanese lakes, using two sets of government statistics that date back to the 1950s, which were previously neglected because of the large number of missing values. Using Bayesian state-space models, we examined the trajectories of the catch per unit effort (CPUE) of entire communities, considering changes in fishing effort and fishing power, and quantified both changes in the CPUE over the 10-, 20-, and 30-year periods preceding 2008 and the temporal detrended stability of the CPUE over the three periods. We also investigated the relationships among the CPUE changes and stability, anthropogenic drivers, and lake morphometric characteristics. The CPUE declined in 17, 19, and 15 of the 23 lakes over the past 10-, 20-, and 30-year periods, respectively. Our macroecological analyses demonstrate that the functional group richness of exotic piscivores was the most important predictor of changes in the CPUE among the drivers we considered. The stability of the CPUE was positively related to lake area; larger lakes have more stable CPUE. The functional group richness of exotic piscivores also negatively affected the stability of the CPUE. The effect of overfishing was considered to be small because both fishing effort and power declined in almost all of the lakes. Thus, our findings suggest that increasing exotic piscivore species may diminish the resources and their stability, particularly in Japanese lakes where native piscivores are rare. This might lead to a substantial decline in ecosystem services. Our study highlights the importance of assessing inland fishery resources in a comprehensive manner and the need for restoration strategies to mitigate the effects of exotic piscivores.</t>
  </si>
  <si>
    <t>10.1890/13-2182.1</t>
  </si>
  <si>
    <t>Witteveen, BH; Worthy, GAJ; Wynne, KM; Roth, JD</t>
  </si>
  <si>
    <t>Population structure of North Pacific humpback whales on their feeding grounds revealed by stable carbon and nitrogen isotope ratios</t>
  </si>
  <si>
    <t>Stable isotopes; Humpback whales; Population structure; North Pacific Ocean</t>
  </si>
  <si>
    <t>MEGAPTERA-NOVAEANGLIAE; TROPHIC RELATIONSHIPS; CALLORHINUS-URSINUS; MARINE MAMMALS; SITE FIDELITY; LATITUDE; PATTERNS; CLASSIFICATION; DELTA-N-15; DELTA-C-13</t>
  </si>
  <si>
    <t>Humpback whales Megaptera novaeangliae in the North Pacific Ocean are a migratory species known to have a complex population structure on both feeding and breeding grounds. We described the structure of this population using stable isotope analysis of skin samples (n = 1105) collected from free-ranging North Pacific humpback whales from 10 sampling regions in 2004 and 2005. We detected significant quadratic relationships between latitude and both delta C-13 (R-2 = 0.29) and delta N-15 (R-2 = 0.23) as well as between longitude and delta C-13 (R-2 = 0.43) and delta N-15 (R-2 = 0.16). A weak negative linear relationship was seen between increasing distance from shore and both delta C-13 (R-2 = 0.05) and delta N-15 (R-2 = 0.02). Sampling regions were significantly different for both delta C-13 (ANOVA, F-9.1094 = 136.4, p &lt; 0.001.) and delta N-15 (F-9.1095 = 71.5, p &lt; 0.001). We performed classification tree analyses using delta C-13 and delta N-15 as predictor variables to assign membership to sampling regions, Results of initial classification and ANOVAs supported combining the 10 sampling regions into 6 feeding groups. When applied to these feeding groups, the classification tree was able to predict 57% of group membership correctly, with accuracy rates for individual groups ranging from a low of 19% to a high of 78%. These results indicate that stable isotope analysis can be used to distinguish unique feeding aggregations of humpback whales within the North Pacific Ocean. Ultimately, isotopic characteristics of these aggregations can be applied to animals sampled on breeding grounds to assign them to a feeding aggregation, enhancing the ability to describe habitat linkages and migration patterns of humpback whales.</t>
  </si>
  <si>
    <t>10.3354/meps07900</t>
  </si>
  <si>
    <t>Hammerschlag-Peyer, CM; Layman, CA</t>
  </si>
  <si>
    <t>Intrapopulation variation in habitat use by two abundant coastal fish species</t>
  </si>
  <si>
    <t>Behavioral ecology; Body size; Fisheries; Food web; Individual specialization; Movement patterns; Optimal foraging theory; Stable isotopes</t>
  </si>
  <si>
    <t>SNAPPER PAGRUS-AURATUS; RELATIVE PREDATION RISK; HOME-RANGE SIZE; REEF FISH; BEHAVIORAL SYNDROMES; STABLE-ISOTOPES; SEAGRASS BEDS; SITE FIDELITY; NICHE WIDTH; SPACE USE</t>
  </si>
  <si>
    <t>Decline of marine fisheries has become one of the most severe global environmental crises. In typical fishery management efforts, fish populations are often treated as homogeneous units, thereby tacitly ignoring potential intrapopulation variation within taxonomic groupings. We used acoustic telemetry and stable isotope analysis to examine movement patterns of 20 gray snapper Lutjanus griseus and 20 schoolmaster snapper L. apodus in a Bahamian tidal creek and wetland. In particular, we examined (1) if intrapopulation variation in fish habitat use and movement patterns existed, (2) whether that variation was a function of body size, and (3) if there was evidence of specialization in habitat use among individuals. We found that movement varied substantially among individuals, but was independent of body size. Some individuals exhibited frequent, repeated, movements to certain areas of the study site. delta C-13 values of individual snapper were significantly related to movement metrics, suggesting that movement differences were related to specific patterns of foraging behavior. Our findings suggest the importance of incorporating intrapopulation niche variation-a source of variation that is often overlooked in traditional conservation and management strategies-into the study of coastal fish populations.</t>
  </si>
  <si>
    <t>10.3354/meps08714</t>
  </si>
  <si>
    <t>Keel, SG; Joos, F; Spahni, R; Saurer, M; Weigt, RB; Klesse, S</t>
  </si>
  <si>
    <t>Simulating oxygen isotope ratios in tree ring cellulose using a dynamic global vegetation model</t>
  </si>
  <si>
    <t>GENERAL-CIRCULATION MODEL; PROXY I INSIGHT; LEAF WATER; STABLE-ISOTOPES; STOMATAL CONDUCTANCE; RELATIVE-HUMIDITY; PAST-TEMPERATURE; SUGAR BIOMARKERS; LAND BIOSPHERE; USE EFFICIENCY</t>
  </si>
  <si>
    <t>Records of stable oxygen isotope ratios in tree rings are valuable tools to reconstruct past climatic conditions and investigate the response of trees to those conditions. So far the use of stable oxygen isotope signatures of tree rings has not been systematically evaluated in dynamic global vegetation models (DGVMs). DGVMs integrate many hydrological and physiological processes and their application could improve proxy-model comparisons and the interpretation of oxygen isotope records. Here we present an approach to simulate leaf water and stem cellulose delta O-18 of trees using the LPX-Bern DGVM (LPX-Bern). Our results lie within a few per mil of measured tree ring delta O-18 of 31 different forest stands mainly located in Europe. Temporal means over the last 5 decades as well as interannual variations for a subset of sites in Switzerland are captured. A sensitivity analysis reveals that relative humidity, temperature, and the water isotope boundary conditions have the largest influence on simulated stem cellulose delta O-18, followed by all climatic factors combined, whereas increasing atmospheric CO2 and nitrogen deposition exert no impact. We conclude that simulations with LPX-Bern are useful for investigating large-scale oxygen isotope patterns of tree ring cellulose to elucidate the importance of different environmental factors on isotope variations and therefore help to reduce uncertainties in the interpretation of delta O-18 of tree rings.</t>
  </si>
  <si>
    <t>10.5194/bg-13-3869-2016</t>
  </si>
  <si>
    <t>Niklitschek, EJ; Secor, DH; Toledo, P; Lafon, A; George-Nascimento, M</t>
  </si>
  <si>
    <t>Segregation of SE Pacific and SW Atlantic southern blue whiting stocks: integrating evidence from complementary otolith microchemistry and parasite assemblage approaches</t>
  </si>
  <si>
    <t>Micromesistius australis; Stock structure; Otolith microchemistry; Stable isotopes; Parasites; South America</t>
  </si>
  <si>
    <t>MICROMESISTIUS-AUSTRALIS; FALKLAND ISLANDS; MERLUCCIUS-AUSTRALIS; SOUTHWEST ATLANTIC; BIOLOGICAL TAGS; STABLE-ISOTOPES; MARINE FISH; POPULATIONS; CHEMISTRY; GROWTH</t>
  </si>
  <si>
    <t>Southern blue whiting Micromesistius australis support one of the largest industrial fisheries in South America. Two main spawning/nursery grounds are known: one in the SW Atlantic Ocean (SWA), southwest from the Falkland (Malvinas) Islands; and other in the SE Pacific Ocean (SEP), south from the Taitao Peninsula. Juveniles originating from both grounds are believed to mix during migration and/or in feeding areas in the Scotia Sea. Previous efforts to distinguish stocks in this area have yielded contradictory results between genetics and otolith microchemical analyses. In the present work we revisited the null hypothesis of a single stock occurring in the broader SWA-SEP region by comparing and integrating results from different approaches: trace metals (Ca, Sr, Ba, Mg, Mn) and stable isotopes (delta C-13, delta O-18) in otolith cores, and parasite assemblage compositions in adults from SWA and SEP spawning grounds. We found significant differences in Sr:Ca, delta C-13 and delta O-18 mean ratios between spawning grounds. The best trace element discriminant model classified 83% of the samples. Each stable isotope discriminated &gt;90% of the samples, while combining them into a bivariate discriminant model led to 100% classification success. Higher delta O-18 levels in the SWA samples agreed with lower mean temperature and higher ambient delta O-18 levels in that area. Parasite assemblage compositions also showed significant differences between grounds regarding the prevalence of Chondracanthus, Contracaecum, Hepatoxylon and Grillotia and the abundance of Diclidophora, Anisakis, Contracaecum, Hysterothylacium and Hepatoxylon. Parasite-based discriminant models supported 90-100% correct assignment of samples to capture location. Although preliminary due to limited sampling coverage, our results support the existence of at least two ecologically distinct sub-populations of southern blue whiting in South America. The joint use of otolith microchemistry and parasitological techniques showed to be a promising way to test hypotheses concerning ecological stocks in marine fishes.</t>
  </si>
  <si>
    <t>10.1007/s10641-010-9695-9</t>
  </si>
  <si>
    <t>Mills, N; Weber, MJ; Pierce, CL; Cashatt, D</t>
  </si>
  <si>
    <t>Factors influencing fish mercury concentrations in Iowa rivers</t>
  </si>
  <si>
    <t>Consumption advisories; Contaminant; Trophic position; Bioaccumulation; Ecoregion; Water chemistry</t>
  </si>
  <si>
    <t>TROPHIC POSITION; DIETARY METHYLMERCURY; FOOD-WEB; WATER; BIOACCUMULATION; ACCUMULATION; LAKE; METHYLATION; REDUCE; FOREST</t>
  </si>
  <si>
    <t>Fish mercury concentrations have received considerable attention due to human health implications. Fish mercury concentrations are variable within and among systems due to a suite of biotic and abiotic influences that vary among regions and are difficult to predict. Understanding factors associated with variability in fish mercury concentrations would help guide consumption advisories. Mercury concentrations in channel catfish (Ictalurus punctatus, n=205), flathead catfish (Pylodictis olivaris, n=123), northern pike (Esox lucius, n=60), smallmouth bass (Micropterus dolomieu, n=176), and walleye (Sander vitreus, n=176) were assessed in ten Iowa rivers and relationships with land use, water chemistry, and fish characteristics were explored. Mercury concentrations were generally low (mean among all species=0.17mg/kg, n=740) but higher in flathead catfish, northern pike, smallmouth bass, and walleye than channel catfish and were positively related to fish length, age, trophic position, and C-13 signatures. Phosphorus, sulfate, and percent open water and grassland were negatively related to fish mercury concentrations, whereas water hardness, nitrogen-ammonia, Human Threat Index, and percent wetland and forest were positively related to fish mercury concentrations. Fish collected from the Paleozoic Plateau ecoregion in northeast Iowa had higher mercury concentrations than other ecoregions in Iowa. Combined, these factors explained 70% of the variation in fish mercury concentrations. This study provides a comprehensive analysis of abiotic and biotic factors influencing fish mercury concentrations in lotic ecosystems at the individual and system scale that will help guide fish consumption advisories.</t>
  </si>
  <si>
    <t>10.1007/s10646-019-02017-1</t>
  </si>
  <si>
    <t>Mehner, T; Attermeyer, K; Brauns, M; Brothers, S; Diekmann, J; Gaedke, U; Grossart, HP; Kohler, J; Lischke, B; Meyer, N; Scharnweber, K; Syvaranta, J; Vanni, MJ; Hilt, S</t>
  </si>
  <si>
    <t>Weak Response of Animal Allochthony and Production to Enhanced Supply of Terrestrial Leaf Litter in Nutrient-Rich Lakes</t>
  </si>
  <si>
    <t>stable isotopes; terrestrial subsidy; carbon budget; ecological efficiency; benthic food web; pelagic food web</t>
  </si>
  <si>
    <t>ORGANIC-CARBON; FOOD WEBS; SECONDARY PRODUCTION; STABLE-ISOTOPES; C-13 ADDITION; ZOOPLANKTON; SUPPORT; SUBSIDIES; METABOLISM; RESOURCE</t>
  </si>
  <si>
    <t>Ecosystems are generally linked via fluxes of nutrients and energy across their boundaries. For example, freshwater ecosystems in temperate regions may receive significant inputs of terrestrially derived carbon via autumnal leaf litter. This terrestrial particulate organic carbon (POC) is hypothesized to subsidize animal production in lakes, but direct evidence is still lacking. We divided two small eutrophic lakes each into two sections and added isotopically distinct maize litter to the treatment sections to simulate increased terrestrial POC inputs via leaf litter in autumn. We quantified the reliance of aquatic consumers on terrestrial resources (allochthony) in the year subsequent to POC additions by applying mixing models of stable isotopes. We also estimated lake-wide carbon (C) balances to calculate the C flow to the production of the major aquatic consumer groups: benthic macroinvertebrates, crustacean zooplankton, and fish. The sum of secondary production of crustaceans and benthic macroinvertebrates supported by terrestrial POC was higher in the treatment sections of both lakes. In contrast, total secondary and tertiary production (supported by both autochthonous and allochthonous C) was higher in the reference than in the treatment sections of both lakes. Average aquatic consumer allochthony per lake section was 27-40%, although terrestrial POC contributed less than about 10% to total organic C supply to the lakes. The production of aquatic consumers incorporated less than 5% of the total organic C supply in both lakes, indicating a low ecological efficiency. We suggest that the consumption of terrestrial POC by aquatic consumers facilitates a strong coupling with the terrestrial environment. However, the high autochthonous production and the large pool of autochthonous detritus in these nutrient-rich lakes make terrestrial POC quantitatively unimportant for the C flows within food webs.</t>
  </si>
  <si>
    <t>10.1007/s10021-015-9933-2</t>
  </si>
  <si>
    <t>Stasko, AD; Johnston, TA; Gunn, JM</t>
  </si>
  <si>
    <t>Effects of water clarity and other environmental factors on trophic niches of two sympatric piscivores</t>
  </si>
  <si>
    <t>foraging; niche overlap; stable isotopes; walleye; water clarity</t>
  </si>
  <si>
    <t>WALLEYE SANDER-VITREUS; SMALLMOUTH BASS; ORGANIC-CARBON; MICROPTERUS-DOLOMIEU; STABLE-ISOTOPES; AMBIENT LIGHT; ICE-COVER; TURBIDITY; PREY; LAKES</t>
  </si>
  <si>
    <t>Water clarity can have a profound influence on aquatic ecosystem structure and processes via its effects on physical habitat (e.g., thermal regime, macrophyte density) and behavioural responses of biota (e.g., predator avoidance, reaction distances, foraging efficiency). Changes in foraging efficiencies under varying water clarity conditions are well documented for many freshwater piscivores in laboratory studies, but the influence of visual foraging conditions on interspecific trophic dynamics is poorly understood in wild populations, especially within water clarity ranges that are realistic for north-temperate boreal lakes. Here, we used stable isotopes of nitrogen (N-15/N-14) and carbon (C-13/C-12) in fish muscle tissue to investigate how resource partitioning between two sympatric visual piscivores is related to water clarity and other habitat variables in 28 small (100-200ha) Boreal Shield lakes. One of the species is adapted for foraging in low subsurface illumination (walleye, Sander vitreus) and the other in high subsurface illumination (smallmouth bass, Micropterus dolomieu). Trophic niche dimensions of the dark-adapted predator did not respond significantly to differences in water clarity. In contrast, total isotopic niche space of the light-adapted predator decreased significantly with increasing water clarity through greater use of pelagic resources and a narrower range of trophic levels, although these relationships were weak. Niche overlap ranged from 0 to 65%, but was not significantly related to water clarity. Rather, indices of prey availability appeared to be much stronger predictors of trophic interactions. Both species occupied more similar food-web positions when yellow perch (Perca flavescens) abundance was higher, and had more similar niche size and trophic evenness with decreasing prey fish species richness. Results indicate that the trophic ecology of predators adapted to foraging in low light conditions is less influenced by water clarity than that of predators adapted to foraging in high light conditions. However, prey availability, rather than the environmental conditions in which foraging occurs, may be a more important driver of resource partitioning among generalists even when light conditions favour one species' foraging strategy over another.</t>
  </si>
  <si>
    <t>10.1111/fwb.12581</t>
  </si>
  <si>
    <t>de Rouw, A; Soulileuth, B; Huon, S</t>
  </si>
  <si>
    <t>Stable carbon isotope ratios in soil and vegetation shift with cultivation practices (Northern Laos)</t>
  </si>
  <si>
    <t>Soil organic matter; C-4 CropS; C-4 weeds; Slash-and-burn; Coppice; Particle-size fractions</t>
  </si>
  <si>
    <t>DELTA-C-13 VALUES; ORGANIC-CARBON; TEMPORAL VARIATIONS; C-4 PHOTOSYNTHESIS; STEEP SLOPES; BLACK CARBON; FOREST; DYNAMICS; NITROGEN; PLANTS</t>
  </si>
  <si>
    <t>Stable carbon isotopes (delta C-13) can serve as a natural tracer of how plants contribute to soil organic pools (SUM). The present study investigates whether a better knowledge of the vegetation could help to account more accurately for changes in SOM. Secondly it aims to identify environmental drivers for changes in the delta C-13 of SOM. The study site was a small catchment where the initial forest had been cleared for agriculture in the 1960's. The delta C-13 was determined in the surface vegetation and in SOM across 59 survey plots comprising fields and fallow land, 22 environmental and land use variables were also determined in the plots. Carbon isotope ratios in the C-3 pathway species (n = 209) ranged from -37.7 to -26.1 parts per thousand, in the C-4 species (n = 29) from -15.2 to -10.3 parts per thousand, in SUM from -28.1 to -22.6 parts per thousand. Cultivation of C-4 crops did not affect the delta C-13 of SOM suggesting that maize and Jobs' tears residues supplied little C-4 material to SOM. Plots covered by a mix of C-3 and C-4 weeds had significant higher delta C-13 values in SUM than plots with only C-3 plants, suggesting that C-4 weeds more than C-4 crops contributed to SOM. Accounting only for the perennials in the plot population gave strongest associations between SUM and vegetation. Although C-4 annual crops and C-4 annual weeds often cover the soil extensively during cultivation years, their biomass contribution to SUM is therefore much less than perennial C-4 plants occupying the site for longer periods. Soil delta C-13 increased significantly with short fallow periods in between cultivation years which can be explained by our finding that very short fallow periods were associated with the invasion of C-4 weeds. Competition with C-4 weeds in turn pushed the farmers to cultivate hardier crops like maize and Jobs tears, replacing rain fed rice. (C) 2014 Elsevier B.V. All rights reserved.</t>
  </si>
  <si>
    <t>10.1016/j.agee.2014.11.017</t>
  </si>
  <si>
    <t>Marchand, W; Girardin, MP; Hartmann, H; Depardieu, C; Isabel, N; Gauthier, S; Boucher, E; Bergeron, Y</t>
  </si>
  <si>
    <t>Strong overestimation of water-use efficiency responses to rising CO(2)in tree-ring studies</t>
  </si>
  <si>
    <t>black spruce; boreal forest; Canada; carbon isotope ratios; jack pine</t>
  </si>
  <si>
    <t>CARBON-ISOTOPE DISCRIMINATION; BLACK SPRUCE; ATMOSPHERIC CO2; CLIMATE-CHANGE; BOREAL FOREST; JACK PINE; NITROGEN DEPOSITION; EUROPEAN FORESTS; STABLE-ISOTOPES; DROUGHT STRESS</t>
  </si>
  <si>
    <t>The carbon isotope ratio (delta C-13) in tree rings is commonly used to derive estimates of the assimilation-to-stomatal conductance rate of trees, that is, intrinsic water-use efficiency (iWUE). Recent studies have observed increased iWUE in response to rising atmospheric CO(2)concentrations (C-a), in many different species, genera and biomes. However, increasing rates of iWUE vary widely from one study to another, likely because numerous covarying factors are involved. Here, we quantified changes in iWUE of two widely distributed boreal conifers using tree samples from a forest inventory network that were collected across a wide range of growing conditions (assessed using the site index, SI), developmental stages and stand histories. Using tree-ring isotopes analysis, we assessed the magnitude of increase in iWUE after accounting for the effects of tree size, stand age, nitrogen deposition, climate and SI. We also estimated how growth conditions have modulated tree physiological responses to risingC(a). We found that increases in tree size and stand age greatly influenced iWUE. The effect ofC(a)on iWUE was strongly reduced after accounting for these two variables. iWUE increased in response toC(a), mostly in trees growing on fertile stands, whereas iWUE remained almost unchanged on poor sites. Our results suggest that past studies could have overestimated the CO(2)effect on iWUE, potentially leading to biased inferences about the future net carbon balance of the boreal forest. We also observed that this CO(2)effect is weakening, which could affect the future capacity of trees to resist and recover from drought episodes.</t>
  </si>
  <si>
    <t>10.1111/gcb.15166</t>
  </si>
  <si>
    <t>Cook, BD; Bunn, SE; Hughes, JM</t>
  </si>
  <si>
    <t>Molecular genetic and stable isotope signatures reveal complementary patterns of population connectivity in the regionally vulnerable southern pygmy perch (Nannoperca australis)</t>
  </si>
  <si>
    <t>drought; genetic diversity; microsatellites; mitochondrial DNA; Nannoperca australis; natural abundance stable isotopes; stream restoration</t>
  </si>
  <si>
    <t>POLLOCK THERAGRA-CHALCOGRAMMA; FRESH-WATER FISH; MITOCHONDRIAL-DNA; MICROSATELLITE ANALYSIS; INBREEDING DEPRESSION; RESTRICTED MOVEMENT; HABITAT RESTORATION; TROUT POPULATIONS; COMPUTER-PROGRAM; EXTINCTION RISK</t>
  </si>
  <si>
    <t>Population connectivity (and isolation) and genetic diversity in declining species are important considerations for species recovery and habitat restoration programs. For lotic species, stream confluences with major rivers may be a determinant of population isolation among streams, although small-scale dynamics in population connectivity within streams may also represent attributes of population functioning (e.g. resilience, recolonisation) that are important for species recovery programs. In this study, we examined the importance of among- and within-stream patterns of population connectivity and genetic diversity in the regionally vulnerable southern pygmy perch (Nannoperca australis) in a series of degraded streams in south east Australia in which population declines have been reported. We used molecular markers (mtDNA and micros atellites) to examine among-stream patterns of population connectivity and genetic diversity, and molecular markers and stable isotopic signatures of nitrogen and carbon to examine within-stream connectivity in the species. Results revealed that populations of N. australis are isolated among streams, and that streams therefore represent functional population units for species recovery and habitat restoration programs. Within-streams, local populations were semi-discrete and connected by various degrees of dispersal, with the degree of connectivity differing between the streams. Genetic bottlenecks were not detected, although the effective population size of N. australis in the more fragmented stream may be lower than in the stream where greater population connectivity was found. Protecting and augmenting refugial habitat of extant populations and restoring corridor functions between refugia within streams will generate the greatest biological response at within-stream scales. (c) 2007 Elsevier Ltd. All rights reserved.</t>
  </si>
  <si>
    <t>10.1016/j.biocon.2007.04.002</t>
  </si>
  <si>
    <t>van Leeuwen, JP; Lair, GJ; Gisladottir, G; Sanden, T; Bloem, J; Hemerik, L; de Ruiter, PC</t>
  </si>
  <si>
    <t>Soil food web assembly and vegetation development in a glacial chronosequence in Iceland</t>
  </si>
  <si>
    <t>Glacial succession; Soil food web structure; Vegetation development; Ecosystem functioning; Iceland</t>
  </si>
  <si>
    <t>PRIMARY SUCCESSION; SKAFTAFELLSJOKULL GLACIER; ECOSYSTEM DEVELOPMENT; COMMUNITY STRUCTURE; DIVERSITY; MICROORGANISMS; ASSOCIATION; COMPLEXITY; SELECTION; DYNAMICS</t>
  </si>
  <si>
    <t>Worldwide human activities threaten soil quality in terms of the soil's ability to deliver ecosystem services. This ongoing process of land degradation asks for effective strategies of soil protection. In this context, it is important to understand processes that build up and regenerate soil. The present study investigated how the soil ecosystem, including soil organisms, vegetation and soil ecological processes, develops during the process of soil formation in a chronosequence in a glacier forefield in Iceland. We hypothesised that along successional age we see increases in nutrient content, vegetation cover, and plant species richness linked to increases in soil food webs biomass and complexity. In line with our expectations all measured pools of carbon and nitrogen, and vegetation cover increased with age in the glacial forefield, but plant species richness levelled off after 30 years. Soil organisms generally increased in biomass with successional age, although some of the groups of soil organisms peaked at an intermediate successional stage. In contrast to our expectations, some of the calculated food web complexity metrics such as the number of trophic groups and trophic chain length did not increase linearly, but showed an intermediate peak or even decreased with successional age. However, plant cover and pools of carbon and nitrogen still increased after 120 years. From these results we conclude that soil ecosystem development takes more than a century under Icelandic climatic conditions to fully develop in terms of vegetation succession, food web structure and biogeochemical cycling.</t>
  </si>
  <si>
    <t>10.1016/j.pedobi.2018.08.002</t>
  </si>
  <si>
    <t>Grieve, A; Lau, DCP</t>
  </si>
  <si>
    <t>Do autochthonous resources enhance trophic transfer of allochthonous organic matter to aquatic consumers, or vice versa?</t>
  </si>
  <si>
    <t>algae; docosahexaenoic acid (DHA); eicosapentaenoic acid (EPA); fatty acids; food quality; food webs; growth; invertebrates; lakes; stable isotopes</t>
  </si>
  <si>
    <t>FATTY-ACID-COMPOSITION; GAMMARUS-PULEX L; LAKE ECOSYSTEMS; BENTHIC INVERTEBRATES; TERRESTRIAL SUPPORT; DAPHNIA-GALEATA; BOREAL LAKES; FOOD WEBS; CARBON; ZOOPLANKTON</t>
  </si>
  <si>
    <t>Autochthonous and allochthonous resources are known to differ in nutritional quality and trophic support for aquatic food webs, but it is less clear how these high- and low-quality resources interact to affect trophic transfer and consumer production. We conducted 30-d feeding trials to investigate the resource assimilation, somatic growth, and fatty-acid (FA) composition of the widespread benthic generalist isopod Asellus aquatints, in response to different ratios of low-quality allochthonous (leaf litter) to high-quality autochthonous diets (algae). Wet mass growth of Asellus was lowest when fed 100% leaf litter or algae (0.53 +/- 0.46 and 0.55 +/- 0.57 mg center dot g(-1)center dot d(-1), respectively; mean +/- SE) and highest (4.95 +/- 0.51 mg center dot g(-1)center dot d(-1)) with a diet of 90:10 leaf litter:algae ratio. Asellus tended to grow slower with increasing dietary algal proportions (10-100%), yet stable isotopes and Bayesian mixing models revealed consistently high algal assimilation (&gt;= 94%) by Asellus. Therefore, among the mixed-diet treatments, Asellus biomass production using algal resources was optimized when terrestrial organic matter (OM) dominated over algae. Eicosapentaenoic acid (EPA):total FA, EPA:omega-3 FA, and arachidonic acid:total FA declined, but docosahexaenoic acid (DHA):omega-3 FA increased, with increasing growth of Asellus. Tissue EPA concentrations of Asellus were similar among treatments, so reductions in EPA:omega-3 and EPA:total FA were due to increases in DHA concentration. Overall, our results suggest synergistic effects between autochthonous and allochthonous resources on Asellus growth and that allochthonous OM particularly facilitates the trophic transfer of autochthonous resources. Asellus preferentially retains DHA at low algal availability. This may improve its neural tissue development and so its success in accessing algae. The growth and FA responses of the widespread Asellus can enhance resource and DHA transfer to visual predators that have greater DHA demands, particularly when brownification of boreal freshwaters likely intensifies upon global climate change.</t>
  </si>
  <si>
    <t>e02307</t>
  </si>
  <si>
    <t>10.1002/ecs2.2307</t>
  </si>
  <si>
    <t>Silva-Costa, A; Bugoni, L</t>
  </si>
  <si>
    <t>Feeding ecology of Kelp Gulls (Larus dominicanus) in marine and limnetic environments</t>
  </si>
  <si>
    <t>Diet; Pellets; Stable isotopes; Freshwater environment; Seabirds</t>
  </si>
  <si>
    <t>KING GEORGE ISLAND; STABLE-ISOTOPES; FORAGING EFFICIENCY; FISH-TISSUES; GREAT SKUAS; FRESH-WATER; DIET; SEABIRDS; PELLETS; FOOD</t>
  </si>
  <si>
    <t>The diet of the Kelp Gull (Larus dominicanus) was investigated at the northern limit of its distribution along the South American Atlantic coast. We used two complementary methods, pellet analysis and stable isotope analysis (SIA), to describe and compare Kelp Gull feeding ecology in freshwater and marine environments. The assimilated diet over two different time scales was investigated via SIA of plasma and red blood cells, blood components with different turnover rates. Fish composed the bulk of the diet of Kelp Gulls in both marine (White Croaker Micropogonias furnieri and Banded Croaker Paralonchurus brasiliensis) and limnetic areas (Armoured Catfish Loricariidae and La Plata Croaker Pachyurus bonariensis), despite the importance of benthic prey from the intertidal zone in samples collected from the marine environment (Wedge Clam Donax hanleyanus and the Yellow Clam Mesodesma mactroides). The fish consumed by the gulls were common discards from fisheries in both environments, and marine bivalves were found at a high density at the marine beach. Diet varied between the different time scales analysed. Conventional diet data generally agreed with stable isotope model estimates, emphasising the importance of using complementary approaches in dietary studies.</t>
  </si>
  <si>
    <t>10.1007/s10452-013-9436-1</t>
  </si>
  <si>
    <t>Pompermaier, VT; Kisaka, TB; Ribeiro, JF; Nardoto, GB</t>
  </si>
  <si>
    <t>Impact of exotic pastures on epigeic arthropod diversity and contribution of native and exotic plant sources to their diet in the central Brazilian savanna</t>
  </si>
  <si>
    <t>Neotropical savannas; Exotic grass; Diversity loss; Invertebrates; Stable isotopes; Mixing model</t>
  </si>
  <si>
    <t>SOIL ANIMAL DIVERSITY; MACROFAUNAL COMMUNITIES; LAND-USE; BIODIVERSITY; EXTRAPOLATION; RAREFACTION; CARBON; RESPONSES; HABITATS; PATTERNS</t>
  </si>
  <si>
    <t>Much of the Brazilian savanna (known locally as the Cerrado) has been converted to pasture of African C4 grasses (exotic pastures) for livestock production. The resulting habitat simplification and decreased resource availability may be significant factors underlying the impact on some soil arthropod groups, although it is still unclear how the different soil groups respond to this impact in the Brazilian savanna. We sampled epigeic arthropods in exotic pastures, adjacent woodland savanna fragments (cerrado sensu stricto), and savanna-pasture boundaries to investigate the impact of pasture on their diversity and activity, identifying the arthropods that contribute most to the between-habitat dissimilarities and those most vulnerable to pasture implementation. We also estimated the contribution of native and exotic plants to the diets of frequently observed arthropods in each habitat using carbon and nitrogen stable isotope analysis. We found lower richness and diversity of epigeic arthropods in pastures, where we also observed decreased activity of predator groups, whereas the activity of Symphypleona and Poduromorpha springtails increased. Springtail orders and Myrmicinae morphospecies were the main contributors to the between-habitat dissimilarities. Staphylinidae, Ptiliidae, and Zodariidae morphospecies seem to be vulnerable to exotic pastures. Our isotopic models show that woodland savanna arthropods feed preferentially on native C3-plant sources, while also showing signs of exotic C4 sources in their diet. These outcomes indicate that foraging or dispersal events may occur between habitats since arthropods captured in pastures also show signs of native sources in their diet.</t>
  </si>
  <si>
    <t>10.1016/j.pedobi.2019.150607</t>
  </si>
  <si>
    <t>Newberry, SL; Nelson, DB; Kahmen, A</t>
  </si>
  <si>
    <t>Cryogenic vacuum artifacts do not affect plant water-uptake studies using stable isotope analysis</t>
  </si>
  <si>
    <t>cryogenic distillation; ecohydrology; equilibrium isotope exchange; hydrogen isotopes; oxygen isotopes; plant water sourcing; soil water; xylem water</t>
  </si>
  <si>
    <t>SOIL-WATER; HYDROGEN; EXTRACTION; SEPARATION; RATIO; EQUILIBRATION; STRATEGIES; STREAMS; VALUES; OXYGEN</t>
  </si>
  <si>
    <t>Water movement through the soil-plant-atmosphere continuum can be tracked through its hydrogen and oxygen isotopic composition. How the isotopic composition of water evolves as it moves through this continuum provides critical information on ecosystem hydrology and climate change. Cryogenic vacuum extraction is the most applied method to extract waters from soil and plant material for such studies. However, recent experiments where oven dried soils were spiked with a reference water suggest potential for these techniques to bias results. We present results from a greenhouse-based plant water uptake and cryogenic vacuum distillation experiment using Salix viminalis cuttings. We tested the capacity for cryogenic vacuum extraction to recover irrigation water and the plant-available water pool from 4 soils that were subject to continuous irrigation as would occur in nature. Results show that H-2 and O-18 values of extracted soil waters reflect those of irrigation water, but with some influence of evaporation that varied with differences in soil humic and clay content. This suggests that isotope effects observed in laboratory experiments with oven-dried soils may not be relevant under natural conditions. Cryogenic vacuum extraction also recovered xylem water H-2 values that matched the H-2 values of extracted soil water but revealed small, consistent offsets between xylem and soil water O-18 values of 0.84 +/- 1.13 parts per thousand. Although these effects may not significantly bias water isotope sourcing applications, they do result in large extrapolation errors when estimating original source water isotope composition from extracted xylem waters using the back extrapolation to the global meteoric water line method.</t>
  </si>
  <si>
    <t>e1892</t>
  </si>
  <si>
    <t>10.1002/eco.1892</t>
  </si>
  <si>
    <t>Perga, ME; Gerdeaux, D</t>
  </si>
  <si>
    <t>Seasonal variability in the delta C-13 and delta N-15 values of the zooplankton taxa in two alpine lakes</t>
  </si>
  <si>
    <t>pelagic baseline; Daphnia; Copepods; Bythotrephes; Leptodora; food web; zooplankton; delta C-13; delta N-15; seasonal changes; trophic position</t>
  </si>
  <si>
    <t>CARBON-ISOTOPE FRACTIONATION; STABLE NITROGEN ISOTOPES; FOOD-WEB; BENTHIC PATHWAYS; EUTROPHICATION; ENRICHMENT; MARINE; N-15; PHYTOPLANKTON; RATIOS</t>
  </si>
  <si>
    <t>delta C-13 and delta N-15 values in crustacean taxa were measured once a month in two alpine lakes over a 2-year period in order to address seasonal changes in the isotope composition of the zooplankton. Daphnia sp. was used as the 'pelagic baseline' (i.e. primary sources fueling the pelagic food web), as it exhibited the lowest delta C-13 and delta N-15 values among the crustacean taxa. Seasonal changes resulting from modifications in the trophic position of other crustacean taxa were assessed by comparing their seasonal delta C-13 and delta N-15 values to those of Daphnia sp. Baseline modifications were addressed by relating them to physical, chemical and biological changes in the epilimnion. In Lake Geneva, all the crustacean taxa rely on the same carbon source and occupy relative trophic positions that display no major changes over time. In contrast, in Lake Annecy, the crustacean food web was found to be much more complex. The crustacean taxa apparently obtained their carbon from differing primary sources and their relative trophic positions changed during the year. This study raises the question of the ambiguity of the pelagic baseline concept when applied to zooplankton trophic studies. (c) 2006 Elsevier SAS. All rights reserved.</t>
  </si>
  <si>
    <t>10.1016/j.actao.2006.01.007</t>
  </si>
  <si>
    <t>McIntyre, T; Ansorge, IJ; Bornemann, H; Plotz, J; Tosh, CA; Bester, MN</t>
  </si>
  <si>
    <t>Elephant seal dive behaviour is influenced by ocean temperature: implications for climate change impacts on an ocean predator</t>
  </si>
  <si>
    <t>Climate change; Southern elephant seals; Foraging ecology; Marine mammals; Bio-logging; Marion Island</t>
  </si>
  <si>
    <t>PRINCE EDWARD ISLANDS; KING-GEORGE ISLAND; MIROUNGA-LEONINA; SOUTHERN-OCEAN; DIVING BEHAVIOR; FORAGING STRATEGIES; WATER TEMPERATURE; STABLE-ISOTOPES; ADULT MALE; DURATION</t>
  </si>
  <si>
    <t>The potential effects of ocean warming on marine predators are largely unknown, though the impact on the distribution of prey in vertical space may have far reaching impacts on diving predators such as southern elephant seals. We used data from satellite-tracked southern elephant seals from Marion Island to investigate the relationship between their dive characteristics (dive depths, dive durations and time-at-depth index values) and environmental variables (temperature at depth, depth of maximum temperature below 100 m, frontal zone and bathymetry) as well as other demographic and behavioural variables (migration stage, age-class, track day and vertical diel strategy). While other variables, such as bathymetry and vertical diel strategy also influenced dive depth, our results consistently indicated a significant influence of temperature at depth on dive depths. This relationship was positive for all groups of animals, indicating that seals dived to deeper depths when foraging in warmer waters. Female seals adjusted their dive depths proportionally more than males in warmer water. Dive durations were also influenced by temperature at depth, though to a lesser extent. Results from time-at-depth indices showed that both male and female seals spent less time at targeted dive depths in warmer water, and were presumably less successful foragers when diving in warmer water. Continued warming of the Southern Ocean may result in the distribution of prey for southern elephant seals shifting either poleward and/or to increasing depths. Marion Island elephant seals are expected to adapt their ranging and diving behaviour accordingly, though such changes may result in greater physiological costs associated with foraging.</t>
  </si>
  <si>
    <t>10.3354/meps09383</t>
  </si>
  <si>
    <t>Roslin, T; Varkonyi, G; Koponen, M; Vikberg, V; Nieminen, M</t>
  </si>
  <si>
    <t>Species-area relationships across four trophic levels - decreasing island size truncates food chains</t>
  </si>
  <si>
    <t>ECOSYSTEM SIZE; WEB STRUCTURE; HABITAT FRAGMENTATION; SPATIAL DYNAMICS; RICHNESS; LENGTH; DETERMINES; LANDSCAPE; INSECTS; HETEROGENEITY</t>
  </si>
  <si>
    <t>That larger areas will typically host more diverse ecological assemblages than small ones has been regarded as one of the few fundamental laws' in ecology. Yet, area may affect not only species diversity, but also the trophic structure of the local ecological assemblage. In this context, recent theory on trophic island biogeography offers two clear-cut predictions: that the slope of the species-area relationship should increase with trophic rank, and that food chain length (i.e. the number of trophic levels) should increase with area. These predictions have rarely been verified in terrestrial systems. To offer a stringent test of key theory, we focused on local food chains consisting of trophic specialists: plants, lepidopteran herbivores, and their primary and secondary parasitoids. For each of these four trophic levels, we surveyed species richness across a set of 20 off-shore continental islands spanning a hundred-fold range in size. We then tested three specific hypotheses: that species richness is affected by island size, that the slope of the species-area curve is related to trophic rank, and that such differences in slope translate into variation in food chain length with island size. Consistent with these predictions, estimates of the species-area slope steepened from plants through herbivores and primary parasitoids to secondary parasitoids. As a result of the elevated sensitivity of top consumers to island size, food chain length decreased from large to small islands. Since island size did not detectably affect the ratio between generalists and specialists among either herbivores (polyphages vs oligophages) or parasitoids (idiobionts vs koinobionts), the patterns observed seemed more reflective of changes in the overall number of nodes and levels in local food webs than of changes in their linking structure. Overall, our results support the trophic-level hypothesis of island biogeography. Per extension, they suggest that landscape modification may imperil food web integrity and vital biotic interactions.</t>
  </si>
  <si>
    <t>10.1111/j.1600-0587.2013.00218.x</t>
  </si>
  <si>
    <t>Navarro, AB; Magioli, M; Bogoni, JA; Silveira, LF; Moreira, MZ; Alexandrino, ER; da Luz, DTA; Silva, WR; Pizo, MA; de Oliveira, VC; Ferraz, KMPMD</t>
  </si>
  <si>
    <t>Isotopic niches of tropical birds reduced by anthropogenic impacts: a 100-year perspective</t>
  </si>
  <si>
    <t>delta C-13; delta N-15; food resources; land use changes; stable isotopes; trophic ecology</t>
  </si>
  <si>
    <t>BRAZILIAN ATLANTIC FOREST; STABLE-ISOTOPES; DISCRIMINATION FACTORS; LAND-USE; DIET; POPULATION; NITROGEN; CARBON; STATE; BIODIVERSITY</t>
  </si>
  <si>
    <t>The intensification of land-use changes in tropical forests during the 20th century, mainly caused by deforestation for agricultural uses, had an overwhelming influence on bird assemblages. However, how these historical anthropogenic changes have impacted the habitat use and diet of tropical birds is poorly known. Stable isotope analysis (delta C-13 and delta N-15) can be useful in this regard since it provides information not only on the habitat and food resource use but also insights on the dietary niche of species. Here, we aimed to evaluate whether centenary anthropogenic impacts, mainly caused by changes in landscape composition, have affected the resource and habitat use and isotopic niche width of Neotropical birds in a region that comprises two biodiversity hotspots - the Atlantic Forest and Cerrado in southeastern Brazil. We found that the niche width of all bird guilds (frugivore, granivore, insectivore, nectarivore and omnivore) was largely reduced (28-70%) from the 20th century until recently. This niche width reduction was likely associated with historical anthropogenic impacts (e.g. fragmentation, forest loss and change in agricultural practices), which are responsible for the decrease in the availability of habitat and food resources. Moreover, the mean values of delta N-15 decreased over the years in all bird guilds, which might be attributed to the expansion of agricultural areas and the increase in the use of synthetic nitrogen-based fertilizers. All the analyzed species, even though some of them are diet and habitat generalists, were strongly influenced by centenary anthropogenic actions. Our results show the consequences of human-induced changes in land use on the diet and habitat use of tropical birds that persist in fragmented landscapes, which might compromise their long-term survival and provide useful information to the conservation strategies of bird assemblages in modern landscapes.</t>
  </si>
  <si>
    <t>e08386</t>
  </si>
  <si>
    <t>10.1111/oik.08386</t>
  </si>
  <si>
    <t>Pascual-Rico, R; Sanchez-Zapata, JA; Navarro, J; Eguia, S; Anadon, JD; Botella, F</t>
  </si>
  <si>
    <t>Ecological niche overlap between co-occurring native and exotic ungulates: insights for a conservation conflict</t>
  </si>
  <si>
    <t>Ammotragus; Assisted colonization; Capra; Competition; Environmental model; Stable isotopes</t>
  </si>
  <si>
    <t>IBEX CAPRA-PYRENAICA; ASSISTED COLONIZATION; AMMOTRAGUS-LERVIA; SPECIES DISTRIBUTIONS; STABLE-ISOTOPES; RED DEER; IMPACT; MECHANISMS; THREAT; CATTLE</t>
  </si>
  <si>
    <t>Exploitative competition implies an indirect interaction in which a resource exploited by one species is not available for another; e.g., when species share diet or habitat. It plays a key role in community structure and dynamics. Here we evaluated the niche overlap between the exotic aoudad (Ammotragus lervia) and the native Iberian ibex (Capra pyrenaica) where the species coexist in the Iberian Peninsula, along two main dimensions, the trophic niche and the environmental niche. Then we assessed the spatial segregation of the species. We expected that if a niche overlap was high, competition could drive spatial segregation to allow co-existence. We analyzed their trophic niche overlap by using the content of stable isotopes delta N-15 and delta C-13 in the hair of both species. To establish environmental niche competition, we compared the similarity in their habitat, estimated by environmental niche models based on the fine-scale presence records of each species obtained from field surveys. To test if spatial segregation occurred, we analyzed both species' co-occurrence. Our results indicated that both species shared a similar trophic niche measured by stable isotopes, both species showed a similar distribution of suitable areas, and that both species' environmental niches were more similar than expected. Finally, a negative spatial association was found between the aoudad and Iberian ibex. These results reveal that both species are ecologically similar and suggest that fine-scale spatial segregation might have favoured their co-existence in semiarid Mediterranean mountains. Our results show that integrating information on trophic and environmental niche overlap with fine scale spatial distribution might improve the study of competitive interactions among wild ungulates.</t>
  </si>
  <si>
    <t>10.1007/s10530-020-02265-x</t>
  </si>
  <si>
    <t>Piovia-Scott, J; Spiller, DA; Takimoto, G; Yang, LH; Wright, AN; Schoener, TW</t>
  </si>
  <si>
    <t>The effect of chronic seaweed subsidies on herbivory: plant-mediated fertilization pathway overshadows lizard-mediated predator pathways</t>
  </si>
  <si>
    <t>Resource subsidy; Detritus; Stable isotope analysis; Path analysis; Aboveground-belowground linkage</t>
  </si>
  <si>
    <t>FOOD WEBS; INTRODUCED PREDATORS; TERRESTRIAL PREY; TROPHIC CASCADES; AQUATIC INSECTS; NITROGEN; ISLANDS; DISTURBANCE; DETERMINES; ECOSYSTEM</t>
  </si>
  <si>
    <t>Flows of energy and materials link ecosystems worldwide and have important consequences for the structure of ecological communities. While these resource subsidies typically enter recipient food webs through multiple channels, most previous studies focussed on a single pathway of resource input. We used path analysis to evaluate multiple pathways connecting chronic marine resource inputs (in the form of seaweed deposits) and herbivory in a shoreline terrestrial ecosystem. We found statistical support for a fertilization effect (seaweed increased foliar nitrogen content, leading to greater herbivory) and a lizard numerical response effect (seaweed increased lizard densities, leading to reduced herbivory), but not for a lizard diet-shift effect (seaweed increased the proportion of marine-derived prey in lizard diets, but lizard diet was not strongly associated with herbivory). Greater seaweed abundance was associated with greater herbivory, and the fertilization effect was larger than the combined lizard effects. Thus, the bottom-up, plant-mediated effect of fertilization on herbivory overshadowed the top-down effects of lizard predators. These results, from unmanipulated shoreline plots with persistent differences in chronic seaweed deposition, differ from those of a previous experimental study of the short-term effects of a pulse of seaweed deposition: while the increase in herbivory in response to chronic seaweed deposition was due to the fertilization effect, the short-term increase in herbivory in response to a pulse of seaweed deposition was due to the lizard diet-shift effect. This contrast highlights the importance of the temporal pattern of resource inputs in determining the mechanism of community response to resource subsidies.</t>
  </si>
  <si>
    <t>10.1007/s00442-012-2560-0</t>
  </si>
  <si>
    <t>Pasanen-Mortensen, M; Elmhagen, B</t>
  </si>
  <si>
    <t>Land cover effects on mesopredator abundance in the presence and absence of apex predators</t>
  </si>
  <si>
    <t>Vulpes vulpes; Lynx lynx; Landscape composition; Ecosystem state; Top-down; Bottom-up</t>
  </si>
  <si>
    <t>FOXES VULPES-VULPES; RED FOX; ECOSYSTEMS; FRAGMENTATION; PRODUCTIVITY; RELEASE; DENSITY</t>
  </si>
  <si>
    <t>Trophic downgrading due to loss of apex consumers has been detected in many ecosystems. Loss of larger predators implies that medium-sized mesopredators rise to the status of apex predators which are limited bottom-up rather than top-down. Hence the density of medium-sized predators should be more strongly related to land cover in absence of larger predators. We investigate this hypothesis at a continental scale (Eurasia) for a medium-sized predator, the red fox Vulpes vulpes, in presence and absence of an apex predator, the Eurasian lynx Lynx lynx. We predicted that in absence of lynx, fox density should be positively associated with open land covers, as these could favour foxes due to high prey availability. Our results showed that fox abundance was independent of land cover in presence of lynx. However, in absence of lynx, fox density was positively but asymptotically related to cropland, while negatively related to grassland. Fox density was highest when cropland constituted approximately 30% of the landscape, likely reflecting an optimal composition of foraging and breeding habitat. Grassland was associated with low productivity, likely reflecting low prey availability. Thus, cropland is favourable for red fox, but only in absence of top-down limitation by lynx. We suggest that there are two ecosystem states in Eurasia, one northern where lynx is present as an apex predator, and one south-eastern where red fox assumes the apex predator position and its abundance is subsidised by anthropogenic land cover. (C) 2015 Elsevier Masson SAS. All rights reserved.</t>
  </si>
  <si>
    <t>10.1016/j.actao.2015.04.002</t>
  </si>
  <si>
    <t>Meeuwig, MH; Peacock, MM</t>
  </si>
  <si>
    <t>Food Web Interactions Associated With a Lahontan Cutthroat Trout Reintroduction Effort in an Alpine Lake</t>
  </si>
  <si>
    <t>JOURNAL OF FISH AND WILDLIFE MANAGEMENT</t>
  </si>
  <si>
    <t>Lahontan Cutthroat Trout; food web; trophic interaction; stable isotope; stomach contents</t>
  </si>
  <si>
    <t>STABLE-ISOTOPE; YELLOWSTONE LAKE; TROPHIC POSITION; MYSIS-RELICTA; GILA-BICOLOR; DIET OVERLAP; TUI CHUB; STREAM; ENRICHMENT; NEVADA</t>
  </si>
  <si>
    <t>Fisheries managers have stocked Lahontan Cutthroat Trout Oncorhynchus clarkii henshawi into Fallen Leaf Lake, California, since 2002 in an attempt to reestablish a naturally reproducing lacustrine population. However, the food web in Fallen Leaf Lake has been altered by the past introduction of nonnative species that may prey on or compete with reintroduced Lahontan Cutthroat Trout. Therefore, we used a combination of stomach content and stable isotope analyses to evaluate trophic characteristics within the aquatic species assemblage in Fallen Leaf Lake. Lahontan Cutthroat Trout preyed on mysid shrimp Mysis diluviana, aquatic insects, terrestrial arthropods, signal crayfish Pacificus leniusculus, and fishes. Diet overlap was greatest between Lahontan Cutthroat Trout and Mountain Whitefish Prosopium williamsoni; however, these species exhibited a generalized feeding strategy that may allow them to partition prey resources in order to avoid competitive interactions. Nonnative Lake Trout Salvelinus namaycush and Brown Trout Salmo trutta are top-level predators in Fallen Leaf Lake and both consumed Lahontan Cutthroat Trout during this study. Lake Trout delta C-13 and delta N-15 increased following Lahontan Cutthroat Trout stocking, a change consistent with incorporating isotopically enriched Lahontan Cutthroat Trout into their diet. Managers should consider the effects of predation by Lake Trout and Brown Trout on Lahontan Cutthroat Trout when developing future management and stocking programs for Fallen Leaf Lake. Additionally, intentional manipulation of the isotopic composition of hatchery-reared fish prior to stocking may be useful for evaluating predation in Fallen Leaf Lake and other systems.</t>
  </si>
  <si>
    <t>10.3996/092016-JFWM-073</t>
  </si>
  <si>
    <t>Lozano-Pena, JP; Polo-Silva, CJ; Delgado-Huertas, A; Sanjuan-Munoz, A</t>
  </si>
  <si>
    <t>Isotopic niche partitioning between an invasive fish and two native mesopredators in the Colombian Caribbean</t>
  </si>
  <si>
    <t>Food web; Biological invasion; Stable isotopes; Niche partitioning; Mesopredators; Pterois volitans</t>
  </si>
  <si>
    <t>LIONFISH PTEROIS-VOLITANS; NITROGEN STABLE-ISOTOPES; LESSER ANTILLES; CARBON ISOTOPES; MIXING MODELS; RESOURCE USE; REEF FISH; DIET; FRACTIONATION; DELTA-C-13</t>
  </si>
  <si>
    <t>The ecological interactions between invasive species and members of the invaded community determine the impacts of biological invasions. Severe detrimental impacts of the invasive lionfish (Pterois volitans) in the Western-Atlantic have been well documented in northern regions of the invaded area. Yet, the fundamental nature of lionfish interactions with native predators remains unclear and understudied in the Southern Carib-bean. Here, we use a series of quantitative tools applied on bulk muscle tissue stable isotope data (delta 13C and delta 15N), to compare inter and intraspecific isotopic niche metrics, similarity in the use of food resources, and the proportional contribution of two primary carbon sources to the diet of lionfish and two common ecologically similar mesopredators (Cephalopholis cruentata and Lutjanus mahogoni) in Taganga Bay (Colombian Caribbean). Limited overlap in the Bayesian standard ellipses of native mesopredators and lionfish suggested a substantial amount of partitioning in the use of food resources and, therefore, little apparent ecological impacts on native mesopredators by lionfish, in terms of strict competition for the use of food resources. Native mesopredators showed low trophic diversity, and a high degree of trophic redundancy (for C. cruentata). In contrast, lionfish had broad trophic diversity and high among-individual isotopic variability. This was consistent with Bayesian mixing models that revealed differential patterns in the importance of primary carbon sources in the diet of lionfish compared to native mesopredators. These results imply that different resource-consumer dynamics exist between lionfish and native mesopredators, despite fulfilling similar functional roles in the food web structure of Taganga bay, as indicated by similar Bayesian estimated trophic positions. Thus, our study highlights the importance of species-specific trophic characteristics in delineating invasive-native ecological interactions and constitutes the first study to examine trophic interactions among native mesopredators and the invasive lionfish in the Southern Caribbean.</t>
  </si>
  <si>
    <t>e00272</t>
  </si>
  <si>
    <t>10.1016/j.fooweb.2023.e00272</t>
  </si>
  <si>
    <t>Kohler, SA; Connan, M; Kolasinski, J; Cherel, Y; McQuaid, CD; Jaquemet, S</t>
  </si>
  <si>
    <t>Trophic overlap between sexes in the dimorphic African black oystercatcher foraging on an alien mussel</t>
  </si>
  <si>
    <t>Haematopus moquini; Mytilus galloprovincialis; sexual differences; South Africa; stable isotopes; trophic ecology</t>
  </si>
  <si>
    <t>STABLE-ISOTOPES REVEAL; SEXUAL SIZE DIMORPHISM; MYTILUS-GALLOPROVINCIALIS; HAEMATOPUS-OSTRALEGUS; SOUTH-AFRICA; GEOGRAPHIC-VARIATION; FEEDING-BEHAVIOR; PREY SELECTION; ROCKY SHORES; CARBON</t>
  </si>
  <si>
    <t>Sex-specific feeding segregation related to sexual bill dimorphism has been described in several oystercatcher species, including the African black oystercatcher. For the latter, studies concerned only a small number of breeding pairs and were done prior the invasion of the South African rocky shores by the Mediterranean mussel, which is believed to have benefited oystercatchers by increasing overall biomass. Here, we investigated geographic variability in the segregation of diet, biometrics and body condition between sexes in the African species, in relation to changes in foraging habitats along the South African coastline, using stable isotope analyses. Males and females and their potential prey (mussels, limpets, polychaetes and ascidians) were sampled on the southern African west, south-west and south-east coasts for stable isotope analyses and biometrics and body conditions of birds were measured. Bill dimorphism occurred throughout the study area and south-west males had lower body conditions than other males and females in general. Sexes displayed little differences in their delta C-13 ratios and in the relative consumption of the different prey throughout the study area, except on the south-east coast where males were slightly depleted in C-13 relative to females and the most abundant prey elsewhere (the Mediterranean mussel) is rare. Females were slightly but significantly enriched in N-15 by 0.3% compared to their breeding partners and this did not link clearly to differences in diet. We argue that the combined effect of biogeographic variations in rocky shores diversity and biomass, heterogeneous invasion by the Mediterranean mussel on the South African coastline and bill dimorphism may have altered the sex-specific feeding behaviour of oystercatchers differently between coastal regions and possibly had an additional cost for male oystercatchers faced with lower prey biomass and diversity on the south-west coast.</t>
  </si>
  <si>
    <t>10.1111/aec.12117</t>
  </si>
  <si>
    <t>Harding, JN; Harding, JMS; Reynolds, JD</t>
  </si>
  <si>
    <t>Movers and shakers: nutrient subsidies and benthic disturbance predict biofilm biomass and stable isotope signatures in coastal streams</t>
  </si>
  <si>
    <t>aufwuchs; ecosystem-based management; fisheries; nutrient pulse; periphyton</t>
  </si>
  <si>
    <t>SPAWNING PACIFIC SALMON; RIPARIAN FOOD WEBS; FRESH-WATER; NITROGEN EXPORT; COHO SALMON; CARBON; RIVER; PERIPHYTON; PRODUCTIVITY; DYNAMICS</t>
  </si>
  <si>
    <t>Nutrient subsidies and physical disturbance from migrating species can have strong impacts on primary producers. In the north Pacific, adult salmon (Oncorhynchus spp.) transport marine-derived nutrients back to freshwater streams and can also significantly disrupt the substratum during spawning events. We tested for effects of spawning pink (O.gorbuscha) and chum (O.keta) salmon on stream biofilm. Biofilm is a mix of algae, fungi and bacteria that provides food and habitat and forms the base of these aquatic food webs. We collected rock biofilm samples to compare stable isotopes and biomass prior to and following peak salmon spawning in 16 catchments on the central coast of British Columbia, Canada. We conducted two separate analyses. The first was a within-stream comparison, which focused on 5 catchments that had a barrier to pink and chum salmon migration. The second was an among-stream analysis that included all 16 catchments and explicitly considered biotic and abiotic factors, in addition to salmon density, known to influence biofilm growth and isotope ratios. Salmon density proved to be the best predictor of biofilm 15N. Biofilm 13C was best predicted by salmon density and catchment size. While spring chlorophyll a increased with mean salmon density, it was on average lower during spawning in the autumn, probably due to physical disturbance from spawning salmon. These results show that of the several variables considered to affect biofilm isotopes and biomass, salmon density and catchment size are among the most influential in coastal streams where salmon spawn.</t>
  </si>
  <si>
    <t>10.1111/fwb.12351</t>
  </si>
  <si>
    <t>Candolin, U; Bertell, E; Kallio, J</t>
  </si>
  <si>
    <t>Environmental disturbance alters the ecological impact of an invading shrimp</t>
  </si>
  <si>
    <t>anthropogenic disturbance; eutrophication; food webs; mesopredator release; niche; nonindigenous species; Palaemon elegans; species interactions</t>
  </si>
  <si>
    <t>BALTIC SEA; PALAEMON-ADSPERSUS; BIOLOGICAL INVASIONS; TROPHIC POSITION; PREDATORY FISH; INVADERS; ECOSYSTEM; STICKLEBACKS; ELEGANS; REGIME</t>
  </si>
  <si>
    <t>1. Alien species are altering ecosystems around the globe. To predict and manage their impacts, the underlying mechanisms need to be understood. This is challenging in ecosystems undergoing multiple disturbances as unexpected interactions can alter the impact of individual disturbances. Such interactions are likely to be common in disturbed ecosystems, but have so far received little attention. 2. We investigated whether interactions between an invading shrimp Palaemon elegans and another human-induced disturbance, the population growth of a native mesopredator, the threespine stickleback, influences a third human-induced disturbance, the increase in biomass of filamentous algae. Increases in both the native mesopredator population and algal biomass have been promoted by eutrophication and a trophic cascade triggered by declining predatory fish stocks. 3. We used mesocosm and field enclosure experiments, combined with analyses of long-term trends in the abundance of the invader and the native mesopredator, to dissect the influence of the two species on algal biomass when alone and when co-occurring. 4. The impact of the invader on algal biomass depended on the native mesopredator; shrimp on their own had no effect on algal growth, but mitigated algae accumulation when competing with the stickleback for resources. Competition caused the shrimp to shift its diet from grazers to algae, and its habitat choice from open to vegetated habitats. The native mesopredator, in contrast, increased algal biomass irrespective of the presence of the invader, by preying on grazers and inducing a trophic cascade. 5. Our results show that the presence of a native mesopredator causes an invader to alter its behaviour and thereby its ecological impact. This demonstrates that interactions between invaders and other anthropogenic disturbances can alter the ecological impact of invaders, and, notably, that the impact of invaders can be positive and stabilize disturbed ecosystems. These results stress the importance of considering interactions among disturbances when investigating the ecological impact of alien species.</t>
  </si>
  <si>
    <t>10.1111/1365-2435.13078</t>
  </si>
  <si>
    <t>Baldocchi, D; Kelliher, FM; Black, TA; Jarvis, P</t>
  </si>
  <si>
    <t>Climate and vegetation controls on boreal zone energy exchange</t>
  </si>
  <si>
    <t>aspen; biosphere-atmosphere interactions; boreal forest; energy balance; evaporation; hydrology; jack pine; larch; micrometeorology; spruce</t>
  </si>
  <si>
    <t>CARBON-DIOXIDE FLUXES; WATER-VAPOR EXCHANGE; BROAD-LEAVED FOREST; JACK PINE FOREST; STOMATAL CONDUCTANCE; SEASONAL-VARIATION; SAP FLOW; ENVIRONMENTAL-REGULATION; PHOTOSYNTHETIC CAPACITY; EDDY-CORRELATION</t>
  </si>
  <si>
    <t>The boreal forest, one of the world's larger biomes, is distinct from other biomes because it experiences a short growing season and extremely cold winter temperatures. Despite its size and impact on the earth's climate system, measurements of mass and energy exchange have been rare until the past five years. This paper overviews results of recent and comprehensive field studies conducted in Canada, Siberia and Scandinavia on energy exchanges between boreal forests and the atmosphere. How the boreal biosphere and atmosphere interact to affect the interception of solar energy and how solar energy is used to evaporate water and heat the air and soil is examined in detail. Specifically, we analyse the magnitudes, temporal and spatial patterns and controls of solar energy, moisture and sensible heat fluxes across the land-atmosphere interface. We interpret and synthesize field data with the aid of a soil-vegetation-atmosphere transfer model, which considers the coupling of the energy and carbon fluxes and nutrient status. Low precipitation and low temperatures limit growth of many boreal forests. These factors restrict photosynthetic capacity and lower root hydraulic conductivity and stomatal conductance of the inhabitant forests. In such circumstances, these factors interact to form a canopy that has a low leaf area index and exerts a significant resistance to evaporation. Conifer forests, growing on upland soils, for example, evaporate at rates between 25 and 75% of equilibrium evaporation and lose less than 2.5 mm day(-1) of water. The open nature of many boreal conifer forest stands causes a disproportionate amount of energy exchange to occur at the soil surface. The climatic and physiological factors that yield relatively low rates of evaporation over conifer stands also cause high rates of sensible heat exchange and the diurnal development of deep planetary boundary layers. In contrast, evaporation from broad-leaved aspen stands and fen/wetlands approach equilibrium evaporation rates and lose up to 6 mm day(-1).</t>
  </si>
  <si>
    <t>10.1046/j.1365-2486.2000.06014.x</t>
  </si>
  <si>
    <t>Kong, FH; Wang, D; Yin, HW; Dronova, I; Fei, F; Chen, JY; Pu, YX; Li, MC</t>
  </si>
  <si>
    <t>Coupling urban 3-D information and circuit theory to advance the development of urban ecological networks</t>
  </si>
  <si>
    <t>airborne lidar; human disturbance; least-cost path; linkage mapper; urban biodiversity</t>
  </si>
  <si>
    <t>VEGETATION STRUCTURE; SPECIES-DIVERSITY; LIDAR; BIODIVERSITY; CONNECTIVITY; HABITATS; DENSITY; MODELS</t>
  </si>
  <si>
    <t>Ongoing, rapid urban growth accompanied by habitat fragmentation and loss challenges biodiversity conservation and leads to decreases in ecosystem services. Application of the concept of ecological networks in the preservation and restoration of connections among isolated patches of natural areas is a powerful conservation strategy. However, previous approaches often failed to objectively consider the impacts of complex 3-D city environments on ecological niches. We used airborne lidar-derived information on the 3-D structure of the built environment and vegetation and detailed land use and cover data to characterize habitat quality, niche diversity, and human disturbance and to predict habitat connectivity among 38 identified habitat core areas (HCAs) in Nanjing, China. We used circuit theory and Linkage Mapper to create a landscape resistance layer, simulate habitat connectivity, and identify and prioritize important corridors. We mapped 64 links by using current flow centrality to evaluate each HCA's contribution and the links that facilitate intact connectivity. Values were highest for HCA links located in the west, south, and northeast of the study area, where natural forests with complex 3-D structures predominate. Two smaller HCA areas had high centrality scores relative to their extents, which means they could act as important stepping stones in connectivity planning. The mapped pinch-point regions had narrow and fragile links among the HCAs, suggesting they require special protection. The barriers with the highest impact scores were mainly located at the HCA connections to Purple Mountain and, based on these high scores, are more likely to indicate important locations that can be restored to improve potential connections. Our novel framework allowed us to sufficiently convey spatially explicit information to identify targets for habitat restoration and potential pathways for species movement and dispersal. Such information is critical for assessing existing or potential habitats and corridors and developing strategic plans to balance habitat conservation and other land uses based on scientifically informed connectivity planning and implementation.</t>
  </si>
  <si>
    <t>10.1111/cobi.13682</t>
  </si>
  <si>
    <t>Braun, K; Cowling, RM; Bar-Matthews, M; Matthews, A; Ayalon, A; Zilberman, T; Difford, M; Edwards, RL; Li, XL; Marean, CW</t>
  </si>
  <si>
    <t>Climatic stability recorded in speleothems may contribute to higher biodiversity in the Cape Floristic Region</t>
  </si>
  <si>
    <t>California; Cape Floristic Region; carbon isotopes; Mediterranean Basin; Mediterranean climate ecosystems; oxygen isotopes; palaeoclimate; plant diversity; South Africa; speleothem; stable isotopes</t>
  </si>
  <si>
    <t>EASTERN MEDITERRANEAN REGION; WINTER-RAINFALL ZONE; HIGH-RESOLUTION; SOUTHERN AFRICA; WESTERN CAPE; VEGETATION HISTORY; HOLOCENE CLIMATE; PLANT DIVERSITY; GLOBAL PATTERNS; PINNACLE POINT</t>
  </si>
  <si>
    <t>Aim: The geography and genesis of diversity remain an enduring topic in ecology and evolution. Mediterranean Climate Ecosystems (MCEs), with their high plant diversities in winter rainfall climates, pose a challenge to popular hypotheses evoking high water availability and temperature as necessary for the evolution of high diversity. We test the hypothesis of environmental stability as a driver for the evolution of regional-scale floristic diversity using speleothem oxygen (delta O-18) and carbon (delta C-13) isotopic values as proxies for past climatic variability in the Cape Floristic Region (CFR) and other MCEs.Location: south-western Africa, California, Mediterranean Basin.Taxon: Plantae.Methods: We present new speleothem delta O-18 and delta C-13 records from a cave near Robertson in the western CFR. Stable isotope samples included in the analyses cover the time intervals between 240 and 670 ka BP with hiatuses at 630-500 ka and 360-310 ka. The dispersion of these stable isotope records is used as a measure for climatic variability. We compare our new analyses to speleothem records that cover full glacial and interglacial conditions in other MCEs (California and the Mediterranean Basin) as well as in eastern regions of the CFR. All sites used in this comparison have lower vascular plant biodiversity than the western CFR.Results: Analyses of the dispersion of the delta O-18 and delta C-13 datasets suggest that the highly diverse western CFR experienced climatic stability across several glacial-interglacial cycles, compared with the less diverse regions within and outside of the CFR.Main Conclusion: This result provides support for the hypothesis that lower extinction rates associated with Pleistocene biome stability may explain the higher diversity in the CFR relative to other MCEs.</t>
  </si>
  <si>
    <t>10.1111/jbi.14592</t>
  </si>
  <si>
    <t>Ramirez-Pedraza, I; Martinez, LM; Aouraghe, H; Rivals, F; Tornero, C; Haddoumi, H; Estebaranz-Sanchez, F; Rodriguez-Hidalgo, A; van der Made, J; Oujaa, A; Ibanez, JJ; Mhamdi, H; Souhir, M; Aissa, A; Chacon, MG; Sala-Ramos, R</t>
  </si>
  <si>
    <t>Multiproxy approach to reconstruct fossil primate feeding behavior: Case study for macaque from the Plio-Pleistocene site Guefait-4.2 (eastern Morocco)</t>
  </si>
  <si>
    <t>habitat; paleodiet; Africa; buccal microtexture; occlusal microwear; stable isotopes</t>
  </si>
  <si>
    <t>LOW-MAGNIFICATION STEREOMICROSCOPY; MICROWEAR TEXTURE ANALYSIS; MANGABEYS CERCOCEBUS-ATYS; AHL AL OUGHLAM; DENTAL MICROWEAR; MACACA-SYLVANUS; STABLE-ISOTOPES; EVOLUTIONARY HISTORY; VERTEBRATE FAUNA; ENAMEL THICKNESS</t>
  </si>
  <si>
    <t>The genus Macaca belongs to Cercopithecidae (Old World monkeys), Cercopithecinae, Papionini. The presence of Macaca in North Africa is well known from the Late Miocene to the Late Pleistocene. However, the diet of fossil Macaca has been poorly described in the literature. In this study, we investigated the feeding habits of Macaca cf. sylvanus (n = 4) from the Plio-Pleistocene site Guefait-4.2 in eastern Morocco through multiproxy analysis combining analyses of stable carbon and oxygen isotopes from tooth enamel, buccal microtexture, and low-magnification occlusal dental microwear. For both microwear analyses, we compared the macaques with a new reference collection of extant members of Cercopithecoidea. Our occlusal microwear results show for the fossil macaque a pattern similar to the extant Cercocebus atys and Lophocebus albigena, African forest-dwelling species that are characterized by a durophagous diet based mainly on hard fruit and seed intake. Buccal microtexture results also suggest the consumption of some grasses and the exploitation of more open habitats, similar to that observed in Theropithecus gelada. The delta C-13 of M. cf. sylvanus indicates a C-3 based-diet without the presence of C-4 plants typical of the savanna grassland in eastern Africa during this period. The high delta O-18 values of M. cf. sylvanus, compared with the contemporary ungulates recovered from Guefait-4.2, could be associated with the consumption of a different resource by the primate such as leaves or fresh fruits from the upper part of trees. The complementarity of these methods allows for a dietary reconstruction covering a large part of the individual's life.</t>
  </si>
  <si>
    <t>10.3389/fevo.2023.1011208</t>
  </si>
  <si>
    <t>Dias, E; Chainho, P; Barrocas-Dias, C; Adao, H</t>
  </si>
  <si>
    <t>Food sources of the non-indigenous bivalve Ruditapes philippinarum (Adams and Reeve, 1850) and trophic niche overlap with native species</t>
  </si>
  <si>
    <t>Manila clam; non-indigenous species; Ruditapes decussatus; Cerastoderma glaucum; stable isotopes; Tagus estuary</t>
  </si>
  <si>
    <t>STABLE-ISOTOPE ANALYSIS; TAGUS ESTUARY PORTUGAL; YORK RIVER ESTUARY; MANILA CLAM; VENERUPIS-PHILIPPINARUM; POPULATION-STRUCTURE; TAPES-PHILIPPINARUM; LIPID CORRECTION; STOCK ASSESSMENT; VENICE LAGOON</t>
  </si>
  <si>
    <t>The Manila clam, Ruditapes philippinarum (Adams and Reeve, 1850), was introduced in many estuaries along the Atlantic and Mediterranean coasts for fisheries and aquaculture, being one of the top five most commercially valuable bivalve species worldwide. In Portugal, the colonization of the Tagus estuary by this species coincided with a significant decrease in abundance of the native R. decussatus (Linnaeus, 1758). This study aimed at identifying the main food sources supporting populations of the non-native bivalve in the Tagus estuary, using carbon and nitrogen stable isotopes, and evaluate the potential for food competition with the native bivalves R. decussatus and Cerastoderma glaucum (Bruguiere, 1789). Results showed that these species relied on the same food sources, and that the trophic niche of R. philippinarum overlapped with the trophic niche of R. decussatus by 40% and with C. glaucum by 23%. The most likely food sources included particulate organic matter (POM), microphytobenthos (MPB), and sediment organic matter (SOM). The Bayesian stable isotope mixing model indicated that POM was the food source with the highest proportional contribution (up to 92%), followed by MPB (up to 32%), and SOM (up to 23%). Although the majority of the food sources identified were filtered from the water column, reliance on SOM and MPB suggests they may also feed on resuspended organic matter. Because these bivalve species feed on the same sources, there is some potential for food competition in this ecosystem. However, further studies are needed to analyze the long-term consequences of these trophic interactions to verify if the co-existence between the native and the invasive species will generate competition for food resources when those are limited in quantity and/or quality.</t>
  </si>
  <si>
    <t>10.3391/ai.2019.14.4.05</t>
  </si>
  <si>
    <t>Qin, XB; Li, YE; Wan, YF; Fan, MR; Liao, YL; Li, Y; Wang, B; Gao, QZ; Wu, HB; Chen, X</t>
  </si>
  <si>
    <t>Multiple stable isotopic signatures corroborate the predominance of acetoclastic methanogenesis during CH4 formation in agricultural river networks</t>
  </si>
  <si>
    <t>Multiple isotope signature; Biogenic CH4 production pathway; Acetoclastic methanogenesis; Agricultural river networks</t>
  </si>
  <si>
    <t>SEASONAL-VARIATIONS; METHANE OXIDATION; MICROBIAL OXIDATION; ACETATE METABOLISM; BACTERIAL METHANE; DISSOLVED METHANE; BIOGENIC METHANE; WATER METHANE; CARBON; HYDROGEN</t>
  </si>
  <si>
    <t>Methane (CH4) emitted from river networks provides a globally significant, yet poorly constrained barrier for the refinement of national greenhouse gas (GHG) inventories and the global CH4 budget. This study employed three isotopic methodologies, i.e., a simple mixing model, apparent fractionation factor, and dual isotopes (delta C-13-CH4 and delta D-CH4) to identify the biogenic CH4 production pathway (BMPP) in a typical agricultural river network in subtropical China. The results indicated that the contribution of acetoclastic methanogenesis (AM) to BMPP in the Tuojia River network (TRN) ranged from 85 to 99%, with the first reach (S1) supporting the most biogenic CH4 production. Furthermore, the alpha(C) value ranged from 1.00 to 1.039 and increased spatially over the four reaches (S1 to S4), while the alpha(D) value varied from 1.393 to 1.394, with S1 having the lowest value. The dual isotopes of delta C-13 and delta(D) reflected a mixed BMPP. Clearly, the isotopic composition of CH4 corroborated the predominance of AM in the BMPP in the TRN. Additionally, there was a remarkable spatiotemporal variation in delta C-13-CH4 and delta D-CH4, as well as alpha(C) and alpha(D). In combination with the correlation between the two paired isotopic signatures (antipathetic and positive, p &lt; 0.05, respectively), this suggested a change in the BMPP in the TRN. The findings of our study implied that there was great impact of agricultural production and residential activities on environmental behavior of stable isotopes. Consequently, we recommend that multiple isotopic measures, based on long-term in situ isotopologue monitoring, should be applied when the uncertainties of CH4 emissions from river networks are addressed.</t>
  </si>
  <si>
    <t>10.1016/j.agee.2020.106930</t>
  </si>
  <si>
    <t>Rothhaupt, KO; Hanselmann, AJ; Yohannes, E</t>
  </si>
  <si>
    <t>Niche differentiation between sympatric alien aquatic crustaceans: An isotopic evidence</t>
  </si>
  <si>
    <t>Stable isotopes; Carbon (delta C-13); Nitrogen (delta N-15); Sulphur (delta S-34); Lake Constance; Limnomysis benedeni; Katamysis warpachowskyi; Dikerogammarus villosus; Gammarus roeselii</t>
  </si>
  <si>
    <t>LIMNOMYSIS-BENEDENI CZERNIAVSKY; STABLE-ISOTOPES; DIKEROGAMMARUS-VILLOSUS; LAKE CONSTANCE; SPECIES COEXISTENCE; MUTUAL PREDATION; LIFE-HISTORY; GAMMARIDS; MYSIDA; MECHANISMS</t>
  </si>
  <si>
    <t>Among the mechanisms that allow competing species to coexist are resource partitioning and dietary segregation. The current study uses multiple stable isotopes, carbon (delta C-13), nitrogen (delta N-15) and sulphur (delta S-34), to test the hypothesis that dietary segregation in cohabiting invasive mysids (Limnomysis benedeni and Katamysis warpachowskyi) and gammarids (Dikerogammarus villosus and Gammarus roeselii) will be reflected by differences in isotope values. Furthermore, IsoError mixing models were used to estimate the relative contributions of periphyton and seston to the invaders' diets. Whole tissue delta C-13, delta N-15 and delta S-34 analysis in L. benedeni and K. warpachowskyi imply that these sympatric, non-native mysids maintain differentiated feeding niches or resource partitioning by feeding on distinct components of the available food resources (predominantly seston by L. benedeni and periphyton by K. warpachowskyi). By contrast, the gammarids D. villosus ('killer shrimp') and G. roeselii exhibited no significant difference in delta C-13 and delta N-15, indicating a considerable overlap between the dietary sources of these sympatric invaders. Feeding niche differentiation, irrespective of season or the nature of habitat invaded (lake or river), might facilitate the coexistence of invasive mysids in their 'new' environment by minimizing direct resource competition. The mutual interaction by the invasive gammarids, coupled with voracious behavior, could assist their success at co-invasion with serious implications for local biodiversity including the potential extinction of native species.</t>
  </si>
  <si>
    <t>10.1016/j.baae.2014.07.002</t>
  </si>
  <si>
    <t>Wohner, PJN; Cooper, RJ; Greenberg, RS; Schweitzer, SH</t>
  </si>
  <si>
    <t>Weather affects diet composition of rusty blackbirds wintering in suburban landscapes</t>
  </si>
  <si>
    <t>acorn; diet isotope; Euphagus carolinus; invertebrates; Oligochaeta; pecan; rusty blackbird; SIAR; southeastern United States; wintering</t>
  </si>
  <si>
    <t>STABLE-ISOTOPES; MODEL SELECTION; NITROGEN; BLOOD; FRACTIONATION; EARTHWORMS; DECLINES; CARBON</t>
  </si>
  <si>
    <t>The rusty blackbird (Euphagus carolinus) is a species of conservation concern throughout its range and the cause of the species' population decline is unknown. We studied diet composition of rusty blackbirds with stable isotope mixing models in suburban landscapes in the southeastern United States. We captured blackbirds in Georgia and South Carolina from 2009 to 2012, and estimated proportions of earthworm, other animals, pecan, and acorn incorporated into individual diets. On the Piedmont Plateau, terrestrial and aquatic earthworms constituted the largest proportion incorporated into the diet (39%+/- 2.9; mean +/- SD by site and year) and animals other than earthworms (mostly larval invertebrates Odonata and Diptera) constituted 27%+/- 12.9. In contrast, on the Coastal Plain, which featured milder winters than the Piedmont, earthworms constituted a lower proportion (19%+/- 1.2) of incorporated food items and animals other than earthworms comprised 62%+/- 3.3% of the diet. Increased incorporation of earthworms in the diet was related to increased upcoming precipitation and daily maximum temperature. Rusty blackbirds incorporated more tree mast into their diet on the Piedmont Plateau than the Coastal Plain. Increased incorporation of tree mast was related to advancing cold temperature. Mast, including crushed pecans (Carya illinoenensis) and pre-opened small-seeded red oak (Quercus spp.) acorns, is a high-lipid dietary component of blackbirds wintering in colder climates, and is incorporated prior to extreme cold weather. Therefore, planting mast trees, especially lipid-rich pecan, could be used to augment resources in known rusty blackbird wintering hotspots. Maintaining shallowly flooded wetlands with a fluctuating water regime and residential lawns with abundant red oak (Quercus spp.) leaf litter would promote acorn and invertebrate resources including earthworms. (c) 2015 The Wildlife Society.</t>
  </si>
  <si>
    <t>10.1002/jwmg.984</t>
  </si>
  <si>
    <t>Kierdorf, H; Aberg, G; Kierdorf, U</t>
  </si>
  <si>
    <t>Lead concentrations and lead and strontium stable-isotope ratios in teeth of European roe deer (Capreolus capreolus)</t>
  </si>
  <si>
    <t>stable isotopes; teeth; lead; strontium; bioindication; provenance indicators</t>
  </si>
  <si>
    <t>HEAVY-METAL CONTENT; ENVIRONMENTAL-POLLUTION; ATMOSPHERIC AEROSOLS; SUBURBAN AREAS; BANK VOLE; EXPOSURE; PB; CHILDREN; MOBILITY; ELEMENTS</t>
  </si>
  <si>
    <t>The study reports lead concentrations and lead and strontium stable-isotope ratios in mandibular molars of roe deer from three different areas in western Germany. Lead concentrations in third molars ranged between 0.23 and 36.61 mu g/g (dry weight). Comparing lead concentrations in first molars and third molars in a group of ca. 1.5- or ca. 2.5-year-old individuals from the same area revealed an effect of tooth age on tooth lead content. The higher lead concentrations in the first molars were attributed to the longer period of lead accumulation by the dentin of these teeth compared with the later-forming third molars. Differences in lead isotopic signatures of the teeth were observed between the three areas, presumably reflecting variation in exposure to different sources of environmental lead. We also found marked variation in the Sr-87/Sr-86 isotope ratios of the teeth, with only a small overlap in values between two of the areas. Strontium isotope analysis alone or in combination with lead isotope analyses can be a useful means of assessing the provenance of deer teeth of unknown geographical origin.</t>
  </si>
  <si>
    <t>10.1007/s10344-007-0152-9</t>
  </si>
  <si>
    <t>Fiorella, RP; Kannenberg, SA; Anderegg, WRL; Monson, RK; Ehleringer, JR</t>
  </si>
  <si>
    <t>Heterogeneous isotope effects decouple conifer leaf and branch sugar delta O-18 and delta C-13</t>
  </si>
  <si>
    <t>Cellulose; Ponderosa pine; Stable isotopes; Sugars; Tree rings</t>
  </si>
  <si>
    <t>WATER-USE EFFICIENCY; TREE-RING CELLULOSE; STABLE-ISOTOPES; OXYGEN ISOTOPES; O-18 ENRICHMENT; ORGANIC-MATTER; C-3 PLANTS; PHLOEM SAP; CARBON; PRECIPITATION</t>
  </si>
  <si>
    <t>Isotope ratios of tree-ring cellulose are a prominent tool to reconstruct paleoclimate and plant responses to environmental variation. Current models for cellulose isotope ratios assume a transfer of the environmental signals recorded in bulk leaf water to carbohydrates and ultimately into stem cellulose. However, the isotopic signal of carbohydrates exported from leaf to branch may deviate from mean leaf values if spatial heterogeneity in isotope ratios exists in the leaf. We tested whether the isotopic heterogeneity previously observed along the length of a ponderosa pine (Pinus ponderosa) leaf water was preserved in photosynthetic products. We observed an increase in both sugar and bulk tissue delta O-18 values along the needle, but the increase in carbohydrate delta O-18 values was dampened relative to the trend observed in leaf water. In contrast, delta C-13 values of both sugar and bulk organic matter were invariant along the needle. Phloem-exported sugar measured in the branch below the needles did not match whole-needle values of delta O-18 or delta C-13. Instead, there was a near-constant offset observed between the branch and needle sugar delta C-13 values, while branch delta O-18 values were most similar to delta O-18 values observed for sugar at the base of the needle. The observed offset between the branch and needle sugar delta O-18 values likely arises from partial isotope oxygen exchange between sugars and water during phloem loading and transport. An improved understanding of the conditions producing differential delta C-13 and delta O-18 isotope effects between branch phloem and needle sugars could improve tree-ring-based climate reconstructions.</t>
  </si>
  <si>
    <t>10.1007/s00442-022-05121-y</t>
  </si>
  <si>
    <t>Huo, B; Xie, CX; Madenjian, CP; Ma, BS; Yang, XF; Huang, HP</t>
  </si>
  <si>
    <t>Feeding habits of an endemic fish, Oxygymnocypris stewartii, in the Yarlung Zangbo River in Tibet, China</t>
  </si>
  <si>
    <t>Oxygymnocypris stewartii; Feeding habits; Seasonal diet shift; Size-related diet shift; Predator-prey size relationship</t>
  </si>
  <si>
    <t>ONTOGENIC NICHE SHIFTS; CYPRINIDAE SCHIZOTHORACINAE; SEASONAL-VARIATION; TSANGPO RIVER; PREDATOR; DIET; LAKE; SIZE; PISCIVORY; ECOLOGY</t>
  </si>
  <si>
    <t>Feeding habits of Oxygymnocypris stewartii were investigated based on monthly sampling in the Yarlung Zangbo River from August 2008 to August 2009. The gut contents of 194 individuals were analysed and quantified with numerical and gravimetric methods. This species can be considered a generalized and opportunistic predator feeding both on teleosts and aquatic insects. A multivariate analysis revealed noticeable variation in O. stewartii diet composition with fish size and season. The smaller specimens fed primarily on Cobitidae and Hydropsychidae. As they grew, Cyprinidae and Chironomidae larvae became important prey. The preferred food items were teleosts in summer and autumn. For winter and spring, the predominant prey switched to chironomidae larvae. Diet composition did not significantly vary between the sexes. Finally, a significant and positive correlation between predator and prey length was found. These findings provide the fundamental information better understanding the role of this important endemic species in the Yarlung Zangbo River food web.</t>
  </si>
  <si>
    <t>10.1007/s10641-013-0213-8</t>
  </si>
  <si>
    <t>Gonzalez-Prieto, AM; Bayly, NJ; Colorado, GJ; Hobson, KA</t>
  </si>
  <si>
    <t>Topography of the Andes Mountains shapes the wintering distribution of a migratory bird</t>
  </si>
  <si>
    <t>Canada Warbler; Cardellina canadensis; Colombia; deuterium; isoscapes; migratory connectivity; stable isotopes</t>
  </si>
  <si>
    <t>EVOLUTIONARY DIFFERENTIATION; CONNECTIVITY; HYDROGEN; CLIMATE; SONGBIRDS; ISOTOPES; GROUNDS; HABITAT; BIOGEOGRAPHY; SEASONALITY</t>
  </si>
  <si>
    <t>Aim In birds, patterns of migratory connectivity are influenced by landscape structure experienced throughout the annual cycle. Assessing how landscape patterns drive the movements and distributions of migratory species is important for understanding the evolution of migration and determining conservation priorities. We determined migratory connectivity in the Canada Warbler (Cardellina canadensis), a declining Neotropical migratory bird, and evaluated the degree to which the Andean mountains influence winter population distribution in this montane forest specialist. Location Seven study regions across the Western, Central, and Eastern Andes of Colombia. Methods We inferred breeding and natal origins of Canada Warblers overwintering in Colombia by analysing stable hydrogen isotope values (delta H-2) in feathers and assigning wintering populations to breeding origins using an established feather delta H-2 isoscape for North America. Results We found strong evidence for parallel migration between breeding and wintering sites, giving rise to moderately strong migratory connectivity between breeding and wintering regions. The model best explaining population distribution in the Colombian Andes implied that populations were most similar within basins or valleys. Such segregation is notable, given that basins are separated by less than 300 km on the wintering grounds, while breeding populations may be separated by more than 3000 km from east to west. Main conclusions Our results suggest that the high spine of each Andean cordillera acts to shape the winter distribution of individuals from different breeding populations. To our knowledge, this is the first demonstration that the topography of the Andean mountains can act to shape the winter distribution of populations of a migratory bird. The strength of migratory connectivity found in Canada Warblers may inhibit evolutionary responses to environmental change, and the more rapid population declines recorded in some eastern breeding populations may be related to habitat loss and local environmental conditions in the Eastern Andes, where individuals from these populations were more likely to overwinter.</t>
  </si>
  <si>
    <t>10.1111/ddi.12515</t>
  </si>
  <si>
    <t>Sepulveda, AJ</t>
  </si>
  <si>
    <t>Terrestrial-aquatic linkages in spring-fed and snowmelt-dominated streams</t>
  </si>
  <si>
    <t>Bonneville cutthroat trout; diet; Idaho; Oncorhynchus clarki Utah; subsidy; trophic</t>
  </si>
  <si>
    <t>TROUT SALVELINUS-FONTINALIS; BROOK TROUT; CUTTHROAT TROUT; INVERTEBRATE INPUTS; CLIMATE-CHANGE; FOOD WEBS; PREY; SPECIALIZATION; SUBSIDIES; ECOSYSTEMS</t>
  </si>
  <si>
    <t>The importance of trophic linkages between aquatic and terrestrial ecosystems is predicted to vary as a function of subsidy quantity and quality relative to in situ resources. To test this prediction, I used multi-year diet data from Bonneville cutthroat trout Oncorhynchus clarki Utah in spring-fed and snowmelt-driven streams in the high desert of western North America. I documented that trout in spring-fed streams consumed more (number and weight) aquatic than terrestrial invertebrates, while trout in snowmelt-driven streams consumed a similar number of both prey types but consumed more terrestrial than aquatic invertebrates by weight. Trout in spring-fed streams consumed more aquatic invertebrates than trout in snowmelt streams and trout consumed more terrestrial invertebrates in snowmelt than in spring-fed streams. Up to 93% of trout production in spring-fed streams and 60% in snowmelt streams was fueled by aquatic invertebrates, while the remainder of trout production in each stream type was from terrestrial production. I found that the biomass and occurrence of consumed terrestrial invertebrates were not related to our measures of in situ resource quality or quantity in either stream type. These empirical data highlight the importance of autotrophic-derived production to trout in xeric regions.</t>
  </si>
  <si>
    <t>10.1080/02705060.2017.1284696</t>
  </si>
  <si>
    <t>Gokool, S; Riddell, ES; Swemmer, A; Nippert, JB; Raubenheimer, R; Chetty, KT</t>
  </si>
  <si>
    <t>Estimating groundwater contribution to transpiration using satellite-derived evapotranspiration estimates coupled with stable isotope analysis</t>
  </si>
  <si>
    <t>SEES; Satellite-based ET; Stable isotopes; Riparian vegetation; Groundwater dependency</t>
  </si>
  <si>
    <t>WATER SOURCES; PLANT; TREES; SEBS; PATTERNS; MOISTURE; LETABA; XYLEM; SOIL</t>
  </si>
  <si>
    <t>The relative importance of groundwater (GW) to sustain terrestrial vegetation has been well documented. However, quantifying GW use by riparian vegetation in data scarce regions may prove to be challenging. For this purpose, we coupled evapotranspiration (ET) estimates from the satellite-based surface energy balance system (SEBS) model with stable isotope analysis, to map and quantify the contribution of GW to transpiration (ETg), along the lower reaches of a perennial river system, in the semi-arid north-eastern region of South Africa. Plant stem, soil, stream and GW samples were collected on 3 sampling occasions during the 2016 dry season. delta H-2 and delta O-18 values of the respective samples were measured and analysed. We found that while GW use was prevalent and increased with aridity, overall ETg was fairly minimal. During the initial stages of the dry season ETg for the study area was extremely low, approximately 0.10% of daily ET or 0.01 mm d(-1). However, as aridity increased, ETg increased to approximately 10% of daily ET or 0.30 mm d(-1). The results of these various investigations undertaken demonstrates the potential of coupling satellite-based ET approaches with stable isotope analysis, to quantify spatial and seasonal dynamics in ETg.</t>
  </si>
  <si>
    <t>10.1016/j.jaridenv.2018.02.002</t>
  </si>
  <si>
    <t>Montalvo, LGH; Galindo, MR; Lopez, MPI</t>
  </si>
  <si>
    <t>Asymmetric Contribution of Isotopically Contrasting Food Sources to Vertebrate Consumers in a Subtropical Semi-arid Ecosystem</t>
  </si>
  <si>
    <t>bats; birds; deserts; Mexico; nutritional ecology; stable isotopes</t>
  </si>
  <si>
    <t>NECTAR-FEEDING BATS; COLUMNAR CACTI; POLLINATION BIOLOGY; TEHUACAN VALLEY; CARBON ISOTOPES; CONSERVATION; NUTRIENTS; HERBIVORY; TURNOVER; DIETARY</t>
  </si>
  <si>
    <t>Habitat heterogeneity is a primary ecological factor that is particularly pronounced in arid ecosystems. The Tehuacan valley is a subtropical semi-arid ecosystem in which several species of columnar cacti and agave (i.e., CAM plants) constitute the dominant elements accompanied by patches of trees and shrubs (i.e., C3 plants). Vegetation in Tehuacan is isotopically heterogenous because CAM plants have less depleted 13C values than C3 plants. Fruits and flowers of cactus and agaves offer abundant food to vertebrates, but their leaves might be less attractive to insects than the leaves of C3 plants. Therefore, we use carbon and nitrogen stable isotope analysis to test the hypothesis that C3 and CAM food would contribute asymmetrically to different guilds of birds and bats. We predict that granivorous and frugivorous birds and nectarivorous and frugivorous bats will consume a CAM diet, whereas insectivorous birds and bats will consume a C3 diet. Due to omnivory of bird and bat consumers, we predict that the importance of CAM food will decrease as the trophic level of the animal increases. Our results showed that CAM food predominated in plant-eating birds and in some flower-visiting bats, whereas C3 food predominated in insect-eating bats and birds and frugivorous bats. Habitat heterogeneity in Tehuacan is important for conservation due to the asymmetric role of CAM and C3 food in the nutrition of different feeding guilds of vertebrates. Our study provides basic information to evaluate the potential impact of habitat loss on functional groups of consumers in a semi-arid ecosystem.</t>
  </si>
  <si>
    <t>10.1111/btp.12018</t>
  </si>
  <si>
    <t>Zhang, M; Wang, YF; Gu, BH; Li, YC; Zhu, WX; Zhang, L; Yang, LP; Li, XJ</t>
  </si>
  <si>
    <t>Resources utilization and trophic niche between silver carp and bighead carp in two mesotrophic deep reservoirs</t>
  </si>
  <si>
    <t>Stable isotope; food web; niche breadth; resource utilization; stocking ratio</t>
  </si>
  <si>
    <t>HYPOPHTHALMICHTHYS-MOLITRIX; STABLE-ISOTOPE; FOOD-WEB; PLANKTIVOROUS FISHES; NITROGEN; OVERLAP; LAKE; EVOLUTION; OMNIVORY; PLANKTON</t>
  </si>
  <si>
    <t>Resources utilization and trophic structure in aquatic food webs play important roles in the ecosystem stability and functioning. Silver carp (SC, Hypophthalmichthys molitrix) and bighead carp (BC, Hypophthalmichthys nobilis) are intensively stocked in lakes and reservoirs in China and share similar food resources and trophic positions in water bodies. To better understand the ecological roles of SC and BC in natural freshwater, two mesotrophic reservoirs (Nanwan and Nianyushan) were selected to compare resource utilization and the trophic niche of these two fish species. Data analysis using Bayesian mixing model showed that SC was more like a fine particulate organic matter (fPOM) feeder, while BC consumed more coarse particulate organic matter (cPOM) and displayed a higher trophic position in both reservoirs. In contrast, niche breadths represented by the corrected standard ellipse area (SEA(C)) were essentially the same for SC and BC in Nanwan (SEA(C) = 6.1 for SC and BC), but much larger for silver carp in Nianyushan (SEA(C) for SC: 11.6, SEA(C) for BC: 4.2). The high stocking ratio of SC/BC in Nianyushan was the probable reason for the large SEA(C) of silver carp, which suggested that silver carp could use more food resources and become more competitive with a higher stocking biomass ratio. The results indicated that the trophic partitioning of filter feeders might be regulated by the stocking biomass ratio of the fish to some extent.</t>
  </si>
  <si>
    <t>10.1080/02705060.2018.1560368</t>
  </si>
  <si>
    <t>Chakravarty, R; Radchuk, V; Managave, S; Voigt, CC</t>
  </si>
  <si>
    <t>Increasing species richness along elevational gradients is associated with niche packing in bat assemblages</t>
  </si>
  <si>
    <t>bats; elevational gradients; Himalaya; niche expansion; niche packing; stable isotopes</t>
  </si>
  <si>
    <t>ISOTOPIC NICHE; PATTERNS; MAMMALS; SPECIALIZATION; CHIROPTERA; EXPANSION; TRAITS</t>
  </si>
  <si>
    <t>The change in species richness along elevational gradients is a well-known pattern in nature. Niche theory predicts that increasing species richness in assemblages can either lead to denser packing of niche space ('niche packing') or an expansion into its novel regions ('niche expansion'). Traditionally, these scenarios have been studied using functional traits but stable isotopes provide advantages such as identifying the degree of resource specialisation, or niche partitioning among functionally similar species. In this study, we evaluate the relevance of niche packing versus niche expansion by investigating stable carbon and nitrogen isotopic niche width and overlap among 23 bat species from six functional groups across a 1500 m elevational gradient in the Himalaya. Our results suggest that an increase in species richness in the low elevation is accompanied by small niche width with high overlap, whereas the high elevation assemblage shows large niche width with low overlap among functional group members. At the functional group level, edge-space foraging, trawling, and active gleaning bats have the highest niche width while passive gleaning bats that are only found in high elevations are isotopic specialists showing low overlap with other groups. Edge and open-space foraging bats showed idiosyncratic changes in niche width across elevations. We also find that the niches of rhinolophid bats overlap with edge-space and open-space foraging bats despite their unique functional traits. These results support the idea that at low elevations high species richness is associated with niche packing while at high elevations strong niche partitioning prevails in dynamic and resource-poor environments. We conclude that although high elevation animal assemblages are often 'functionally underdispersed', that is show homogenous functional traits, our approach based on stable isotopes demonstrates niche partitioning among such functionally similar species.</t>
  </si>
  <si>
    <t>10.1111/1365-2656.13897</t>
  </si>
  <si>
    <t>Rowe, OF; Guleikova, L; Brugel, S; Bystrom, P; Andersson, A</t>
  </si>
  <si>
    <t>A potential barrier to the spread of the invasive cladoceran Cercopagis pengoi (Ostroumov 1891) in the Northern Baltic Sea</t>
  </si>
  <si>
    <t>Cercopagis pengoi; Coast; Zooplankton; Invasive species; Barriers; Gulf of Bothnia (Baltic Sea)</t>
  </si>
  <si>
    <t>HERRING CLUPEA-HARENGUS; SPRAT SPRATTUS-SPRATTUS; STABLE-ISOTOPES; LAKE-ONTARIO; FOOD-WEB; DYNAMICS; GULF; ONYCHOPODA; PREDATION; CRUSTACEA</t>
  </si>
  <si>
    <t>The spread of the invasive cladoceran Cercopagis pengoi has been well documented in southern areas of the Baltic Sea, however, little research on this invasive species (nor the zooplankton community) has focused on the Gulf of Bothnia (Bothnian Sea and Bay). We analysed data collected over a 12-13 year period at two main stations, one coastal and one offshore, to examine the occurrence of C. pengoi, invasion dynamics, effects on natural zooplankton communities and associated environmental factors. Nine other stations in the Gulf of Bothnia were also examined and the contribution to three-spined stickleback (Gasterosteus aculeatus) diet was quantified. The zooplankton community response apparently differed between coastal and offshore stations with Bosmina, Eurytemora, and Acartia populations being influenced during peak abundances of C. pengoi. It appears that the native zooplankton community has some resilience, returning to its prior structure outside of peak invasion periods. C. pengoi, where present, contributed significantly to stickleback diet. We explored possible barriers for C. pengoi in the Bothnian Bay, suggesting that the low productive Bothnian Bay ecosystem may be incapable of supporting such a predator. This highlights the need for further studies, especially in the light of global climate change. (C) 2015 The Authors. Published by Elsevier B.V.</t>
  </si>
  <si>
    <t>10.1016/j.rsma.2015.12.004</t>
  </si>
  <si>
    <t>Marks, JC; Haden, GA; O'Neill, M; Pace, C</t>
  </si>
  <si>
    <t>Effects of Flow Restoration and Exotic Species Removal on Recovery of Native Fish: Lessons from a Dam Decommissioning</t>
  </si>
  <si>
    <t>dam decommissioning; exotic fish removal; invasive species; native fish; stream restoration; water diversion</t>
  </si>
  <si>
    <t>STABLE-ISOTOPES; FOSSIL CREEK; CONSERVATION; UNCERTAINTY; CALIFORNIA; ECOSYSTEM; DESIGNS; IMPACT; BACI</t>
  </si>
  <si>
    <t>Flow diversion and invasive species are two major threats to freshwater ecosystems, threats that restoration efforts attempt to redress. Yet, few restoration projects monitor whether removal of these threats improve target characteristics of the ecosystem. Fewer still have an appropriate experimental design from which causal inferences can be drawn as to the relative merits of removing exotic fish, restoring flow, or both. We used a dam decommissioning in Fossil Creek, Arizona, to compare responses of native fish to exotic fish removal and flow restoration, using a before-after-control-impact design with three impact treatments: flow restoration alone where exotics had not been present, flow restoration and exotic fish removal, and flow restoration where exotics remain and a control reach that was unaffected by restoration actions. We show that removal of exotic fish dramatically increased native fish abundance. Flow restoration also increased native fish abundance, but the effect was smaller than that from removing exotics. Flow restoration had no effect where exotic fish remained, although it may have had other benefits to the ecosystem. The cost to restore flow ($12 million) was considerably higher than that to eradicate exotics ($1.1 million). The long-term influence of flow restoration could increase, as travertine dams grow and re-shape the creek increasing habitat for native fish. But in the 2-year period considered here, the return on investment for extirpating exotics far exceeded that from flow restoration. Projects aimed to restore native fish by restoring flow should also consider the additional investment required to eradicate exotic fish.</t>
  </si>
  <si>
    <t>10.1111/j.1526-100X.2009.00574.x</t>
  </si>
  <si>
    <t>Covernton, GA; Cox, KD; Fleming, WL; Buirs, BM; Davies, HL; Juanes, F; Dudas, SE; Dower, JF</t>
  </si>
  <si>
    <t>Large size (&gt;100-mu m) microplastics are not biomagnifying in coastal marine food webs of British Columbia, Canada</t>
  </si>
  <si>
    <t>Bayesian; bioaccumulation; digestive tracts; ecotoxicology; fish; food webs; ingestion; invertebrates; livers; machine learning; trophic</t>
  </si>
  <si>
    <t>TROPHIC MAGNIFICATION FACTORS; FEMALE DUNGENESS CRABS; CANCER-MAGISTER; SITE FIDELITY; ORGANIC-CHEMICALS; PUGET-SOUND; BIOACCUMULATION; SEA; ECOLOGY; INGESTION</t>
  </si>
  <si>
    <t>Microplastics (MPs) contamination in marine environments is of increasing concern, as plastic particles are globally ubiquitous across ecosystems. A large variety of aquatic taxa ingest MPs, but the extent to which animals accumulate and transfer MPs through food webs is largely unknown. In this study, we quantified MP uptake in bivalves, crabs, echinoderms, and fish feeding at different trophic levels at three sites on southern Vancouver Island. We paired stable-isotope food web analysis with MP concentrations in digestive tracts across all trophic levels and in fish livers. We then used Bayesian generalized linear mixed models to explore whether bioaccumulation and biomagnification were occurring. Our results showed that MPs (100-5000 mu m along their longest dimension) are not biomagnifying in marine coastal food webs, with no correlation between the digestive tract or fish liver MP concentrations and trophic position of the various species. Ecological traits did, however, affect microplastic accumulation in digestive tracts, with suspension feeder and smaller-bodied planktivorous fish ingesting more MPs by body weight. Trophic transfer occurred between prey and predator for rockfish, but higher concentrations in full stomachs compared with empty ones suggested rapid excretion of ingested MPs. Collectively, our findings suggested the movement of MP through marine food webs is facilitated by species-specific mechanisms, with contamination susceptibility a function of species biology, not trophic position. Furthermore, the statistical methods we employ, including machine learning for classifying unknown particles and a probabilistic way to account for background contamination, are universally applicable to the study of microplastics. Our findings advance understanding of how MPs enter and move through aquatic food webs, suggesting that lower-trophic-level animals are more at risk of ingesting &gt;100-mu m MPs, relative to higher-trophic-level animals. Our work also highlights the need to advance the study of &lt;100-mu m MPs, which are still poorly understood and may need to be considered separately in ecological risk assessments.</t>
  </si>
  <si>
    <t>e2654</t>
  </si>
  <si>
    <t>10.1002/eap.2654</t>
  </si>
  <si>
    <t>Yamamuro, M; Kamiya, H</t>
  </si>
  <si>
    <t>Elemental (C, N, P) and isotopic (delta C-13, delta N-15) signature of primary producers and their contribution to the organic matter in coastal lagoon sediment</t>
  </si>
  <si>
    <t>Organic loads; Eutrophication; Macrophyte; Phytoplankton; Lake Nakaumi; Lake Shinji</t>
  </si>
  <si>
    <t>CNP RATIOS; NITROGEN; CARBON; MARINE; PHYTOPLANKTON; SEAGRASSES; EUTROPHICATION; FRACTIONATION; PHOSPHORUS; MECHANISMS</t>
  </si>
  <si>
    <t>Estuarine ecosystems are easily deteriorated by organic pollution because of its high primary productivity. To identify chemical proxies for the possible sources of autochthonous organic matter [phytoplankton-derived particulate organic material (POM), macroalgae and seagrass], we measured C:N:P and the ratios of carbon and nitrogen stable isotopes (delta C-13 and delta N-15 values) in two estuarine environments, the polyhaline lagoon, Lake Nakaumi, and the oligohaline lagoon, Lake Shinji, in Japan. Due to vigorous photosynthesis, the delta C-13 of phytoplankton-derived POM in Lake Nakaumi was larger than what would normally be expected from estuarine salinity gradients. Concentrations of nitrogen and phosphorus did not affect the delta C-13 of phytoplankton-derived POM. The delta N-15 of all plants was uniform and was higher than the delta N-15 of sediments. The seagrass showed a higher C:N ratio than POM and macroalgae, while the macroalgae showed a higher N:P ratio. Thus, simultaneous evaluation of C:N and N:P ratios would distinguish these three plant groups, and it would be possible to identify the source plants from the elemental ratios of the sediments.</t>
  </si>
  <si>
    <t>10.1007/s11355-013-0219-6</t>
  </si>
  <si>
    <t>Fincel, MJ; VanDeHey, JA; Wuestewald, A; Chipps, SR</t>
  </si>
  <si>
    <t>Comparing isotope signatures of prey fish: does gut removal affect delta C-13 or delta N-15?</t>
  </si>
  <si>
    <t>stable isotope analysis; rainbow smelt; gizzard shad; yellow perch; white bass; spottail shiner</t>
  </si>
  <si>
    <t>STABLE-ISOTOPES; CLEARANCE RATE; CONTAMINANT BIOACCUMULATION; TROPHIC INTERACTIONS; NITROGEN; TISSUES; FRACTIONATION; TEMPERATURE; VARIABILITY; POSITION</t>
  </si>
  <si>
    <t>Stable isotope analysis is a quick and inexpensive method to monitor the effects of food web changes on aquatic communities. Traditionally, whole specimens have been used when determining isotope composition of prey fish or age-0 recreational fishes. However, gut contents of prey fish could potentially alter isotope composition of the specimen, especially when recent foraging has taken place or when the gut contains non-assimilated material that would normally pass through fishes undigested. To assess the impacts of gut content on prey fish isotope signatures, we examined the differences in isotopic variation of five prey fish species using whole fish, whole fish with the gut contents removed, and dorsal muscle only. We found significant differences in both delta N-15 and delta C-13 between the three tissue treatments. In most cases, muscle tissue was enriched compared to whole specimens or gut-removed specimens. Moreover, differences in mean delta N-15 within a species were up to 2 parts per thousand among treatments. This would result in a change of over half a trophic position (TP) based on a 3.4 parts per thousand increase per trophic level. However, there were no apparent relationships between tissue isotope values in fish with increased gut fullness (more prey tissue present). We suggest that muscle tissue should be used as the standard tissue for determining isotope composition of prey fish or age-0 recreational fishes, especially when determining enrichment for mixing models, calculating TP, or constructing aquatic food webs.</t>
  </si>
  <si>
    <t>10.1080/02705060.2011.604984</t>
  </si>
  <si>
    <t>Chouvelon, T; Spitz, J; Cherel, Y; Caurant, F; Sirmel, R; Mendez-Fernandez, P; Bustamante, P</t>
  </si>
  <si>
    <t>Inter-specific and ontogenic differences in delta C-13 and delta N-15 values and Hg and Cd concentrations in cephalopods</t>
  </si>
  <si>
    <t>Stable isotopes; Metals; Trace elements; Ontogenesis; Prey; Ecological tracer; Northeastern Atlantic</t>
  </si>
  <si>
    <t>LOLIGO-VULGARIS; SEPIA-OFFICINALIS; STABLE-ISOTOPES; FORBESI CEPHALOPODA; MERCURY CONCENTRATIONS; CADMIUM ACCUMULATION; METAL CONCENTRATIONS; CONTINENTAL-SHELF; ELEDONE-CIRRHOSA; FINE-STRUCTURE</t>
  </si>
  <si>
    <t>Chemical tracers (e. g. stable isotopes or trace metals) are increasingly used to study trophic ecology and feeding habits of marine organisms and various factors can affect their values. The aim of the present study was to provide information on ontogenic effects on stable carbon and nitrogen values (delta C-13 and delta N-15) and on cadmium (Cd) and mercury (Hg) concentrations in 5 cephalopod species from the Bay of Biscay (North-East Atlantic Ocean). To this end, individuals belonging to 3 species showing the widest range of sizes were analysed for muscle delta C-13 and delta N-15 values and muscle Hg, and digestive gland Cd concentrations. Results showed that stable isotope ratios allowed discrimination of specific feeding strategies during ontogenesis. Segregation between 5 cephalopod species in terms of trophic ecology was also evidenced (different isotopic niches). In contrast, Hg concentrations varied over the same order of magnitude in these 5 cephalopod species, despite higher levels in the benthic octopus Eledone cirrhosa. Consistently, Hg concentrations followed the same ontogenic pattern and increased with increasing body size/age of cephalopods. Finally, Cd concentrations varied over 3 orders of magnitude among the 5 species. Despite possible effects of physiology in terms of metal bioaccumulation, Cd concentrations were likely to reflect specific feeding preferences or feeding zones and ontogenic variability within a single species. Thus, ontogenic effects have to be taken into account when stable isotope ratios of carbon and nitrogen or trace metals are used as ecological tracers; the best recommendation being to focus on a given class age.</t>
  </si>
  <si>
    <t>10.3354/meps09159</t>
  </si>
  <si>
    <t>Bell-Tilcock, M; Jeffres, CA; Rypel, AL; Sommer, TR; Katz, JVE; Whitman, G; Johnson, RC</t>
  </si>
  <si>
    <t>Advancing diet reconstruction in fish eye lenses</t>
  </si>
  <si>
    <t>carbon; floodplain; habitat use; nitrogen; ontogeny; stable isotopes; sulphur</t>
  </si>
  <si>
    <t>Tracking habitat use and dietary shifts in migratory species is vital to conservation and management. Yet, conventional animal tracking often precludes tracking small juveniles at critical life stages where recruitment bottlenecks often manifest. Stable isotope analysis (SIA) in consecutive laminae in eye lenses, a protein-rich depositional tissue, has emerged as a promising tool in fishes to develop long-term interpretive records of dietary histories using a single archival tissue. Currently, studies using fish eye lenses to study SIA in diets have primarily been conducted in marine environments using delta C-13 and delta N-15 to identify resource partitioning, ontogenetic shifts and lifelong trophic histories. To date, no studies have examined freshwater taxa nor used delta S-34 isotopes. We placed juvenile (Chinook Salmon) Oncorhynchus tshawytscha in experimental enclosures in three different freshwater habitats (hatchery, river and seasonal floodplain), each with isotopically distinct and well-characterized food webs. This experimental approach allowed us to directly measure diets and quantify tissue turnover rates in eye lenses as well as the isotopic fractionation among fish tissues (fin and muscle tissue) in distinct habitat types using stable isotopes delta C-13, delta N-15 and delta S-34. Bulk eye-lens stable isotope measurements were analysed for juvenile salmon lenses and were found to be consistent with the isotopic values of rearing habitats. Slight additional isotopic fractionation was only found in delta C-13. We then successfully applied the method to a larger, reproductively mature adult salmon captured in freshwater and inferred juvenile habitat use. SIA in eye lenses using three dietary isotopes (delta C-13, delta N-15 and delta S-34) has significant potential for answering critical questions about migration, diet, foraging ecology and life history of migratory aquatic animals on Earth. Such information would have immediate application towards conservation management of diverse species and habitats at multiple scales.</t>
  </si>
  <si>
    <t>10.1111/2041-210X.13543</t>
  </si>
  <si>
    <t>Krause, A; Sandmann, D; Potapov, A; Ermilov, S; Widyastuti, R; Haneda, NF; Scheu, S; Maraun, M</t>
  </si>
  <si>
    <t>Variation in Community-Level Trophic Niches of Soil Microarthropods With Conversion of Tropical Rainforest Into Plantation Systems as Indicated by Stable Isotopes (N-15, C-13)</t>
  </si>
  <si>
    <t>niche differentiation; community structure; mesofauna; Acari; Oribatida; land-use change; Sumatra; isotopic metrics</t>
  </si>
  <si>
    <t>ORIBATID MITES ACARI; FUNCTIONAL DIVERSITY; FOOD-WEB; LIMITING SIMILARITY; CARBON ISOTOPES; OIL PALM; RATIOS; DIET; BIODIVERSITY; COEXISTENCE</t>
  </si>
  <si>
    <t>Land-use change is threatening biodiversity worldwide and is predicted to increase in the next decades, especially in tropical regions. Most studies focused on the response of single or few species to land-use change, only few investigated the response of entire communities. In particular the response of belowground communities to changes in land use received little attention. Oribatid mites (Oribatida, Acari) are among the most abundant soil animals, involved in decomposition processes and nutrient cycling. Oribatid mite species span a wide range of trophic niches and are known to sensitively respond to changes in land use. Here, we investigated shifts in the community-level trophic niche of oribatid mites with the conversion of rainforest into rubber and oil palm plantations. Due to a wider range of resources in more natural ecosystems, we expected the community-level trophic niche to shrink with conversion of rainforest into plantations. As the conversion of rainforest into plantations is associated with reduced availability of litter resources, we expected the average trophic level (indicated by the N-15/N-14 ratio) to be higher and basal resources (indicated by the C-13/C-12 ratio) to shift toward living plant material in rubber and oil palm plantations. Our analysis showed that community-level trophic niches in rainforest and rubber agroforest (jungle rubber) were separated from those in monoculture plantation systems, indicating a trophic niche shift with land-use intensification. As hypothesized, oribatid mites shifted their diet toward predation and/or scavenging and toward the plant-based energy channel with transformation of rainforest into plantations. Exceptionally low minimum C-13/C-12 ratios in rubber plantations suggest that certain oribatid mite species in this land-use system use resources not available in the other studied ecosystems. We detected high isotopic uniqueness in oil palm plantations suggesting a low trophic redundancy and thus high vulnerability of trophic functioning in this system in comparison to rainforest. Overall, the results suggest that the conversion of rainforest into plantations is associated with pronounced shifts in community-level trophic niches of mesofauna detritivores with potential major consequences for the functioning of the decomposer system.</t>
  </si>
  <si>
    <t>10.3389/fevo.2021.592149</t>
  </si>
  <si>
    <t>Rogers, TL; Fung, J; Slip, D; Steindler, L; O'Connell, TC</t>
  </si>
  <si>
    <t>Calibrating the time span of longitudinal biomarkers in vertebrate tissues when fine-scale growth records are unavailable</t>
  </si>
  <si>
    <t>Antarctic leopard seal; biomarkers; diet; foraging ecology; growth models; Hydrurga leptonyx; keratin; Special Feature: Biomarkers in Trophic Ecology; stable isotopes; temporal change; vibrissae; whisker</t>
  </si>
  <si>
    <t>SEALS HYDRURGA-LEPTONYX; TROPHIC DISCRIMINATION FACTORS; STABLE-ISOTOPE EVIDENCE; LEOPARD SEALS; PRYDZ BAY; PHOCA-VITULINA; FORAGING STRATEGIES; CRAB-EATER; DIET; VIBRISSAE</t>
  </si>
  <si>
    <t>Biological markers (biomarkers) are invaluable and widely adopted in ecology, archaeology, and anthropology. Serially sampling biomarkers along continuously growing inert tissue, such as vibrissae, hair, nail, horn, or baleen, is an ideal method by which to capture the changes in an individual's diet, environment, climate, health, and stress levels. However, there are complications in calibrating the time periods that samples represent. Here, we assess how the choice of model and the input data used affect the prediction of time span. We use the Antarctic leopard seal, Hydrurga leptonyx, as our model, with stable isotope data from the vibrissae of captive and wild animals. We show that for tissues with nonlinear growth, and where fine-scale data on tissue growth are unavailable, modeling over the life span of the tissue is a simple and easily adopted approach. In this method, growth parameters are derived from surveys of the study population and the shed-replacement cycle to calibrate the time span of the biomarker data. This model performed better than linear and nonlinear models, which use parameters that have been derived from growth measurements documented over short periods relative to the life span of the tissue. These latter approaches performed in a similar fashion to each other as they tended to overestimate the life span of the tissue. Whether growth is linear or nonlinear, not accounting for position-specific differences in growth (rates or coefficients) and asymptotic length (L-infinity) resulted in different interpretations of biomarker data across the samples collected from the same individual. In species where metabolically inert tissue grows in a progressive fashion, the ability to account for time-specific information refines our ability to interpret the biomarker data. We recommend that this approach be adapted for tissue, such as the vibrissae and hair of mammals and the hair of humans, which exhibit the predictable growth.</t>
  </si>
  <si>
    <t>e01449</t>
  </si>
  <si>
    <t>10.1002/ecs2.1449</t>
  </si>
  <si>
    <t>Stewart, SD; Young, MB; Harding, JS; Horton, TW</t>
  </si>
  <si>
    <t>Invasive Nitrogen-Fixing Plant Amplifies Terrestrial-Aquatic Nutrient Flow and Alters Ecosystem Function</t>
  </si>
  <si>
    <t>Invasive; Nitrogen fixation; Land use; Stream; Nitrate; Nitrogen stable isotopes; Oxygen stable isotopes; Nitrate attenuation</t>
  </si>
  <si>
    <t>ISOTOPIC COMPOSITION; LAND-USE; NITRATE; PHOSPHORUS; WATERSHEDS; SEAWATER; REMOVAL; NITRITE; RIVERS; GROWTH</t>
  </si>
  <si>
    <t>Nitrate pollution is a global issue threatening the health and function of many lowland freshwater ecosystems. Quantifying nitrate loads and instream attenuation associated with land use is a critical requirement for improving freshwater management. One often overlooked nitrate source in catchments is invasive N-fixing trees such as Ulex europaeus (European gorse). This study compared nitrate concentrations in conjunction with stable isotope analyses (nitrate N-15 and O-18) to investigate the effects of catchment gorse cover on stream nitrate export relative to three other land uses. These were regenerating native forest, low-intensity (dry-stock) and high-intensity (dairying) agriculture. We tested two hypotheses: (1) gorse is a regionally significant nitrate source; (2) instream nitrate attenuation is land-use dependent. The study was conducted in 24 reaches across six small, mixed land-use coastal catchments located on Banks Peninsula, New Zealand. Our results demonstrated that gorse-dominated stream reaches had significantly higher nitrate concentrations than all other land uses. Within the gorse-dominated reaches, nitrate concentration was significantly correlated with upstream catchment gorse cover. Furthermore, nitrate oxygen and nitrogen stable isotope compositions demonstrated that elevated nitrate concentrations in gorse streams were associated with decomposition of dead gorse foliage. The isotope data revealed sub-catchment-scale land-use-specific patterns of nitrate attenuation within streams. All three anthropogenic land uses (gorse, dry stock and dairy) showed distinctly different N-cycling from native-forested reaches where nitrate was efficiently cycled with evidence for highly localised nitrification. Stable isotope data demonstrated that overall nitrate attenuation became less efficient with higher nitrate loads. Our research demonstrates the significant impact N-fixing plants have on nitrate concentrations and instream attenuation. Quantifying the effects of N-fixing plants on water quality is an important step in achieving globally significant goals of sustaining ecosystem health and (sub)catchment-scale nutrient management.</t>
  </si>
  <si>
    <t>10.1007/s10021-018-0289-2</t>
  </si>
  <si>
    <t>Navarrete, D; Sitch, S; Aragao, LEOC; Pedroni, L</t>
  </si>
  <si>
    <t>Conversion from forests to pastures in the Colombian Amazon leads to contrasting soil carbon dynamics depending on land management practices</t>
  </si>
  <si>
    <t>carbon-13; Colombian Amazon; emission factors; forest reference emission level; forest-to-pasture conversion; grazing intensity; REDD; soil organic carbon pool</t>
  </si>
  <si>
    <t>TROPICAL DRY FOREST; ORGANIC-MATTER; BRAZILIAN AMAZON; ABANDONED PASTURES; NATURAL-ABUNDANCE; EASTERN AMAZONIA; NUTRIENT POOLS; DECOMPOSITION; BIOMASS; STOCKS</t>
  </si>
  <si>
    <t>Strategies to mitigate climate change by reducing deforestation and forest degradation ( e. g. REDD+) require country-or region-specific information on temporal changes in forest carbon ( C) pools to develop accurate emission factors. The soil C pool is one of the most important C reservoirs, but is rarely included in national forest reference emission levels due to a lack of data. Here, we present the soil organic C ( SOC) dynamics along 20 years of forest-to-pasture conversion in two subregions with different management practices during pasture establishment in the Colombian Amazon: high-grazing intensity ( HG) and low-grazing intensity ( LG) subregions. We determined the pattern of SOC change resulting from the conversion from forest ( C3 plants) to pasture ( C4 plants) by analysing total SOC stocks and the natural abundance of the stable isotopes C-13 along two 20-year chronosequences identified in each subregion. We also analysed soil N stocks and the natural abundance of N-15 during pasture establishment. In general, total SOC stocks at 30 cm depth in the forest were similar for both subregions, with an average of 47.1 +/- 1.8 Mg C ha +/- 1 in HG and 48.7 +/- 3.1 Mg C ha +/- 1 in LG. However, 20 years after forest-to-pasture conversion SOC in HG decreased by 20%, whereas in LG SOC increased by 41%. This net SOC decrease in HG was due to a larger reduction in C3-derived input and to a comparatively smaller increase in C4-derived C input. In LG both C3- and C4-derived C input increased along the chronosequence. N stocks were generally similar in both subregions and soil N stock changes during pasture establishment were correlated with SOC changes. These results emphasize the importance of management practices involving low-grazing intensity in cattle activities to preserve SOC stocks and to reduce C emissions after land-cover change from forest to pasture in the Colombian Amazon.</t>
  </si>
  <si>
    <t>10.1111/gcb.13266</t>
  </si>
  <si>
    <t>Bell, LE; Bluhm, BA; Iken, K</t>
  </si>
  <si>
    <t>Influence of terrestrial organic matter in marine food webs of the Beaufort Sea shelf and slope</t>
  </si>
  <si>
    <t>Stable isotopes; Carbon; Nitrogen; Trophic structure; Microbial loop; Mackenzie River; Arctic</t>
  </si>
  <si>
    <t>MACKENZIE RIVER; STABLE-ISOTOPES; ASSIMILATION PATHWAYS; SPATIAL VARIABILITY; CARBON FLUXES; CANADA BASIN; ARCTIC-OCEAN; OPEN WATER; ICE ALGAE; NITROGEN</t>
  </si>
  <si>
    <t>Forecasted increases in terrestrial organic matter (OMterr) inputs to the Arctic Beaufort Sea necessitate a better understanding of the proportional contribution of this potential food source to the trophic structure of marine communities. This study investigated the relative ecological importance of OMterr across the Beaufort Sea shelf and slope by examining differences in community trophic structure concurrent with variation in terrestrial versus marine organic matter influence. Oxygen stable isotope ratios (delta O-18) of surface water confirmed the widespread influence of Canada's Mackenzie River plume across the Beaufort Sea. Carbon stable isotope ratios (delta C-13) of pelagic particulate organic matter (pPOM) and marine consumers indicated a significant decrease in OMterr presence and utilization by consumers with increasing distance from the Mackenzie River outflow. Food web length, based on the nitrogen stable isotope ratios (delta N-15) of marine consumers, was greater closer to the Mackenzie River outflow both in shelf and slope locations, due to relatively higher delta N-15 values of pelagic and benthic primary consumers. Strong microbial processing of OMterr in the eastern regions of the Beaufort Sea is inferred based on a trophic gap between assumed end members and lower trophic consumers. A greater proportion of relative epifaunal biomass occupying higher trophic levels suggests that OMterr as a basal food source can provide substantial energetic support for higher marine trophic levels. These findings challenge the current conception of low terrestrial matter usage in the Arctic marine food web, and indicate the need for a more specific understanding of energy transfer through the OMterr-associated microbial loop.</t>
  </si>
  <si>
    <t>10.3354/meps11725</t>
  </si>
  <si>
    <t>Quillfeldt, P; Schenk, I; McGill, RAR; Strange, IJ; Masello, JF; Gladbach, A; Roesch, V; Furness, RW</t>
  </si>
  <si>
    <t>Introduced mammals coexist with seabirds at New Island, Falkland Islands: abundance, habitat preferences, and stable isotope analysis of diet</t>
  </si>
  <si>
    <t>ship rat; house mouse; invasive species; stable isotopes</t>
  </si>
  <si>
    <t>THIN-BILLED PRIONS; HOUSE MICE; PACHYPTILA-BELCHERI; CLIMATE-CHANGE; BREEDING SUCCESS; NORWAY RATS; PREDATION; POPULATIONS; REMOVAL; DEMOGRAPHY</t>
  </si>
  <si>
    <t>The largest known colony of Thin-billed prions Pachyptila belcheri has been coexisting with introduced mammals for more than 100 years. Three of the introduced mammals are potential predators of adults, eggs and chicks, namely ship rats Rattus rattus, house mice Mus musculus and feral cats Felis catus. We here determine habitat preferences over three seasons and dietary patterns of the unique set of introduced predators at New Island, Falkland Islands, with emphasis on the ship rats. Our study highlights spatial and temporal differences in the levels of interaction between predators and native seabirds. Rats and mice had a preference for areas providing cover in the form of the native tussac grass Parodiochloa flabellata or introduced gorse Ulex europaeus. Their diet differed markedly between areas, over the season and between age groups in rats. During the incubation period of the prions in November-December, ship rats had mixed diets, composed mainly of plants and mammals, while only 3% of rats had ingested birds. The proportion of ingested birds, including scavenged, increased in the prion chick-rearing period, when 60% of the rats consumed prions. We used delta C-13 and delta N-15 to compare the importance of marine-derived food between mammal species and individuals, and found that rats in all but one area took diet of partly marine origin, prions being the most frequently encountered marine food. Most house mice at New Island mainly had terrestrial diet. The stable isotope analysis of tissues with different turnover times indicated that individual rats and mice were consistent in their diet over weeks, but opportunistic in the short term. Some individuals (12% of rats and 7% of mice) were highly specialized in marine-derived food. According to the isotope ratios in a small sample of cat faeces, rodents and rabbits were the chief prey of cats at New Island. Although some individuals of all three predators supplement their terrestrial diet with marine-derived food, the current impact of predation by mammals on the large population of Thin-billed prions at New Island appears small due to a number of factors, including the small size of rodent populations and restriction mainly to small areas providing cover.</t>
  </si>
  <si>
    <t>10.1007/s00300-007-0363-2</t>
  </si>
  <si>
    <t>Schwinning, S</t>
  </si>
  <si>
    <t>The water relations of two evergreen tree species in a karst savanna</t>
  </si>
  <si>
    <t>Ecohydrology; Epikarst; Juniperus ashei; Quercus fusiformis; Stable isotopes</t>
  </si>
  <si>
    <t>WOODY-PLANT ENCROACHMENT; DRY TROPICAL CLIMATE; EDWARDS PLATEAU; SUMMER PRECIPITATION; VEGETATION CHANGE; STABLE-ISOTOPES; ROOTING DEPTH; DESERT PLANTS; EVENT SIZE; SOIL-WATER</t>
  </si>
  <si>
    <t>The ecohydrology of karst has not received much attention, despite the disproportionally large contribution of karst aquifers to freshwater supplies. Karst savannas, like many savannas elsewhere, are encroached by woody plants, with possibly negative consequences on aquifer recharge. However, the role of savanna tree species in hydrological processes remains unclear, not least because the location and water absorption zones of tree roots in the spatially complex subsurface strata are unknown. This study examined the water sources and water relations of two savanna trees, Quercus fusiformis (Small) and Juniperus ashei (Buchholz) in the karst region of the eastern Edwards Plateau, Texas (USA). Stable isotope analysis of stem water revealed that both species took up evaporatively enriched water during the warm season, suggesting a relatively shallow water source in the epikarst, the transition zone between soil and bedrock. Q. fusiformis had consistently higher predawn water potentials than J. ashei during drought, and thus was probably deeper-rooted and less capable of maintaining gas exchange at low water potentials. Although the water potential of both species recovered after drought-breaking spring and summer rain events, associated shifts in stem water isotope ratios did not indicate significant uptake of rainwater from the shallow soil. A hypothesis is developed to explain this phenomenon invoking a piston-flow mechanism that pushes water stored in macropores into the active root zones of the trees. Epikarst structure varied greatly with parent material and topography, and had strong effects on seasonal fluctuations in plant water status. The study suggests that tree species of the Edwards Plateau do not commonly reduce aquifer recharge by tapping directly into perched water tables, but more likely by reducing water storage in the epikarst. A more general conclusion is that models of savanna water relations based on Walter's two-layer model may not apply unequivocally to karst savannas.</t>
  </si>
  <si>
    <t>10.1007/s00442-008-1147-2</t>
  </si>
  <si>
    <t>Larson, EI; Poff, NL; Atkinson, CL; Flecker, AS</t>
  </si>
  <si>
    <t>Extreme flooding decreases stream consumer autochthony by increasing detrital resource availability</t>
  </si>
  <si>
    <t>disturbance; functional feeding groups; resource use; stable isotopes; stream insects</t>
  </si>
  <si>
    <t>PARTICULATE ORGANIC-MATTER; LEAST-SQUARES REGRESSION; FOOD-CHAIN LENGTH; HEADWATER STREAMS; COMMUNITY STRUCTURE; VARIABLE SELECTION; MOUNTAIN STREAM; STABLE-ISOTOPES; AQUATIC INSECTS; NEW-ZEALAND</t>
  </si>
  <si>
    <t>Extreme disturbances, those high magnitude events that are statistically rare in a particular system, may affect consumer resource use through multiple mechanisms, such as differential consumer mortality and modified resource availability and quality. Documenting the ecological importance of these rare events is difficult, but essential, as the frequency of extreme events is predicted to increase under many climate change scenarios. We quantified changes in stream insect resource use following intense, nonseasonal flooding in the Rocky Mountains of northern Colorado during September 2013. We hypothesised that taxonomic identity, functional feeding group membership and disturbance-caused alterations in resource quantity and quality (C:N ratios) would determine consumer reliance on autochthonous and allochthonous resources and community structure following the disturbance. In summer 2014, we collected basal resources and stream insects for carbon, nitrogen and deuterium bulk stable isotope analysis, and community composition. Basal resource quantity and quality (C:N ratios) were collected at seven headwater streams along a 2013 flood intensity gradient. Using stable isotope mixing models, we analysed consumer autochthony. We also used baseline community composition data from 2011 to compare functional feeding group abundance prior to and following the flood events. We found that consumer resource use was primarily associated with detrital resource quantity, which was positively correlated with disturbance intensity and elevation. Functional feeding group membership did not predict resource use. However, consumers in functional feeding groups did experience differential mortality following flooding. Herbivore relative abundance significantly declined along the disturbance gradient, and predator relative abundance generally declined across all streams from 2011 to 2014. Our results suggest that changes in resource quantity from extreme disturbances can be associated with shifts in consumer resource use. Following this flood event, detritus standing stocks increased, resulting in a concomitant increase in consumer reliance on allochthonous sources.</t>
  </si>
  <si>
    <t>10.1111/fwb.13177</t>
  </si>
  <si>
    <t>Currey, LM; Heupel, MR; Simpfendorfer, CA; Williams, AF</t>
  </si>
  <si>
    <t>Inferring movement patterns of a coral reef fish using oxygen and carbon isotopes in otolith carbonate</t>
  </si>
  <si>
    <t>Broad-scale movement; Lethrinus miniatus; Migration; Ontogeny; Stable isotope chemistry</t>
  </si>
  <si>
    <t>RED THROAT EMPEROR; COD GADUS-MORHUA; LETHRINUS-MINIATUS; STOCK DISCRIMINATION; NORTHERN AUSTRALIA; PISCES SCOMBRIDAE; STABLE-ISOTOPES; RATIO ANALYSIS; SHARK BAY; CHEMISTRY</t>
  </si>
  <si>
    <t>Ratios of oxygen and carbon isotopes (delta O-18 and delta C-13) in otolith carbonate provide information on stock separation and migration of fish populations inhabiting isotopically different environments. delta O-18 and delta C-13 were analysed from Lethrinus miniatus (Forster 1801) otoliths to elucidate the probability of broad-scale movement in the Great Barrier Reef. Otolith core and edge portions were compared between and within individuals from the same cohort (n = 120) to determine whether isotopically different environments were inhabited by juveniles and adults from different latitudes. A comparison between individuals revealed that delta O-18 and delta C-13 increased with latitude and were generally higher in edge than in core portions. Similarly, within most individual otoliths, delta O-18 and delta C-13 were higher in edge than in core portions. For some individuals, however, there was no difference in delta O-18 between core and edge portions, potentially signifying self-recruitment to the area or occupation of areas of similar chemistry. The majority of individuals from 19 to 22 degrees S and almost half of individuals from 18 degrees S displayed juvenile delta O-18 signatures characteristic of a warmer environment, suggesting movement to cooler environments or potential southerly migration of early life stages to adult habitat. In contrast, almost half of adult individuals in the most northern latitude (18 degrees S) appeared to originate from cooler environments, suggesting movement to warmer environments or potential northward migration with ontogeny. These results infer that movement of L. miniatus individuals occurred across different isotopic environments with life stage and was related to latitude. Isotope ratios provided insight into movement patterns of L. miniatus at scales that will be important for delineating management units for this commercially important species. (C) 2014 Elsevier B.V. All rights reserved.</t>
  </si>
  <si>
    <t>10.1016/j.jembe.2014.03.004</t>
  </si>
  <si>
    <t>Kolb, GS; Ekholm, J; Hamback, PA</t>
  </si>
  <si>
    <t>Effects of seabird nesting colonies on algae and aquatic invertebrates in coastal waters</t>
  </si>
  <si>
    <t>Nitrogen; Stable isotopes; Bottom-up; Eutrophication; Baltic Sea; Cormorants</t>
  </si>
  <si>
    <t>ROCKY INTERTIDAL COMMUNITIES; FRESH-WATER; FOOD WEBS; NUTRIENT AVAILABILITY; FEEDING PREFERENCES; FUCUS-VESICULOSUS; GREAT CORMORANT; NITROGEN; MARINE; HABITAT</t>
  </si>
  <si>
    <t>Seabirds concentrate nutrients from large marine areas on their nesting islands. The high nutrient load may cause runoff into surrounding waters and affect marine communities in similar ways to those reported from marine fertilization experiments. In order to test if cormorant colonies affect algae and invertebrates in surrounding coastal waters, we collected Fucus vesiculosus fronds, its epiphytic algae, and associated invertebrate fauna near abandoned and active cormorant nesting islands as well as reference islands without nesting cormorants in the Stockholm archipelago in the northern Baltic Sea, Sweden. First, we showed, with delta N-15 analyses, that ornithogenic nitrogen provided a significant nitrogen source for algae and invertebrate consumers near islands with high nest density. Second, the nitrogen and phosphorus content of algae near active cormorant islands with high nest density was elevated, and epiphytic algae increased relative to F. vesiculosus. Third, 3 of 5 invertebrate taxa (Jaera albifrons, Gammarus spp., and Chironomidae) showed increased biomasses near islands with high nest density; but, contrary to former fertilization studies, only J. albifrons increased in abundance compared to reference islands. We conclude that runoff from seabird colonies has a profound effect on primary producers and some consumers in the surrounding water, but only if the colonies exceed a certain nest density. Thus, seabirds not only affect marine communities via top-town forces as commonly assumed, but also via bottom-up forces by concentrating nutrients around their nesting islands. Consequently, seabird islands can be seen as natural fertilization experiments and give important insights to the effects of eutrophication of marine systems.</t>
  </si>
  <si>
    <t>10.3354/meps08791</t>
  </si>
  <si>
    <t>Cordell, S; Sandquist, DR</t>
  </si>
  <si>
    <t>The impact of an invasive African bunchgrass (Pennisetum setaceum) on water availability and productivity of canopy trees within a tropical dry forest in Hawaii</t>
  </si>
  <si>
    <t>tropical dry forest; invasive species; competition; stable oxygen isotopes; water use</t>
  </si>
  <si>
    <t>EXOTIC GRASSES; RESOURCE-USE; FUNCTIONAL DIVERSITY; NITROGEN DYNAMICS; PLANT-COMMUNITIES; USE EFFICIENCY; ALIEN GRASS; SAVANNA; FIRE; COMPETITION</t>
  </si>
  <si>
    <t>Tropical dry forests are among the Earth's most threatened ecosystems. On the Island of Hawaii the African bunchgrass Pennisetum setaceum (fountain grass) dominates the understorey of the few remaining fragments of native dry forests and is contributing to the degradation of this once diverse ecosystem. In this study, we examined the impacts of Pennisetum on water use and productivity of the dominant native canopy tree, Diospyros sandwicensis. Over a 3-year period, measurements were made on tree growth rates, and physiological and morphological responses of the most common dry forest native tree, D. sandwicensis, growing with an understorey dominated by Pennisetum, and on trees growing in plots maintained free of grasses. Analysis of stable oxygen isotope ratios indicated that trees growing in the absence of Pennisetum used a higher proportion of water from shallow soil sources. They also sustained higher mid-day water potentials, especially during drier periods. At the leaf level, no significant differences were found in gas exchange measurements between Diospyros trees growing with or without Pennisetum. However, trees growing without Pennisetum had 30% lower leaf mass per unit area and 40% higher diameter growth than trees growing with Pennisetum. These results demonstrate that invasion by Pennisetum has a pronounced negative impact on resource acquisition and use by the dominant native tree of this dry forest ecosystem. Although tree death due to these impacts would be much slower than through more immediate processes such as fire and grazing, our findings suggest that long-term conservation of ecosystems threatened by invasions, such those in Hawaiian dry forests, will ultimately require active management of the invading species.</t>
  </si>
  <si>
    <t>10.1111/j.1365-2435.2008.01471.x</t>
  </si>
  <si>
    <t>O'Farrell, S; Bearhop, S; Mcgill, RAR; Dahlgren, CP; Brumbaugh, DR; Mumby, PJ</t>
  </si>
  <si>
    <t>Habitat and body size effects on the isotopic niche space of invasive lionfish and endangered Nassau grouper</t>
  </si>
  <si>
    <t>apex predator; Bahamas; coral reef fish; Epinephelus striatus; invasive species; ontogenetic competition; Pterois spp.; resource partitioning; stable isotope analysis; trophic overlap</t>
  </si>
  <si>
    <t>INDO-PACIFIC LIONFISH; PTEROIS-VOLITANS; EPINEPHELUS-STRIATUS; FOOD WEBS; PREY; COMMUNITIES; RECRUITMENT; PREDATION; SHIFTS; COAST</t>
  </si>
  <si>
    <t>Species invasions are a significant threat to global biodiversity and ecosystem function, and yet our knowledge of consequences for native species remains poor. The problem is exacerbated in highly speciose ecosystems like coral reefs. The invasion of the wider Caribbean by predatory lionfish (Pterois spp.) is one of the most successful marine colonizations ever documented, and its impact is anticipated to be substantial on native species. However, despite the ecological and commercial importance of iconic Nassau grouper (Epinephelus striatus), the impacts of the invasion on this IUCN Red-Listed species remain unexamined. Using data gathered from two critical habitats in the Bahamas, we investigate isotopic niche space overlap between lionfish, Nassau grouper and putative prey species. Despite their relatively small body size, we find that lionfish occupy the highest isotopic niche position on patch reefs, occupying much of the same space as the native apex predator. Contrary to expectation, lionfish trophic level (delta N-15) does not increase with body size, contrasting with confamilials in their native range. However, we find that tissue carbon (delta C-13) changes systematically with body size on deep forereef habitats, representing a length-specific shift in food resources, with smaller individuals partitioning resources from larger individuals in this habitat but not on shallow patch reefs. We conclude that, despite the difference in body size, lionfish are capable of directly competing for food resources with Nassau grouper, and that impacts on guilds such as planktivores and invertivores may vary systematically by habitat. Our study contributes to the growing body of research aimed at understanding how a species that is relatively rare in its native range achieved the most successful fish invasion ever documented.</t>
  </si>
  <si>
    <t>10.1890/ES14-00126.1</t>
  </si>
  <si>
    <t>Welch, H; Pressey, RL; Reside, AE</t>
  </si>
  <si>
    <t>Using temporally explicit habitat suitability models to assess threats to mobile species and evaluate the effectiveness of marine protected areas</t>
  </si>
  <si>
    <t>Key words; Bycatch; Fisheries; Gap analysis; Maxent; Reserve network; Species distribution model</t>
  </si>
  <si>
    <t>FISHERIES BYCATCH; BY-CATCH; MANAGEMENT; CONSERVATION; DISTRIBUTIONS; VULNERABILITY; RESERVES; SHARKS; SYSTEM; RISK</t>
  </si>
  <si>
    <t>A principal role of marine protected areas (MPAs) is to mitigate the decline of biodiversity. A key part of this role is to reduce the effects of fisheries on bycatch of vulnerable species. Bycatch can have an impact on species by reducing population sizes, and an ecosystem-level impact through the significant removal of biomass and subsequent trophic changes. In this regard, it is crucial to refine methods for quantifying interactions between fisheries and bycatch species, and to manage these interactions spatially. A new method is presented for quantifying interactions between fisheries and bycatch species at high spatial and temporal resolutions. Temporally explicit species distribution models are used to examine temporal dynamics of fisheries and bycatch. This method is applied to Australia's Eastern Tuna and Billfish Fishery to estimate interactions with seven principal bycatch species. The ability of MPAs to reduce bycatch is evaluated, and considerations are outlined for the spatial management of fishery-bycatch species interactions. Australia's Commonwealth Marine Reserve Network had a minimal impact on bycatch reduction under both the 2012 proclaimed and the 2015 panel-recommended zonings. These results highlight the need for threats to marine biodiversity to be incorporated directly into design of MPAs, and for close scrutiny of assumptions that threats will be incidentally abated after MPAs have been proclaimed, or that off-reserve mechanisms will compensate for inadequacies of MPAs.</t>
  </si>
  <si>
    <t>10.1016/j.jnc.2017.12.003</t>
  </si>
  <si>
    <t>Shao, L; Wu, D; Zhang, D; Feng, T</t>
  </si>
  <si>
    <t>Using Isotopes to Identify the Sources of Organic Carbon and Nitrogen in Surface Sediment in Shallow Lakes Alongside Poyang Lake</t>
  </si>
  <si>
    <t>Sedimented organic matter; Organic carbon isotope; Organic nitrogen isotope; Organic matter sources; Shallow lake</t>
  </si>
  <si>
    <t>STABLE CARBON; MATTER SOURCES; DELTA-N-15; DELTA-C-13; RIVER; DIAGENESIS; INDICATORS; FLOODPLAIN; SIGNATURES; ESTUARIES</t>
  </si>
  <si>
    <t>Water exchange in shallow lakes alongside Poyang Lake is weak because of sluggish water flow, and thus these lakes are susceptible to the effects of human activities and nutrient oversupply. Therefore, it is meaningful to study the sources of organic matter in these lakes, which is supposed to provide theoretical basis for the control of eutrophication of the lakes. The sources of organic matter in surface sediment in shallow lakes (Bang, Sha, Dahuchi, and Zhu lakes) alongside Poyang Lake and urban lakes (Qingshan and Xiang lakes) in Nanchang City were investigated by measuring the delta N-15 and delta C-13 values, total organic carbon and total organic nitrogen contents, and C/N ratios of sedimented organic matter (SOM). The delta N-15, delta C-13, and C/N ratios indicated that SOM in Sha and Dahuchi lakes mostly originated in phytoplankton, SOM in Bang and Zhu lakes was supplied by phytoplankton and soil organic matter, SOM in Qingshan Lake was strongly affected by sewage organic matter, and SOM in Xiang Lake mainly came from aquatic macrophytes. The results demonstrate that stable isotopes in SOM in lakes can be used to discriminate between different sources of organic material.</t>
  </si>
  <si>
    <t>S25</t>
  </si>
  <si>
    <t>S33</t>
  </si>
  <si>
    <t>10.1007/s13157-017-0988-z</t>
  </si>
  <si>
    <t>Deehr, RA; Luczkovich, JJ; Hart, KJ; Clough, LM; Johnson, BJ; Johnson, JC</t>
  </si>
  <si>
    <t>Using stable isotope analysis to validate effective trophic levels from Ecopath models of areas closed and open to shrimp trawling in Core Sound, NC, USA</t>
  </si>
  <si>
    <t>Ecopath; Effective trophic level; Estuarine ecosystem; Shrimp trawling; Stable nitrogen isotope</t>
  </si>
  <si>
    <t>FOOD-WEB; SPATIAL VARIABILITY; BENTHIC SCAVENGERS; DELTA-C-13 VALUES; ECOSYSTEM MODELS; DELTA-N-15; MARINE; CARBON; DIET; NITROGEN</t>
  </si>
  <si>
    <t>We used stable isotope ratios of nitrogen N-15/N-14) as a validation tool for determining the accuracy of the effective trophic levels computed in network analysis models for Core Sound, North Carolina, USA. Ecological network models (using Ecopath) were assembled for two trawling management areas, closed areas where shrimp trawling has been restricted for 30 years, and open trawling areas within the estuary. Effective trophic levels (ETLs) were computed from the two Ecopath models and compared with delta N-15 values measured from the same species at the same time in the two areas. Comparisons of ETLs between species compartments of the two models were very similar, and ETLs were positively related to delta N-15 values. Linear regression of ETL as a predictor of delta N-15 value was highly significant (R-2 = 0.50, p&gt;0.00001), suggesting that delta N-15 values increase by 2.52% per trophic level. This increase in delta N-15 value agrees well with a recent global meta-analysis of nitrogen fractionation estimates. There was no significant difference in delta N-15 values between trawling zones over all species examined, although there were significantly higher delta N-15 values in the areas open to trawling for certain species of fish (pinfish, spot) and invertebrate (blue crabs). Atlantic menhaden, which feed on detritus and zooplankton, had much higher delta N-15 values than the Ecopath ETL and delta N-15 regression model predicted (large studentized residuals), suggesting that Ecopath incorrectly computes the trophic level of animals that consume dead material (in our model, detritus and shrimp trawl bycatch species). Shrimp trawl bycatch species are mostly pinfish, spot and blue crabs, with ETLs of 2.5 or higher, but are inappropriately assumed to be at trophic level 1 when dead in Ecopath. Despite this discrepancy for some species of detritivores and scavengers, we conclude that this Ecopath network model of Core Sound is reliable and predicts with good accuracy the shifts and changes in trophic level and diet as measured by stable isotopes and observed in diet studies. The Core Sound network model will be a useful approach when predicting impacts in the ecosystem due to changes in trawling or other fisheries management decisions. (C) 2014 Elsevier B.V. All rights reserved.</t>
  </si>
  <si>
    <t>10.1016/j.ecolmodel.2014.03.005</t>
  </si>
  <si>
    <t>Pantoja-Echevarria, LM; Tamburin, E; Marmolejo-Rodriguez, AJ; Galvan-Magana, F; Elorriaga-Verplancken, FR; Delgado-Huertas, A; Tripp-Valdez, A; Arreola-Mendoza, L; Lara, A</t>
  </si>
  <si>
    <t>Stable isotopic inferences on trophic ecology and habitat use of brown smooth-hound Mustelus henlei in the west coast of Baja California Sur, Mexico</t>
  </si>
  <si>
    <t>Gulf of Ulloa; Trophic ecology; Brown smoothound shark; Stable isotopes; delta C-13; delta N-15</t>
  </si>
  <si>
    <t>ARTISANAL ELASMOBRANCH FISHERY; ONTOGENIC DIETARY SHIFTS; PACIFIC COAST; REPRODUCTIVE-BIOLOGY; GRAY SMOOTHHOUND; FEEDING ECOLOGY; COSTA-RICA; SHARK; NICHE; DELTA-N-15</t>
  </si>
  <si>
    <t>The brown smoothhound shark Mustelus henlei is the most important shark species in the artisanal fisheries of the western coast of Baja California Sur, Mexico. Its trophic ecology was analyzed using carbon (C-13) and nitrogen (N-15) stable isotope analysis in the muscle tissue. The values of delta C-13 (-18.2 0.6 parts per thousand) and delta N-15 (17.7 +/- 0.9 parts per thousand) suggest that this species feeds in the Gulf of Ulloa throughout the year. The low values of delta C-13 indicate that the sharks feed in oceanic zones; while the delta N-15 values suggest that these sharks feed on prey that occupy a high trophic level and/or from a trophic chain with an enriched basal signal. The delta C-13 and delta N-15 values of this species do not present significant statistical differences between sexes and size. This study provides new insights regarding the habitat use of M. henlei, characterizing its preference for oceanic zones. (C) 2020 Elsevier B.V. All rights reserved.</t>
  </si>
  <si>
    <t>10.1016/j.rsma.2020.101520</t>
  </si>
  <si>
    <t>Young-Robertson, JM; Ogle, K; Welker, JM</t>
  </si>
  <si>
    <t>Thawing seasonal ground ice: An important water source for boreal forest plants in Interior Alaska</t>
  </si>
  <si>
    <t>active layer; Bayesian model; boreal forests; isotope mixing model; permafrost; plant water sources; stable isotopes; subarctic</t>
  </si>
  <si>
    <t>CLIMATE-CHANGE; NORTHERN ALASKA; DRAINAGE SYSTEM; PERMAFROST THAW; SOIL-WATER; TUNDRA; CARBON; FEEDBACKS; DYNAMICS; PATTERNS</t>
  </si>
  <si>
    <t>Little is known about the ecological impacts of permafrost degradation on water fluxes in boreal ecosystems, such as those in Interior Alaska. Low plant water stress suggests a reliance on a diversity of water sources. In addition to rainfall, we hypothesize that deep soil water derived from thawing seasonal ground ice (TSGI) supports plants during dry periods. We analyzed water stable isotopes from soils, plants, ice, and rain collected from stable and unstable permafrost sites. We found that TSGI provides a background water source for plants during wet years (at least 10-20%) and a stable source during dry years (at least 30-50%) and early in the growing season (60-80% in wet and dry years). Plant water uptake patterns track the soil thawing front, using deep and shallow layers in wet years and deep layers during dry years. This plasticity allows boreal plants to cope with seasonal drought and exploit available water sources. The availability of TGSI depends on the amount of rainfall the prior year and on permafrost stability. Thawing permafrost may reduce the buffering capacity of TGSI due to less seasonal ice from greater drainage and/or a deeper active layer. This study demonstrates the importance of two buffering mechanisms for plants to cope with rainfall variability within boreal forest underlain by permafrost-availability of TSGI and plasticity in water uptake patterns. We suggest that plant utilization of stored water may be why evapotranspiration in northern latitudes can exceed growing season precipitation.</t>
  </si>
  <si>
    <t>e1796</t>
  </si>
  <si>
    <t>10.1002/eco.1796</t>
  </si>
  <si>
    <t>Food web persistence in fragmented landscapes</t>
  </si>
  <si>
    <t>food webs; species dispersal; patch fragmentation; competition-dispersal trade-off; patch-dynamic model</t>
  </si>
  <si>
    <t>SPATIALLY STRUCTURED HETEROGENEITIES; HABITAT FRAGMENTATION; DENDRITIC CONNECTIVITY; EXTINCTION THRESHOLDS; EVOLUTIONARY DYNAMICS; DISPERSAL STRATEGIES; ECOLOGICAL NETWORKS; SPECIES PERSISTENCE; BODY-SIZE; BIODIVERSITY</t>
  </si>
  <si>
    <t>Habitat destruction, characterized by patch loss and fragmentation, is a key driver of biodiversity loss. There has been some progress in the theory of spatial food webs; however, to date, practically nothing is known about how patch configurational fragmentation influences multi-trophic food web dynamics. We develop a spatially extended patch-dynamic model for different food webs by linking patch connectivity with trophic-dependent dispersal (i.e. higher trophic levels displaying longer-range dispersal). Using this model, we find that species display different sensitivities to patch loss and fragmentation, depending on their trophic position and the overall food web structure. Relative to other food webs, omnivory structure significantly increases system robustness to habitat destruction, as feeding on different trophic levels increases the omnivore's persistence. Additionally, in food webs with a dispersal-competition trade-off between species, intermediate levels of habitat destruction can enhance biodiversity by creating refuges for the weaker competitor. This demonstrates that maximizing patch connectivity is not always effective for biodiversity maintenance, as in food webs containing indirect competition, doing so may lead to further species loss.</t>
  </si>
  <si>
    <t>10.1098/rspb.2017.0350</t>
  </si>
  <si>
    <t>von der Meden, CEO; Porri, F; Radloff, S; McQuaid, CD</t>
  </si>
  <si>
    <t>Settlement intensification and coastline topography: understanding the role of habitat availability in the pelagic-benthic transition</t>
  </si>
  <si>
    <t>Settlement rate; Intertidal; Mussel; Perna perna; Residence time; Bays; Larval abundance; Benthic-pelagic coupling</t>
  </si>
  <si>
    <t>MUSSEL PERNA-PERNA; BARNACLE SEMIBALANUS-BALANOIDES; SPATIAL VARIATION; RECRUITMENT LIMITATION; POPULATION CONNECTIVITY; SECONDARY SETTLEMENT; LIMITED RECRUITMENT; MARINE POPULATION; LARVAL ABUNDANCE; MYTILUS-EDULIS</t>
  </si>
  <si>
    <t>Among the factors that influence intertidal settlement of rocky shore invertebrates, habitat availability has a direct effect on potential settlement per unit area. Consequently, the amount of suitable habitat available is relevant to explanations of intertidal distributions and abundance. Results concerning the direction of the relationship between the availability of habitat and settlement have, however, been contradictory. Several studies have concluded that settlement rates are positively correlated with free space, whereas others have identified inverse relationships, typified by the settlement intensification hypothesis based on the finding that barnacle settlement has a negative non-linear relationship with habitat availability. Combining a simple method of measuring alongshore rocky habitat availability with intertidal mussel settlement data from 20 sites and 4 sampling occasions, we examined the relationship between these 2 factors at 3 spatial scales (10, 100 and 1000 m) to test for an intensification effect and to identify the scale(s) at which it may take place. Sites were split between bay and open coast areas, allowing additional tests of habitat availability patterns between bays and open coast areas. Significant negative settlement-habitat correlations were identified on 3 of the sampling occasions, and regression analyses confirmed that these relationships were mostly exponential in nature, with as much as 45% of the variation in settlement explained by rocky habitat availability. This finding of settlement intensification highlights the need to understand fully settlement data, particularly in relation to the interpretation of bentho-pelagic links and large-scale patterns of mussel settlement.</t>
  </si>
  <si>
    <t>10.3354/meps09762</t>
  </si>
  <si>
    <t>Gockele, A; Weigelt, A; Gessler, A; Scherer-Lorenzen, M</t>
  </si>
  <si>
    <t>Quantifying resource use complementarity in grassland species: A comparison of different nutrient tracers</t>
  </si>
  <si>
    <t>Root activity; Tracer uptake; Lithium; Rubidium; Grassland species; Soil resource complementarity</t>
  </si>
  <si>
    <t>ROOT ACTIVITY; TEMPORAL PATTERNS; FINE ROOTS; PLANT; NITROGEN; POTASSIUM; DIVERSITY; CALCIUM; BIODIVERSITY; COMPETITION</t>
  </si>
  <si>
    <t>Stable isotopes (e.g. N-15) and rare elements (e.g. Li+, Rb+, Sr2+) have been applied to trace nutrient uptake in plants. Tracer methods are increasingly used to quantify soil resource niche partitioning in multi-species communities. Niche partitioning allows for complementarity in nutrient uptake. Spatial complementarity is most frequently measured on separate plots, which bears a risk of between plot variations. This could be avoided with a method that allows for quantification of nutrient partitioning within the same plot. However, there is uncertainty whether uptake is sufficiently similar among different tracers to allow for direct comparison. Therefore we tested uptake similarity between Li+ and Rb+ to determine if they can serve as analogues to quantify nutrient uptake from different soil depths. We found a strong overall correlation between Li+ and Rb+ accumulation, irrespective of the duration of tracer exposition and plant species identity. However, the slope of the regression between both elements was different in roots and shoots and between different functional groups, pointing to the need of correction factors. Comparisons with other tracers showed that Li+ and Rb+ accumulation is clearly more similar to each other than to Sr2+ and N-15 accumulation. We therefore conclude: Li+ and Rb+ have a strong potential to be used as tracers for quantifying spatial complementarity within one given plot under field conditions. (C) 2014 Elsevier GmbH. All rights reserved.</t>
  </si>
  <si>
    <t>4-6</t>
  </si>
  <si>
    <t>10.1016/j.pedobi.2014.09.001</t>
  </si>
  <si>
    <t>Niedrist, GH; Fureder, L</t>
  </si>
  <si>
    <t>When the going gets tough, the tough get going: The enigma of survival strategies in harsh glacial stream environments</t>
  </si>
  <si>
    <t>glacial streams; niche breadth; stable isotopes; trophic ecology; omnivory</t>
  </si>
  <si>
    <t>STABLE-ISOTOPE RATIOS; ORGANIC-MATTER; ALPINE; BIODIVERSITY; COMMUNITIES; CARBON; ECOSYSTEM; ECOLOGY; MACROINVERTEBRATES; INVERTEBRATES</t>
  </si>
  <si>
    <t>1. Glacier retreat is a key component of environmental change in alpine environments, leading to significant changes in physico-chemical characteristics and biological communities in glacier-fed rivers. While the overall effects of the environment on community structure of invertebrates are largely understood, its influence on functional strategies such as feeding habits of same species are not. 2. The aquatic larvae of the species-rich family Chironomidae, or nonbiting midges, are the first invertebrates colonising alpine headwaters, and the first macroinvertebrate consumers in these harsh environments. Species composition in the two subfamilies, Diamesinae and Orthocladiinae, is diverse and is strongly affected by the changing habitat conditions upon glacier retreat. Here, we show that Diamesinae have extremely flexible feeding strategies that explain their abundance, high body-mass and predominance in glacier-fed streams. 3. Along a multifactorial ecological gradient from benign to harsh, based on water temperature, sediment transport and degree of glacial influence, Diamesinae expanded their trophic niche area and covered more trophic levels when conditions harshened. In contrast, niche areas of Orthocladiinae remained small and were not related to this gradient. In Diamesinae, mean body-mass increased with harsher environmental conditions, but no such effects were found in Orthocladiinae. 4. As facultative predators and able to feed on diverse food sources, Diamesinae have evolved survival mechanisms that allow them to thrive and successfully reproduce in glacier-fed streams, which likely explains their predominance in these habitats. 5. Climate change-induced glacier retreat affects the global water balance, with many downstream effects, including on irrigation and domestic use, and our study deepens our understanding of its effects on animals that depend on glacier-melt.</t>
  </si>
  <si>
    <t>10.1111/fwb.13131</t>
  </si>
  <si>
    <t>Frossard, V; Verneaux, V; Millet, L; Magny, M; Perga, ME</t>
  </si>
  <si>
    <t>Changes in carbon sources fueling benthic secondary production over depth and time: coupling Chironomidae stable carbon isotopes to larval abundance</t>
  </si>
  <si>
    <t>Lakes; Chironomids; Methanotrophy</t>
  </si>
  <si>
    <t>PELAGIC FOOD WEBS; ORGANIC-MATTER; BIOGENIC METHANE; WATER LAKE; DELTA-C-13; PHYTOPLANKTON; TERRESTRIAL; HYDROGEN; NITROGEN; BACTERIA</t>
  </si>
  <si>
    <t>Stable C isotope ratio (delta C-13) values of chironomid remains (head capsules; HC) were used to infer changes in benthic C sources over the last 150 years for two French sub-Alpine lakes. The HCs were retrieved from a series of sediment cores from different depths. The HC delta C-13 values started to decrease with the onset of eutrophication. The HC delta C-13 temporal patterns varied among depths, which revealed spatial differences in the contribution of methanotrophic bacteria to the benthic secondary production. The estimates of the methane (CH4)-derived C contribution to chironomid biomass ranged from a few percent prior to the 1930s to up to 30 % in recent times. The chironomid fluxes increased concomitantly with changes in HC delta C-13 values before a drastic decrease due to the development of hypoxic conditions. The hypoxia reinforced the implication for CH4-derived C transfer to chironomid production. In Lake Annecy, the HC delta C-13 values were negatively correlated to total organic C (TOC) content in the sediment (C-org), whereas no relationship was found in Lake Bourget. In Lake Bourget, chironomid abundances reached their maximum with TOC contents between 1 and 1.5 % C-org, which could constitute a threshold for change in chironomid abundance and consequently for the integration of CH4-derived C into the lake food webs. Our results indicated that the CH4-derived C contribution to the benthic food webs occurred at different depths in these two large, deep lakes (deep waters and sublittoral zone), and that the trophic transfer of this C was promoted in sublittoral zones where O-2 gradients were dynamic.</t>
  </si>
  <si>
    <t>10.1007/s00442-015-3225-6</t>
  </si>
  <si>
    <t>Rose, KC; Williamson, CE; Kissman, CEH; Saros, JE</t>
  </si>
  <si>
    <t>Does allochthony in lakes change across an elevation gradient?</t>
  </si>
  <si>
    <t>allochthony; Beartooth Mountains; Montana; Wyoming; USA; carbon cycling; deuterium; dissolved organic matter; fluorescence; mountain lakes; particulate organic matter</t>
  </si>
  <si>
    <t>DISSOLVED ORGANIC-CARBON; AQUATIC FOOD WEBS; STABLE-ISOTOPES; TERRESTRIAL SUPPORT; MATTER; ALPINE; DEPOSITION; HYDROGEN; NITROGEN; BIOGEOCHEMISTRY</t>
  </si>
  <si>
    <t>Ecosystems are subsidized with inputs of mass and energy from their surroundings. These allochthonous inputs regulate many ecosystem characteristics. In inland waters, terrestrial inputs of organic matter regulate food-web structure, ecosystem metabolism, water clarity, and thermal stratification. Future changes in allochthony may be especially pronounced in high-elevation ecosystems due to increases in vegetation and precipitation associated with climate change. Several techniques exist to characterize the degree of allochthony of organic matter in aquatic systems, including metrics such as (H), the net isotopic discrimination between water and particulate organic matter (POM) of deuterium stable isotopes, and the fluorescence index (FI), which characterizes the fluorescence of dissolved organic matter (DOM). Despite the importance of allochthonous organic carbon inputs, little is known about either how allochthony varies across elevation gradients or whether different metrics are similarly related to allochthony. We measured (H), FI, and a suite of related water-quality characteristics in 30 lakes across a montane to alpine elevation gradient (2340 to 3205 m) in the Beartooth Mountains of Montana and Wyoming, USA, to understand how FI and (H) varied with elevation, with one another, and with other allochthony-related water-quality characteristics. We hypothesized that allochthony of POM and DOM would decrease at higher elevations, with alpine lakes above treeline being more autochthonous compared with low-elevation lakes below treeline. We observed a significant inverse linear relationship between (H) and FI, with both metrics indicating a decrease in allochthony at higher elevations. Characteristics including the natural log of the ratio of concentrations of dissolved organic carbon to chlorophyll a (ln(DOC:Chl)), the spectral slope ratio between different spectra of two wavebands (S-R, ratio of spectra at 275-295 to 350-400 nm), and a ratio of diffuse attenuation coefficients at 320 and 380 nm (K-R, K-d320:K-d380) varied with both (H) and FI while pH varied only with (H). High-elevation systems were characterized by low ln(DOC:Chl) and K-R, and high S-R and pH. These results indicate that high-elevation lakes are more autochthonous than low-elevation lakes. The relationships among (H), FI, elevation, and other water-quality characteristics provide important insights to understand future changes in carbon cycling in mountain ecosystems.</t>
  </si>
  <si>
    <t>10.1890/14-1558.1</t>
  </si>
  <si>
    <t>Kitaysky, AS; Kitaiskaia, EV; Piatt, JF; Wingfield, JC</t>
  </si>
  <si>
    <t>A mechanistic link between chick diet and decline in seabirds?</t>
  </si>
  <si>
    <t>climate change; cognition; corticosterone; kittiwake; nutritional stress</t>
  </si>
  <si>
    <t>BLACK-LEGGED KITTIWAKES; POSTNATAL-GROWTH; STRESS-RESPONSE; CORTICOSTERONE; RESTRICTION</t>
  </si>
  <si>
    <t>A climatic regime shift during the mid-1970s in the North Pacific resulted in decreased availability of lipid-rich fish to seabirds and was followed by a dramatic decline in number of kittiwakes breeding on the Pribilof Islands. Although production of chicks in the mid-1970s was adequate to sustain kittiwake populations in the early 1980s, the disappearance of birds from breeding colonies apparently exceeded recruitment. No mechanism has been proposed to explain why recruitment would differ among fledglings fed lipid-rich or lipid-poor fish during development. Here we show that diets low in lipids induce nutritional stress and impair cognitive abilities in young red-legged kittiwakes, Rissa brevirostris. Specifically, growth retardation, increased secretion of stress hormones and inferior ability to associate food distribution with visual cues were observed in individuals fed lipid-poor diets. We conclude that lipid-poor diets during development affect the quality of young seabirds, which is likely to result in their increased mortality and low recruitment.</t>
  </si>
  <si>
    <t>10.1098/rspb.2005.3351</t>
  </si>
  <si>
    <t>Shurin, JB; Aranguren-Riano, N; Negro, DD; Lopez, DE; Jones, NT; Laverde-R, O; Neu, A; Ramos, AP</t>
  </si>
  <si>
    <t>Ecosystem effects of the world's largest invasive animal</t>
  </si>
  <si>
    <t>eutrophication; exotic species; hippopotamus; lakes; productivity; water resources</t>
  </si>
  <si>
    <t>PLEISTOCENE; CHALLENGES; PHOSPHORUS; NUTRIENTS; MEGAFAUNA</t>
  </si>
  <si>
    <t>The keystone roles of mega-fauna in many terrestrial ecosystems have been lost to defaunation. Large predators and herbivores often play keystone roles in their native ranges, and some have established invasive populations in new biogeographic regions. However, few empirical examples are available to guide expectations about how mega-fauna affect ecosystems in novel environmental and evolutionary contexts. We examined the impacts on aquatic ecosystems of an emerging population of hippopotamus (Hippopotamus amphibus) that has been growing in Colombia over the last 25 yr. Hippos in Africa fertilize lakes and rivers by grazing on land and excreting wastes in the water. Stable isotopes indicate that terrestrial sources contribute more carbon in Colombian lakes containing hippo populations, and daily dissolved oxygen cycles suggest that their presence stimulates ecosystem metabolism. Phytoplankton communities were more dominated by cyanobacteria in lakes with hippos, and bacteria, zooplankton, and benthic invertebrate communities were similar regardless of hippo presence. Our results suggest that hippos recapitulate their role as ecosystem engineers in Colombia, importing terrestrial organic matter and nutrients with detectable impacts on ecosystem metabolism and community structure in the early stages of invasion. Ongoing range expansion may pose a threat to water resources.</t>
  </si>
  <si>
    <t>e02991</t>
  </si>
  <si>
    <t>10.1002/ecy.2991</t>
  </si>
  <si>
    <t>EVANS, RD; EHLERINGER, JR</t>
  </si>
  <si>
    <t>WATER AND NITROGEN DYNAMICS IN AN AVID WOODLAND</t>
  </si>
  <si>
    <t>CRYPTOBIOTIC CRUST; DESERT ECOLOGY; NITROGEN CYCLE; STABLE ISOTOPES; WATER SOURCE</t>
  </si>
  <si>
    <t>TRIDENTATA SSP WYOMINGENSIS; STABLE ISOTOPE COMPOSITION; NATURAL N-15 ABUNDANCE; ARTEMISIA-TRIDENTATA; DESERT ECOSYSTEMS; PLANT-RESPONSES; SONORAN DESERT; USE EFFICIENCY; GREAT-BASIN; GROWTH</t>
  </si>
  <si>
    <t>Arid environments are characterized by spatial and temporal variation in water and nitrogen availability. Differences in delta(15)N and delta D of four co-occurring species reveal contrasting patterns of plant resource acquisition in response to this variation. Mineralization potential and nitrogen concentration of surface soils associated with plant canopies were greater than inter-canopy locations, and values decreased with increasing depth in both locations. Mineralization potential and nitrogen concentration were both negatively correlated with soil delta(15)N. The spatial variation in soil delta(15)N caused corresponding changes in plant delta(15)N such that plant delta(15)N values were negatively correlated with nitrogen concentration of surface soils. Plants occurring on soils with relatively high nitrogen concentrations had lower delta(15)N, and higher leaf nitrogen concentrations, than plants occurring on soils with relatively low nitrogen concentrations. Two general temporal patterns of water and nitrogen use were apparent. Three species (Juniperus, Pinus and Artemisia) relied on the episodic availability of water and nitrogen at the soil surface. delta(15)N values did not vary through the year, while xylem pressure potentials and stem-water delta D values fluctuated with changes in soil moisture at the soil surface. In contrast, Chrysothamnus switched to a more stable water and nitrogen source during drought. delta(15)N values of Chrysothamnus increased throughout the year, while xylem pressure potentials and stem-water delta D values remained constant. The contrasting patterns of resource acquisition have important implications for community stability following disturbance. Disturbance can cause a decrease in nitrogen concentration at the soil surface, and so plants that rely on surface water and nitrogen may be more susceptible than those that switch to more stable water and nitrogen sources at depth during drought.</t>
  </si>
  <si>
    <t>10.1007/BF00627735</t>
  </si>
  <si>
    <t>Ichie, T; Igarashi, S; Yoshihara, R; Takayama, K; Kenzo, T; Niiyama, K; Shari, NHZ; Hyodo, F; Tayasu, I</t>
  </si>
  <si>
    <t>Verification of the accuracy of the recent 50 years of tree growth and long-term change in intrinsic water-use efficiency using xylem Delta C-14 and delta C-13 in trees in an aseasonal tropical rainforest</t>
  </si>
  <si>
    <t>CARBON-ISOTOPE DISCRIMINATION; ELEVATED CO2; ATMOSPHERIC RADIOCARBON; FAGUS-SYLVATICA; STABLE-ISOTOPES; RINGS; CLIMATE; TRENDS; RESOLUTION; OXYGEN</t>
  </si>
  <si>
    <t>Growth analysis based on tree-ring chronology is difficult in trees in aseasonal tropical rain forests, because annual growth rings may be unclear or completely absent. Fortunately, tree growth history recorded in xylem tissue is capable of providing valuable information on the responses of trees and forests to past and present environmental changes, including global warming. We have developed a new technique for aseasonal tropical forest trees which derives their growth rates from xylem Delta C-14, and verified its accuracy. We also determined, from xylem delta C-13, the intrinsic water-use efficiency (iWUE) in the past 50 years. We analysed changes in xylem Delta C-14 and delta C-13 in 23 canopy trees of 12 species in 6 families growing in Pasoh Forest Reserve, Malaysia; each stem diameter at breast height (DBH) was recorded 14 times from 1969 to 2011. We found a significant positive relationship between the growth rates determined by C-14 dating and the past DBH data. On the other hand, leaf-internal CO2 (C-i) content did not change with increasing atmospheric CO2 (C-a). Thus, the iWUE increased significantly over the last 50 years in all the families and species tested. This study showed that the simultaneous measurements of xylem Delta C-14 and delta C-13 could reveal a long-term change in tree growth and iWUE during the past 50 years with high accuracy in various species and/or individuals in aseasonal tropical rainforests exhibiting high species diversity.</t>
  </si>
  <si>
    <t>10.1111/2041-210X.13823</t>
  </si>
  <si>
    <t>Ogle, K; Tucker, C; Cable, JM</t>
  </si>
  <si>
    <t>Beyond simple linear mixing models: process-based isotope partitioning of ecological processes</t>
  </si>
  <si>
    <t>diet sourcing; ecosystem fluxes; hierarchical Bayesian framework; hydrograph partitioning; IsoError; IsoSource; MixSIR; and SIAR; mixing models; plant water sources; process-based models; soil respiration; stable isotopes; trophic interactions</t>
  </si>
  <si>
    <t>ECOSYSTEM CARBON EXCHANGE; STABLE-ISOTOPES; WATER-UPTAKE; SOIL RESPIRATION; BAYESIAN-ANALYSIS; CO2 EFFLUX; NITROGEN; NICHE; COMPONENTS; DELTA-C-13</t>
  </si>
  <si>
    <t>Stable isotopes are valuable tools for partitioning the components contributing to ecological processes of interest, such as animal diets and trophic interactions, plant resource use, ecosystem gas fluxes, streamflow, and many more. Stable isotope data are often analyzed with simple linear mixing (SLM) models to partition the contributions of different sources, but SLM models cannot incorporate a mechanistic understanding of the underlying processes and do not accommodate additional data associated with these processes (e.g., environmental covariates, flux data, gut contents). Thus, SLM models lack predictive ability. We describe a process-based mixing (PBM) model approach for integrating stable isotopes, other data sources, and process models to partition different sources or process components. This is accomplished via a hierarchical Bayesian framework that quantifies multiple sources of uncertainty and enables the incorporation of process models and prior information to help constrain the source-specific proportional contributions, thereby potentially avoiding identifiability issues that plague SLM models applied to too many sources. We discuss the application of the PBM model framework to three diverse examples: temporal and spatial partitioning of streamflow, estimation of plant rooting profiles and water uptake profiles (or water sources) with extension to partitioning soil and ecosystem CO2 fluxes, and reconstructing animal diets. These examples illustrate the advantages of the PBM modeling approach, which facilitates incorporation of ecological theory and diverse sources of information into the mixing model framework, thus enabling one to partition key process components across time and space.</t>
  </si>
  <si>
    <t>10.1890/1051-0761-24.1.181</t>
  </si>
  <si>
    <t>Nakagawa, H; Yamane, H; Yasugi, M; Fujita, T; Yokoi, K; Ashiwa, H; Kitada, N; Takano, H; Suzuki, N; Kishimoto, J; Maeda, H; Yamano, H; Ito, T; Maruyama, H; Tominaga, K; Hatakeyama, E; Goto, M; Takahashi, D</t>
  </si>
  <si>
    <t>Diel changes in resource use and diet overlap in temperate stream fishes</t>
  </si>
  <si>
    <t>Temporal niche; Diel change; Nocturnal and diurnal; Stream fish; Stream community</t>
  </si>
  <si>
    <t>FORAGING MODE SHIFT; INVERTEBRATE DRIFT; HOME-RANGE; FOOD; COMPETITION; PREDATION; HABITAT; CHARRS; TROUT; LAKE</t>
  </si>
  <si>
    <t>Interspecific variation in diel-scale temporal niches is common in natural communities. Such variation changes population dynamics via effects on the growth and reproduction of individuals. Also at the community level, theory predicts that animals can reduce competition for shared resources by changing diel activity in certain situations. However, the role of diel activity at the community-level has not been examined sufficiently. In this study, to examine whether the diel-scale temporal niche act as a competition-mitigating mechanism for stream fishes at the community level, we surveyed diel changes in microhabitat use and foraging, and the pattern of interspecific diet overlap in the middle reaches of a temperate stream where various fish species that seemed to be either nocturnal or diurnal coexisted. Our results suggest that the fishes forage during both daytime and night, but change their foraging mode at different times of the day, so that the foraging habits of these fish species cannot be divided simply into nocturnal and diurnal. Furthermore, fishes appeared to aggregate in the vicinity of common food resources during time zones with high availability of the resources, and therefore, inter-guild diet overlap was high during certain time zones. On the other hand, when inter-guild diet overlap was low, each fish species used foods or microhabitats that did not any have the potential to be used by species of another guild. Therefore, we conclude that variation in diel niche use is influenced by variation in the fundamental niche and food supply or availability rather than by competitive interaction between fishes in the stream fish community.</t>
  </si>
  <si>
    <t>10.1007/s11284-011-0913-5</t>
  </si>
  <si>
    <t>Bissattini, AM; Vignoli, L</t>
  </si>
  <si>
    <t>Let's eat out, there's crayfish for dinner: American bullfrog niche shifts inside and outside native ranges and the effect of introduced crayfish</t>
  </si>
  <si>
    <t>Amphibians; Introduction; Niche width; Feeding strategy; Alien predator</t>
  </si>
  <si>
    <t>RED-SWAMP CRAYFISH; RANA-CATESBEIANA; LITHOBATES-CATESBEIANUS; STOMACH CONTENTS; PROCAMBARUS-CLARKII; INVASIVE BULLFROGS; FEEDING STRATEGY; DIET COMPOSITION; PREY SELECTION; PREDATION</t>
  </si>
  <si>
    <t>In invasion ecology, niche width has been recognized as a crucial factor for the outcome of an invasion. A common characteristic of successful invaders seems to be a broad niche width, and their impact on native communities may increase with increasing niche size. Overall, successful invader predators are predicted to shift their niche width by broadening it from native to invaded conditions. The scarcity of ecological studies examining invasive species in their native ranges prevents researchers from knowing if the prevalence of generalist invaders represents conservatism of broad native-range niches or instead niche shifts as a result of different processes acting in the invaded areas. Here we reviewed literature on trophic niche of the predatory invader American bullfrog (Lithobates catesbeianus) in both native and invaded ranges. We used statistical and graphic tools to analyse possible shifts in dietary niche width and the effect of introduced crayfish on the feeding strategy of L. catesbeianus. Globally, our results indicate that food sources used by the species differed in native and invaded sites, with a narrower trophic niche width in invaded areas. However, this pattern was disrupted by the occurrence of introduced crayfish that represents the major driver of the observed niche-width variation. Our data shed light on possible complications in interpreting and predicting patterns of biological invasions due to the interaction among species from different trophic levels that apparently disrupt general patterns that are likely bound to be idiosyncratic and complex.</t>
  </si>
  <si>
    <t>10.1007/s10530-017-1473-6</t>
  </si>
  <si>
    <t>Faithfull, CL; Mathisen, P; Wenzel, A; Bergstrom, AK; Vrede, T</t>
  </si>
  <si>
    <t>Food web efficiency differs between humic and clear water lake communities in response to nutrients and light</t>
  </si>
  <si>
    <t>Bacteria; Phytoplankton; Dissolved organic carbon; Zooplankton; Pelagic communities</t>
  </si>
  <si>
    <t>DISSOLVED ORGANIC-CARBON; BACTERIOPLANKTON PRODUCTION; PHYTOPLANKTON BIOMASS; BACTERIAL; ENERGY; ZOOPLANKTON; NITROGEN; DAPHNIA; MATTER; GROWTH</t>
  </si>
  <si>
    <t>This study demonstrates that clear and humic freshwater pelagic communities respond differently to the same environmental stressors, i.e. nutrient and light availability. Thus, effects on humic communities cannot be generalized from existing knowledge about these environmental stressors on clear water communities. Small humic lakes are the most numerous type of lake in the boreal zone, but little is known about how these lakes will respond to increased inflows of nutrients and terrestrial dissolved organic C (t-DOC) due to climate change and increased human impacts. Therefore, we compared the effects of nutrient addition and light availability on pelagic humic and clear water lake communities in a mesocosm experiment. When nutrients were added, phytoplankton production (PPr) increased in both communities, but pelagic energy mobilization (PEM) and bacterial production (BP) only increased in the humic community. At low light conditions, the addition of nutrients led to increased PPr only in the humic community, suggesting that, in contrast to the clear water community, humic phytoplankton were already adapted to lower ambient light levels. Low light significantly reduced PPr and PEM in the clear water community, but without reducing total zooplankton production, which resulted in a doubling of food web efficiency (FWE = total zooplankton production/PEM). However, total zooplankton production was not correlated with PEM, PPr, BP, PPr:BP or C:nutrient stoichiometry for either community type. Therefore, other factors such as food chain length, food quality, ultra-violet radiation or duration of the experiment, must have determined total zooplankton production and ultimately FWE.</t>
  </si>
  <si>
    <t>10.1007/s00442-014-3132-2</t>
  </si>
  <si>
    <t>Kattel, G; Gell, P; Perga, ME; Jeppesen, E; Grundell, R; Weller, S; Zawadzki, A; Barry, L</t>
  </si>
  <si>
    <t>Tracking a century of change in trophic structure and dynamics in a floodplain wetland: integrating palaeoecological and palaeoisotopic evidence</t>
  </si>
  <si>
    <t>Kings Billabong; palaeo-food web structure; River Murray system Australia; stable carbon isotope; subfossil cladocerans and chironomids</t>
  </si>
  <si>
    <t>MURRAY-DARLING BASIN; FOOD WEBS; RIVER; ZOOPLANKTON; CARBON; FISH; LAKES; VARIABILITY; IMPACT; EUTROPHICATION</t>
  </si>
  <si>
    <t>The palaeoecological assessment, and the use of stable isotopes of carbon in subfossils of herbivores and omnivores, represents a novel approach to understand transitions in past food-web structure and the dynamics of lake ecosystems in response to natural perturbations and human impacts. Combined with records of subfossil assemblages of cladocerans and chironomids, it may be possible to decipher whether changes are attributable to external forces or internally derived system shifts. A sediment record taken from the shallow (2.3m depth) Kings Billabong in the River Murray floodplain (Australia) was analysed to explore changes in trophic dynamics over the past century. The palaeoecological assessment revealed that littoral assemblages of cladocerans and benthic diatoms were gradually replaced by planktonic (planktonic and facultative planktonic) assemblages after river regulation in the 1920s. The stable isotopic composition of carbon (C-13), derived from chironomid head capsules, was relatively constant down-core, ranging between -26.1 and -24.0, and coincided largely with the C-13 of bulk sediment samples (-25.6 parts per thousand to -22.0 parts per thousand). The C-13 values of pelagic (Daphnia) and ubiquitous (Bosmina, Alona) cladocerans, however, varied markedly, with that for Daphnia between -29.8 parts per thousand (10-20cm) and -23.2 parts per thousand (60-70cm), and for ubiquitous cladocerans, between -29.4 parts per thousand (20-30cm) and -24.5 parts per thousand (80-70cm). The temporal changes in the C-13 values of cladocerans also suggest a gradual transition from a macrophyte-dominated state to a phytoplankton-dominated state after river regulation and further indicate changes in the horizontal migration behaviour of Daphnia depending on macrophyte abundance and predation risk. Our study demonstrates the potential of reconstructing, more precisely, the trophic dynamics of large river floodplain lakes and their ecological resilience by combining subfossil analyses with stable isotope analyses of selected subfossil groups.</t>
  </si>
  <si>
    <t>10.1111/fwb.12521</t>
  </si>
  <si>
    <t>Alcott, D; Long, M; Castro-Santos, T</t>
  </si>
  <si>
    <t>Wait and snap: eastern snapping turtles (Chelydra serpentina) prey on migratory fish at road-stream crossing culverts</t>
  </si>
  <si>
    <t>predator-prey interactions; anadromous fish; spawning migration; stable isotopes; turtles; culverts</t>
  </si>
  <si>
    <t>CHEMICAL ALARM CUES; PREDATOR RECOGNITION; ANTIPREDATOR RESPONSES; STRIPED BASS; AVOIDANCE; DIET; RADIOTELEMETRY; MORTALITY; BEHAVIOR; HIGHWAY</t>
  </si>
  <si>
    <t>There is growing evidence that culverts at road-stream crossings can increase fish density by reducing stream width and fish movement rates, making these passageways ideal predator ambush locations. In this study, we used a combination of videography and delta C-13 stable isotope analyses to investigate predator-prey interactions at a road-stream crossing culvert. Eastern snapping turtles (Chelydra serpentina) were found to regularly reside within the culvert to ambush migratory river herring (Alosa spp.). Resident fish species displayed avoidance of the snapping turtles, resulting in zero attempted attacks on these fish. In contrast, river herring did not display avoidance and were attacked by a snapping turtle on 79% of approaches with a 15% capture rate. Stable isotope analyses identified an apparent shift in turtle diet to consumption of river herring in turtles from culvert sites that was not observed in individuals from non-culvert sites. These findings suggest that anthropogenic barriers like culverts that are designed to allow passage may create predation opportunities by serving as a bottleneck to resident and migrant fish movement.</t>
  </si>
  <si>
    <t>10.1098/rsbl.2020.0218</t>
  </si>
  <si>
    <t>Ziegler, SL; Able, KW; Fodrie, FJ</t>
  </si>
  <si>
    <t>Dietary shifts across biogeographic scales alter spatial subsidy dynamics</t>
  </si>
  <si>
    <t>energy subsidies; estuary; fish; nekton diets; outwelling; salt marsh; tide</t>
  </si>
  <si>
    <t>SALT-MARSH; HABITAT USE; FUNDULUS-HETEROCLITUS; DECAPOD CRUSTACEANS; SUMMER FLOUNDER; FOOD; TERRESTRIAL; MARINE; PATTERNS; NEKTON</t>
  </si>
  <si>
    <t>Over heterogeneous landscapes, organisms and energy move across ecological boundaries and this can have profound effects on overall ecosystem functioning. Both abiotic and biotic factors along habitat boundaries may facilitate or impede key species interactions that drive these energy flows-especially along the land-sea interface. We synthesized the literature detailing estuarine fish diets and habitat characteristics of salt marshes from U.S. East and Gulf coasts to determine patterns and drivers of cross-boundary trophic transfers at the land-sea interface. Notably, marsh-platform species (i.e., killifishes, fiddler crabs) appear virtually absent in the diets of transient estuarine fishes in the Gulf of Mexico, while along the South Atlantic and Mid-Atlantic Bights, marsh-platform species appear regularly in the diets of many transient estuarine fishes. Tidal amplitude varied across these three biogeographic regions and likely regulates the availability of marsh-platform species to transient estuarine fishes via both access to the marsh surface for marine predators and emergence of marsh-resident prey into the adjacent estuary (i.e., higher tidal amplitude increases predator-prey encounter rates). Surprisingly, marsh shoot density was positively correlated with the presence of marsh-platform species in the diet, but this pattern appears to be mediated by increased tidal amplitude, suggesting the mode and periodicity of abiotic cycles drive diet structure of transient estuarine fishes more so than local habitat structural complexity. Subsequently, these processes likely influence the degree to which trophic relay moves energy from the marsh toward the open estuary. Understanding the dynamics that determine energy flows, spatial subsidies, and ultimately, ecosystem-level productivity, is essential for implementation of holistic ecosystem-based approaches to conserve and manage complex landscape mosaics.</t>
  </si>
  <si>
    <t>e02980</t>
  </si>
  <si>
    <t>10.1002/ecs2.2980</t>
  </si>
  <si>
    <t>Piras, P; Teresi, L; Buscalioni, AD; Cubo, J</t>
  </si>
  <si>
    <t>The shadow of forgotten ancestors differently constrains the fate of Alligatoroidea and Crocodyloidea</t>
  </si>
  <si>
    <t>Alligatoroidea; climatic change; Crocodyloidea; functional performance; geometric morphometrics; rostral shape; variation partitioning</t>
  </si>
  <si>
    <t>BONE-GROWTH RATE; CROCODILIANS; PERFORMANCE; MORPHOLOGY; COMPONENTS; CLIMATE; SPACE; TIME</t>
  </si>
  <si>
    <t>We tested the hypothesis that the evolutionary fates of two sister groups (Alligatoroidea and Crocodyloidea) are differently constrained by phylogenetic and ecological (functional) factors in the face of climatic change. Global. We quantified disparity in skull rostrum shape by means of geometric morphometrics. Mechanical performance of the rostrum was analyzed by applying beam theory calculations to morphological data and experimentally measured bite force. The phylogeny was expressed in the form of principal coordinates, the first ones of which were used as a set of explanatory variables. Extents of species occurrence were computed using species distribution maps. Finally, species maximum skull size were measured and considered as a proxy of maximum body size. We performed variation partitioning analyses in order to compare differential contributions of phylogenetic and ecological factors in Alligatoroidea and Crocodyloidea. Alligatoroidea show higher 'pure' historical components than Crocodyloidea in explaining both rostrum shape and extent of occurrence (after controlling for body size). On the contrary, geometric variation of skull rostra of Crocodyloidea unequivocally shows a higher 'pure' functional component (linked to performance on prey capture) and a higher phylogenetically structured environmental variation than those found in Alligatoroidea. Results obtained for body size variation are consistent with these patterns. In Alligatoroidea, body size variation contains a higher phylogenetic signal than in Crocodyloidea. Our results suggest that Crocodyloidea and Alligatoroidea may react differently when faced with significant environmental changes. We predict that global climatic changes will have a more important effect on Crocodyloidea than in Alligatoroidea by (1) promoting trait shift, adaptation to the new diet and speciation and (2) modifying the geographical range distribution of species (which may track favourable ecological conditions).</t>
  </si>
  <si>
    <t>10.1111/j.1466-8238.2008.00426.x</t>
  </si>
  <si>
    <t>Starzomski, BM; Srivastava, DS</t>
  </si>
  <si>
    <t>Landscape geometry determines community response to disturbance</t>
  </si>
  <si>
    <t>SPECIES RICHNESS; FRAGMENTED LANDSCAPES; HABITAT FRAGMENTATION; DISPERSAL; PATTERNS; CONNECTIVITY; DESTRUCTION; DYNAMICS; BIRDS; METACOMMUNITIES</t>
  </si>
  <si>
    <t>Ecological communities are impacted by anthropogenic changes in both habitat geometry (i.e. amount, shape, fragmentation and connectivity of habitat) and disturbance regime. Although the effect of each of these drivers on diversity is well-documented, few studies have considered how habitat geometry and disturbance interact to affect diversity. We used a miniature landscape of moss patches to experimentally manipulate both habitat geometry and disturbance frequency on microarthropod communities. Species richness and abundance in local patches declined linearly with disturbance rate in all experimental landscapes, but the speed of this decline (a measure of ecological resilience) depended on the size and connectivity of the surrounding region. Reductions in region size had little effect on community resilience to disturbance until habitat loss resulted in complete loss of connectivity between patches, suggesting a threshold in community response to habitat loss. Beyond this threshold, repeated disturbance resulted in rapid declines in patch species richness and abundance and substantial changes in community composition. These effects of habitat geometry and disturbance on diversity were scale-dependent. Gamma (regional-scale) diversity was unaffected by habitat geometry, suggesting experimental reductions in alpha (local-scale) diversity were offset by increases in beta diversity. There was no effect of body size, abundance, or trophic position in determining species response to disturbance. Taxonomic grouping had a weak effect, with oribatids less affected by drought. We conclude that, in this system, dispersal from the surrounding metacommunity is vital in allowing recovery of local communities from disturbance. When habitat loss and fragmentation disrupt this process, extinctions result. Studies that examine separately the effects of habitat alterations and disturbance on diversity may therefore underestimate their combined effects.</t>
  </si>
  <si>
    <t>10.1111/j.2007.0030-1299.15547.x</t>
  </si>
  <si>
    <t>Canavate, JP; Armada, I; Hachero-Cruzado, I</t>
  </si>
  <si>
    <t>Common and Species-Specific Effects of Phosphate on Marine Microalgae Fatty Acids Shape Their Function in Phytoplankton Trophic Ecology</t>
  </si>
  <si>
    <t>Fatty acid; Nutritional quality; Phytoplankton; Phosphorus</t>
  </si>
  <si>
    <t>DIATOM PHAEODACTYLUM-TRICORNUTUM; TROPICAL AUSTRALIAN MICROALGAE; TOTAL LIPID-CONTENT; CHLAMYDOMONAS-REINHARDTII; FRESH-WATER; PHOSPHORUS STARVATION; CHEMICAL-COMPOSITION; NUTRIENT LIMITATION; PRIMARY PRODUCERS; LINKING ELEMENTS</t>
  </si>
  <si>
    <t>The use of fatty acids (FA) to infer structure of phytoplankton assemblages and as indicators of microalgae nutritional value is acquiring relevance in modern phytoplankton ecology and new advances concerning factors influencing FA variability among microalgae are demanded. In this regard, the relationship between phosphorus and FA remains particularly little studied in marine phytoplankton. In the present study, we focus on phosphate effects on FA from a diversified set of marine microalgae and provide new insights into the applicability of FA in phytoplankton trophic ecology. Phosphate deprivation mainly induced monounsaturated FA production in eight out of nine microalgae and their changes were species-specific, with palmitoleic acid exhibiting extreme variation and discriminating between haptophyte classes. The important phosphate-induced and interspecific variability found for oleic acid was perceived as a concern for the current application of this FA as a trophic position indicator in grazers. Chloroplast C-16 and C-18 polyunsaturated FA were more affected by phosphate than C-20 and C-22 highly unsaturated FA (HUFA). The relative stability of stearidonic acid to phosphate in cryptophytes and haptophytes pinpointed this FA as a suited marker for both microalgae groups. Taken all species together, phosphate deprivation and taxonomy accounted for 20.8 and 50.7% of total FA variation, respectively. HUFA were minimally affected by phosphate indicating their suitability as indicators of phytoplankton trophic value. The asymptotic relationship between HUFA and phosphorus cell content suggested mineral composition (phosphorus) could be more important than HUFA content as attribute of marine microalgae nutritional value at the species level.</t>
  </si>
  <si>
    <t>10.1007/s00248-017-0983-1</t>
  </si>
  <si>
    <t>Helmus, MR; Mercado-Silva, N; Vander Zanden, MJ</t>
  </si>
  <si>
    <t>Subsidies to predators, apparent competition and the phylogenetic structure of prey communities</t>
  </si>
  <si>
    <t>Top-down control; Fish; Benthic macroinvertebrates; Food web; Apparent competition</t>
  </si>
  <si>
    <t>STREAM BENTHIC PREY; FOOD-WEB COMPLEXITY; TRAIT EVOLUTION; SIZE STRUCTURE; DOWNSTREAM; RIVER; POPULATIONS; DYNAMICS; PLANKTON; IMPACTS</t>
  </si>
  <si>
    <t>Ecosystems are fragmented by natural and anthropogenic processes that affect organism movement and ecosystem dynamics. When a fragmentation restricts predator but not prey movement, then the prey produced on one side of an ecosystem edge can subsidize predators on the other side. When prey flux is high, predator density on the receiving side increases above that possible by in situ prey productivity, and when low, the formerly subsidized predators can impose strong top-down control of in situ prey-in situ prey experience apparent competition from the subsidy. If predators feed on some evolutionary clades of in situ prey over others, then subsidy-derived apparent competition will induce phylogenetic structure in prey composition. Dams fragment the serial nature of river ecosystems by prohibiting movement of organisms and restricting flowing water. In the river tailwater just below a large central Mexican dam, fish density was high and fish gorged on reservoir-derived zooplankton. When the dam was closed, water flow and the zooplankton subsidy ceased, densely packed pools of fish formed, fish switched to feed on in situ prey, and the tailwater macroinvertebrate community was phylogenetic structured. We derived expectations of structure from trait-based community assembly models based on macroinvertebrate body size, tolerance to anthropogenic disturbance, and fish-diet selectivity. The diet-selectivity model best fit the observed tailwater phylogenetic structure. Thus, apparent competition from subsidies phylogenetically structures prey communities, and serial variation in phylogenetic community structure can be indicative of fragmentation in formerly continuous ecosystems.</t>
  </si>
  <si>
    <t>10.1007/s00442-013-2661-4</t>
  </si>
  <si>
    <t>Vander Zanden, MJ; Chandra, S; Allen, BC; Reuter, JE; Goldman, CR</t>
  </si>
  <si>
    <t>Historical food web structure and restoration of native aquatic communities in the Lake Tahoe (California-Nevada) Basin</t>
  </si>
  <si>
    <t>food webs; historical reconstruction; stable isotopes; carbon; nitrogen; Lake Tahoe; energy flow; benthic zone; pelagic zone; Lahontan cutthroat trout</t>
  </si>
  <si>
    <t>GREAT-LAKES; TROPHIC POSITION; GEORGES BANK; FISH; DELTA-N-15; TROUT; CONSEQUENCES; PRESERVATION; DELTA-C-13; FISHERIES</t>
  </si>
  <si>
    <t>Plans for the restoration of aquatic ecosystems are increasingly focusing on the restoration and rehabilitation of self-sustaining native fish communities. Such efforts have not traditionally adopted an ecosystem-based perspective, which considers species as embedded within a broader food web context. In this study, we quantify food web changes in Lake Tahoe (California-Nevada) over the last century based on stable isotope analysis of museum-archived, preserved fish specimens collected during 4 historical periods and under present conditions. We also examine the contemporary food web of nearby Cascade Lake, which is free from most exotic species and contains a species assemblage resembling that of Lake Tahoe prior to historical species introductions. During the last century, the freshwater shrimp Mysis relicta and lake trout (Salvelinus namay-cush) have been introduced and established in Lake Tahoe, and the native top predator, Lahontan cutthroat trout (Oncorhynchus clarki henshawi; hereafter LCT), has been extirpated. Isotope analysis indicates that lake trout now occupy a trophic niche similar to that of historical LCT. Fish production has shifted from benthic to pelagic, corresponding with the eutrophication of Lake Tahoe during recent decades. The current Cascade Lake food web resembles that of the historical Lake Tahoe food web. Our isotope-based food web reconstructions reveal long-term food web changes in Lake Tahoe and can serve as the basis for setting historically relevant restoration targets. Unfortunately, the presence of normative species, particularly Mysis and lake trout, have dramatically altered the pelagic food web structure; as such, they are barriers to native fish community restoration. Fish community restoration efforts should focus on adjacent ecosystems, such as Cascade Lake, which have a high likelihood of success because they have not been heavily affected by normative introductions.</t>
  </si>
  <si>
    <t>10.1007/s10021-002-0204-7</t>
  </si>
  <si>
    <t>Bortolotti, LE; Clark, RG; Wassenaar, LI</t>
  </si>
  <si>
    <t>Hydrogen isotope variability in prairie wetland systems: implications for studies of migratory connectivity</t>
  </si>
  <si>
    <t>algae; deuterium; food web; hydrology; isotopic turnover; mixing model; snails; stable isotopes; St. Denis National Wildlife Area, Saskatchewan; Tree Swallows, Tachycineta bicolor; temporal variation; wetlands</t>
  </si>
  <si>
    <t>STABLE-ISOTOPES; FOOD WEBS; DELTA-D; CARBON ISOTOPES; DRINKING-WATER; RESOURCE USE; DIET; TURNOVER; FRACTIONATION; DEUTERIUM</t>
  </si>
  <si>
    <t>Hydrogen isotopes (delta H-2) are often used to infer the origins of migratory animals based on the strong correlation between deuterium content of tissues and long-term patterns of precipitation. However, the extreme flood and drought dynamics of surface waters in prairie wetland systems could mask these expected correlations. We investigated H isotopic variability in an aquatic food web associated with Tree Swallows (Tachycineta bicolor) that rely heavily on wetland-derived aerial insects for food. We evaluated isotopic turnover and incorporation of environmental water into tissue, processes that could affect H isotopic composition. Wetland water and aquatic invertebrates showed intra-and interannual H isotopic variation mainly related to evaporation and the amount and timing of precipitation. Snails showed rapid turnover of tissue deuterium and a large contribution of environmental water to their tissues. Swallow feather deuterium (delta H-2(f)) was variable but did not clearly follow changes in any of the food web compartments measured. Instead, isotopic variability may have been driven by shifts in the type or relative amounts of prey consumed and types of wetlands used. Nevertheless, despite relatively high variance in delta H-2(f), the majority of birds fell within the predicted range of delta H-2(f) for the study area, revealing that significant trophic averaging occurred. However, both (presumed) diet shifts and variable hydrological conditions have the potential to greatly increase variance that must be considered when assigning origins of migratory animals based on delta H-2.</t>
  </si>
  <si>
    <t>10.1890/12-0232.1</t>
  </si>
  <si>
    <t>Willis, TV; Wilson, KA; Alexander, KE; Leavenworth, WB</t>
  </si>
  <si>
    <t>Tracking cod diet preference over a century in the northern Gulf of Maine: historic data and modern analysis</t>
  </si>
  <si>
    <t>Historical ecology; Cod; Clupeid; Diet; Frequency of occurrence; Passamaquoddy Bay; Trophic position</t>
  </si>
  <si>
    <t>ATLANTIC COD; GADUS-MORHUA; GEORGES BANK; STOMACH CONTENTS; TROPHIC ECOLOGY; FISH; BAY; MARINE; IMPACT; GROWTH</t>
  </si>
  <si>
    <t>Limited information is available regarding long-term compensation in the food webs of exploited ecosystems. We compared the results of 3 studies that assessed the diets of Atlantic cod from Passamaquoddy Bay, Maine, USA, spanning 100 yr, using diet summary statistics to compare historical and modern datasets. We found that 1965 cod consumed fewer invertebrates than cod caught in 1896, but that cod caught in the period 2005 to 2008 ate diet items more similar to the 1896 fish. Large cod caught in the summer of 1965 primarily ate fish, particularly Atlantic herring, whereas few fish were found in the diets of 2005 cod. Documented changes in diet may reflect changes in technology and resource exploitation that altered the prey field available to cod over time. In the 1890s, the herring and finfish fisheries were widespread and landings were large, but other components of the food web, particularly invertebrates, were comparatively unexploited. Impacts on the benthos of Passamaquoddy Bay increased by the 1960s with the widespread use of heavy dredge and trawl gear. By 2005, most fisheries had abandoned Passamaquoddy Bay, and cod and herring were reduced in numbers. Ecosystem resilience can be seen in the return of modern cod to the 1896 diet, but compensatory dynamics in the food web appear to have favored benthic, then pelagic, and finally a 'balance' of diet constituents, but with fewer commercially important finfish in the ecosystem overall. When and where the data exist, 18th and 19th century accounts of fishery activity can be used to put modern trends in perspective.</t>
  </si>
  <si>
    <t>10.3354/meps10068</t>
  </si>
  <si>
    <t>Munoz-Villers, LE; Holwerda, F; Alvarado-Barrientos, MS; Geissert, DR; Dawson, TE</t>
  </si>
  <si>
    <t>Reduced dry season transpiration is coupled with shallow soil water use in tropical montane forest trees</t>
  </si>
  <si>
    <t>Tree water sources; Sap flow; Stable isotopes; MixSIAR; Mexico</t>
  </si>
  <si>
    <t>HEAT PULSE METHOD; SAP FLOW; STOMATAL CONDUCTANCE; CANOPY CONDUCTANCE; STABLE-ISOTOPES; HYDRAULIC LIFT; CLIMATE-CHANGE; PLANT; PHENOLOGY; PATTERNS</t>
  </si>
  <si>
    <t>Tropical montane cloud forests (TMCF) are ecosystems particularly sensitive to climate change; however, the effects of warmer and drier conditions on TMCF ecohydrology remain poorly understood. To investigate functional responses of TMCF trees to reduced water availability, we conducted a study during the 2014 dry season in the lower altitudinal limit of TMCF in central Veracruz, Mexico. Temporal variations of transpiration, depth of water uptake and tree water sources were examined for three dominant, brevi-deciduous species using micrometeorological, sap flow and soil moisture measurements, in combination with oxygen and hydrogen stable isotope composition of rainfall, tree xylem, soil and stream water. Over the course of the dry season, reductions in crown conductance and transpiration were observed in canopy species (43 and 34%, respectively) and mid-story trees (23 and 8%), as atmospheric demand increased and soil moisture decreased. Canopy species consistently showed more depleted isotope values compared to mid-story trees. However, MixSIAR Bayesian model results showed that the evaporated (enriched) soil water pool was the main source for trees despite reduced soil moisture. Additionally, while increases in tree water uptake from deeper to shallower soil water sources occurred, concomitant decreases in transpiration were observed as the dry season progressed. A larger reduction in deep soil water use was observed for canopy species (from 79 +/- 19 to 24 +/- 20%) compared to mid-story trees (from 12 +/- 17 to 10 +/- 12%). The increase in shallower soil water sources may reflect a trade-off between water and nutrient requirements in this forest.</t>
  </si>
  <si>
    <t>10.1007/s00442-018-4209-0</t>
  </si>
  <si>
    <t>Marine trophic diversity in an anadromous fish is linked to its life-history variation in fresh water</t>
  </si>
  <si>
    <t>stable isotopes; sockeye salmon; nitrogen; geomorphology</t>
  </si>
  <si>
    <t>SOCKEYE-SALMON; HABITAT</t>
  </si>
  <si>
    <t>We used carbon and nitrogen stable isotopes from muscle tissues accrued in the ocean to examine whether marine foraging tactics in anadromous sockeye salmon (Oncorhynchus nerka) are linked to their ultimate freshwater life history as adults. Adults from large-bodied populations spawning in deep freshwater habitats had more enriched delta N-15 than individuals from small-bodied populations from shallow streams. Within populations, earlier maturing individuals had higher delta N-15 than older fish. These differences in delta N-15 suggest that the fish with different life histories or spawning habitats in freshwater either fed at different trophic positions or in different habitats in the ocean. We propose that, nested within interspecific diversity in the ecological attributes of salmon, population and life-history diversity in spawning adults is associated with variation in marine foraging tactics. These results further indicate that the trophic diversity of sockeye salmon in the ocean may be linked to trade-offs in ecological and evolutionary constraints they eventually experience as adults in freshwater ecosystems.</t>
  </si>
  <si>
    <t>10.1098/rsbl.2012.0824</t>
  </si>
  <si>
    <t>Lowther, AD; Harcourt, RG; Goldsworthy, SD</t>
  </si>
  <si>
    <t>Regional variation in trophic ecology of adult female Australian sea lions inferred from stable isotopes in whiskers</t>
  </si>
  <si>
    <t>diet; foraging; oceanography features; trophic complexity</t>
  </si>
  <si>
    <t>NEOPHOCA-CINEREA; CLIMATE-CHANGE; WESTERN-AUSTRALIA; FORAGING ECOLOGY; SOUTH-AUSTRALIA; LEEUWIN CURRENT; FUR SEALS; EL-NINO; MILK; DIET</t>
  </si>
  <si>
    <t>Context. The primary selective forces responsible for shaping life-history traits come from the physical and biological environment in which a species resides. Consequently, the limits of a species range may provide a useful measure of adaptive potential to environmental change. The proximity of foraging grounds to terrestrial nursing habitat constrains central-place foragers such as otariid seals in selecting breeding locations. The Australian sea lion (Neophoca cinerea) is an endangered otariid endemic to Australia, whose northern-range extent occurs at a temperate-tropical transition zone on the western coast of Western Australia (WA). Aims. Currently, there is a complete absence of data on the foraging ecology of Australian sea lions in WA. We sought to address this critical knowledge gap and provide data on the foraging ecology of adult female Australian sea lions at three isolated breeding colonies in western WA. Methods. We used stable-isotope ratios of carbon (delta C-13) and nitrogen (delta N-15) in the whiskers of pups as proxies to characterise feeding behaviour of 10-28% of all adult female Australian sea lions at each colony. We then compared these geographic data to (1) conspecifics at similar latitude in South Australia (SA) and (2) isotopic data collated from other studies on seabirds that inhabit the region, to place foraging behaviour of adult female Australian sea lions into context. Key results. At the southernmost colonies in WA, individual animals were members of one of two distinct isotopic clusters that could be described by differences in delta N-15 and delta C-13 values. Individuals at the northernmost colony displayed delta N-15 values similar to those of seabirds in the same region. Across the study, isotope ratios of adult female Australian sea lions in western WA were between 3 parts per thousand and 5 parts per thousand lower than those observed at a colony at similar latitude in SA. Conclusions. Gross differences in the physical oceanography between WA and SA may in part explain the differences in isotope ratios of individuals between the regions, with lower delta N-15 and delta C-13 values in WA probably reflecting the relatively depauperate conditions of the Leeuwin Current. Implications. Potential regional differences in trophic structure should be considered when developing appropriate management plans for Australian sea lions and regional variation in the diet of Australian sea lion warrants further investigation.</t>
  </si>
  <si>
    <t>10.1071/WR12181</t>
  </si>
  <si>
    <t>Whiting, DP; Paukert, CP; Healy, BD; Spurgeon, JJ</t>
  </si>
  <si>
    <t>Macroinvertebrate prey availability and food web dynamics of nonnative trout in a Colorado River tributary, Grand Canyon</t>
  </si>
  <si>
    <t>nonnative fish; native fish; tributaries; prey availability; diet analysis; stable isotopes</t>
  </si>
  <si>
    <t>LENGTH-MASS RELATIONSHIPS; FISH; ISOTOPE; TEMPERATURE; VARIABILITY; PISCIVORY; TURBIDITY; NITROGEN; STREAMS; GROWTH</t>
  </si>
  <si>
    <t>Nonnative fishes have been linked to the decline of native fishes and may affect aquatic food webs through direct and indirect pathways. These concerns have led to efforts to remove nonnative Brown and Rainbow Trout, which are abundant in tributaries of the Colorado River, to enhance native fish communities. We sampled fish, benthic, and drifting macroinvertebrates in November 2010, January 2011, June 2011, and September 2011 to assess resource availability and to evaluate the effects of nonnative Brown and Rainbow Trout in a tributary of the Colorado River in the Grand Canyon. We evaluated trout diets from stomach samples collected during macroinvertebrate sampling periods, and we estimated annual consumption with bioenergetics models. We used C-13 and N-15 stable isotopes to examine potential diet overlap between native and nonnative fishes. Contributions to benthic biomass varied among megalopterans (16-35%), trichopterans (19-28%), and ephemeropterans (9-32%), whereas ephemeropterans dominated biomass (44-64%) in drift samples. Ephemeropterans were dominant in diets of small (&lt;150 mm total length [TL]) trout, whereas Corydalus and native fish dominated diets of large (&gt;150 mm TL) Brown Trout, and Corydalus and algae dominated diets of large Rainbow Trout. Annual resource consumption was 6x higher for large trout than small trout. Stable isotopes suggested diet overlap between native and nonnative fishes. Large nonnative trout occupied the highest trophic positions. Our results suggest that suppression of nonnative trout may have a positive effect on native fishes via reduced predation and resource competition.</t>
  </si>
  <si>
    <t>10.1086/676915</t>
  </si>
  <si>
    <t>O'Reilly, KE; Berg, MB; Cooper, MJ; Forsythe, PS; Houghton, CJ; Shrovnal, JS; Student, JJ; Uzarski, DG; Lamberti, GA</t>
  </si>
  <si>
    <t>Lakescape connectivity: Mobile fish consumers link Lake Michigan coastal wetland and nearshore food webs</t>
  </si>
  <si>
    <t>cross-habitat resource use; Laurentian Great Lakes; mixing models; otolith microchemistry; stable isotopes; yellow perch</t>
  </si>
  <si>
    <t>ESTUARINE NURSERY AREAS; PERCH PERCA-FLAVESCENS; YELLOW PERCH; ISOTOPE ANALYSIS; GREEN-BAY; HABITAT; CLASSIFICATION; ECOSYSTEMS; MANAGEMENT; PATTERNS</t>
  </si>
  <si>
    <t>In large lake ecosystems, fish movement between coastal littoral habitats such as wetlands and the adjacent open-water nearshore represents an understudied but potentially important linkage supporting energy flow and fisheries production. We hypothesized that yellow perch (Perca flavescens), an ecologically and economically important sport fish in the Laurentian Great Lakes, transport energy from highly productive wetlands to nearshore food webs, but that their role changes with ontogenetic shifts in diet and habitat use. We also predicted that the relative strength of such fish-mediated habitat linkages would vary depending on physical connectivity across habitats. We collected perch and potential prey resources from seven paired coastal wetland-nearshore sites across three regions of Lake Michigan and quantified resource and habitat use with Bayesian stable isotope mixing models and otolith microchemistry. We found that juvenile perch collected in nearshore habitats showed high use of wetland resources, and that diets of wetland-collected juveniles typically contained a smaller proportion of nearshore resources than did more mobile adults from the same wetland. The least hydrologically connected sites had lower cross-habitat resource use (e.g., wetland-collected perch consumed fewer nearshore resources and vice versa) compared with sites with greater levels of hydrological connectivity. Otolith microchemistry confirmed the linkages revealed by stable isotopes, suggesting that a dual approach can increase understanding of habitat linkages in large lakes. Quantifying the importance of multiple lentic habitats (i.e., lakescape connectivity ) for fisheries production is critical for developing comprehensive large lake food web models and providing managers with information to prioritize locations for conservation and restoration.</t>
  </si>
  <si>
    <t>e4333</t>
  </si>
  <si>
    <t>10.1002/ecs2.4333</t>
  </si>
  <si>
    <t>van der Bank, MG; Utne-Palm, AC; Pittman, K; Sweetman, AK; Richoux, NB; Bruchert, V; Gibbons, MJ</t>
  </si>
  <si>
    <t>Dietary success of a 'new' key fish in an overfished ecosystem: evidence from fatty acid and stable isotope signatures</t>
  </si>
  <si>
    <t>Benthic-pelagic coupling; Keystone species; Disturbed ecosystem; Feeding; Aequorea forskalea; Chrysaora fulgida</t>
  </si>
  <si>
    <t>SULFATE-REDUCING BACTERIA; BAY GOBY PISCES; FOOD-WEB; TROPHIC RELATIONSHIPS; CHRYSAORA-HYSOSCELLA; MARINE ECOSYSTEMS; CARBON; NORTHERN; NITROGEN; RATIOS</t>
  </si>
  <si>
    <t>The bearded goby Sufflogobius bibarbatus has become a key component of the pelagic food web off Namibia following the crash in pelagic fish populations during the 1970s, and its biomass is increasing despite significant predation pressure and apparent life-history constraints. The integrated feeding of the bearded goby was studied from samples collected during April 2008, using stable isotope ratios (delta C-13, delta N-15, delta S-34) and fatty acids, to resolve conflict amongst previous dietary studies based on gut-content analysis and to understand how diet could influence its success within the region. Isotopes of carbon and nitrogen suggest that the now abundant jellyfish could contribute up to 74% of the diet, and delta S-34 signatures indicate that the diatom- and bacteria-rich sulphidic sediments on the central shelf may contribute around 15% to the diet. Fatty acid analyses provided support for sulphur bacterial and jellyfish-feeding amongst gobies, and further suggest that small gobies fed more on zooplankton while large gobies fed more on sedimented diatoms. Both data sets suggest that ontogenetic changes in diet were linked to changes in habitat: pelagic when small, more demersal when large. The study highlights the value of using multiple tracers in trophic studies and indicates that the dietary flexibility of the bearded goby, in conjunction with its behaviour and physiology, likely contributes to its success within the northern Benguela ecosystem.</t>
  </si>
  <si>
    <t>10.3354/meps09078</t>
  </si>
  <si>
    <t>Hill, KGW; Nielson, KE; Tyler, JJ; McInerney, FA; Doubleday, ZA; Frankham, GJ; Johnson, RN; Gillanders, BM; Delean, S; Cassey, P</t>
  </si>
  <si>
    <t>Pet or pest? Stable isotope methods for determining the provenance of an invasive alien species</t>
  </si>
  <si>
    <t>biosecurity; invasive species; pet trade; provenancing; stable isotopes; Trachemys scripta elegans; wildlife trade</t>
  </si>
  <si>
    <t>The illegal pet trade facilitates the global dispersal of invasive alien species (IAS), providing opportunities for new pests to establish in novel recipient environments. Despite the increasing threat of IAS to the environment and economy, biosecurity efforts often lack suitable, scientifically-based methods to make effective management decisions, such as identifying an established IAS population from a single incursion event. We present a proof-of-concept for a new application of a stable isotope technique to identify wild and captive histories of an invasive pet species. Twelve red-eared slider turtles (Trachemys scripta elegans) from historic Australian incursions with putative wild, captive and unknown origins were analysed to: (1) present best-practice methods for stable isotope sampling of T.s. elegans incursions; (2) effectively discriminate between wild and captive groups using stable isotope ratios; and (3) present a framework to expand the methodology for use on other IAS species. A sampling method was developed to obtain carbon (delta C-13) and nitrogen (delta N-15) stable isotope ratios from the keratin layer of the carapace (shells), which are predominantly influenced by dietary material and trophic level respectively. Both delta C-13 and delta N-15 exhibited the potential to distinguish between the wild and captive origins of the samples. Power simulations demonstrated that isotope ratios were consistent across the carapace and a minimum of eight individuals were required to effectively discriminate wild and captive groups, reducing overall sampling costs. Statistical classification effectively separated captive and wild groups by delta N-15 (captive: delta N-15 parts per thousand &gt;= 9.7 parts per thousand, minimum of 96% accuracy). This study outlines a practical and accessible method for detecting IAS incursions, to potentially provide biosecurity staff and decision-makers with the tools to quickly identify and manage future IAS incursions.</t>
  </si>
  <si>
    <t>10.3897/neobiota.59.53671</t>
  </si>
  <si>
    <t>Barnes, C; Sweeting, CJ; Jennings, S; Barry, JT; Polunin, NVC</t>
  </si>
  <si>
    <t>Effect of temperature and ration size on carbon and nitrogen stable isotope trophic fractionation</t>
  </si>
  <si>
    <t>Dicentrarchus labrax; European sea bass; fish; food web; marine</t>
  </si>
  <si>
    <t>JUVENILE SEA BASS; DELTA-N-15 VALUES; ANIMAL ECOLOGY; FISH-TISSUES; N ISOTOPES; DIET; ENRICHMENT; DELTA-C-13; SHIFT; N-15</t>
  </si>
  <si>
    <t>1. Stable isotope data are widely used to track the origins and transformations of materials in food webs. Reliable interpretation of these data requires knowledge of the factors influencing isotopic fractionation between diet and consumer. For practical reasons, isotopic fractionation is often assumed to be constant but, in reality, a range of factors may affect fractionation. 2. To investigate effects of temperature and feeding rate on fractionation of carbon and nitrogen stable isotopes in a marine predator, we reared European sea bass Dicentrarchus labrax on identical diets at 11 and 16 degrees C on three ration levels for 600 days. 3. Nitrogen trophic fractionation (Delta delta N-15) was affected by temperature. Bass Delta delta N-15 was 4.41 parts per thousand at 11 degrees C and 3.78 parts per thousand at 16 degrees C. 4. Carbon fractionation (Delta delta C-13) was also affected by temperature. Bass Delta delta C-13 was 1.18 parts per thousand at 11 degrees C and 1.64 parts per thousand at 16 degrees C. The higher lipid content in the tissues of bass reared at cooler temperatures accounted for the temperature effect on Delta delta C-13. When Delta delta C-13 was determined using mathematically defatted values, there was a direct effect of ration size and Delta delta C-13 was 2.51, 2.39 and 2.31 parts per thousand for high, medium and low rations, respectively. 5. Reported Delta delta N-15 for all treatments exceeded the mean of 3.4 parts per thousand widely used in ecological studies of fish populations and communities. This would confound the interpretation of delta N-15 as an indicator of trophic level when comparing populations that are exposed to different temperatures. 6. The Delta delta C-13 of 0-1 parts per thousand commonly applied in food web studies did not hold under any of the temperature or feeding regimes considered and a value of 2 parts per thousand would be more appropriate.</t>
  </si>
  <si>
    <t>10.1111/j.1365-2435.2006.01224.x</t>
  </si>
  <si>
    <t>Bansal, U; Thaker, M</t>
  </si>
  <si>
    <t>Diet influences latitudinal gradients in life-history traits, but not reproductive output, in ectotherms</t>
  </si>
  <si>
    <t>carnivore; herbivore; latitude; lifetime reproductive output; lizards; omnivore</t>
  </si>
  <si>
    <t>GUT-PASSAGE TIME; BODY-TEMPERATURE; GEOGRAPHIC-VARIATION; THERMAL-DEPENDENCE; SQUAMATE REPTILES; BERGMANNS RULE; CLUTCH SIZE; LIZARD; EVOLUTION; HERBIVORY</t>
  </si>
  <si>
    <t>Aim Latitudinal gradients in life-history traits are apparent in many taxa and are expected to be strong for ectotherms that have temperature-driven constraints on performance and fitness. The strength of these gradients, however, should also be affected by diet. Because diet type (carnivory, omnivory, herbivory) influences accessibility to nutrition and assimilation efficiency, we aim to study how diet affects latitudinal gradients in lifetime reproductive output and the underlying life-history traits in ectotherms. Location Global. Time period Recent. Major taxa studied Lizards (Reptilia, Squamata, Sauria). Methods We used empirical (352 species) and phylogenetically imputed data (563 species) to analyse the interactive effects of latitude and diet on life-history traits (longevity, age at maturity, reproductive life span, hatchling mass, clutch/brood size, clutch/brood frequency, female mass) and lifetime reproductive output of lizards. Results Lifetime reproductive output does not significantly differ in lizards across diet types, and only carnivores exhibit a small increase at higher latitudes. Diet type, however, influences latitudinal patterns of individual life-history traits. Carnivores exhibit a shift towards 'slower-paced' life histories at higher latitudes for most traits (increased longevity, age at maturity, reproductive life span, and decreased clutch frequency). By contrast, herbivores either display 'faster-paced' life histories (reduction in reproductive life span, hatchling mass, female mass) or no change (clutch frequency, clutch size, age at maturity) at higher latitudes. Omnivores exhibit intermediate and muted latitudinal patterns. Main conclusions We suggest that the nutritional challenges of herbivory, compounded by thermal constraints at higher latitudes, may explain differences in life-history characteristics of herbivorous ectotherms. Intermediate patterns exhibited by omnivores highlight how flexibility in diet can buffer environmental challenges at higher latitudes. Our results indicate that lizards with different diet types display various trends in their life histories across latitudes, which eventually balance out to result in similar reproductive outputs throughout their lifetime, with little benefits to carnivory.</t>
  </si>
  <si>
    <t>10.1111/geb.13396</t>
  </si>
  <si>
    <t>Estrada, JA; Wilson, CH; Flory, SL</t>
  </si>
  <si>
    <t>Clonal integration enhances performance of an invasive grass</t>
  </si>
  <si>
    <t>carbon; clonal integration; cogongrass; invasion mechanisms; invasive plants; photosynthate translocation; stable isotopes</t>
  </si>
  <si>
    <t>COGONGRASS IMPERATA-CYLINDRICA; PHYSIOLOGICAL INTEGRATION; COMPETITIVE ABILITY; PLANT; RAMETS; GROWTH; PHOTOSYNTHESIS; ENVIRONMENTS; BIOMASS; CARBON</t>
  </si>
  <si>
    <t>While many clonal plants are highly successful invaders, the contribution of clonal integration (i.e. the translocation of resources among ramets) to invasion is often unknown. We used model simulations to ask if clonal integration would facilitate photosynthate translocation, if the performance of daughter ramets might be enhanced by clonal integration, and if shaded ramets benefited relatively more from transferred photosynthate. Then, to test if photosynthate translocation augmented performance of emerging daughter ramets for a globally invasive grass (Imperata cylindrica), we combined a (CO2)-C-13 pulse-chase experiment with a greenhouse experiment manipulating light levels and rhizome attachment. We found that acropetal photosynthate transfer occurred between all sampled parent-daughter ramet pairs and that this resource sharing led to higher biomass and tiller production when rhizomes between parent and daughter ramets were intact. We also found that the benefits of integration to recipient clones outweighed the costs to donors, since there was no reduction in parent plant performance due to sharing. Additionally, our data analyses show that photosynthate transfer was likely of greater benefit in overcoming growth constraints in shade than in full sun (posterior probability similar to 96.5%), a result that is further supported by our numerical simulations from a basic growth model. Thus, resource sharing among clonal plants may be a critical but underappreciated trait of invasive species. More generally, photosynthate transfer is a probable mechanism that explains why clonal integration can be particularly beneficial in heterogeneous resource environments.</t>
  </si>
  <si>
    <t>10.1111/oik.07016</t>
  </si>
  <si>
    <t>Griffith, DM; Cotton, JM; Powell, RL; Sheldon, ND; Still, CJ</t>
  </si>
  <si>
    <t>Multi-century stasis in C-3 and C-4 grass distributions across the contiguous United States since the industrial revolution</t>
  </si>
  <si>
    <t>bison; C-4 photosynthesis; environmental change; grass; grassland biogeography; North America; spatial scale; vegetation stasis; delta C-13</t>
  </si>
  <si>
    <t>CARBON-ISOTOPE RATIOS; SOIL ORGANIC-CARBON; LEAF-AREA INDEX; GREAT-PLAINS; GLOBAL DISTRIBUTION; ATMOSPHERIC CO2; STABLE-ISOTOPES; VEGETATION; CLIMATE; BISON</t>
  </si>
  <si>
    <t>Aims: Understanding the functional response of ecosystems to past global change is crucial to predicting performance in future environments. One sensitive and functionally significant attribute of grassland ecosystems is the percentage of species that use the C-4 versus C-3 photosynthetic pathway. Grasses using C-3 and C-4 pathways are expected to have different responses to many aspects of anthropogenic environmental change that have followed the industrial revolution, including increases in temperature and atmospheric CO2, changes to land management and fire regimes, precipitation seasonality, and nitrogen deposition. In spite of dramatic environmental changes over the past 300 years, it is unknown if the C-4 grass percentage in grasslands has shifted. Location: Contiguous United States of America. Methods: Here, we used stable carbon isotope data (i.e. delta C-13) from 30 years of soil samples, as well as herbivore tissues that date to 1739 CE, to reconstruct coarsegrain C-3 and C-4 grass composition in North American grassland sites to compare with modern vegetation. We spatially resampled these three datasets to a shared 100-km grid, allowing comparison of delta C-13 values at a resolution and extent common for climate model outputs and biogeographical studies. Results: At this spatial grain, the bison tissue proxy was superior to the soil proxy because the soils reflect integration of local carbon inputs, whereas bison sample vegetation across landscapes. Bison isotope values indicate that historical grassland photosynthetic-type composition was similar to modern vegetation. Main conclusions: Despite major environmental change, comparing modern plot vegetation data to three centuries of bison delta C-13 data revealed that the biogeographical distribution of C-3 and C-4 grasses has not changed significantly since the 1700s. This is particularly surprising given the expected CO2 fertilization of C-3 grasses. Our findings highlight the critical importance of capturing the full range of physiological, ecological and demographical processes in biosphere models predicting future climates and ecosystems.</t>
  </si>
  <si>
    <t>10.1111/jbi.13061</t>
  </si>
  <si>
    <t>Yorio, P; Suarez, N; Kasinsky, T; Pollicelli, M; Ibarra, C; Gatto, A</t>
  </si>
  <si>
    <t>The introduced green crab (Carcinus maenas) as a novel food resource for the opportunistic kelp gull (Larus dominicanus) in Argentine Patagonia</t>
  </si>
  <si>
    <t>seabirds; predator-prey interactions; upper trophic level predators; intertidal prey; facilitative interactions; trophic subsidy; trophic ecology</t>
  </si>
  <si>
    <t>ISOTOPE MIXING MODELS; GOLFO-SAN-JORGE; NORTHERN PATAGONIA; FORAGING ECOLOGY; HERRING-GULLS; DIET; IMPACTS; MARINE; PREDATION; DISPERSAL</t>
  </si>
  <si>
    <t>Introduced species are one of the main threats to biological diversity, but they can also facilitate native species through mechanisms such as trophic subsidy. We quantified the diet of breeding kelp gulls (Larus dominicanus) and their consumption of the introduced green crab (Carcinus maenas) at five colonies located along over 600 km of coastline in Patagonia, Argentina, and analyzed differences in consumption rates among breeding locations. Results based on pellet analysis (n = 961 pellets) showed that kelp gulls consumed green crabs during most or part of the breeding cycle at all study locations (0-73.9%, depending on location, year and breeding stage). Green crab consumption differed among breeding locations, with lower consumption further from the reported location of first Argentinean introduction (Golfo San Jorge, Chubut, Patagonia) in 1999-2000. Despite kelp gulls regularly consumed green crabs at most breeding locations, this invasive species was not an important component in their diet. Both stomach content and stable isotope analyses from breeding kelp gulls indicated that the main prey were fish such as Argentine anchovy and Argentine hake (Engraulis anchoita and Merluccius hubbsi, respectively) and squat lobster (Munida gregaria). At Isla Vernaci Este and Punta Tombo, green crabs were found in only one stomach of all kelp gull age classes sampled (incubating adults (n = 42), young chicks (n = 75), and old chicks (n = 105)). Based on carbon and nitrogen isotopic values from blood samples from incubating adults (n = 54), Bayesian mixing model outputs showed that green crabs contributed 7.3-23.9% to the overall diet. The study showed that the relatively recent introduction of green crabs supplements the available prey base of a widely distributed and abundant predator, the kelp gull, at least during its breeding season in a large coastal sector of central Patagonia. The extent to which the kelp gull in coastal Patagonia may be shaping the establishment, abundance, and population dynamics of the introduced green crab is still unknown and will require further research.</t>
  </si>
  <si>
    <t>10.3391/ai.2020.15.1.10</t>
  </si>
  <si>
    <t>Marx, M; Schumm, YR; Kardynal, KJ; Hobson, KA; Rocha, G; Zehtindjiev, P; Bakaloudis, D; Metzger, B; Cecere, JG; Spina, F; Cianchetti-Benedetti, M; Frahnert, S; Voigt, CC; Lormee, H; Eraud, C; Quillfeldt, P</t>
  </si>
  <si>
    <t>Feather stable isotopes (delta H-2(f) and delta C-13(f)) identify the Sub-Saharan wintering grounds of turtle doves from Europe</t>
  </si>
  <si>
    <t>Streptopelia turtur; Assignment to origin; Feather isoscape; Deuterium; Carbon-13; Migratory connectivity</t>
  </si>
  <si>
    <t>STREPTOPELIA-TURTUR; MIGRATORY CONNECTIVITY; BREEDING ORIGINS; SURVIVAL RATES; BIRDS; AFRICA; POPULATION; ECOLOGY; AREAS; CONSERVATION</t>
  </si>
  <si>
    <t>Conservation of migratory birds requires knowledge of breeding and nonbreeding ranges and the connections between them. European turtle doves (Streptopelia turtur) are Palearctic-African long-distance migrants with wintering areas in the Sub-Saharan belt that are classed as vulnerable due to strong population declines. However, detailed non-breeding locations of individuals from different migratory flyways are unknown. To identify wintering regions of turtle doves, we measured stable isotopes of feathers grown on the wintering grounds and used a dual-isotope (hydrogen (delta H-2(f)) and carbon (delta C-13(f))) probabilistic assignment to analyse origins of individuals migrating through the western and central/eastern flyways. The most probable wintering areas for turtle dove samples from both flyways were in the western and central Sub-Sahara. However, we found differences in delta H-2(f) and delta C-13(f) values between turtle doves following different migratory routes (western vs central/eastern flyway). This result suggests a higher likelihood of origins in the central Sub-Sahara for central and eastern migrants, while turtle doves using the western flyway originated primarily in the western Sub-Sahara, highlighting the importance of both regions for the future conservation of turtle doves from European breeding populations. The establishment of migratory connectivity of populations requires sampling from birds from the European as well as Asian continent; however, we provide important results that can be used to test hypotheses regarding population declines resulting from factors experienced over the full annual cycle for some populations.</t>
  </si>
  <si>
    <t>10.1007/s10344-022-01567-w</t>
  </si>
  <si>
    <t>Rhoades, OK; Lonhart, SI; Stachowicz, JJ</t>
  </si>
  <si>
    <t>Fished species uniformly reduced escape behaviors in response to protection</t>
  </si>
  <si>
    <t>Behavior; Protected areas; Human harvest; Ecosystem function; Flight initiation distance; Fishing</t>
  </si>
  <si>
    <t>REEF FISHES; TROPHIC CASCADES; PREDATION RISK; ECOLOGICAL CONSEQUENCES; HABITAT SELECTION; MARINE; TEMPERATE; TRAITS; ABUNDANCE; LINKING</t>
  </si>
  <si>
    <t>Predation is a critical ecological process that alters the structure and functioning of ecosystems through density mediated and trait-mediated effects on lower trophic levels. Although studies have focused on harvest-driven reductions in abundances and sizes of targeted species, human harvest also alters species morphologies, life histories, and behaviors by selection, plasticity, and shifts in species interactions. Restricting harvest can recover the biomass of targeted species, but it is less clear how behavioral phenotypes recover, particularly relative to the impacts of potentially opposing pathways of human influence. We investigated the effects of protection on the behavioral traits of a marine fish assemblage, recording behavior of 1377 individual fishes of nine targeted kelp forest species across 16 California marine protected areas (MPAs) varying in age, protection level, and diver visitation. With long-term, full protection from harvest, all fish species exhibited shorter flight initiation distance (FID, or the distance at which an animal flees from an approaching threat) and longer time delays before fleeing, despite differences in trophic position, microhabitat use, and other ecological characteristics. These escape behaviors were amplified across new MPAs regardless of protection level, suggesting that recovery is slow and likely the result of differences in genetic or early-life experience among individuals in these long-lived species. Although the effects of full protection from harvest were partially offset by recovering populations of large piscivorous predators, the net effect of long-term, full protection on fish behavior was shorter FID. Additionally, all species had shorter FID at sites more frequently visited by divers, and this effect was greater in sites with long-term, full protection from fishing. To the extent that escape behavior is correlated with foraging behavior and predation rates, these results suggest that human-induced behavioral changes may affect ecosystem processes, even after abundances have recovered. If recovery of ecosystem functioning and services are the management goal, assessments should be broadened to include the recovery of functional traits (including behavior).</t>
  </si>
  <si>
    <t>10.1016/j.biocon.2018.06.030</t>
  </si>
  <si>
    <t>Jephson, T; Nystrom, P; Moksnes, PO; Baden, SP</t>
  </si>
  <si>
    <t>Trophic interactions in Zostera marina beds along the Swedish coast</t>
  </si>
  <si>
    <t>Seagrass; Eelgrass; Zostera; Stable isotopes; Mixing model; Trophic interactions</t>
  </si>
  <si>
    <t>STABLE-ISOTOPES; SEAGRASS BEDS; POPULATION RESPONSES; TEMPERATE ESTUARIES; FISH PREDATION; NITROGEN; CARBON; ABUNDANCE; L.; EUTROPHICATION</t>
  </si>
  <si>
    <t>We compared eelgrass Zostera marina communities in 3 regions in Sweden believed to be affected by eutrophication and overfishing, to determine whether bottom-up or top-down processes control the biomass of epiphytic macroalgae and grazers. Nitrogen and carbon isotope signatures were analyzed to explore the food webs and to identify the grazing species feeding on filamentous algae and/or eelgrass. Mixing model (IsoSource version 1.3.1) analysis of the isotope signatures indicated that the amphipods Gammarus locusta and Microdeutopus gryllotalpa fed primarily on filamentous algae and that only 2 small gastropod species consumed eelgrass. Moreover, the grass shrimp Palaemon elegans and F adspersus were ca. 1 trophic level above amphipods and algae, but according to the mixing model played different trophic roles in the different areas. The highest biomass of filamentous algae was found in the west coast beds housing grazers with the lowest biomass and mean size (predominantly G. locusta and M. gryllotalpa, 0.5 to 3 mm). In contrast, the Baltic Sea beds had low algal biomass, but the grazers (mostly G. locusta and Idotea baltica) had higher biomass and were significantly larger (mean size ca. 10 mm). An overall negative correlation was found between grazer biomass and biomass of filamentous algae. The significantly smaller grazers and absence of isopod grazers on the west coast may be due to substantial consumption by small predatory fish. This supports the suggestions that, in Swedish eelgrass beds, grazers are top-down controlled, and overexploitation. of large predators and eutrophication play an important role in the recent increases in algal biomass.</t>
  </si>
  <si>
    <t>10.3354/meps07646</t>
  </si>
  <si>
    <t>Le, DQ; Tanaka, K; Dung, LV; Siau, YF; Lachs, L; Kadir, STSA; Sano, Y; Shirai, K</t>
  </si>
  <si>
    <t>Biomagnification of total mercury in the mangrove lagoon foodweb in east coast of Peninsula, Malaysia</t>
  </si>
  <si>
    <t>Mercury; Biotransfer; Stable isotope; Health risk; Mangrove; Food web</t>
  </si>
  <si>
    <t>NITROGEN ISOTOPE ANALYSIS; TROPHIC POSITION; STABLE-ISOTOPES; TRACE-ELEMENTS; MARINE FISH; METHYLMERCURY; CARBON; WEB; BIOACCUMULATION; DELTA-C-13</t>
  </si>
  <si>
    <t>The combined analyses of total mercury (Hg) and stable isotopic (delta C-13 and delta N-15) ratios were conducted to describe the food web pathways of dietary Hg, from basal food sources to benthic invertebrates and higher trophic level fish, and to determine if biomagnification of Hg is a persistent process in the food web in a mangrove creek in Setiu Lagoon. The study showed that Hg concentrations were relatively low in mangrove litter and sediment, but elevated gradually in higher trophic level consumers. Based on delta C-13 values, the variation of gastropod Hg concentrations are likely correspond with local dietary sources of Hg in sediments, while variations in bivalve Hg reflect their exposure to low Hg concentrations in the water body. The combination of depleted delta C-13 values and high Hg concentration in gastropods suggest that microbially produced Hg sources in mangrove sediments play an important role in benthic biotransfer pathways. The isotopic compositions of crustaceans demonstrate the importance of feeding behaviour in Hg bioaccumulation. High bioaccumulation of Hg occurred consistently in carnivorous fish species, particularly piscivorous Caranx ignobilis. The enriched delta C-13 of fish species reflects a small contribution of mangrove-derived organic carbon to the fish food web in the mangrove creek, accordingly the fish community may intake dietary sources of Hg via trophic relay or bioadvection, however further studies are needed to elucidate such factors. A positive relationship was found between Hg concentration and trophic level (derived from delta N-15, trophic magnification factor of 1.5) even at low Hg concentration in the base of the food web, providing evidence for Hg biomagnification in the mangrove food web of Setiu lagoon. Whilst Hg concentrations in fish and commercial crabs did not present a risk for human consumption, the Hg concentration of Caranx ignobilis approached the official permitted level. In the future, there is a need for Hg biomonitoring designed to assess carnivorous fish in order to comprehensively assess the potential effects of human activities and land use around the upper reaches of the Setiu ecosystem. (C) 2017 Elsevier B. V. All rights reserved.</t>
  </si>
  <si>
    <t>10.1016/j.rsma.2017.08.006</t>
  </si>
  <si>
    <t>Whitledge, GW; Kroboth, PT; Chapman, DC; Phelps, QE; Sleeper, W; Bailey, J; Jenkins, JA</t>
  </si>
  <si>
    <t>Establishment of invasive Black Carp (Mylopharyngodon piceus) in the Mississippi River basin: identifying sources and year classes contributing to recruitment</t>
  </si>
  <si>
    <t>Black carp; Invasion history; Age and growth; Stable isotopes; Otolith microchemistry; Ploidy</t>
  </si>
  <si>
    <t>TROUT SALVELINUS-NAMAYCUSH; STABLE-ISOTOPE; BIGHEAD CARP; SILVER CARP; CRYSTAL-STRUCTURE; IDENTIFICATION; FRAMEWORK; MISSOURI; PLOIDY; FISHES</t>
  </si>
  <si>
    <t>Black Carp (Mylopharyngodon piceus) was imported to the USA to control aquaculture pond snails. This species has escaped captivity and occurs in parts of the Mississippi River, several tributaries, and floodplain lakes, which is concerning due to potential competition with native fishes and predation on native mussels, many of which are imperiled. However, Black Carp captures have primarily been incidental by commercial fishers, and evidence of reproduction in the wild is limited. The objectives of this study were to assess relative abundance of aquaculture-origin and wild Black Carp using ploidy and otolith stable isotope analysis, identify spatial extent of natural reproduction using otolith microchemistry, assess age distributions of wild and aquaculture-source Black Carp to infer years in which natural reproduction occurred and timing of aquaculture escapement or introductions, and estimate size and age at maturation to assess whether recruitment to adulthood has occurred. Results revealed that Black Carp are established in parts of the Mississippi River basin based on findings that: (1) non-captive Black Carp primarily consist of fertile, naturally-reproduced fish, (2) reproduction has occurred in several rivers, (3) multiple year classes of wild fish are present, and (4) wild fish have recruited to adulthood. Multiple introductions or escapements of aquaculture-source fish into the wild, including both fertile and functionally sterile individuals, were also inferred. Individual growth appears to be rapid, although considerable variation was observed among fish. Additional study is suggested to refine understanding of where and when Black Carp reproduction is occurring in the Mississippi River basin.</t>
  </si>
  <si>
    <t>10.1007/s10530-022-02889-1</t>
  </si>
  <si>
    <t>Arimitsu, ML; Hobson, KA; Webber, DN; Piatt, JF; Hood, EW; Fellman, JB</t>
  </si>
  <si>
    <t>Tracing biogeochemical subsidies from glacier runoff into Alaska's coastal marine food webs</t>
  </si>
  <si>
    <t>delta C-13; delta N-15 Delta C-14; delta H-2; Bayesian isotope mixing model; glacier runoff; marine ecosystem; marine food web</t>
  </si>
  <si>
    <t>PRINCE-WILLIAM-SOUND; ORGANIC-MATTER; STABLE-ISOTOPES; TROPHIC RELATIONSHIPS; ENVIRONMENTAL WATER; HYDROGEN; CARBON; ZOOPLANKTON; TERRESTRIAL; NITROGEN</t>
  </si>
  <si>
    <t>Nearly half of the freshwater discharge into the Gulf of Alaska originates from landscapes draining glacier runoff, but the influence of the influx of riverine organic matter on the trophodynamics of coastal marine food webs is not well understood. We quantified the ecological impact of riverine organic matter subsidies to glaciermarine habitats by developing a multi-trophic level Bayesian three-isotope mixing model. We utilized large gradients in stable (delta C-13, delta N-15, delta H-2) and radiogenic (Delta C-14) isotopes that trace riverine and marine organic matter sources as they are passed from lower to higher trophic levels in glacial-marine habitats. We also compared isotope ratios between glacial-marine and more oceanic habitats. Based on isotopic measurements of potential baseline sources, ambient water and tissues of marine consumers, estimates of the riverine organic matter source contribution to upper trophic-level species including fish and seabirds ranged from 12% to 44%. Variability in resource use among similar taxa corresponded to variation in species distribution and life histories. For example, riverine organic matter assimilation by the glacier-nesting seabirds Kittlitz's murrelet (Brachyramphus brevirostris) was greater than that of the forest-nesting marbled murrelet (B. marmoratus). The particulate and dissolved organic carbon in glacial runoff and near surface coastal waters was aged (12100-1500 years BP C-14-age) but dissolved inorganic carbon and biota in coastal waters were young (530 years BP C-14-age to modern). Thus terrestrial-derived subsidies in marine food webs were primarily composed of young organic matter sources released from glacier ecosystems and their surrounding watersheds. Stable isotope compositions also revealed a divergence in food web structure between glacial-marine and oceanic sites. This work demonstrates linkages between terrestrial and marine ecosystems, and facilitates a greater understanding of how climate-driven changes in freshwater runoff have the potential to alter food web dynamics within coastal marine ecosystems in Alaska.</t>
  </si>
  <si>
    <t>10.1111/gcb.13875</t>
  </si>
  <si>
    <t>Pomerleau, C; Winkler, G; Sastri, A; Nelson, RJ; Williams, WJ</t>
  </si>
  <si>
    <t>The effect of acidification and the combined effects of acidification/lipid extraction on carbon stable isotope ratios for sub-arctic and arctic marine zooplankton species</t>
  </si>
  <si>
    <t>Acidification; Arctic; Carbon; Carbonates; Lipid extraction; Stable isotopes; Zooplankton</t>
  </si>
  <si>
    <t>LIPID EXTRACTION; FOOD-WEB; TEMPORAL VARIATION; DELTA-N-15 VALUES; DELTA-C-13; MODELS; MUSCLE; NORMALIZATION; FRACTIONATION; PRESERVATION</t>
  </si>
  <si>
    <t>Stable isotope ratios of carbon (delta C-13) in zooplankton are widely applied in ecosystem-level studies of energy flux and trophic interactions. Carbonate (CaCO3) and lipid content are highly variable both among and within zooplankton species. Such variability can arise from the delta C-13-depleted nature of lipids as well as differences in carbon incorporation among tissues (e.g., relative amount of carbonate). Critically, the impact of the common lipid- and carbonate-normalization steps of extraction and acidification is poorly understood and applied in an inconsistent manner. Here, we investigated the effect of lipid extraction and sample acidification (CaCO3 removal) on delta C-13 in sub-arctic and arctic marine zooplankton species. Our results indicate that, with the exception of the shelled mollusc Limacina helicina, acidification of samples can be omitted for all other marine zooplankton considered in this study. In the case of L. helicina, delta C-13 can be corrected for carbonate content using the linear equation developed in this study. In contrast, the delta C-13 for all species was significantly enriched by a combination of lipid extraction and acidification (up to +4.9 aEuro degrees) prior to stable isotope analysis. Our data were used to develop simple, predictive species-specific correction models for lipid-acid-normalized delta C-13 using C:N and/or untreated delta C-13 values. Our results indicate that the delta C-13 value for all species, including those with lower C:N ratios (similar to 3-4), should be corrected for lipid content. We recommend lipid extraction whenever possible, or else the use of species/taxon-specific delta C-13 lipid-normalization models for accurate determination of carbon sources and dynamics for arctic and sub-arctic marine zooplankton.</t>
  </si>
  <si>
    <t>10.1007/s00300-014-1540-8</t>
  </si>
  <si>
    <t>Foley, NM; Petit, EJ; Brazier, T; Finarelli, JA; Hughes, GM; Touzalin, F; Puechmaille, SJ; Teeling, EC</t>
  </si>
  <si>
    <t>Drivers of longitudinal telomere dynamics in a long-lived bat species, Myotis myotis</t>
  </si>
  <si>
    <t>bats; climate change; conservation; heritability; longitudinal data; telomere length</t>
  </si>
  <si>
    <t>DIVERSITY DYNAMICS; FOOD AVAILABILITY; MODEL SELECTION; PATERNAL AGE; LENGTH; HISTORY; SURVIVAL; WEATHER; REPRODUCTION; PIPISTRELLUS</t>
  </si>
  <si>
    <t>Age-related telomere shortening is considered a hallmark of the ageing process. However, a recent cross-sectional ageing study of relative telomere length (rTL) in bats failed to detect a relationship between rTL and age in the long-lived genus Myotis (M. myotis and M. bechsteinii), suggesting some other factors are responsible for driving telomere dynamics in these species. Here, we test if longitudinal rTL data show signatures of age-associated telomere attrition in M. myotis and differentiate which intrinsic or extrinsic factors are likely to drive telomere length dynamics. Using quantitative polymerase chain reaction, rTL was measured in 504 samples from a marked population, from Brittany, France, captured between 2013 and 2016. These represent 174 individuals with an age range of 0 to 7+ years. We find no significant relationship between rTL and age (p = .762), but demonstrate that within-individual rTL is highly variable from year to year. To investigate the heritability of rTL, a population pedigree (n = 1744) was constructed from genotype data generated from a 16-microsatellite multiplex, designed from an initial, low-coverage, Illumina genome for M. myotis. Heritability was estimated in a Bayesian, mixed model framework, and showed that little of the observed variance in rTL is heritable (h(2) = 0.01-0.06). Rather, correlations of first differences, correlating yearly changes in telomere length and weather variables, demonstrate that, during the spring transition, average temperature, minimum temperature, rainfall and windspeed correlate with changes in longitudinal telomere dynamics. As such, rTL may represent a useful biomarker to quantify the physiological impact of various environmental stressors in bats.</t>
  </si>
  <si>
    <t>10.1111/mec.15395</t>
  </si>
  <si>
    <t>Schultz, H; Chang, KV; Bury, SJ; Gaskett, AC; Dennis, TE; Ismar-Rebitz, SMH; Southey, I; Hohnhold, RJ; Millar, CD</t>
  </si>
  <si>
    <t>Sex-specific foraging of an apex predator puts females at risk of human-wildlife conflict</t>
  </si>
  <si>
    <t>agriculture; brown skua; facultative scavenger; GPS tracking; management; seabirds; sexual dimorphism; stable isotopes</t>
  </si>
  <si>
    <t>CATHARACTA-ANTARCTICA-LONNBERGI; SIZE DIMORPHISM; SEABIRD MORTALITY; STABLE-ISOTOPES; TISSUE SAMPLES; GIANT PETRELS; HERRING-GULLS; AVIAN BLOOD; BIRD ISLAND; GREAT SKUAS</t>
  </si>
  <si>
    <t>1. Urbanisation and anthropogenic alteration of ecosystems has led to conflict between humans and wildlife. Such conflict is often observed in apex predators. Although human-wildlife conflict has been extensively studied, male/female differences in behaviour are rarely considered. 2. We investigated male/female differences in foraging behaviour of the predatory/scavenging brown skua Catharacta antarctica lonnbergi breeding on a New Zealand island nature reserve in proximity to farmland. These skuas are subject to culling, when perceived as a threat to livestock. 3. As part of a long-term ecological study, we used high-resolution Global Positioning System (GPS) devices to characterise the space-use of foraging brown skuas. We also analysed stable isotopes of carbon (delta C-13) and nitrogen (delta N-15) from modern and archived blood samples to investigate possible changes in diet over the past similar to 30 years. 4. Analysis of 100 GPS tracks collected from 2014 to 2016 demonstrated that males and females consistently visited different habitats. Males spent most of their time close to their breeding territory on the island nature reserve and females frequently visited a farmed island approximately two kilometres away. Consistent with this finding, we show that male and female skuas also differed markedly in their diets: males specialised on burrow-nesting white-faced storm petrels Pelagodroma marina (80%) with only a small proportion of sheep remains Ovis aries (&lt;6%) contributing to their diet. In contrast, female diet comprised 27% white-faced storm petrels, other seabirds (18%) and a relatively large proportion of sheep remains (47%). Further, our data (186 blood samples from 122 individuals) show that this male/female difference in diet has persisted at least since 1987. 5. Because females fed disproportionally on sheep remains, they may be more vulnerable to being culled by farmers. Importantly, our case study suggests that intersexual differences in diet and foraging patterns can have major implications for the reproduction and survival of apex predators that interact with farming. We strongly suggest that intersexual differences in behaviour should be considered when investigating human-wildlife conflicts.</t>
  </si>
  <si>
    <t>10.1111/1365-2656.13496</t>
  </si>
  <si>
    <t>Lagerlof, J; Maribie, C; John, JM</t>
  </si>
  <si>
    <t>Trophic interactions among soil arthropods in contrasting land-use systems in Kenya, studied with stable isotopes</t>
  </si>
  <si>
    <t>Collembola; Oribatida; Mesostigmata; 13-Carbon; 15-Nitrogen; Tropical soil</t>
  </si>
  <si>
    <t>FOOD-WEB; NICHE DIFFERENTIATION; RAIN-FOREST; CARBON; COLLEMBOLA; DELTA-N-15; ENRICHMENT; DIVERSITY; C-13/C-12; N-15/N-14</t>
  </si>
  <si>
    <t>Understanding how land use intensification changes organism communities and trophic interactions in soil is important for development of sustainable agriculture and forestry. We analysed the food web of soil arthropods with help of natural C-13/C-12 and N-15/N-14 ratios (delta C-13 and delta N-15) in two habitats in the Kenyan Highland - a natural forest and an agricultural site on former forest land. Aims of the study: (1) to describe the structure and feeding relationships in the two systems for major soil arthropod groups, (2) to find differences in feeding strategies within major arthropod groups, (3) to determine if soil arthropod groups have the same trophic positions in forest and agricultural soil, (4) to evaluate if delta C-13 and delta N-15 can be explained by additional reasons, e.g. the physiology and C:N ratios of organisms. This is one of few studies of the trophic structure of soil arthropod communities in tropical ecosystems. It confirms that the structure is similar to comparable systems in the temperate zones. There was a large variation in delta N-15 among families of Oribatida, Mesostigmata and Collembola (the most common groups) indicating great variety in feeding ecology. Collembola and Diplopoda had comparatively high delta N-15, indicating a contribution of animals to the diet. Although lower abundance and diversity of arthropods in the agricultural soil, the trophic positions of particular taxa, indicated as delta N-15 level, were similar to the forest. The delta C-13 values were negatively correlated to the C:N ratio, therefore increasing values of delta C-13 with trophic level could not be demonstrated. (C) 2017 Elsevier Masson SAS. All rights reserved.</t>
  </si>
  <si>
    <t>10.1016/j.ejsobi.2017.01.002</t>
  </si>
  <si>
    <t>CURRIN, CA; NEWELL, SY; PAERL, HW</t>
  </si>
  <si>
    <t>THE ROLE OF STANDING DEAD SPARTINA-ALTERNIFLORA AND BENTHIC MICROALGAE IN SALT-MARSH FOOD WEBS - CONSIDERATIONS BASED ON MULTIPLE STABLE-ISOTOPE ANALYSIS</t>
  </si>
  <si>
    <t>SPARTINA ALTERNIFLORA; BENTHIC MICROALGAE; STABLE ISOTOPES; SALT MARSH; FOOD WEB</t>
  </si>
  <si>
    <t>ORGANIC-MATTER FLOW; CARBON ISOTOPE; NITROGEN ISOTOPES; DELAWARE ESTUARY; SAPELO ISLAND; MARINE; RATIOS; SULFUR; GEORGIA; ALGAE</t>
  </si>
  <si>
    <t>The stable isotope compositions (C, N, and S) of live, senescent, and standing dead Spartina alterniflora were compared in order to determine the effects of aerial decomposition on the isotopic signature of aboveground S. alterniflora tissue entering the food chain. Aerial decomposition of aboveground S. alterniflora resulted in a 6 to 18 parts per thousand increase in delta(34)S and a 2 to 3 parts per thousand decrease in delta(15)N values; delta(13)C values were unchanged. We describe mechanisms whereby the activity of fungi and epiphytic microorganisms may contribute to the observed shifts in delta(34)S and delta(15)N, respectively. The delta(13)C value of salt marsh benthic and epiphytic microalgae ranged from -13.0 parts per thousand in summer to -17.6 parts per thousand in early spring. Average delta(15)N values of microalgae and standing dead S. alterniflora were -0.3 and 1.7 parts per thousand, respectively, reflecting the activity of N-2-fixing microorganisms. The delta(15)N values for omnivorous and herbivorous salt marsh macrofauna ranged between 7.5 and 2.2 parts per thousand, and for predatory Fundulus spp. delta(15)N averaged 9.2 parts per thousand. Given a presumptive +3 parts per thousand trophic shift in N assimilation, these results suggest that N-2-fixing microorganisms associated with microalgal communities were an important source of N to salt marsh consumers. The delta(13)C, delta(15)N, and delta(34)S values of primary producers were compared to the values of the following consumers: Fundulus spp., Uca spp., Illyanassa obsoleta, and Littoraria irrorata. delta(13)C VS delta(15)N and delta(13)C vs delta(34)S dual isotope plots demonstrated that microalgae and standing dead S. alterniflora are important food resources in the North Carolina (USA) marshes we sampled. In addition, a compilation of literature values suggests that this is true in salt marshes throughout the East and Gulf coasts of North America. Future isotope studies of marsh food webs should include detrital Spartina spp. material in analyses of trophic structure.</t>
  </si>
  <si>
    <t>10.3354/meps121099</t>
  </si>
  <si>
    <t>Babler, AL; Pilati, A; Vanni, MJ</t>
  </si>
  <si>
    <t>Terrestrial support of detritivorous fish populations decreases with watershed size</t>
  </si>
  <si>
    <t>agriculture; algae; allochthonous; autochthonous; carbon; deuterium; Dorosoma cepedianum; gizzard shad; isotopes lakes; Ohio; reservoirs</t>
  </si>
  <si>
    <t>SHAD DOROSOMA-CEPEDIANUM; AQUATIC FOOD WEBS; GIZZARD SHAD; ALLOCHTHONOUS CARBON; ORGANIC-CARBON; STABLE-ISOTOPES; RESERVOIR PRODUCTIVITY; SECONDARY PRODUCTION; SEDIMENT DELIVERY; C-13 ADDITION</t>
  </si>
  <si>
    <t>Consumers in aquatic food webs can be supported by terrestrial and aquatic primary production. However, we know little about how allochthony, i.e., the proportion of consumer biomass derived from terrestrial organic matter, varies along environmental gradients. Using hydrogen isotopes (deuterium), we quantified allochthony of an ecologically dominant detritivorous fish species (gizzard shad, Dorosoma cepedianum) in reservoir ecosystems, along a gradient of watershed land use (agriculture vs. forest). We predicted that allochthony would decline with an increase in the proportion of watershed land composed of agriculture (% agriculture). This is based on the supposition that as % agriculture increases, so does the export of dissolved inorganic nutrients to lakes, stimulating algal production and reducing the importance of terrestrial organic carbon subsidies. Allochthony accounted for similar to 34% of gizzard shad production (mean of 11 lakes), although this fraction varied greatly (0-68%) among lakes and isotope mixing model assumptions. Contrary to our hypothesis, we found no relationship between allochthony and % agriculture. However, allochthony was inversely related to total watershed area, as well as the absolute area of the watershed (rather than the percentage) composed of agriculture. We speculate that watershed area and allochthony are negatively correlated because watershed area exerts a strong control on the relative subsidies of dissolved inorganic nutrients vs. particulate organic carbon. Gizzard shad biomass was positively related to phytoplankton primary production but negatively related to allochthony, suggesting that phytodetritus is a higher quality resource than terrestrial detritus. Overall, our results show that both autochthonous and allochthonous carbon fuel the production of this ecologically important detritivore, the relative importance of allochthony decreases with increasing watershed size, and variation in gizzard shad production is closely tied to variation in autochthonous primary production.</t>
  </si>
  <si>
    <t>10.1890/ES11-00043.1</t>
  </si>
  <si>
    <t>Pringle, MJ; Allen, DE; Orton, TG; Bishop, TFA; Butler, DW; Henry, BK; Dalal, RC</t>
  </si>
  <si>
    <t>Effects of land-use change and management on soil carbon and nitrogen in the Brigalow Belt, Australia: II. Statistical models to unravel the climate-soil-management interaction</t>
  </si>
  <si>
    <t>Acacia harpophylla; carbon-nitrogen ratio; land clearance; pastures; regrowth</t>
  </si>
  <si>
    <t>ORGANIC-CARBON; MATTER; QUEENSLAND; LANDSCAPE; STOCKS; STOICHIOMETRY; CULTIVATION; PHOSPHORUS; PREDICTION; DELTA-C-13</t>
  </si>
  <si>
    <t>The impact of grazing on soil carbon (C) and nitrogen (N) cycles is complex, and across a large area it can be difficult to uncover the magnitude of the effects. Here, we have linked two common approaches to statistical modelling regression trees and linear mixed models - in a novel way to explore various aspects of soil C and N dynamics for a large, semiarid bioregion where land use is dominated by grazing. The resulting models, which we term RT-LMM, have the pleasing visual appeal of regression trees, and they account for spatial autocorrelation as per a linear mixed model. Our RT-LMM were developed from explanatory variables that related information on climate, soil and past land management. Response variables of interest were: stocks of soil total organic carbon (TOC), soil total nitrogen (TN), and particulate organic C (POC); the ratio of TOC stock to TN stock; and the relative abundance of stable isotopes delta C-13 and delta N-15 in the soil. Each variable was sampled at the depth interval 0-0.3 m. The interactions of land use with, in particular, air temperature and soil phosphorus were strong, but three principal management-related effects emerged: (i) the use of fire to clear native vegetation reduced stocks of TOC and TN, and the TOC: TN ratio, by 25%, 19% and 9%, respectively, suggesting that TOC is more sensitive to fire than TN; (ii) conversion of native vegetation to pasture enriched soil with delta C-13 by 1.7 %; subsequent regrowth of the native vegetation among the pasture restored d13C to its original level but there was no corresponding change in TOC stock; and, (iii) the time elapsed since clearing reduced POC stocks and the TOC : TN ratio.</t>
  </si>
  <si>
    <t>10.1071/RJ16010</t>
  </si>
  <si>
    <t>Gao, DX; Wang, S; Wang, LX; Li, ZD; Pan, N; Liu, YX; Fu, BJ</t>
  </si>
  <si>
    <t>Enhanced coupling of light use efficiency and water use efficiency in arid and semi-arid environments</t>
  </si>
  <si>
    <t>carbon-water coupling; drylands; evapotranspiration; gross primary productivity; light use efficiency; water use efficiency</t>
  </si>
  <si>
    <t>CARBON STARVATION; EDDY-COVARIANCE; DROUGHT; PRODUCTIVITY; DRIVERS; BALANCE; SHIFTS; PLANTS; RIVER</t>
  </si>
  <si>
    <t>Both light use efficiency (LUE) and water use efficiency (WUE) play essential roles in ecosystem production. The extent to which ecosystem production is affected by the coupling between LUE and WUE remains unclear. In this study, we used data from flux measurements and weather stations in the Heihe River Basin, China, along a strong climatic gradient to quantify the relationship between LUE and WUE. Variations of LUE explained up to 85% of the variations of WUE. The contribution of LUE to WUE increased with increasing water stress. Pearson's correlation coefficient between LUE and WUE increased from -0.12 to +0.63 with decreasing LUE. The coordination between LUE and WUE was essential to explaining the insensitive of WUE and GPP with increasing water stress. These results suggest that ecosystems enhance the coordination between light and water use when water stress is high. They enhance our understanding of the drought resilience of ecosystems and reduce uncertainties associated with the carbon cycle in drylands.</t>
  </si>
  <si>
    <t>e2391</t>
  </si>
  <si>
    <t>10.1002/eco.2391</t>
  </si>
  <si>
    <t>Pettitt-Wade, H; Wellband, KW; Heath, DD; Fisk, AT</t>
  </si>
  <si>
    <t>Niche plasticity in invasive fishes in the Great Lakes</t>
  </si>
  <si>
    <t>Round Goby; Tubenose Goby; Isotopic niche; Niche plasticity; Great Lakes</t>
  </si>
  <si>
    <t>GOBY NEOGOBIUS-MELANOSTOMUS; ROUND GOBY; FRESH-WATER; SPECIES INVASIONS; TROPHIC POSITION; STABLE-ISOTOPES; PALLAS GOBIIDAE; DIET-OVERLAP; BALTIC SEA; GOBIES</t>
  </si>
  <si>
    <t>The geographic range of an invasive species is a key determinant of relative impact in the invaded region. Comparison of invasive species that are widespread or rare in invaded ranges can highlight mechanistic traits that determine the risk of impact from invasion. Round Goby (Neogobius melanostomus) is more geographically widespread and abundant than Tubenose Goby (Proterorhinus semilunaris) across invaded ranges of the Laurentian Great Lakes. We used stable isotopes of carbon (delta C-13) and nitrogen (delta N-15) in liver and muscle to contrast the isotopic niche breadth and niche plasticity of Round Goby and Tubenose Goby near the inflow and outflow of Lake St. Clair and in western Lake Superior. At all sites, Round Goby and Tubenose Goby that matched in size (21-53 mm standard length) had distinct isotopic niches with no overlap, driven by higher delta N-15 in Round Goby. The variation in isotopic niche, and the mean difference in delta C-13 and delta N-15 between muscle and liver, was greater for Round Goby, suggesting both greater seasonal shifts in diet and niche plasticity in this more widely established invader. Round Goby that were significantly larger than Tubenose Goby had broader isotopic niches and greater niche plasticity in the majority of cases and this was associated with isotopic niche overlap with smaller Round Goby and Tubenose Goby. Our findings suggest that a broad and plastic isotopic niche provides scope for wider establishment range in invasive fish species.</t>
  </si>
  <si>
    <t>10.1007/s10530-015-0894-3</t>
  </si>
  <si>
    <t>Baily, A; Rock, L; Watson, CJ; Fenton, O</t>
  </si>
  <si>
    <t>Spatial and temporal variations in groundwater nitrate at an intensive dairy farm in south-east Ireland: Insights from stable isotope data</t>
  </si>
  <si>
    <t>Nitrate contamination; Shallow groundwater; Water Framework Directive; Nitrate sources; Fractionation processes; Stable isotopes</t>
  </si>
  <si>
    <t>ENVIRONMENTAL IMPACTS; SOURCE IDENTIFICATION; SHALLOW GROUNDWATER; DIFFUSE POLLUTION; NITROGEN; DENITRIFICATION; OXYGEN; CONTAMINATION; WATER; N-15</t>
  </si>
  <si>
    <t>Achievement of at least good ecological status in all waterbodies under the EU Water Framework Directive by 2015 will in some cases be a challenge. The twin challenge is to manage expectations of policy makers for such waterbodies as to a realistic length of time required for improvement in water quality. Hence, understanding the source, transformation processes and residence time of nitrate in a hydrological system is an essential part of meeting such challenges. On a dairy farm with 24 shallow groundwater wells, the dual isotopic composition of nitrate (delta N-15 and delta O-18) was used to clarify nitrate sources, to assess spatial and temporal variability in nitrate concentrations and to determine if and where denitrification was occurring. Vertical travel time was estimated to correlate nitrate concentrations with management practices. Organically derived nitrogen was the predominant source contributing to groundwater nitrate concentrations. Denitrification was identified as prevalent within specific regions of the study site. The distinct low temporal variability in the isotopic data suggests constancy among nitrate sources and processes over time across the study site. Vertical travel times of up to 3 years were estimated on site indicating the influence of recent management practices on nitrate concentrations. Very slow horizontal migration of groundwater (decades) indicates a legacy of older management practices. Stable isotope techniques, together with an understanding of time lag, provide an extra mechanism to test the efficacy of monitoring and mitigation programmes. (C) 2011 Elsevier B.V. All rights reserved.</t>
  </si>
  <si>
    <t>10.1016/j.agee.2011.09.007</t>
  </si>
  <si>
    <t>Keimowitz, AR; Parisio, S; Adams, MS; Interlichia, K; Halton, C; Kroenke, S; Hubert, A</t>
  </si>
  <si>
    <t>Identification of Ombrotrophic Bogs in the Catskill Mountains, NY by Geochemical and Isotopic Methods</t>
  </si>
  <si>
    <t>Peatlands; Ombrotrophy; Bogs; Isotopes; Geochemistry; Springs; Catskill Mountains</t>
  </si>
  <si>
    <t>NEW-YORK-STATE; STABLE-ISOTOPES; PEAT BOG; WATER; PRECIPITATION; DEPOSITION; DELTA-O-18; CHEMISTRY; HYDROGEN; ARCHIVE</t>
  </si>
  <si>
    <t>Ombrotrophic peatlands are those that are purely fed by precipitation and are unconnected to groundwaters. Identification of ombrotophic peatlands is of interest because of their utility as a depositional archive, their unique botanical characteristics, and their sensitivity to climate change. Seven high elevation peatlands in the Catskill Mountains of New York state are investigated in this paper; six of these are identified as ombrotrophic bogs and one is determined to be a minerotrophic (groundwater-fed) poor fen. In order to identify these peatlands as ombrotrophic, concentrations of major ions in surface pools are examined; the proportion of calcium and magnesium in surface pools is particularly indicative of ombrotrophy. Average Ca/Mg (mg L-1) ratios in bogs, precipitation, and springs are 4.3, 5.0, and 6.7, respectively. Stable isotopes of water (deuterium and O-18) are examined as well and may provide a novel method of determining the water source to peatlands; peatland isotopic data plot along what appears to be a local evaporation line.</t>
  </si>
  <si>
    <t>10.1007/s13157-013-0392-2</t>
  </si>
  <si>
    <t>Thomas, SM; Kiljunen, M; Malinen, T; Eloranta, AP; Amundsen, PA; Lodenius, M; Kahilainen, KK</t>
  </si>
  <si>
    <t>Food-web structure and mercury dynamics in a large subarctic lake following multiple species introductions</t>
  </si>
  <si>
    <t>invasive species; stable isotopes; stomach content analysis; total mercury; trophic interactions</t>
  </si>
  <si>
    <t>FRESH-WATER FISH; VENDACE COREGONUS-ALBULA; TROUT SALMO-TRUTTA; NICHE SEGREGATION; CHAIN STRUCTURE; BIOACCUMULATION; COMMUNITY; NORWAY; BIOMAGNIFICATION; METHYLMERCURY</t>
  </si>
  <si>
    <t>The rate of non-native fish introductions into freshwater ecosystems has more than doubled during the past three decades, posing a serious threat to native biodiversity. Despite potential benefits for fisheries, little is known about how introduced species interact with native communities at the food-web level, or impact energy transfer dynamics and accumulation of contaminants in lake ecosystems. Here, we explored the trophic structure of a large, oligotrophic subarctic lake and assessed the trophic niche use and potential ecosystem-wide consequences of two introduced salmonid species: piscivorous lake trout (Salvelinus namaycush) and zooplanktivorous vendace (Coregonus albula). We used a combination of diet, stable isotope and total mercury concentration data to test the hypotheses that the introduced fishes: (i) show partial niche overlap with the native fish community; (ii) increase total isotopic food-web size and dietary linkages by increasing the diversity of niches present within the system, in comparison to analyses where only the native species were considered; and (iii) have differing mercury bioaccumulation rates from native species due to differences in trophic ecology and habitat preferences, being higher in pelagicthan in littoral species. Trophic interactions between the introduced and native species were extensive, with evidence of reciprocal predation, resource competition and possible competitive exclusion apparent. Despite partial niche overlap with native species, the inclusion of introduced species in our analysis increased both total isotopic niche space and the number of dietary linkages present in the food web. On the basis of these findings, we suggest that introduced vendace may have led to a shift in system-wide reliance on pelagically derived energy, whereas generalist foraging by piscivorous lake trout may have further integrated littoral and pelagic food-web compartments. Mercury bioaccumulation rates were highly species-specific and varied among habitats, but were generally higher in the pelagic food-web compartment. However, contrary to expectations, vendace had lower mercury levels than native pelagic species, potentially reducing the extent of biomagnification within the lake. Our study demonstrates how introduced fishes may elicit complex and unpredictable responses in food-web structure and ecosystem function, and thus complicate contaminant bioaccumulation and transfer processes within freshwater ecosystems.</t>
  </si>
  <si>
    <t>10.1111/fwb.12723</t>
  </si>
  <si>
    <t>Correa, SB; Winemiller, K</t>
  </si>
  <si>
    <t>Terrestrial-aquatic trophic linkages support fish production in a tropical oligotrophic river</t>
  </si>
  <si>
    <t>Flood pulse; Flooded forest; Food web; Inland fisheries; Trophic subsidy</t>
  </si>
  <si>
    <t>CENTRAL AMAZON; CARBON-SOURCES; FRUGIVOROUS FISHES; FORESTS; WATER; LAKE; CLASSIFICATION; FLOODPLAINS; TURNOVER; INSIGHTS</t>
  </si>
  <si>
    <t>Despite low in situ primary productivity, tropical oligotrophic rivers support highly diverse fish assemblages and productive fisheries. This raises the question, what energy sources support fish production in these ecosystems? We sampled fish and food resources in the floodplain of a nearly pristine, large, oligotrophic river in western Amazonia. We combined data from stomach contents and stable isotopes to test the hypothesis that floodplain forests sustain fisheries in tropical oligotrophic rivers. Analysis of stomach contents from &gt; 800 specimens of 12 omnivorous fish species demonstrated that during the annual flood, forest plant matter dominated diets. Yet, our isotope mixing models estimated that arthropods from the forest canopy made a greater proportional contribution to fish biomass. Most of these arthropods are entirely terrestrial and, therefore, serve as trophic links between forests and fishes. Our results suggest that forest vegetation, particularly fruits, may provide much of the energy supporting metabolism and arthropods contribute significant amounts of protein for somatic growth. Moreover, the importance of terrestrial arthropods in support of fish biomass in oligotrophic rivers depends on interactions between riparian vegetation, terrestrial arthropods and flood pulse dynamics affecting accessibility of arthropods to fishes. The apparent paradox of high fish diversity in an oligotrophic river with low primary productivity may be explained, at least partially, by dynamic terrestrial-aquatic trophic linkages. This study further emphasizes the importance of seasonally flooded forests for sustaining fisheries in the Amazon.</t>
  </si>
  <si>
    <t>10.1007/s00442-018-4093-7</t>
  </si>
  <si>
    <t>Ren, XY; Ren, YT; Pei, W</t>
  </si>
  <si>
    <t>Study on coupling coordination and collaborative optimization system of water-energy-grain</t>
  </si>
  <si>
    <t>water-energy-food; coupling coordination; driving mechanism; collaborative optimization; energy consumption</t>
  </si>
  <si>
    <t>In order to solve the problem that water resources in a certain province are relatively scarce and the spatial matching effect of resources is poor, which causes the w-e-f system to face the problem of trade-off, the water-energy-food coupling coordination and collaborative optimization system is proposed. By constructing the w-e-f multi-objective collaborative optimization model, the multi-objective optimization schemes under different weight scenarios are compared, and scenario 2 with better effect is selected as the best scheme for collaborative optimization. The results show that, on the basis of meeting the constraint conditions, by adjusting the crop planting structure and making efficient use of resource elements, the water resource consumption of major grain crops can be reduced by 7.3% and the total energy consumption can be reduced by 2.5% by 2030 compared with 2019. ConclusionThe system provides solutions to alleviate the pressure on water resources and ecological environment to a certain extent. Compared with the single objective optimization scheme, multi-objective optimization can effectively alleviate the trade-off conflict between w-e-f.</t>
  </si>
  <si>
    <t>10.3389/fevo.2022.1028463</t>
  </si>
  <si>
    <t>Variability in stable isotope values of South African Laminariales, Ecklonia maxima and Laminaria pallida, over different spatial and temporal scales</t>
  </si>
  <si>
    <t>delta C-13; delta N-15; Laminariales; South Africa</t>
  </si>
  <si>
    <t>FOOD-WEB; TROPHIC POSITION; SEASONAL GROWTH; FRESH-WATER; MARINE MACROPHYTES; INORGANIC CARBON; NUTRIENT SOURCE; ORGANIC-MATTER; WEST-COAST; KELP</t>
  </si>
  <si>
    <t>Kelp forests are some of the most productive habitats in the oceans, supporting diverse, ecologically, and often commercially, important ecosystems. This study of 8 geographically separate sites in 2 seasons highlights the natural variability of stable isotope values (delta C-13 and delta N-15), at different spatial and temporal scales, within the 2 dominant kelp species along the west coast of South Africa. Additionally, stable isotope variability was investigated within and among different tissues within both kelp species. Within a kelp plant, delta C-13 values had a variance of 1.7 parts per thousand for Ecklonia maxima and 1.5 parts per thousand for Laminaria pallida. The delta N-15 values had a variance of 3.8 parts per thousand for E. maxima and 4.2 parts per thousand for L. pallida. There were also consistent variability patterns along the length of a single frond in both species, for both isotopes. Among the localities, E. maxima and L. pallida were highly variable with variances in delta C-13 (9.4 parts per thousand and 11.2 parts per thousand) and delta N-15 (3.4 parts per thousand and 4.5 parts per thousand) for the 2 species respectively. The delta C-13 values of L. pallida and E. maxima displayed a clear pattern coinciding with depth, particularly for L. pallida. Within-site variability was a major contributor to the overall spatial variability for both species. This study provides further evidence for the importance of understanding basal variability of stable isotope values when determining the carbon sources of bottom-up controlled ecosystems.</t>
  </si>
  <si>
    <t>10.3354/meps13096</t>
  </si>
  <si>
    <t>van der Geest, M; Sall, AA; Ely, SO; Nauta, RW; van Gils, JA; Piersma, T</t>
  </si>
  <si>
    <t>Nutritional and reproductive strategies in a chemosymbiotic bivalve living in a tropical intertidal seagrass bed</t>
  </si>
  <si>
    <t>Bivalvia; Mixotrophy; Stable isotopes; Seasonality; Reproductive cycle; Life history; Sulphide; Seagrass</t>
  </si>
  <si>
    <t>BANC-DARGUIN; SULFIDE CONCENTRATIONS; MARINE-INVERTEBRATES; GAMETOGENIC CYCLE; NOLTII HORNEMANN; ISOTOPE RATIOS; TEMPERATURE; CARBON; ABUNDANCE; BACTERIA</t>
  </si>
  <si>
    <t>Sulphide-oxidizing endosymbiont-bearing bivalves often dominate the infauna of seagrass-covered sediments, where they control sulphide levels and contribute to carbon cycling by feeding on chemosynthetically fixed carbon and suspended particulate organic matter (SPOM). Previous studies from temperate habitats suggest that SPOM availability may regulate growth and reproduction, since SPOM may be of greater nutritional value than the material provided by bacterial endosymbionts. To examine if changes in diet correlate with body condition and reproductive activity, we studied seasonal patterns in somatic and gonadal investment and gametogenic development in relation to nutrition in the endosymbiont-bearing bivalve Loripes lucinalis in seagrass-covered intertidal flats at a tropical study site (Banc d'Arguin, Mauritania). Carbon stable isotope analysis revealed clear seasonal cycles in the relative heterotrophic contribution to the diet of Loripes, with mean monthly values ranging from 21% in March to 39% in September. Seasonality was also observed for size-corrected body and somatic mass, both increasing from March to October, suggesting food limitation during winter. In contrast, Loripes exhibits a semiannual reproductive cycle characterized by major spawning events during both January-February and July-August. Growth and gametogenic development seem to especially require supplemental heterotrophic nutrition from June to January. Thus, the ability to shift to heterotrophic feeding contributes to growth, reproductive output and survival in Loripes, with downstream effects on population dynamics and seagrass functioning.</t>
  </si>
  <si>
    <t>10.3354/meps10702</t>
  </si>
  <si>
    <t>Meyer, K; Broda, J; Brettin, A; Muniz, MS; Gorman, S; Isbell, F; Hobbie, SE; Zeeman, ML; McGehee, R</t>
  </si>
  <si>
    <t>Nitrogen-Induced Hysteresis in Grassland Biodiversity: A Theoretical Test of Litter-Mediated Mechanisms</t>
  </si>
  <si>
    <t>grasslands; biodiversity; litter; alternative stable states; hysteresis; eutrophication</t>
  </si>
  <si>
    <t>ALTERNATIVE STABLE STATES; PLANT-SOIL FEEDBACKS; COMMUNITY STRUCTURE; SPECIES RICHNESS; NUTRIENT ENRICHMENT; SEEDLING EMERGENCE; DIVERSITY; PRODUCTIVITY; DYNAMICS; PRAIRIE</t>
  </si>
  <si>
    <t>The global rise in anthropogenic reactive nitrogen and the negative impacts of N deposition on terrestrial plant diversity are well documented. The R* theory of resource competition predicts reversible decreases in plant diversity in response to N loading. However, empirical evidence for the reversibility of N-induced biodiversity loss is mixed. In a long-term N-enrichment experiment in Minnesota, a low-diversity state that emerged during N addition has persisted for decades after additions ceased. Hypothesized mechanisms preventing recovery of biodiversity include nutrient recycling, insufficient external seed supply, and litter inhibition of plant growth. Here, we present an ordinary differential equation model that unifies these mechanisms, produces bistability at intermediate N inputs, and qualitatively matches the observed hysteresis at Cedar Creek. Key features of the model, including native species' growth advantage in low-N conditions and limitation by litter accumulation, generalize from Cedar Creek to North American grasslands. Our results suggest that effective biodiversity restoration in these systems may require management beyond reducing N inputs, such as burning, grazing, haying, and seed additions. By coupling resource competition with an additional interspecific inhibitory process, the model also illustrates a general mechanism for bistability and hysteresis that may occur in multiple ecosystem types.</t>
  </si>
  <si>
    <t>10.1086/724383</t>
  </si>
  <si>
    <t>Qian, ZW; Wan, GS; Shi, YF; Yu, Y</t>
  </si>
  <si>
    <t>Correlation Analysis of Urban Environment Quality and Medical &amp; Health Service</t>
  </si>
  <si>
    <t>EKOLOJI</t>
  </si>
  <si>
    <t>environment quality; urban pollution management; medical resource; health service</t>
  </si>
  <si>
    <t>COUPLING COORDINATION; TOURISM; MODEL; URBANIZATION; ATTACHMENT; KNOWLEDGE; CULTURE; CARE</t>
  </si>
  <si>
    <t>The rapid expansion of human beings and the excessive abuse of resources have gradually appeared great impact on the environment on the Earth, such as climate warming, thinning ozone layer, air pollution, water pollution, sea level rise (melting glacier caused by increasing surface temperature), rapidly decreasing tropical rain forest, and constantly reducing biodiversity. Concerning about the environment damage resulted from the economic development in various countries, the relationship between economic development and environment becomes an important issue. Correlations Analysis of urban environment quality and medical &amp; health service is therefore preceded in this study. Total 289 cities (municipal districts) in China are taken as the research objects; basically, all cities in the nation are covered. The data source is the statistical communique and statistical yearbook of the cities. The research results are summarized as below. 1. Urban ecological management presents positive correlations with medical resource. 2. Urban pollution management shows positive correlations with medical resource. 3. Urban ecological management reveals positive correlations with medical investment. 4. Urban pollution management appears positive correlations with medical investment. Suggestions according to the results are proposed at the end, expecting to explain the promotion of urban environment quality and medical &amp; health service in China.</t>
  </si>
  <si>
    <t>UNSP e106018</t>
  </si>
  <si>
    <t>De Brabandere, L; Frazer, TK; Montoya, JP</t>
  </si>
  <si>
    <t>Stable nitrogen isotope ratios of macrophytes and associated periphyton along a nitrate gradient in two subtropical, spring-fed streams</t>
  </si>
  <si>
    <t>Florida; macrophytes; nitrate; periphyton; stable isotopes</t>
  </si>
  <si>
    <t>WATER VELOCITY; FRESH-WATERS; FRACTIONATION; PHYTOPLANKTON; NUTRIENTS; FLORIDA; GROWTH; DENITRIFICATION; VEGETATION; ABUNDANCE</t>
  </si>
  <si>
    <t>1. An increase in human population and associated changes in land use have caused an increase in groundwater nitrate concentrations throughout central Florida. Within the region, this nitrate-laden groundwater returns to the surface via numerous large springs that serve as the origin of flow for many coastal streams and rivers. These rivers can exhibit strong nitrate gradients because of the high nutrient uptake potential of the rivers. 2. We hypothesised that downstream declines in nitrate concentrations would be manifested spatially as increases in the delta N-15 of the residual pool of nitrate, macrophytes and periphyton as a consequence of isotopic fractionation associated with preferential use of (NO3-)-N-14. This hypothesis was tested in two spring-fed river systems, the Chassahowitzka and Homosassa rivers, along Florida's central Gulf of Mexico coast. 3. In general, delta N-15 values of nitrate, macrophytes and periphyton increased with decreasing fraction of nitrate remaining in each of the two study systems. The fractionation associated with nitrate uptake by macrophytes and associated periphyton was determined from the relationship between delta N-15 of both constituents of the macrophyte community and the fraction of nitrate removed from the system. Values for fractionation by macrophytes and periphyton ranged from 1.9 parts per thousand to 3.6 parts per thousand and from 0.7 parts per thousand to 2.5 parts per thousand, respectively.</t>
  </si>
  <si>
    <t>10.1111/j.1365-2427.2007.01788.x</t>
  </si>
  <si>
    <t>McMahon, KW; Ambrose, WG; Johnson, BJ; Sun, MY; Lopez, GR; Clough, LM; Carroll, ML</t>
  </si>
  <si>
    <t>Benthic community response to ice algae and phytoplankton in Ny Alesund, Svalbard</t>
  </si>
  <si>
    <t>ice algae; phytoplankton; food quality; arctic benthos climate change stable isotopes essential; fatty acids Svalbard</t>
  </si>
  <si>
    <t>NORTHEAST WATER POLYNYA; LIVE PLANKTONIC DIATOMS; ARCTIC SEA-ICE; ORGANIC-MATTER; BARENTS SEA; SPATIAL-DISTRIBUTION; SHELF SEDIMENTS; CHUKCHI SEA; YOUNG SOUND; FATTY-ACIDS</t>
  </si>
  <si>
    <t>We assessed the digestibility and utilization of ice algae and phytoplankton by the shallow, subtidal benthos in Ny angstrom lesund (Kongsfjord) on Svalbard (79 degrees N, 12 degrees E) using chlorophyll a (chl a), essential fatty acids (EFAs) and stable isotopes as tracers of food consumption and assimilation. Intact benthic communities in sediment cores and individuals of dominant benthic taxa were given ice algae, phytoplankton, C-13-enriched ice algae or a no food addition control for 19 to 32 d. Ice algae and phytoplankton had significantly different isotopic signatures and relative concentrations of fatty acids. In the food addition cores, sediment concentrations of chl a and the EFA C20:5(n-3) were elevated by 80 and 93 %, respectively, compared to the control after 12 h, but decreased to background levels by 19 d, suggesting that both ice algae and phytoplankton were rapidly consumed. Whole core respiration rates in the ice algae treatments were 1.4 times greater than in the other treatments within 12 h of food addition. In the ice algae treatment, both suspension and deposit feeding taxa from 3 different phyla (Mollusca, Annelida and Sipuncula) exhibited significant enrichment in delta C-13 values compared to the control. Deposit feeders (15 % uptake), however, exhibited significantly greater uptake of the 13C-enriched ice algae tracer than suspension feeders (3 % uptake). Our study demonstrates that ice algae are readily consumed and assimilated by the Arctic benthos, and may be preferentially selected by some benthic species (i.e. deposit feeders) due to their elevated EFA content, thus serving as an important component of the Arctic benthic food web.</t>
  </si>
  <si>
    <t>10.3354/meps310001</t>
  </si>
  <si>
    <t>Wang, KB; Deng, L; Di, DR; He, XH; Shi, WY</t>
  </si>
  <si>
    <t>Tracking soil carbon processes in two temperate forests at different successional stages using stable and radioactive carbon isotopes</t>
  </si>
  <si>
    <t>(CC)-C-13-C-14; Historical erosion; Soil carbon dynamics; Succession</t>
  </si>
  <si>
    <t>LAND-USE CHANGE; ORGANIC-CARBON; LOESS PLATEAU; INORGANIC CARBON; VEGETATION RESTORATION; DYNAMICS; RADIOCARBON; SEQUESTRATION; STOCKS; NITROGEN</t>
  </si>
  <si>
    <t>The profile characteristics of soil carbon reflect the combined effects of vegetation and erosion. However, the quantitative assessment of soil carbon in profile and its dynamics affected by vegetation restoration and erosion is still extremely inadequate. In this study, we synthesized soil and vegetation properties, stable carbon isotopic compositions, and radiocarbon ages to investigate the soil carbon processes in two temperate forests of different successional stages (Populus forest versus Quercus forest) on the Chinese Loess Plateau. The objectives of this study are to (1) examine the dynamics of soil organic carbon (SOC) and soil inorganic carbon (SIC) in the topsoil and subsoil, and (2) evaluate the effect of vegetation restoration and historical erosion on the changes of SOC and SIC in the temperate forests. We found that from Populus to Quercus forests, the SOC stock increased in the topsoil but declined in the subsoil, whereas the SIC stock exhibited a completely opposite variation trend. The significant increase in litter biomass enhanced the SOC in the topsoil, while a stronger historical erosion and priming effect would contribute to the decrease of SOC in the subsoil along succession. Changes in delta C-13 and Delta C-14 in the soil profile provided evidence that the turnover rate of SOC increase in the topsoil but decrease in the subsoil along succession. Over the past 10,000 years, due to soil erosion process, the estimated loss of the SOC and SIC was 26.2 and 64.1 Mg ha(-1) in Populus forest and 20.2 and 42.6 Mg ha(-1) in the Quercus forest. Our results indicated that the litter input and erosion processes make great effect on the carbon dynamics in the topsoil and subsoil of the study</t>
  </si>
  <si>
    <t>10.1016/j.agee.2020.107143</t>
  </si>
  <si>
    <t>Munoz, NJ; Reid, B; Correa, C; Neff, BD; Reynolds, JD</t>
  </si>
  <si>
    <t>Non-native Chinook salmon add nutrient subsidies and functional novelty to Patagonian streams</t>
  </si>
  <si>
    <t>eutrophication; invasive species; Oncorhynchus; periphyton; stable isotopes</t>
  </si>
  <si>
    <t>MARINE-DERIVED NUTRIENTS; COLUMBIA RIVER-BASIN; PACIFIC SALMON; FRESH-WATER; ONCORHYNCHUS-TSHAWYTSCHA; SOUTH-AMERICA; SOUTHEASTERN ALASKA; TROPHIC ECOLOGY; SPAWNING SALMON; ECOSYSTEM</t>
  </si>
  <si>
    <t>The impacts of non-native species are hypothesised to be proportional to the functional distinctiveness of invaders in their invaded ecosystems. Throughout the Patagonia region of southern South America, Chinook salmon (Oncorhynchus tshawytscha) have recently established non-native populations, and their anadromous, semelparous life cycle could be functionally unique such that marine-derived nutrients are delivered to streams which have historically lacked such a resource linkage with the ocean. We tested the hypothesis that salmon subsidise biofilm-associated algae in streams throughout the Aysen province of southern Chile. Using spatial and temporal variation in the presence of salmon among multiple streams and across two spawning seasons, we found strong evidence of salmon-subsidised algae in three out of four streams examined that have spawning salmon populations. The biofilm of subsidised streams had enriched stable isotopic ratios of nitrogen and carbon, indicating that marine-derived nutrients were incorporated by biofilms. This nutrient uptake translated into increased algal biomass and percent of total biofilm biomass composed of algae, indicating that the incorporation of marine-derived nutrients stimulated autotrophic production of biomass. In one stream, the incorporation of marine-derived nutrients by biofilm occurred in only one of the two studied spawning seasons. Incorporation occurred in a year with low flows of water throughout salmon spawning (4.59 m(3)/s) and did not occur in a year with much higher flows (41.6 m(3)/s), suggesting that inter-annual variation in discharge can mediate the subsidising effect of salmon. These results indicate that Chinook salmon have bridged the historical gap between productive marine ecosystems and nutrient-poor stream ecosystems in Patagonia. Anadromous salmon can be a significant source of nutrients in nutrient-limited catchments, and their ongoing expansion in southern South America is likely to entail ecological impacts in stream and riparian food webs.</t>
  </si>
  <si>
    <t>10.1111/fwb.13655</t>
  </si>
  <si>
    <t>Clark, RG; Dawson, RD; Greenwood, JL; Johns, DW; Wassenaar, LI; Hobson, KA</t>
  </si>
  <si>
    <t>Experimental Evaluation of delta H-2, delta C-13 and delta N-15 Variability in Blood and Feathers of Wild and Captive Birds: Implications for Interspecific Food Web Studies</t>
  </si>
  <si>
    <t>American kestrel; cross-fostering; growth; mallard; nest site; stable isotope; tree swallow</t>
  </si>
  <si>
    <t>STABLE-ISOTOPE RATIOS; AMERICAN KESTRELS; IMMUNE-RESPONSE; LONG-TERM; HYDROGEN; CONSEQUENCES; DISPERSAL; ADULT; DIET</t>
  </si>
  <si>
    <t>Stable-hydrogen (delta H-2), nitrogen (delta N-15), and carbon (delta C-13) isotopes are used to decipher broad movement patterns and trophic relationships among diverse species, and an improved understanding of factors controlling natural variation in tissue-isotope measurements will enhance these applications. To evaluate the rearing environment and family-related effects on the isotopic composition of tissues, we cross-fostered nestling tree swallows (Tachycineta bicolor, Vieillot 1808) and American kestrels (Falco sparverius, Linnaeus 1758) by swapping recently hatched birds (&lt; 4 days old) among nest boxes and collecting blood and feathers prior to fledging. To assess developmental effects, we measured delta H-2 in blood and feathers of captive mallard (Anas platyrhynchos, Linnaeus 1758) ducklings challenged energetically during growth. Stable isotope composition was not strongly related to nest box type or natal nest (i.e., family of origin) effects in swallows and kestrels; tissue-isotope composition was related to rearing environment, indicative of differences in nest and parental quality or parental provisioning tactics. Blood and feather delta H-2 values in swallows were positively related to antecedent maximum ambient temperature, and unrelated to elevated energy expenditure in mallards. The average differences between delta H-2 in blood and feathers were similar for nestling swallows (27 parts per thousand, 32 parts per thousand; two sites) and mallards (26 parts per thousand, 30 parts per thousand; two age groups), and lower than in nestling kestrels (50 parts per thousand). Strong species-specific patterns in blood-feather differences were not observed for delta N-15 and delta C-13 in swallows or kestrels; divergent delta H-2 results may be related to differences in nest ambient conditions, diet composition, or physiological processes affecting hydrogen assimilation during growth and feather synthesis. In swallows, tissue-isotope values reflected parental prey selection from spatially distinct food webs during nestling development with little effect(s) of family of origin, egg composition, or early growth.</t>
  </si>
  <si>
    <t>10.3390/d13100495</t>
  </si>
  <si>
    <t>Griffen, BD; Altman, I; Hurley, J; Mosblack, H</t>
  </si>
  <si>
    <t>Reduced fecundity by one invader in the presence of another: A potential mechanism leading to species replacement</t>
  </si>
  <si>
    <t>Carcinus maenas; Geographic variation; Hemigrapsus sanguineus; Invasive species</t>
  </si>
  <si>
    <t>CRAB CARCINUS-MAENAS; HEMIGRAPSUS-SANGUINEUS; UNITED-STATES; GRAPSUS ALBOLINEATUS; RANGE EXPANSION; ST-LAWRENCE; SHORE; PREDATOR; CRUSTACEA; INVASION</t>
  </si>
  <si>
    <t>As invasive species proliferate and expand their ranges, they often interact either with natives or with other invasives across a broad geographic range. Moreover, because geographic ranges span a diversity of environments, the outcome of interactions between species pairs may vary spatially. The European green crab Carcinus maenas and the Asian shore crab Hemigrapsus sanguineus are both introduced species in North America where they co-occur over a large portion of the Atlantic coast. While interactions between the two crabs in the southern portion of this range within Long Island Sound resulted in the elimination of C maenas within 2-3 years of H. sanguineus' arrival. species replacement appears to be taking much longer in northern areas within the Gulf of Maine. Previous work implicates predation by H. sanguineus on C. maenas recruits as the mechanism underlying species replacement. Here we explore an alternative or additional mechanism underlying this species replacement that can also account for the observed spatial variation in the timescale of species replacement between northern and southern areas. Specifically, we demonstrate that a previously documented shift in C. maenas diet which occurs in the presence of H. sanguineus can cause a reduction in C. maenas fecundity. This, combined with near-shore current patterns may explain the regional differences in the outcome of this species interaction. (C) 2011 Elsevier By. All rights reserved.</t>
  </si>
  <si>
    <t>10.1016/j.jembe.2011.06.005</t>
  </si>
  <si>
    <t>Daessle, LW; Orozco, A; Struck, U; Camacho-Ibar, VF; van Geldern, R; Santamaria-del-Angel, E; Barth, JAC</t>
  </si>
  <si>
    <t>Sources and sinks of nutrients and organic carbon during the 2014 pulse flow of the Colorado River into Mexico</t>
  </si>
  <si>
    <t>Colorado River; Nutrients; Carbon; Nitrogen; Stable isotopes; Pulse flow in 2014</t>
  </si>
  <si>
    <t>GULF-OF-CALIFORNIA; DISSOLVED INORGANIC CARBON; STABLE CARBON; PRIMARY PRODUCTIVITY; FRESH-WATER; DELTA; NITROGEN; MATTER; CHLOROPHYLL; VARIABILITY</t>
  </si>
  <si>
    <t>For the first time in history a short pulse of water was intentionally released for environmental purposes in April-May 2014 into the final 160 km stretch of the Colorado River, south of the Mexican border. During this pulse the sources and turnover of dissolved nutrients (nitrate, ammonium, phosphate, silicate and carbon), particulate organic matter, along with stable isotopes of suspended particulate carbon and nitrogen, were studied. The river water, as it flowed along the dry riverbed became rapidly depleted in N-NO3 (from 21 to 0.5 mu mol L-1), while dissolved organic carbon of terrestrial C-3 plant origin became depleted in C-13 and thus more negative delta 13C(Doc) values. At the confluence with the Hardy River, the pulsed water along the Colorado River mixed with perennial return flows from agriculture with high delta N-15 values (+25 parts per thousand.) due to microbial uptake of NH4 and discrimination against N-15 and/or volatilization of ammonia. From nutrient and isotopic evidence, no mixing of the CR water with seawater was evident, which had a typical phytoplankton delta C-13 composition of about-20 parts per thousand. However, increases of chlorophyll-alpha after the pulse ended (up to 32 mg L-1) suggest a possible effect of the pulse on estuary primary productivity. (C) 2016 Elsevier B.V. All rights reserved.</t>
  </si>
  <si>
    <t>10.1016/j.ecoleng.2016.02.018</t>
  </si>
  <si>
    <t>Ferrio, JP; Alonso, N; Lopez, JB; Araus, JL; Voltas, J</t>
  </si>
  <si>
    <t>Carbon isotope composition of fossil charcoal reveals aridity changes in the NW Mediterranean Basin</t>
  </si>
  <si>
    <t>archaeology; fossil wood; Iberian peninsula; late Holocene; palaeoclimate; Pinus halepensis; precipitation; proxy; stable isotopes; water availability</t>
  </si>
  <si>
    <t>WATER-USE EFFICIENCY; LEAF GAS-EXCHANGE; ATMOSPHERIC CO2; PINUS-HALEPENSIS; GRAIN CEREALS; TREE-RING; DELTA-C-13; WOOD; DISCRIMINATION; RESPONSES</t>
  </si>
  <si>
    <t>Although several proxies for the inference of precipitation have been proposed, evidence of changes in aridity during the Holocene is scarce, and most is only qualitative. Moreover, precipitation regimes show relatively poor spatial correlations and can exhibit contrasting responses to global climate trends in different areas. Thus, there is a need to concentrate efforts at the local scale in order to increase the spatial resolution of palaeoclimate records, especially regarding water availability in semiarid zones. We propose the analysis of carbon isotope composition (delta C-13) in fossil charcoal (routinely recovered from archaeological sites) to quantify changes in water availability in the past. We applied this approach to reconstruct variations in aridity during the last four millennia in the Ebro Depression (NE Iberian Peninsula). First, we studied the effect of carbonization over a range of temperatures (300-500 degrees C) on the delta C-13 of Aleppo pine (Pinus halepensis Mill.) wood cores, collected from nine locations in NE Iberian Peninsula with distinct water availability. Despite significant changes in delta C-13 caused by carbonization, the original climatic signal of wood delta C-13 was well preserved. Moreover, delta C-13 shifts induced by this process were successfully corrected by accounting for variation in charcoal carbon concentration (%C). After removing the effect of carbonization, we estimated annual precipitation (P) and the ratio between annual precipitation and evapotranspiration (P/E) from the delta C-13 of fossil charcoal. In general, estimated water availability in the past was higher than present values, indicating that latter-day (semiarid) conditions are mostly due to recent climate changes. The good agreement between our findings and other evidence indicates that the analysis of delta C-13 in charcoal may be useful to expand current palaeoclimate records as it provides a complementary (and quantitative) source of information to assess climate dynamics.</t>
  </si>
  <si>
    <t>10.1111/j.1365-2486.2006.01170.x</t>
  </si>
  <si>
    <t>Liu, C; Li, ZW; Chang, XF; He, JJ; Nie, XD; Liu, L; Xiao, HB; Wang, DY; Peng, H; Zeng, GM</t>
  </si>
  <si>
    <t>Soil carbon and nitrogen sources and redistribution as affected by erosion and deposition processes: A case study in a loess hilly-gully catchment, China</t>
  </si>
  <si>
    <t>Soil erosion; Carbon; Nitrogen; Sources; Isotopes; Loess plateau</t>
  </si>
  <si>
    <t>LAND-USE CHANGE; YELLOW-RIVER BASIN; ORGANIC-CARBON; WATER EROSION; SEDIMENT SOURCES; STABLE CARBON; CHECK-DAM; MOUNTAIN CATCHMENT; PLATEAU; ISOTOPES</t>
  </si>
  <si>
    <t>Understanding how organic carbon (C) and nitrogen (N) move with soil along the fluvial system and where eroded organic C and N sources occur over catchment landscape is of significant importance for evaluating accurately carbon or nitrogen budget at the catchment scale and designing proper management practice in the fragile ecosystem. In this study, we selected a dam-controlled catchment in the southwestern hilly-gully region of the Chinese Loess Plateau with severe soil erosion, and explored the catchment scale carbon and nitrogen redistribution by erosion and deposition processes as well as organic carbon and nitrogen sources in sediments retained by check dam. The physio-chemical characteristics, stable isotopic signatures (C-13, N-15), total organic C (TOC) and total N (TN) of soils and sediments in studied catchment were determined and an isotopic mixing model was employed to quantify the relative contributions of each source type (ie., forests, cropland, and gully) to eroded sediment C and N. The results showed that the check dam intercepted 309.6 Gg of eroded soil, 1405.1 Mg of TOC, and 153.5 Mg of TN. The sediment the eroded TOC was mainly sourced from cropland, accounting for 53.54%, followed by gully (29.28%) and then forests (17.18%), respectively. Eroded TN sources was similar to C sources, showing that cropland contributed 53.53%, with gully and forests contributing 30.86% and 15.61%, respectively. Moreover, the forests contributions to eroded C and N gradually decreased in the direction of the runoff pathway at the check dam, and the C and N contributions of cropland and gullies showed the orders of mid-check dam &gt; post-check dam &gt; pre-check dam and pre-check dam &gt; post-check dam &gt; mid-check dam, respectively. Soil erosion and deposition processes induced 1569.8 Mg TOC and 146.7 Mg TN losses, with an average soil C and N erosion rate of 0.051 Mg C ha(-1) yr(-1) and 0.005 Mg N ha(-1) yr(-1) during the period (i.e., from 2004 to 2016), accounting for approximately 52.8% and 48.87% of the total amount of eroded TOC and TN, respectively. The results indicated that although the check dam served as a carbon and nitrogen storage and sequestration structure in the loess hilly-gully region, erosion-induced carbon or nitrogen redistribution might still act as a major source for atmospheric CO2 or nitrogen oxide in our studied catchment.</t>
  </si>
  <si>
    <t>10.1016/j.agee.2017.10.028</t>
  </si>
  <si>
    <t>Jones, LE; Islam, K</t>
  </si>
  <si>
    <t>Long-distance dispersal patterns in the Cerulean Warbler: a case study from Indiana</t>
  </si>
  <si>
    <t>avian dispersal; deuterium; life history; passerine; Setophaga cerulea; stable isotopes</t>
  </si>
  <si>
    <t>BREEDING-SITE SELECTION; NATAL DISPERSAL; SOCIAL INFORMATION; GENETIC-STRUCTURE; BIRD MIGRATION; POPULATION; CONSEQUENCES; PHILOPATRY; FIDELITY; SURVIVAL</t>
  </si>
  <si>
    <t>Dispersal, defined as movement an individual makes from one breeding population to another, is a process that strongly influences the population dynamics of many animal species. Although dispersal across longer distances is believed to be a relatively uncommon phenomenon for most bird species, movements between populations drive numerous ecological processes, and understanding rates and directions of dispersal are especially important when considering species of conservation concern. The Cerulean Warbler (Setophaga cerulea) is a Nearctic-Neotropical songbird that breeds in mature forests of eastern and central North America and has experienced significant declines in recent decades largely due to habitat loss on the breeding grounds. Previous research suggests that Cerulean Warblers exhibit high rates of long-distance dispersal and that populations may be shifting away from the peripheral edges of its breeding range. The potential impacts of dispersal on reproductive success, however, remain unknown for this species. In this study, we used a long-term dataset (2013-2021) to investigate dispersal rates, age-related differences in dispersal, and effects of immigration on nest success in a population of Cerulean Warblers in south-central Indiana. To categorize birds as either immigrants or residents, we analyzed naturally occurring stable-hydrogen isotopes in tail feathers grown on the breeding grounds. We found an overall high rate (26.5%) of long-distance dispersal in this population, and the majority of these immigrants appeared to have originated from latitudes south of our study site. Additionally, our findings suggest that dispersal rates of juveniles and adults are very similar in this population, and that immigration appears to have no effect on reproductive success. This study contributes to our limited knowledge of the Cerulean Warblers' full annual cycle ecology, and our reported high dispersal rate and lack of effect of immigration on nest success have encouraging implications for the conservation of this declining species.</t>
  </si>
  <si>
    <t>10.5751/ACE-02428-180119</t>
  </si>
  <si>
    <t>February, EC; West, AG; Newton, RJ</t>
  </si>
  <si>
    <t>The relationship between rainfall, water source and growth for an endangered tree</t>
  </si>
  <si>
    <t>climate; dendrometer band; radial growth; rainfall; stable isotope; Widdringtonia cedarbergensis</t>
  </si>
  <si>
    <t>CLIMATE-CHANGE; STABLE-ISOTOPES; OXYGEN; BIODIVERSITY; AFRICA; FYNBOS</t>
  </si>
  <si>
    <t>It is now reasonably well understood that the human impact on the environment since industrialization has led to significant changes in climate. Here we attempt to develop a predictive understanding of the effects that future changes in climate may have on vegetation structure and species diversity. We do this through a determination of the relationship between radial growth and water source for Widdringtonia cedarbergensis Marsh. Our results show that there was no significant relationship between monthly radial growth, as determined using dendrometer bands, and rainfall. There is, however, a significant relationship between the delta O-18 composition of the water extracted from the trees and the rain delta O-18 values. We speculate that W. cedarbergensis exploits water derived from rain that flows off the rocky substrate of the study area into sumps between the bedding planes of the rocks on which they grow. This runoff occurs rapidly during rain events resulting in delta O-18 values for the trees sourcing this water not to be significantly different from that of the rain. Rainfall therefore has to be sufficient to refill these sumps on which the trees are dependent. The dendrometer bands reflect a slow but steady growth of the trees at the study site. While this growth is not dependent on rainfall, it is dependent on reliable access to available water. If climate change predictions for the region are realized and rainfall is reduced then this species will be affected. W. cedarbergensis is endemic to only a very small area within the Cedarberg Mountains in South Africa and is also one of the few trees growing in the fynbos. The extinction of this species in the wild will fundamentally affect both the vegetation structure and species composition of the region.</t>
  </si>
  <si>
    <t>10.1111/j.1442-9993.2007.01711.x</t>
  </si>
  <si>
    <t>Bertrand, G; Masini, J; Goldscheider, N; Meeks, J; Lavastre, V; Celle-Jeanton, H; Gobat, JM; Hunkeler, D</t>
  </si>
  <si>
    <t>Determination of spatiotemporal variability of tree water uptake using stable isotopes ( d 18O, d 2H) in an alluvial system supplied by a high- altitude watershed, Pfyn forest, Switzerland</t>
  </si>
  <si>
    <t>water uptake; deuterium; oxygen-18; trees; alluvial ecosystem; Switzerland</t>
  </si>
  <si>
    <t>PINE PINUS-SYLVESTRIS; SOIL-WATER; HYDRAULIC LIFT; CLIMATE-CHANGE; LAND-USE; PLANT; MANAGEMENT; DYNAMICS; TRANSPIRATION; COMMUNITIES</t>
  </si>
  <si>
    <t>Sources of water use by 10 alluvial trees in various hydrogeological and ecological situations at the Pfyn forest (Wallis canton, Switzerland) were assessed by analysing O-18 and H-2 isotopes of precipitation, soil water at different depths, surface water, groundwater and xylem sap. The soil water line in a O-18 versus H-2 diagram shows evidence of kinetic fractionation related to evaporation. The tree water line is close to the soil trend; however, an additional enrichment may occur and could be related to xylem-phloem communication under water stress. At sites where the water table was at least 2m below the ground surface, isotopic temporal variability of soils and trees was strongly linked with seasonal variation of soil water content. When soil water content was low and water table shallow, trees used both soil water and groundwater. When soil water content was high, this source was usually the dominant source for transpiration. In addition, some ecological strategies, reproduction or growth competition, could explain shifts in the utilization of different water sources, for example, from soil water to a mix of soil water and groundwater. At one site where soil water and groundwater were abundant throughout the year (next to the river course), neighbouring trees permanently used distinct water sources. This is consistent with a strategy of competition limitation, which would favour bank colonization. These results provide insight into the ecohydrological functioning of this system and will aid future management responses to both local and climate changes. Copyright (c) 2012 John Wiley &amp; Sons, Ltd.</t>
  </si>
  <si>
    <t>10.1002/eco.1347</t>
  </si>
  <si>
    <t>Nkalubo, W; Chapman, L; Muyodi, F</t>
  </si>
  <si>
    <t>Feeding ecology of the intensively fished Nile Perch, Lates niloticus, in Lake Victoria, Uganda</t>
  </si>
  <si>
    <t>introduced species; Nile Perch diet; ontogenetic shift; piscivory; haplochromine resurgence</t>
  </si>
  <si>
    <t>MWANZA GULF; NABUGABO; KYOGA; BIODIVERSITY; CONSERVATION; MANAGEMENT; PREDATION; LESSONS; DECLINE; WATERS</t>
  </si>
  <si>
    <t>The diet of Nile Perch (8.0-121.0cm total length [TL]) from the Ugandan waters of Lake Victoria was quantified through stomach content analysis of specimens collected from experimental catches and fish factory samples. A total of 7824 stomachs (5602 from experimental fishing and 2222 from factory samples) were examined, of which 34.8% contained food. Fish from the experimental catches were smaller (8.0-41.6cm TL) and had a higher diversity of prey dominated by unidentifiable fish prey, haplochromine cichlids, Rastrineobola argentea, Odonata and Caridina nilotica, while larger fish (30.0-121.0cm TL) from the factory samples had a predominance of fish remains and haplochromine cichlids. Nile Perch that had a high proportion of fish prey (versus invertebrates) in their stomachs showed a larger size for a given age, and were in a better condition (K = 1.24) than those that had primarily invertebrates (K = 1.10) in their stomachs. Nile Perch exhibited a much smaller size (15cm versus 30cm TL) at shift to piscivory in comparison to Nile Perch examined in earlier studies, when haplochromines were rare in Lake Victoria. The recovery of haplochromine cichlids coincident with declining Nile Perch densities illustrates the importance of developing sustainable management options that can define a proper balance between fishing mortality and Nile Perch predation.</t>
  </si>
  <si>
    <t>10.1080/14634988.2014.880639</t>
  </si>
  <si>
    <t>Abdul, WO; Adekoya, EO</t>
  </si>
  <si>
    <t>Preliminary Ecopath model of a tropical coastal estuarine ecosystem around bight of Benin, Nigeria</t>
  </si>
  <si>
    <t>Food chain; Mixed trophic impact; Ogun state; Perturbation; Trophic transfer</t>
  </si>
  <si>
    <t>FOOD-WEB MODEL; TROPHIC INTERACTIONS; EVALUATING ECOSYSTEM; LAKE; STABILITY; DYNAMICS; MATURITY; IMPACTS; BIOMASS; ECOSIM</t>
  </si>
  <si>
    <t>The tropical coastal estuarine ecosystem around Bight of Benin, Nigeria has huge economic importance with limited information on its status and possible impact of fishing. An Ecopath model was constructed to study the trophic interactions and ecosystem properties of the estuary using fourteen functional groups. The model input parameters were gathered from published reports and catch assessment survey. Using network analysis, the system network was mapped into a linear food chain, and five discrete trophic levels were found with a mean transfer efficiency of 7.0 % from detritus and 6.1 % from primary producer. The mixed trophic impact routine showed that functional groups in lower trophic levels had smattering positive and negative impacts across the food web. The ecosystem indices: total primary productivity to total respiration ratio (6.325), total primary productivity to total biomass ratio (82.621), Finn's cycling index (1.70), mean path length (2.298), connectance index (0.327), system omnivory index (0.288), ascendency (42.3 %) and overhead (57.7 %) showed that the estuarine ecosystem was at the developing stage, stable, susceptible to stress induced changes and could withstand unexpected external perturbation at its present stage.</t>
  </si>
  <si>
    <t>10.1007/s10641-016-0532-7</t>
  </si>
  <si>
    <t>Spivak, AC; Ossolinski, J</t>
  </si>
  <si>
    <t>Limited effects of nutrient enrichment on bacterial carbon sources in salt marsh tidal creek sediments</t>
  </si>
  <si>
    <t>Carbon cycling; Eutrophication; Benthic microalgae; Spartina alterniflora; Lipid biomarker</t>
  </si>
  <si>
    <t>DISSOLVED ORGANIC-MATTER; BENTHIC FOOD-WEB; NITROGEN ISOTOPE COMPOSITION; SPARTINA-ALTERNIFLORA; FATTY-ACIDS; STABLE-ISOTOPES; MICROPHYTOBENTHOS CARBON; COMMUNITY STRUCTURE; NEW-ENGLAND; BIOGEOCHEMICAL RESPONSES</t>
  </si>
  <si>
    <t>Bacteria influence carbon cycling in coastal sediments by decomposing the organic matter produced in situ as well as that delivered from the landscape and neighboring ecosystems. Disturbances, such as eutrophication, and seasonal swings in primary production may influence sediment organic matter composition and, as a result, the sources of carbon available to bacteria. We evaluated whether bacterial carbon sources varied between 2 salt marsh tidal creeks with different water column nutrient levels (fertilized versus ambient) and if they changed over a growing season through field observations and stable isotope labeling experiments. Sediment organic matter composition, determined using lipid biomarkers and stable isotopes, was similar between the tidal creeks and did not change over time. In the field, isotopic analysis (natural abundance delta C-13) of bacterial lipids and potential organic matter sources revealed that bacteria assimilated carbon from several sources but mainly relied on microalgae. In the experiments, C-13 was added to sediment cores from both creeks as sodium bicarbonate (June, August, October) or Spartina alterniflora detritus (August) and traced into lipids representing benthic microalgae (BMA) and bacteria. Bacteria assimilated C-13 from BMA and S. alterniflora at similar rates. Further, C-13 from S. alterniflora was rapidly transferred to BMA, likely via bacterial respiration. Overall, nutrient enrichment did not affect bacterial carbon sources in the field or incorporation of C-13 from BMA and S. alterniflora in the experiments. Tight coupling between BMA and bacteria may explain why nitrogen enrichment effects were limited as well as provide a mechanism for retaining newly fixed and detrital carbon in coastal sediments.</t>
  </si>
  <si>
    <t>10.3354/meps11587</t>
  </si>
  <si>
    <t>Rajesh, KM; Rohit, P; Viswambharan, D; Abdussamad, EM; Rajesh, M</t>
  </si>
  <si>
    <t>Feeding behaviour of the sawtooth barracuda, Sphyraena putnamae (Jordan and Seale, 1905) along the southeastern Arabian Sea, India</t>
  </si>
  <si>
    <t>Arabian Sea; Diet composition; Diet breadth; Ontogenetic shift; Sphyraena putnamae</t>
  </si>
  <si>
    <t>FOOD-HABITS; DIET; PERCIFORMES; ECOLOGY; CUVIER; NORTH; JELLO; COAST; WEST</t>
  </si>
  <si>
    <t>The food and feeding habits of the sawtooth barracuda, Sphyraena putnamae, from the southeastern Arabian Sea, India, were studied from 1367 specimens having a fork length range of 16.5-76 cm. The sawtooth barracuda consumed diverse prey items, which were grouped into three categories: teleosts, molluscs, and crustaceans. Teleosts were the preferred and dominant food component, while molluscs and crustaceans constituted the secondary and accessory food items, respectively. The chief constituents of the teleost group on basis of their dominance were identified to be carangids, scombrids, engraulids, leiognathids, and synodontids. The empty stomach ratio and stomach fullness index did not differ significantly between the sexes. The juveniles of both sexes exhibited a significantly higher stomach fullness index compared with the adults. A clear ontogenetic shift in the feeding pattern was observed, with only the crustaceans forming the diet in lower size class (&lt;20 cm) being gradually replaced by molluscs and teleosts by medium-sized fishes (30-60 cm) and teleosts alone in the gut of S. putnamae above 65 cm. This study provides essential baseline information on the feeding habits of the Sphyraena putnamae, the first of its kind in the region. The study will be useful in understanding the trophodynamics of the species for proposing suitable management and conservation measures. (C) 2021 Elsevier B.V. All rights reserved.</t>
  </si>
  <si>
    <t>10.1016/j.rsma.2021.101974</t>
  </si>
  <si>
    <t>Saunders, G; Berghout, M; Kay, B; Triggs, B; van de Ven, R; Winstanley, R</t>
  </si>
  <si>
    <t>The diet of foxes (Vulpes vulpes) in south-eastern Australia and the potential effects of rabbit haemorrhagic disease</t>
  </si>
  <si>
    <t>STOMACH CONTENTS; ROCK-WALLABY; RED FOXES; VIRUS; PREY; POPULATIONS; AGENT</t>
  </si>
  <si>
    <t>Prior to the spread of Rabbit Haemorrhagic Disease (RHD) across Australian, concern was expressed that foxes (Vulpes vulpes) would prey more heavily on native wildlife and livestock should the disease cause dramatic reductions in rabbit (Oryctolagus cuniculus) numbers. In this study we compared the incidence of food items in the stomachs of 240 foxes and 269 foxes collected before and after the arrival of RHD respectively. No dramatic RHD-induced differences in fox diet were detected in this study. It appeared that one widespread environmental event ( drought), was closely followed by another ( RHD), which may have masked any change in reliance on rabbit or dietary shift to other prey species.</t>
  </si>
  <si>
    <t>10.1071/WR02070</t>
  </si>
  <si>
    <t>Kruszynski, C; Bailey, LD; Bach, L; Bach, P; Fritze, M; Lindecke, O; Teige, T; Voigt, CC</t>
  </si>
  <si>
    <t>High vulnerability of juvenile Nathusius' pipistrelle bats (Pipistrellus nathusii) at wind turbines</t>
  </si>
  <si>
    <t>bats; females; Germany; hydrogen; juveniles; migration; migratory corridor; Pipistrellus nathusii; stable isotopes; wind farms</t>
  </si>
  <si>
    <t>MIGRATORY BATS; ENERGY; WILDLIFE; FATALITIES; STANDARDS; MORTALITY; KERATIN; ORIGINS; HAIR</t>
  </si>
  <si>
    <t>Large numbers of bats are killed by wind turbines globally, yet the specific demographic consequences of wind turbine mortality are still unclear. In this study, we compared characteristics of Nathusius' pipistrelles (Pipistrellus nathusii) killed at wind turbines (N = 119) to those observed within the live population (N = 524) during the summer migration period in Germany. We used generalized linear mixed-effects modeling to identify demographic groups most vulnerable to wind turbine mortality, including sex (female or male), age (adult or juvenile), and geographic origin (regional or long-distance migrant; depicted by fur stable hydrogen isotope ratios). Juveniles contributed with a higher proportion of carcasses at wind turbines than expected given their frequency in the live population suggesting that juvenile bats may be particularly vulnerable to wind turbine mortality. This effect varied with wind turbine density. Specifically, at low wind turbine densities, representing mostly inland areas with water bodies and forests where Nathusius' pipistrelles breed, juveniles were found more often dead beneath turbines than expected based on their abundance in the live population. At high wind turbine densities, representing mostly coastal areas where Nathusius' pipistrelles migrate, adults and juveniles were equally vulnerable. We found no evidence of increased vulnerability to wind turbines in either sex, yet we observed a higher proportion of females than males among both carcasses and the live population, which may reflect a female bias in the live population most likely caused by females migrating from their northeastern breeding areas migrating into Germany. A high mortality of females is conservation concern for this migratory bat species because it affects the annual reproduction rate of populations. A distant origin did not influence the likelihood of getting killed at wind turbines. A disproportionately high vulnerability of juveniles to wind turbine mortality may reduce juvenile recruitment, which may limit the resilience of Nathusius' pipistrelles to environmental stressors such as climate change or habitat loss. Schemes to mitigate wind turbine mortality, such as elevated cut-in speeds, should be implemented throughout Europe to prevent population declines of Nathusius' pipistrelles and other migratory bats.</t>
  </si>
  <si>
    <t>e2513</t>
  </si>
  <si>
    <t>10.1002/eap.2513</t>
  </si>
  <si>
    <t>Steggles, EK; Holland, KL; Chittleborough, DJ; Doudle, SL; Clarke, LJ; Watling, JR; Facelli, JM</t>
  </si>
  <si>
    <t>The potential for deep groundwater use by Acacia papyrocarpa (Western myall) in a water-limited environment</t>
  </si>
  <si>
    <t>rehabilitation; stable isotopes; tree water sources; water potential</t>
  </si>
  <si>
    <t>STABLE-ISOTOPES; SALINE GROUNDWATER; HEAT PULSE; SOIL-WATER; AUSTRALIA; DEPTH; VEGETATION; TAILINGS; PLATEAU; SHALLOW</t>
  </si>
  <si>
    <t>Knowledge regarding the use of groundwater by plants has implications for successful mine rehabilitation and revegetation programs in water-limited environments. In this study, we combined several approaches to investigate water sources used by Acacia papyrocarpa (Western myall) in the far west of South Australia, including stable isotopes, water potential, groundwater and soil chemistry, and root mapping techniques. Plant O-18 signatures and water potentials were compared against a range of possible sources: rainwater, surface soil water (1m depth), and deep groundwater (&gt;20m depth). Our aim was to determine whether groundwater contributed to the mix of waters used by A.papyrocarpa. Overall, we found that trees did not source surface soil water (1m), and probably sourced deep soil water (i.e. &gt;1m) rather than deep groundwater. Groundwater, however, could not be dismissed as a potential source, as root mapping showed tree roots were capable of reaching groundwater at depths &gt;20m, and isotope results indicated a potential contribution by groundwater to tree water use. However, low osmotic potentials and/or high acidity levels were shown to pose likely barriers to groundwater uptake, at least at the time of sampling. We conclude that because groundwater salinity and acidity are spatially variable in this region, plants with extensive root systems may be able to utilize zones of groundwater with lower salinity and pH levels. Overall, this study contributes to our limited understanding of groundwater use by trees occurring in water-limited environments where groundwater is extremely deep (&gt;20m depth).</t>
  </si>
  <si>
    <t>e1791</t>
  </si>
  <si>
    <t>10.1002/eco.1791</t>
  </si>
  <si>
    <t>Bibi, F; Souron, A; Bocherens, H; Uno, K; Boisserie, JR</t>
  </si>
  <si>
    <t>Ecological change in the lower Omo Valley around 2.8 Ma</t>
  </si>
  <si>
    <t>stable isotope analysis; palaeoecology; diet; Africa; Pliocene</t>
  </si>
  <si>
    <t>STABLE-ISOTOPE ECOLOGY; TURKANA BASIN; EVOLUTION; AFRICA</t>
  </si>
  <si>
    <t>Late Pliocene climate changes have long been implicated in environmental changes and mammalian evolution in Africa, but high-resolution examinations of the fossil and climatic records have been hampered by poor sampling. By using fossils from the well-dated Shungura Formation (lower Omo Valley, northern Turkana Basin, southern Ethiopia), we investigate palaeodietary changes in one bovid and in one suid lineage from 3 to 2 Ma using stable isotope analysis of tooth enamel. Results show unexpectedly large increases in C-4 dietary intake around 2.8 Ma in both the bovid and suid, and possibly in a previously reported hippopotamid species. Enamel delta C-13 values after 2.8 Ma in the bovid (Tragelaphus nakuae) are higher than recorded for any living tragelaphin, and are not expected given its conservative dental morphology. A shift towards increased C-4 feeding at 2.8 Ma in the suid (Kolpochoerus limnetes) appears similarly decoupled from a well-documented record of dental evolution indicating gradual and progressive dietary change. The fact that two, perhaps three, disparate Pliocene herbivore lineages exhibit similar, and contemporaneous changes in dietary behaviour suggests a common environmental driver. Local and regional pollen, palaeosol and faunal records indicate increased aridity but no corresponding large and rapid expansion of grasslands in the Turkana Basin at 2.8 Ma. Our results provide new evidence supporting ecological change in the eastern African record around 2.8 Ma, but raise questions about the resolution at which different ecological proxies may be comparable, the correlation of vegetation and faunal change, and the interpretation of low delta C-13 values in the African Pliocene.</t>
  </si>
  <si>
    <t>10.1098/rsbl.2012.0890</t>
  </si>
  <si>
    <t>Matley, JK; Fisk, AT; Dick, TA</t>
  </si>
  <si>
    <t>Foraging ecology of ringed seals (Pusa hispida), beluga whales (Delphinapterus leucas) and narwhals (Monodon monoceros) in the Canadian High Arctic determined by stomach content and stable isotope analysis</t>
  </si>
  <si>
    <t>Arctic marine mammals; stable isotopes; stomach contents; Bayesian mixing models; diet; Arctic cod</t>
  </si>
  <si>
    <t>COD BOREOGADUS-SAIDA; NORTH WATER POLYNYA; TROPHIC RELATIONSHIPS; PHOCA-HISPIDA; TEMPORAL VARIATION; AGE STRUCTURE; SUMMER DIET; DELTA-C-13; DELTA-N-15; GROWTH</t>
  </si>
  <si>
    <t>Stomach content and stable isotope analysis (delta C-13 and delta N-15 from liver and muscle) were used to identify habitat and seasonal prey selection by ringed seals (Pusa hispida; n = 21), beluga whales (Delphinapterus leucas; n = 13) and narwhals (Monodon monoceros; n = 3) in the eastern Canadian Arctic. Arctic cod (Boreogadus saida) was the main prey item of all three species. Diet reconstruction from otoliths and stable isotope analysis revealed that while ringed seal size influenced prey selection patterns, it was variable. Prey-size selection and on-site observations found that ringed seals foraged on smaller, non-schooling cod whereas belugas and narwhals consumed larger individuals in schools. Further interspecific differences were demonstrated by delta C-13 and delta N-15 values and indicated that ringed seals consumed inshore Arctic cod compared to belugas and narwhals, which foraged to a greater extent offshore. This study investigated habitat variability and interseasonal variation in the diet of Arctic marine mammals at a local scale and adds to the sparse data sets available in the Arctic. Overall, these findings further demonstrate the critical importance of Arctic cod to Arctic food webs.</t>
  </si>
  <si>
    <t>10.3402/polar.v34.24295</t>
  </si>
  <si>
    <t>Zafirah, N; Ilham, JIJ; Mostapa, R; Muhammad, SA; Shaiful, Y; Syakir, MI</t>
  </si>
  <si>
    <t>ISOTOPIC (delta C-13 AND delta N-15) VARIATIONS IN TROPICAL RIVER SEDIMENTS OF KELANTAN, MALAYSIA: A RECONNAISSANCE STUDY OF LAND USE IMPACT TO THE WATERSHED</t>
  </si>
  <si>
    <t>erosion; sedimentation; carbon; nitrogen; cycle; tropical; deforestation; stable isotopes; agriculture; land use; C-3 plants; C:N ratio; water quality; sediment yield</t>
  </si>
  <si>
    <t>ORGANIC-CARBON; NITROGEN ISOTOPE; STABLE-ISOTOPES; C/N RATIOS; INDICATORS; MONSOON; SYSTEMS; PLATEAU; TRENDS; MATTER</t>
  </si>
  <si>
    <t>Intensification of sedimentation process has resulted in shallower river, thus increasing their vulnerability to natural hazards (i.e. climate change, floods). Considering the impact of soil erosion to the sedimentation, identification of the main source of erosion is critical to watershed management. Stable isotope of carbon (delta C-13) and nitrogen (N-15) were carried out in Kelantan catchment. Results from delta C-13 showed that C-3 type plant represents as major plant (-29.10% to -23.60%) in the river. While for delta N-15, the isotopic variations demonstrate distinct pattern of dry (Southwest Monsoon, SWM) and wet (Northeast Monsoon, NEM) seasons, suggesting significant pollutants washout from terrestrial (due to agricultural activities) to the water bodies. In addition, the Kelantan river system is an autochthonous as determined by carbon to nitrogen (C:N) ratio. Essentially, this study will serve as a precursor of future study to understand the impact of anthropogenic activities on carbon and nitrogen cycles in tropical catchment.</t>
  </si>
  <si>
    <t>10.15666/aeer/1504_11011119</t>
  </si>
  <si>
    <t>Doody, JS; Rhind, D; McHenry, CM; Clulow, S</t>
  </si>
  <si>
    <t>Invasional meltdown-under? Toads facilitate cats by removing a naive top predator</t>
  </si>
  <si>
    <t>cane toad; exploitation competition; Felis catus; invasive species; lethal toxic ingestion; mesopredator release; predator-prey interactions; Rhinella marina</t>
  </si>
  <si>
    <t>(YELLOW-SPOTTED MONITOR). DIET; CANE TOADS; VARANUS-PANOPTES; FELIS-CATUS; BUFO-MARINUS; MESOPREDATOR RELEASE; INTRODUCED PREDATORS; FERAL CAT; IMPACTS; PREY</t>
  </si>
  <si>
    <t>Context. Australia has been a battleground of invasive versus native species for similar to 200 years. Two of the most impactful invasive species to Australian animal communities are the toxic cane toad (Rhinella marina) and the predatory feral cat (Felis catus). Australia's native fauna is evolutionarily naive to both invaders because neither's taxonomic group is native to the continent. Both invaders have had severe effects on Australian native animal communities including species extinctions, extirpations, and severe population declines, but until now their effects have generally been thought to be independent of one another. Aims. We aimed to determine the impacts of invasive cane toads on monitor lizards and feral cats by estimating changes in relative abundance before and after the toad invasion. Methods. We studied toad impacts at three sites in the Kimberley region of northern Australia. We used two methods for estimating relative abundance: camera traps and track station data. Data included greater than 4000 trap days and included 7 years over an 11-year period. Key results. As expected, invading cane toads rapidly decimated populations of two species of monitor lizards (97-99% declines), including the top-order predatory Varanus panoptes. Unexpectedly, this loss was associated with a &gt;10-fold mean increase in detection rates of cats by 5 years after the loss of V. panoptes, reflecting relative increases of 3.3-8.7 individual cats per site. Conclusions. Although some unknown factor may have caused an increase in cats, their similar trophic position and niche to V. panoptes suggests that toads facilitated cats by effectively removing the lizards from the animal community. This interaction likely reflects one type of invasional meltdown, whereby a non-native species (cane toad) facilitated any aspect of another's (feral cat) invasion (e.g. survival, reproduction, resource acquisition), but the latter has no detected influence on the former (+/0 interaction). Implications. Because both invaders cause declines in animal populations and are difficult to control, the potentially synergistic tandem of cane toads and feral cats could have chronic, irreversible effects on animal communities.</t>
  </si>
  <si>
    <t>10.1071/WR22177</t>
  </si>
  <si>
    <t>Fernandez, SJ; Yorio, P; Ciancio, JE</t>
  </si>
  <si>
    <t>Diet composition of expanding breeding populations of the Magellanic Penguin</t>
  </si>
  <si>
    <t>Spheniscus magellanicus; trophic ecology; Patagonia; diet composition; stable isotopes; Haakon Hop</t>
  </si>
  <si>
    <t>PECTORAL FIN BONES; SAN-MATIAS GULF; SPHENISCUS-MAGELLANICUS; MORPHOMETRIC RELATIONSHIPS; NORTHERN PATAGONIA; ENGRAULIS-ANCHOITA; MERLUCCIUS-HUBBSI; PYGOSCELIS-PAPUA; STABLE-ISOTOPES; FORAGING EFFORT</t>
  </si>
  <si>
    <t>The Magellanic Penguin (Spheniscus magellanicus) is the most abundant and widely distributed seabird breeding on the Patagonian Coast of Argentina. We combined conventional stomach content and stable isotope analysis to assess Magellanic Penguin diet during the chick rearing stage at the two northernmost colonies in an area subject to fisheries. In 2011 and 2013, Thornfish (Bovichtus argentinus) was the main prey by mass at Complejo Islote Lobos (63.0% and 32.3%, respectively) and Argentine Anchovy (Engraulis anchoita) at Estancia San Lorenzo (85.2 and 63.3%, respectively). Magellanic Penguins from both colonies showed low isotopic niche overlap in 2011 (36%) and no overlap in 2013, suggesting a different use of prey species and/or foraging areas. Stable isotope mixing models showed that Argentine Anchovy (52.8%) and Thornfish (65.9%) were the main prey at Complejo Islote Lobos in 2011 and 2013, respectively, while Patagonian Redfish (Sebastes oculatus) (46.4%) and Squat Lobster (Munida gregaria) (50%) were the main prey at Estancia San Lorenzo in 2011 and 2013, respectively. Results show that in addition to Argentine Anchovy, previously recognized as main prey for breeding Magellanic Penguins in northern Patagonia, other juvenile or small sized fish are important diet items. Diet results suggest different scenarios of food conditions for each colony, despite the relative short distance between breeding locations. The low contribution of Argentine Hake (Merluccius hubbsi) and Argentine Shortfin Squid (Illex argentinus) suggests a low trophic overlap with commercial fisheries. The information provided is key to understand changes in the marine ecosystem and potential penguin-fishery interactions.</t>
  </si>
  <si>
    <t>10.1080/17451000.2019.1596286</t>
  </si>
  <si>
    <t>Lian, XH; Jiao, LM; Liu, ZJ</t>
  </si>
  <si>
    <t>Saturation response of enhanced vegetation productivity attributes to intricate interactions</t>
  </si>
  <si>
    <t>CO2 fertilization; combined effects; natural laboratory; saturating response; spatial interactions; terrestrial ecosystems</t>
  </si>
  <si>
    <t>CARBON UPTAKE; CO2 FERTILIZATION; EVAPORATION; NITROGEN; CHINA; EARTH</t>
  </si>
  <si>
    <t>Evidence for the multifaceted responses of terrestrial ecosystems has been shown by the weakening of CO2 fertilization-induced and warming-controlled productivity gains. The intricate relationship between vegetation productivity and various environmental controls still remains elusive spatially. Here several inherent preponderances make China a natural experimental setting to investigate the interaction and relative contributions of five drivers to gross primary productivity for the period from 1982 to 2018 (i.e., elevated atmospheric CO2 concentrations, climate change, nutrient availability, anthropogenic land use change, and soil moisture) by coupling multiple long-term datasets. Despite a strikingly prominent enhancement of vegetation productivity in China, it exhibits similar saturation responses to the aforementioned environmental drivers (elevated CO2, climatic factors, and soil moisture). The CO2 fertilization-dominated network explains the long-term variations in vegetation productivity in humid regions, but its effect is clearly attenuated or even absent in arid and alpine environments controlled by climate and soil moisture. Divergence in interactions also provides distinct evidence that water availability plays an essential role in limiting the potential effects of climate change and elevated CO2 concentrations on vegetation productivity. Unprecedented industrialization and dramatic surface changes may have breached critical thresholds of terrestrial ecosystems under the diverse natural environment and thus forced a shift from a period dominated by CO2 fertilization to a period with nonlinear interactions. These findings suggest that future benefits in terrestrial ecosystems are likely to be counteracted by uncertainties in the complicated network, implying an increasing reliance on human societies to combat potential risks. Our results therefore highlight the need to account for the intricate interactions globally and thus incorporate them into mitigation and adaptation policies.</t>
  </si>
  <si>
    <t>10.1111/gcb.16522</t>
  </si>
  <si>
    <t>Kalvakaalva, R; Clucas, G; Herman, RW; Polito, MJ</t>
  </si>
  <si>
    <t>Late Holocene variation in the Hard prey remains and stable isotope values of penguin and seal tissues from the Danger Islands, Antarctica</t>
  </si>
  <si>
    <t>Stable isotope analysis; Pygoscelisspp; Arctocephalus gazella; Paleoecology; Diet</t>
  </si>
  <si>
    <t>KING-GEORGE-ISLAND; ARCTOCEPHALUS-GAZELLA; FUR SEALS; ROSS SEA; PYGOSCELIS-PAPUA; NOTOTHENIID FISH; CLIMATE-CHANGE; DIET; PENINSULA; REVEAL</t>
  </si>
  <si>
    <t>Ornithogenic soils in Antarctica provide a biological archive of the occupation history and trophic ecology of penguins and other marine species over geological timescales. Hard prey remains and predator tissues, which are well preserved in ornithogenic soils, can act as paleoecological proxies of past environmental conditions. Here we examine ornithogenic soils from an active colony ofPygoscelisspp. penguins on Platter Island in the Danger Islands Archipelago along the northeastern side of the Antarctic Peninsula. We radiocarbon dated penguin tissues from excavated ornithogenic soils and parameterized an age-depth model of penguin occupation history. Hard prey remains were enumerated and recoveredPygoscelisspp. penguin and Antarctic fur seal (Arctocephalus gazella)tissues were analyzed for stable isotopes carbon (delta C-13) and nitrogen (delta N-15) analysis. The oldest recovered ornithogenic soils at Platter Island date to 502-653 years BP and coincide with the start of a period of increased warming and glacial discharge in the northeastern Antarctic Peninsula. Penguin tissues delta N-15 values increased between the oldest and youngest dated ornithogenic soils but seal tissues did not. This may indicate that the trophic level of penguins, but not seals, has increased over time, a hypothesis supported by the concurrent increase in the hard prey remains of fish and squid taxa common to penguin diets recovered from ornithogenic soils. Future studies of ornithogenic soils in the Danger Islands Archipelago are warranted to test this hypothesis and assess the potential confounding effects of varying ecosystem isotopic baselines and penguin species composition over time.</t>
  </si>
  <si>
    <t>10.1007/s00300-020-02728-w</t>
  </si>
  <si>
    <t>Brooks, JR; Wigington, PJ; Phillips, DL; Comeleo, R; Coulombe, R</t>
  </si>
  <si>
    <t>Willamette River Basin surface water isoscape (delta O-18 and delta H-2): temporal changes of source water within the river</t>
  </si>
  <si>
    <t>delta O-18; delta H-2; elevation gradient; Isoscapes Special Feature; mixing model; source water; stable isotopes; streamflow; western Oregon, USA</t>
  </si>
  <si>
    <t>STABLE-ISOTOPES; SPATIAL-DISTRIBUTION; HYPORHEIC FLOW; OREGON; PRECIPITATION; CLIMATE; HYDROLOGY; SYSTEM; TEMPERATURE; DEUTERIUM</t>
  </si>
  <si>
    <t>Determining how water sources for rivers vary over time can greatly enhance our understanding and management of land use and climate change impacts on rivers. Because the stable isotope composition of precipitation can vary geographically, variation in the stable isotope composition of river water may be able to identify source water dynamics. We monitored the stable isotope values (delta O-18 and delta H-2) of river and stream water within the southern Willamette River Basin in western Oregon over two years. Within this basin, eighty-four percent of the isotopic variation in small tributary streams was explained by the mean elevation of the catchments, whereas seasonal variation was minimal. However, water within the Willamette River had distinct isotopic seasonal patterns that likely occurred because of changes in the mean elevation of source water for the river. River isotopic values were lowest during summer low flow and highest during February/March when snow accumulated in the mountains. We estimated that the mean elevation of the source water for the Willamette River shifted over 700 m, seasonally. During winter when rain occurred in the valley and snow accumulated in the mountains, the river reflected a mixture of low mountains and valley bottom precipitation. During the dry Mediterranean summer, 60-80% of the river water came from the snow zone above 1200 m, which is only 12% of the land area and accounts for 15.6% of the annual precipitation within the Willamette Basin. This high elevation area contains the High Cascades geological region with highly permeable bedrock that sustains late-summer baseflow compared to the Western Cascades with low permeable bedrock. Reliance on high-elevation water during summer low flow highlights the vulnerability of this system to influences of a warming climate, where snowpacks in the Cascade Mountains are predicted to decrease in the future.</t>
  </si>
  <si>
    <t>10.1890/ES11-00338.1</t>
  </si>
  <si>
    <t>Nitschelm, JJ; Luscher, A; Hartwig, UA; VanKessel, C</t>
  </si>
  <si>
    <t>Using stable isotopes to determine soil carbon input differences under ambient and elevated atmospheric CO2 conditions</t>
  </si>
  <si>
    <t>elevated CO2; FACE; soil organic carbon; C-13; carbon input; Trifolium repens</t>
  </si>
  <si>
    <t>C-13 NATURAL ABUNDANCE; ORGANIC-MATTER; PERENNIAL RYEGRASS; DIOXIDE ENRICHMENT; TALLGRASS PRAIRIE; LITTER QUALITY; WHITE CLOVER; DYNAMICS; NITROGEN; PLANTS</t>
  </si>
  <si>
    <t>Quantitative estimates of soil C input under ambient (35 Pa) and elevated (60 Pa) CO2-partial pressure (pCO(2)) were determined in a Free-Air Carbon dioxide Enrichment (FACE) experiment. To facilitate C-13-tracing, Trifolium repens L. was grown in a soil with an initial delta(13)C distinct by at least 5 parts per thousand from the delta(13)C of T. repens grown under ambient or elevated pCO(2). A shift in delta(13)C Of the soil organic C was detected after one growing season. Calculated new soil C inputs in soil under ambient and elevated pCO(2) were 2 and 3 t ha(-1), respectively. Our findings suggest that under elevated CO2 conditions, soil C sequestration may be altered by changes in plant biomass production and quality.</t>
  </si>
  <si>
    <t>10.1046/j.1365-2486.1997.00107.x</t>
  </si>
  <si>
    <t>Mattei, A; Huneau, F; Garel, E; Sorba, L; Orsini, S; Santoni, S</t>
  </si>
  <si>
    <t>Isotope hydrology to provide insights into the behaviour of temporary wetlands as a basis for developing sustainable ecohydrological management strategies in Mediterranean regions</t>
  </si>
  <si>
    <t>Corsica; groundwater; hydrology; Mediterranean temporary pond; optimal environmental conditions; stable isotopes</t>
  </si>
  <si>
    <t>GEOGRAPHICALLY ISOLATED WETLANDS; COMMUNITY STRUCTURE; CLIMATE-CHANGE; PRECIPITATION; CALIFORNIA; CATCHMENT; EVOLUTION; FUTURE; WATERS; POOLS</t>
  </si>
  <si>
    <t>The lack of hydrological considerations in the existing protection statutes for small temporary wetlands has recently been pointed out as the main cause of their rapidly increasing disappearance. In the present study, we aim to demonstrate the interest of using the tools of isotope hydrology to obtain a rapid and cost effective understanding of the hydrological connectivity of Mediterranean temporary wetlands in order to define the optimal environmental conditions needed to ensure their sustainability. By combining physical and isotope measurements, we have investigated the fragile balance of direct precipitation, subsurface water and groundwater influencing the hydroperiod of a typical Mediterranean temporary pond. The use of the water stable isotopes enabled us to demonstrate (i) the major role played by groundwater and subsurface water in the flooding phase of the temporary pond; (ii) the involvement of different water reservoirs in varying proportions over time to maintain the pond filled with water: precipitation, subsurface and groundwater by using d-excess; (iii) the main role played by evaporation in starting the drying up phase; and (iv) the connection existing between a geographically isolated wetland and the regional groundwater body. These results highlight the urgent need to consider both surface and groundwater fluxes in specific protection statutes for wetlands. To this end, we recommend the use of the water stable isotopes to provide insights into the hydrological behaviour of the wetlands in order to dispose of additional cost-effective arbitration arguments to help ensure their sustainability. The lack of hydrological considerations in existing protection statutes for small temporary wetlands has recently been pointed out as the main cause of their disappearance. Here, by combining physical and isotopes measurements, we first highlight the main role played by groundwater in the flooding phase of the temporary pond and the involvement of different water reservoirs in varying proportions over time to maintain the pond filled. These results demonstrate the connection existing between a geographically isolated wetland and the regional groundwater and highlight the urgent need to consider both surface and groundwater fluxes in specific protection statutes for wetlands.</t>
  </si>
  <si>
    <t>e2411</t>
  </si>
  <si>
    <t>10.1002/eco.2411</t>
  </si>
  <si>
    <t>Guel, G; Keskin, E; Demirel, N</t>
  </si>
  <si>
    <t>Comparison of fish prey contribution in the diet of European hake by visual assessment of stomach contents and DNA metabarcoding</t>
  </si>
  <si>
    <t>Merluccius merluccius; Fish prey; Seasonal shift; Next generation sequencing; Sea of Marmara</t>
  </si>
  <si>
    <t>MERLUCCIUS-MERLUCCIUS; FEEDING-HABITS; MEDITERRANEAN SEA; TROPHIC ECOLOGY; FISHERIES; GULF; PREDATION; TAXONOMY; BIOLOGY</t>
  </si>
  <si>
    <t>Diet studies are critical for ecosystem-level understanding of fish populations and a move toward ecosystem-based management of marine resources. European hake, Merluccius merluccius, a demersal mesopredator species, is one of the most important commercial fish in the Mediterranean, and as a predatory species it controls the food web. Here, we characterize the diet of M. merluccius with two different analytical methods, visual assessment of stomach contents and DNA metabarcoding. Seasonal and size-based differences in fish prey composition were investigated. Both methods produced complementary results with regard to fish prey contribution of European hake diet. The visual assessment approach showed significant differences between adult and juvenile hakes, while the metabarcoding approach indicated high seasonality in fish prey contribution and richness in its diet. An increase in fish prey diversity was found for both adult and juvenile hakes during the summer. Trachurus sp. was detected as the dominant fish prey in both methods. A broader range of fish prey species was detected by metabarcoding due to its ability to identify highly digested items from the stomach. Combining visual assessment with a novel metabarcoding approach has the potential to improve our understanding of trophic ecology, which can be useful for ecosystem-based management.</t>
  </si>
  <si>
    <t>10.1007/s10641-023-01398-x</t>
  </si>
  <si>
    <t>SCHULDT, JA; HERSHEY, AE</t>
  </si>
  <si>
    <t>EFFECT OF SALMON CARCASS DECOMPOSITION ON LAKE-SUPERIOR TRIBUTARY STREAMS</t>
  </si>
  <si>
    <t>SALMON CARCASSES; STREAM ECOSYSTEM; NUTRIENT LOADING; STABLE ISOTOPES; CHLOROPHYLL; CPOM; FPOM; MACROINVERTEBRATE CONSUMERS</t>
  </si>
  <si>
    <t>We investigated the fate of organic matter and inorganic nutrients derived from spawning runs of chinook salmon in tributary streams to Lake Superior during fall and winter 1990. Upstream-downstream comparisons and experimental introduction of carcasses were used to determine how salmon carcass decomposition influenced several stream eosystem components, including total phosphorus, total nitrogen, soluble reactive phosphorus (SRP), NO3-, NH4+, periphyton biomass, and fine particulate organic matter (FPOM) in transport. Total phosphorus, SRP, and periphyton biomass were higher in a river reach that received a spawning run of an estimated 1200 fish than in an upstream reach that lacked spawning salmon. No upstream-downstream gradient in these components occurred in a river that did not receive a spawning run. Total phosphorus, SRP, and periphyton also were elevated where we experimentally introduced salmon carcasses, in the absence of a natural salmon run. Stable isotope analyses revealed that salmon-derived nitrogen was incorporated into grazing mayflies, and to a lesser extent into filter-feeding caddisflies. Salmon-derived carbon was not incorporated into these macroinvertebrates. These results show that salmon carcasses can be an important source of nutrients in streams even when runs are relatively small.</t>
  </si>
  <si>
    <t>10.2307/1467778</t>
  </si>
  <si>
    <t>Oerter, EJ; Bowen, G</t>
  </si>
  <si>
    <t>In situ monitoring of H and O stable isotopes in soil water reveals ecohydrologic dynamics in managed soil systems</t>
  </si>
  <si>
    <t>ecohydrologic separation; irrigation; isotope hydrology; laser spectroscopy; membrane inlet; soil water partitioning; Technosol</t>
  </si>
  <si>
    <t>DRY SOILS; INFILTRATING WATER; URBAN WATER; O-18; DEUTERIUM; TREES; FRACTIONATION; HYDROGEN; RATIOS; FLOW</t>
  </si>
  <si>
    <t>The water cycle in urban and hydrologically managed settings is subject to perturbations that are dynamic on small spatial and temporal scales; the effects of which may be especially profound in soils. We deploy a membrane inlet-based laser spectroscopy system in conjunction with soil moisture and temperature sensors to monitor soil water dynamics and H and O stable isotope ratios (delta H-2 and delta O-18 values) in a seasonally irrigated urban-landscaped garden soil over the course of 9 months between the cessation of irrigation in the autumn and the onset of irrigation through the summer. We find that soil water delta H-2 and delta O-18 values predominately reflect seasonal precipitation and irrigation inputs. A comparison of total soil water by cryogenic extraction and mobile soil water measured by in situ water vapor probes reveals that initial infiltration events after long periods of soil drying (the autumn season in this case) emplace water into the soil matrix that is not easily replaced by, or mixed with, successive pulses of infiltrating soil water. Tree stem xylem water H and O stable isotope composition did not match that of available water sources. These findings suggest that partitioning of soil water into mobile and immobile pools and resulting ecohydrologic separation may occur in engineered and hydrologically managed soils and not be limited to natural settings. The laser spectroscopy method detailed here has potential to yield insights in a variety of critical zone and vadose zone studies, potential that is heightened by the simplicity and portability of the system.</t>
  </si>
  <si>
    <t>e1841</t>
  </si>
  <si>
    <t>10.1002/eco.1841</t>
  </si>
  <si>
    <t>Gonzalez, SJ; Caceres, CW; Ojeda, FP</t>
  </si>
  <si>
    <t>Feeding, and nutritional ecology of the edible sea urchin Loxechinus albus in the northern Chilean coast</t>
  </si>
  <si>
    <t>REVISTA CHILENA DE HISTORIA NATURAL</t>
  </si>
  <si>
    <t>assimilation efficiency; Loxechinus; natural diet; trophic selectivity</t>
  </si>
  <si>
    <t>ASSIMILATION EFFICIENCY; TEMPERATURE; PREFERENCE; PATTERNS; STRATEGY; BEHAVIOR; FISHES; ENERGY</t>
  </si>
  <si>
    <t>The red sea urchin Loxechinus albus, in economically important species occurring along the Chilean littoral benthic systems, has been heavily exploited by artisanal fisheries in recent decades. However, basic knowledge of its trophic biology is still scarce. Studies of this kind are critical to the successful development of farming techniques as an alternative to the harvest of natural populations. The aims of this study were to quantify the composition of L. albus' natural diet, to determine the assimilation efficiency of the most important dietary components, and to experimentally examine the species' trophic selectivity. Adult and juvenile specimens were sampled in spring 1993 and summer, fall and winter 1994 from the shallow subtidal zone of Iquique, northern Chile. Neither juveniles nor adults showed significant seasonal differences in dietary composition. The main items in the diet were the green alga Ulva sp. for juveniles and the kelp Lessonia sp. for adults. In adults, assimilation efficiency (as percentage of the total organic matter ingested) was not significantly different among individuals that consumed Lessonia sp. (48.7%), U/va sp. (44.6%) and Macrocystis (38.1%), whereas in juveniles assimilation efficiency was significantly higher for individuals fed on the chlorophyte Ulva sp. (55.4%), followed by Lessonia sp. (35.0%) and Macrocystis (25.5%). These results suggest that L. albus undergoes an ontogenetic shift in the diet, consisting of a differential foraging strategy between juveniles and adults.</t>
  </si>
  <si>
    <t>Blanchard, JL; Law, R; Castle, MD; Jennings, S</t>
  </si>
  <si>
    <t>Coupled energy pathways and the resilience of size-structured food webs</t>
  </si>
  <si>
    <t>Benthic-pelagic links; Food web dynamics; Predator-prey; Size spectrum; Stability; Trophic interactions</t>
  </si>
  <si>
    <t>BODY-SIZE; CHAIN LENGTH; TROPHIC INTERACTIONS; STABILITY; DYNAMICS; SPECTRA; FISH; PREDATION; CARBON; MODEL</t>
  </si>
  <si>
    <t>Size-based food-web models, which focus on body size rather than species identity, capture the generalist and transient feeding interactions in most marine ecosystems and are well-supported by data. Here, we develop a size-based model that incorporates dynamic interactions between marine benthic (detritus-based) and pelagic (primary producer based) pathways to investigate how the coupling of these pathways affects food web stability and resilience. All model configurations produced stable steady-state size spectra. Resilience was measured by the return speed obtained from local stability analysis. Return times following large perturbations away from steady-state were also measured. Resilience varied nonlinearly with both predator and detrital coupling, and high resilience came from predators (1) feeding entirely in the slow benthic zone or (2) feeding across the two energy pathways, with most food coming from the fast pelagic pathway. When most of the energy flowed through the pelagic pathway, resilience was positively related to turnover rate. When most of the energy flowed through the benthic pathway, resilience was negatively related to turnover rate. Analysis of the effects of large perturbations revealed that resilience for pelagic ecosystems depended on the nature of the perturbation and the degree of benthic-pelagic coupling. Areas with very little or no benthic-pelagic coupling (e.g. deep seas or highly stratified water columns) may return more quickly following pulses of detrital fallout or primary production but could be much less resilient to the effects of human-induced mortality (harvesting).</t>
  </si>
  <si>
    <t>10.1007/s12080-010-0078-9</t>
  </si>
  <si>
    <t>Crowther, MS; Lunney, D; Lemon, J; Stalenberg, E; Wheeler, R; Madani, G; Ross, KA; Ellis, M</t>
  </si>
  <si>
    <t>Climate-mediated habitat selection in an arboreal folivore</t>
  </si>
  <si>
    <t>KOALA PHASCOLARCTOS-CINEREUS; HOME-RANGE; TREE USE; SPECIALIST FOLIVORE; COLLAR PERFORMANCE; RESOURCE SELECTION; FOLIAR CHEMISTRY; TEMPORAL SCALES; SPATIAL SCALE; CONSERVATION</t>
  </si>
  <si>
    <t>The decisions that animals must make to achieve a balance between quantity and quality of resources become more difficult when their habitats are patchy and differ greatly in quality across space and time. Koalas are a prime subject to study this problem because they have a specialised diet of eucalypt leaves and need to balance nutrient and water intake against toxins in the leaves, all of which can change with soil type and climate. Koalas are nocturnal and spend most of the day resting and therefore choose trees for reasons other than feeding, particularly for thermoregulation. We GPS-tracked 40 koalas over 3 yr to determine their shift in tree selection between day and night, and in relation to daily maximum temperature, in a patchy rural landscape in north-western NSW, Australia. The species, degree of shelter, diameter, height and elevation of each visited tree were recorded. We used generalised linear mixed effects models to compare tree use between day and night and maximum daily temperature. Koalas used more feed-trees during the night, and more shelter-trees during the day. They also selected taller trees with more shelter in the day compared with night. As daytime temperatures rose, koalas increasingly selected taller trees at lower elevations. Our results demonstrate that koalas need taller trees, and non-feed species with shadier/denser foliage, to provide shelter from heat. This highlights the need both for the retention of taller, mature trees, such as remnant paddock trees, and the planting of both food and shelter trees to increase habitat area and connectivity across the landscape for arboreal species. Retaining and planting trees that provide optimum habitat will help arboreal folivores cope with the more frequent droughts and heatwaves expected with climate change.</t>
  </si>
  <si>
    <t>10.1111/j.1600-0587.2013.00413.x</t>
  </si>
  <si>
    <t>Macneale, KH; Peckarsky, BL; Likens, GE</t>
  </si>
  <si>
    <t>Stable isotopes identify dispersal patterns of stonefly populations living along stream corridors</t>
  </si>
  <si>
    <t>Hubbard Brook Experimental Forest; insect flight; mark recapture; N-15; Plecoptera</t>
  </si>
  <si>
    <t>ADULT AQUATIC INSECTS; GENETIC-STRUCTURE; DENSITY-DEPENDENCE; LATERAL DISPERSAL; DRIFT; TRICHOPTERA; PLECOPTERA; FLOW; OVIPOSITION; EMERGENCE</t>
  </si>
  <si>
    <t>1. Populations in different locations can exchange individuals depending on the distribution and connectivity of suitable habitat, and the dispersal capabilities and behaviour of the organisms. We used an isotopic tracer, N-15, to label stoneflies ( Leuctra ferruginea) to determine the extent of adult flight along stream corridors and between streams where their larvae live. 2. In four mass, mark- capture experiments we added (NH4Cl)-N-15 continuously for several weeks to label specific regions of streams within the Hubbard Brook Experimental Forest, NH, U. S. A. We collected adult stoneflies along the labelled streams ( up to 1.5 km of stream length), on transects through the forest away from labelled sections ( up to 500 m), and along an 800- m reach of adjacent tributary that flows into a labelled stream. 3. Of 966 individual adult stoneflies collected and analysed for N-15, 20% were labelled. Most labelled stoneflies were captured along stream corridors and had flown upstream a mean distance of 211 m; the net movement of the population ( upstream + downstream) estimated from the midpoint of the labelled sections was 126 m upstream. The furthest male and female travelled approximately 730 m and approximately 663 m upstream, respectively. We also captured labelled mature females along an unlabelled tributary and along a forest transect 500 m from the labelled stream, thus demonstrating crosswatershed dispersal. 4. We conclude that the adjacent forest was not a barrier to dispersal between catchments, and adult dispersal linked stonefly populations among streams across a landscape within one generation. Our data on the extent of adult dispersal provide a basis for a conceptual model identifying the boundaries of these populations, whose larvae are restricted to stream channels, and whose females must return to streams to oviposit.</t>
  </si>
  <si>
    <t>10.1111/j.1365-2427.2005.01387.x</t>
  </si>
  <si>
    <t>Mushinski, RM; Payne, ZC; Raff, JD; Craig, ME; Pusede, SE; Rusch, DB; White, JR; Phillips, RP</t>
  </si>
  <si>
    <t>Nitrogen cycling microbiomes are structured by plant mycorrhizal associations with consequences for nitrogen oxide fluxes in forests</t>
  </si>
  <si>
    <t>forest soils; metagenomes; mycorrhizae; nitrogen cycle; nitrous oxide; reactive nitrogen oxides</t>
  </si>
  <si>
    <t>ARBUSCULAR MYCORRHIZAL; EMISSIONS; CARBON; NITRIFICATION; SOILS; TREES; DENITRIFICATION; MINERALIZATION; BIOGEOGRAPHY; DECOMPOSERS</t>
  </si>
  <si>
    <t>Volatile nitrogen oxides (N2O, NO, NO2, HONO, horizontal ellipsis ) can negatively impact climate, air quality, and human health. Using soils collected from temperate forests across the eastern United States, we show microbial communities involved in nitrogen (N) cycling are structured, in large part, by the composition of overstory trees, leading to predictable N-cycling syndromes, with consequences for emissions of volatile nitrogen oxides to air. Trees associating with arbuscular mycorrhizal (AM) fungi promote soil microbial communities with higher N-cycle potential and activity, relative to microbial communities in soils dominated by trees associating with ectomycorrhizal (ECM) fungi. Metagenomic analysis and gene expression studies reveal a 5 and 3.5 times greater estimated N-cycle gene and transcript copy numbers, respectively, in AM relative to ECM soil. Furthermore, we observe a 60% linear decrease in volatile reactive nitrogen gas flux (NOy equivalent to NO, NO2, HONO) as ECM tree abundance increases. Compared to oxic conditions, gas flux potential of N2O and NO increase significantly under anoxic conditions for AM soil (30- and 120-fold increase), but not ECM soil-likely owing to small concentrations of available substrate (NO3-) in ECM soil. Linear mixed effects modeling shows that ECM tree abundance, microbial process rates, and geographic location are primarily responsible for variation in peak potential NOy flux. Given that nearly all tree species associate with either AM or ECM fungi, our results indicate that the consequences of tree species shifts associated with global change may have predictable consequences for soil N cycling.</t>
  </si>
  <si>
    <t>10.1111/gcb.15439</t>
  </si>
  <si>
    <t>Remy, F; Darchambeau, F; Melchior, A; Lepoint, G</t>
  </si>
  <si>
    <t>Impact of food type on respiration, fractionation and turnover of carbon and nitrogen stable isotopes in the marine amphipod Gammarus aequicauda (Martynov, 1931)</t>
  </si>
  <si>
    <t>Turnover rate; Trophic enrichment factor; Stable isotope; Mixing model; Respiration; Seagrass</t>
  </si>
  <si>
    <t>DISCRIMINATION FACTORS DELTA-N-15; SEAGRASS POSIDONIA-OCEANICA; TROPICAL GREEN-ALGAE; DYNAMIC ACTION; ECOLOGICAL STOICHIOMETRY; TROPHIC LEVEL; DIET; CONSUMER; DETRITUS; DELTA-C-13</t>
  </si>
  <si>
    <t>This study experimentally determined the impact of food source type on tumover rate and trophic enrichment factors (TEFs or Delta) of delta C-13 and delta N-15, as well as on respiration rate, in captive populations of the marine amphipod Gammarus aequicauda. Gammarus aequicauda (318 individuals) were fed ad libitum with three food sources animal, algae, and dead Posidonia oceanica leaves (also called litter), varying in palatability, digestibility, nutritional qualities and isotopic compositions, for between four and six weeks in a controlled feeding experiment. The resulting death rate was lower for the amphipods fed with animal treatment (30.9%) than for individuals fed with algal (65.9%) or litter treatment (64.4%), indicating a better fitness of the individuals fed with the animal food source. Respiration rates also differed highly among the treatments. Animal treatment showed higher respiration rates than algal and litter treatments, potentially due to the toxicity of the algae and the very low nutritional quality of the litter. Amphipods fed with these treatments might have entered in a low activity state to cope with these unsuitable food sources, inducing low respiration rates. Due to the very low assimilation and toxicity of the algae source, turnover rate for delta C-13 was impossible to determine. Turnover rate for delta C-13 was much faster (half-life = 12.55 days) for amphipods fed with the animal food source than for amphipods fed with litter (half-life = 51.62 days), showing the faster assimilation of the most nutritionally optimal food sources by G. aequicauda. Turnover for delta N-15 was impossible to determine because the amphipods were already at isotopic equilibrium at the beginning of the experiment. Despite the detritus feeder status of Gammarus aequicauda, TEFs for the animal treatments were in accordance with values generally found for carnivorous organisms (Delta C-13 = 0.9 +/- 0.7%.; Delta N-15 = 2.9 +/- 0.6%0). TEFs for the litter treatment were in accordance with values generally corresponding to detritivorous organisms (Delta C-13 = 1.2%.; Delta N-15 = 1.0 +/- 0.4%0). SIAR mixing model outputs obtained with these new TEF values were more constrained and coherent than outputs obtained with general literature TEFs. This study thus demonstrated the non-negligible impact of the food source on Gammarus aequicauda physiological status, fitness and turnover rates, but also on TEFs-highlighting the importance of TEF experimental calculations for every potential food source of a given organism to ensure more robust isotopic data interpretation. (C) 2016 Elsevier B.V. All rights reserved.</t>
  </si>
  <si>
    <t>10.1016/j.jembe.2016.10.031</t>
  </si>
  <si>
    <t>Bradley, CJ; Longenecker, K; Pyle, RL; Popp, BN</t>
  </si>
  <si>
    <t>Compound-specific isotopic analysis of amino acids reveals dietary changes in mesophotic coral-reef fish</t>
  </si>
  <si>
    <t>Mesophotic; Coral reef fishes; Amino acids; N-15; Trophic ecology; Isotope analysis; Marine food webs</t>
  </si>
  <si>
    <t>PACIFIC SUBTROPICAL GYRE; FRENCH FRIGATE SHOALS; AQUATIC FOOD-WEB; AUAU CHANNEL; TROPHIC POSITION; STABLE-ISOTOPES; NITROGEN; DEEP; DELTA-N-15; ECOSYSTEM</t>
  </si>
  <si>
    <t>Shallow-water (&lt; 30 m) coral-reef fishes are under threat from multiple environmental and anthropogenic impacts. Typically spatially removed from such impacts, mesophotic coral ecosystems (MCEs) at intermediate depths (30-150 m) may serve as refugia for these fishes. In the main Hawaiian Islands, efforts to protect and manage coral-reef fisheries are underway. However, the inclusion of MCEs within management plans has been limited by a lack of information about the trophic structure of resident fish communities. Because of physical environment changes associated with increasing depth, we hypothesized that the diets of shallow and mesophotic fish would differ, with mesophotic fish relying less on benthic macroalgae and more on higher trophic-level prey. To address these possible ecological dietary changes, we examined the bulk tissue nitrogen and carbon isotopic compositions of 319 samples of reef fish from shallow and mesophotic depths, further analyzing the amino acid nitrogen isotopic composition of 81 samples. Significant differences were found in the bulk isotopic compositions of omnivores and benthic invertivores, whereas planktivores showed overlap between depths. Results of compound-specific isotopic analyses of amino acids indicated slightly but significantly higher trophic positions of mesophotic benthic invertivores compared to shallow-water members. Ecosystem models need to reflect the differences in food webs between shallow and mesophotic habitats, and results here place important constraints on outputs and assumptions for Hawaiian coral-reef habitats and potentially other reef tracts. Our results will allow better understanding of mesophotic fish ecology and stress the importance of MCE research in understanding trophic connectivity.</t>
  </si>
  <si>
    <t>10.3354/meps11872</t>
  </si>
  <si>
    <t>Loch, JMH; Cook, GS</t>
  </si>
  <si>
    <t>Evidence of ontogenetic partitioning of restored coastal habitat by a generalist sportfish</t>
  </si>
  <si>
    <t>body condition; fish recruitment; living shorelines; Lutjanus griseus; oyster reefs; stable isotopes</t>
  </si>
  <si>
    <t>SNAPPER LUTJANUS-GRISEUS; GRAY SNAPPER; TROPHIC POSITION; FISH; RESTORATION; ASSEMBLAGES; DIVERSITY; RESPONSES; SURVIVAL; FLORIDA</t>
  </si>
  <si>
    <t>Coastal and estuarine habitats that provide crucial nursery areas for many economically and ecologically important fish species are in decline. Restoration of benthic habitats can improve fish populations, biomass, and feeding opportunities, but there is limited research on how restoration impacts growth and survival with ontogeny. To address this knowledge gap, here we examine the biometrics (size, biomass, and body condition), recruitment, size structure, and trophic shifts of a sportfish (mangrove snapper, Lutjanus griseus) at restored oyster reefs and stabilized living shorelines to better understand how fish use restored habitats as they grow. Biomass and body condition of L. griseus juveniles and subadults, and post-settlement recruitment, at restored/stabilized sites was similar, and in some cases greater than natural sites, correlating with benthic habitat, reef location, and lunar phase at oyster reefs. Living shorelines exhibited greater recruitment potential, while oyster reefs supported more juveniles and subadults, as evidenced by differences in fish size and biomass between habitats. Dietary overlap implies subadult L. griseus likely foraged across habitats more than juveniles, while there was greater diet similarity within habitats. Furthermore, ontogenetic shifts also occurred within oyster reef habitats, highlighting the importance of quality habitat to support various sportfish life stages, which can be achieved through restoration. These findings suggest life history attributes can be indicators of habitat restoration success, and specifically provide actionable science to guide the development of more effective strategies for restoring inshore nursery habitats and thus augment production of offshore reef fisheries.</t>
  </si>
  <si>
    <t>10.1111/rec.13960</t>
  </si>
  <si>
    <t>Matthews, CJD; Longstaffe, FJ; Ferguson, SH</t>
  </si>
  <si>
    <t>Dentine oxygen isotopes (O-18) as a proxy for odontocete distributions and movements</t>
  </si>
  <si>
    <t>Carbonate; cetacean; distribution; hydroxyapatite; isoscape; marine mammal; oxygen isotopes; phosphate; teeth</t>
  </si>
  <si>
    <t>BIOAPATITE CARBONATE PRETREATMENTS; SPERM-WHALE TEETH; BONE PHOSPHATE; STABLE CARBON; SEA-ICE; BELUGA WHALES; KILLER WHALES; GROWTH LAYERS; WATER; DIET</t>
  </si>
  <si>
    <t>Spatial variation in marine oxygen isotope ratios (O-18) resulting from differential evaporation rates and precipitation inputs is potentially useful for characterizing marine mammal distributions and tracking movements across O-18 gradients. Dentine hydroxyapatite contains carbonate and phosphate that precipitate in oxygen isotopic equilibrium with body water, which in odontocetes closely tracks the isotopic composition of ambient water. To test whether dentine oxygen isotope composition reliably records that of ambient water and can therefore serve as a proxy for odontocete distribution and movement patterns, we measured O-18 values of dentine structural carbonate (O-18(SC)) and phosphate (O-18(P)) of seven odontocete species (n=55 individuals) from regional marine water bodies spanning a surface water O-18 range of several per mil. Mean dentine O-18(SC) (range +21.2 to +25.5 parts per thousand VSMOW) and O-18(P) (+16.7 to +20.3 parts per thousand) values were strongly correlated with marine surface water O-18 values, with lower dentine O-18(SC) and O-18(P) values in high-latitude regions (Arctic and Eastern North Pacific) and higher values in the Gulf of California, Gulf of Mexico, and Mediterranean Sea. Correlations between dentine O-18(SC) and O-18(P) values with marine surface water O-18 values indicate that sequential O-18 measurements along dentine, which grows incrementally and archives intra- and interannual isotopic composition over the lifetime of the animal, would be useful for characterizing residency within and movements among water bodies with strong O-18 gradients, particularly between polar and lower latitudes, or between oceans and marginal basins.</t>
  </si>
  <si>
    <t>10.1002/ece3.2238</t>
  </si>
  <si>
    <t>Velinsky, DJ; Paudel, B</t>
  </si>
  <si>
    <t>Long-term sediment accretion and nutrient deposition in a tidal marsh of the Delaware Bay</t>
  </si>
  <si>
    <t>PROCEEDINGS OF THE ACADEMY OF NATURAL SCIENCES OF PHILADELPHIA</t>
  </si>
  <si>
    <t>Sediment Accumulation; Accretion; Nutrients; Radionuclides; Stable Isotopes</t>
  </si>
  <si>
    <t>ORGANIC-MATTER; SALINITY GRADIENT; CHESAPEAKE BAY; STABLE CARBON; PHOSPHORUS; NITROGEN; EUTROPHICATION; ACCUMULATION; INPUTS; RIVER</t>
  </si>
  <si>
    <t>Long-term sediment accretion and nutrient concentrations were investigated in tidal marsh sediments of the Murderkill River, Delaware. Radionuclides (Pb-210 and Cs-137), stable isotopes (C-13 and N-15), organic matter concentrations and nutrient concentrations were measured. Tidal marsh sediment accumulation rates ranged from 0.10 to 0.20 g cm(-2) yr(-1), and accretion rates ranged from 0.31 to 0.74 cm yr(-1). The Carbon (C) to nitrogen (N) ratio (similar to 24) was higher in the downcore of upstream sites, and a similar C/N ratio was identified in surface sediment cores at the downstream sites. The sediment N concentration in the surface sediments was highest at the upstream sites (mostly &gt;= 1% of N) and decreased downstream. Total nitrogen concentrations were highest from 1910 to 1920 (similar to 1.5% N), decreased to approximately 0.6% N by 1940, and then remained constant to present. The dominance of the C4 plant Spartina (cordgrass) over C3 plants after the 1940s may be due to an upward movement of saline water associated with hydrologic changes and a rise in relative sea level. Surface sediments in all of the cores have more total phosphorus (TP) than below ground. The downstream site closest to the estuary had an abrupt increase in surface TP (i.e., 0-10 cm). Sediment TP increased slightly from 2003 to present time (i.e., from 0.07 to 0.11% P). Sediment accumulation and accretion rates in the Murderkill River marshes are similar to the accretion rates determined by previous studies in the region.</t>
  </si>
  <si>
    <t>10.1635/053.167.0107</t>
  </si>
  <si>
    <t>Cherry, SG; Derocher, AE; Hobson, KA; Stirling, I; Thiemann, GW</t>
  </si>
  <si>
    <t>Quantifying dietary pathways of proteins and lipids to tissues of a marine predator</t>
  </si>
  <si>
    <t>Arctic; Bayesian mixing models; marine mammals; metabolic routing; polar bears; stable isotopes</t>
  </si>
  <si>
    <t>BEARS URSUS-MARITIMUS; SEAL PHOCA-HISPIDA; NITROGEN ISOTOPIC FRACTIONATION; PERSISTENT ORGANIC POLLUTANTS; STABLE CARBON ISOTOPES; EASTERN BEAUFORT SEA; WHALES ORCINUS-ORCA; POLAR BEARS; FATTY-ACID; MASS GAIN</t>
  </si>
  <si>
    <t>1. Using measurements of naturally occurring stable isotopes in animal tissues is useful for monitoring diets of wide-ranging species that would otherwise be logistically difficult to evaluate. However, differential metabolic routing of macromolecules within a consumer can be problematic when using stable isotope analysis of bulk tissues to trace dietary input. 2. We used stable isotope (delta 13C, delta 15N) analysis to examine polar bear Ursus maritimus diet, which includes both lipid-rich blubber and the proteinaceous tissues of their marine mammal prey. Because the proportion of proteins and lipids consumed may depend on prey type and size, it was necessary to consider metabolic routing of these macromolecules separately in isotope mixing models. 3. Bayesian mixing models (MixSIR, version 1.04) were used to separately estimate protein (delta 13C, delta 15N) and lipid (delta 13C) dietary inputs. We used existing knowledge of the relative lipid and protein intake for polar bears and isotopic information from both macromolecules to estimate overall diet composition. 4. The results for both male and female polar bears indicated that smaller prey (e.g. ringed seal Pusa hispida) contributed the largest proportion to the protein-metabolic pathway. In contrast, the largest proportion of the lipid-metabolic pathway for both sexes tended to consist of larger prey (e.g. bearded seal Erignathus barbatus). 5. The diet composition of male polar bears consisted of more large than small prey. Diet estimates for females overlapped to some degree with males but tended to consist of less large prey. 6. Synthesis and applications. Monitoring polar bear diet may help determine the effects of climate-induced environmental changes in Arctic marine ecosystems including shifts in prey composition. Additionally, tracing origins of anthropogenic pollutants is currently a priority for wildlife managers concerned with the health of marine mammals. However, our results indicate using stable isotopes to infer dietary inputs when proportions of macromolecules fluctuate amongst food sources requires the sampling and analysis of multiple tissues representing distinct macromolecular metabolic pathways. In such cases, utilizing only proteinaceous tissues for analysis will result in erroneous dietary source estimates and inaccuracies when examining trophic-level transfer of contaminants, especially those that are lipophylic.</t>
  </si>
  <si>
    <t>10.1111/j.1365-2664.2010.01908.x</t>
  </si>
  <si>
    <t>Brauns, M; Boechat, IG; de Carvalho, APC; Graeber, D; Gucker, B; Mehner, T; von Schiller, D</t>
  </si>
  <si>
    <t>Consumer-resource stoichiometry as a predictor of trophic discrimination (Delta C-13, Delta N-15) in aquatic invertebrates</t>
  </si>
  <si>
    <t>consumer resource elemental imbalance; ecological stoichiometry; lipids; macroinvertebrates; stable isotopes</t>
  </si>
  <si>
    <t>STABLE CARBON ISOTOPES; NUTRIENT LIMITATION; STEP FRACTIONATION; DIET; PHOSPHORUS; QUALITY; MODELS; GROWTH; CONSTRAINTS; VARIABILITY</t>
  </si>
  <si>
    <t>1. Trophic interactions are important pathways of energy and matter fluxes in food webs and are commonly quantified using stable isotopes of carbon (delta C-13) and nitrogen (delta N-15). An important prerequisite for this approach is knowledge on the isotopic difference between consumer and resource (trophic discrimination, Delta C-13 and Delta N-15). The range and mechanism causing variation of trophic discrimination factors remain unclear. 2. We conducted a controlled feeding experiment with 13 freshwater benthic invertebrate taxa fed with six resources to test if the C:N, C:P and N:P ratios of consumer, resources and consumer-resource imbalances are significant predictors of Delta C-13 and Delta N-15. We compiled the available literature on discrimination factors for aquatic invertebrates from controlled feeding experiments and field studies to compare the variation in trophic discrimination. 3. Molar C:N and C:P ratios of resources as well as consumer-resource imbalances of C:N were significantly related to Delta C-13 and explained more than 40% of variation of Delta C-13, respectively. Resource %N was unrelated to Delta N-15, but consumer N:P explained 20% of variation of Delta N-15. 4. Our data taken together with the literature compilation provide a mean Delta C-13 of 0.1 parts per thousand (SD = 2.2, N = 157) and a mean Delta N-15 of 2.6 parts per thousand (SD = 2.0, N = 155) for aquatic invertebrates to be used in mixing model analysis for estimating dietary proportions. 5. Our study bridges the currently separated disciplines of stable isotope discrimination and ecological stoichiometry and shows that resource C:N:P and consumer-resource imbalances are powerful predictors of invertebrate trophic discrimination. Including these stoichiometric predictors into stable isotope mixing models may improve the estimates of the contribution of organic matter sources to the diet of invertebrate consumers. The overall discrimination factors for aquatic invertebrates derived from this study may help to produce precise estimates in trophic ecology if taxon-specific discrimination factors are unavailable.</t>
  </si>
  <si>
    <t>10.1111/fwb.13129</t>
  </si>
  <si>
    <t>Hsueh, YH; Chambers, JL; Krauss, KW; Allen, ST; Keim, RF</t>
  </si>
  <si>
    <t>Hydrologic exchanges and baldcypress water use on deltaic hummocks, Louisiana, USA</t>
  </si>
  <si>
    <t>tidal wetland; coastal swamp; Taxodium distichum; saline flooding; water use; microtopography; sea-level rise</t>
  </si>
  <si>
    <t>STABLE-ISOTOPE ANALYSIS; TAXODIUM-DISTICHUM SEEDLINGS; RATIO INFRARED-SPECTROSCOPY; SOIL REDOX CONDITIONS; FRESH-WATER; SOUTH-CAROLINA; COASTAL LOUISIANA; FLOOD-TOLERANT; ROOT PRODUCTIVITY; FORESTED WETLANDS</t>
  </si>
  <si>
    <t>Coastal forested hummocks support clusters of trees in the saltwater-freshwater transition zone. To examine how hummocks support trees in mesohaline sites that are beyond physiological limits of the trees, we used salinity and stable isotopes (H-2 and O-18) of water as tracers to understand water fluxes in hummocks and uptake by baldcypress (Taxodium distichum (L.) Rich.), which is the most abundant tree species in coastal freshwater forests of the southeastern U.S. Hummocks were always partially submerged and were completely submerged 1 to 8% of the time during the two studied growing seasons, in association with high water in the estuary. Salinity, delta O-18, and delta H-2 varied more in the shallow open water than in groundwater. Surface water and shallow groundwater were similar to throughfall in isotopic composition, which suggested dominance by rainfall. Salinity of groundwater in hummocks increased with depth, was higher than in swales, and fluctuated little over time. Isotopic composition of xylem water in baldcypress was similar to the vadose zone and unlike other measured sources, indicating that trees preferentially use unsaturated hummock tops as refugia from higher salinity and saturated soil in swales and the lower portions of hummocks. Sustained upward gradients of salinity from groundwater to surface water and vadose water, and low variation in groundwater salinity and isotopic composition, suggested long residence time, limited exchange with surface water, and that the shallow subsurface of hummocks is characterized by episodic salinization and slow dilution. Copyright (C) 2016 John Wiley &amp; Sons, Ltd.</t>
  </si>
  <si>
    <t>10.1002/eco.1738</t>
  </si>
  <si>
    <t>Bucher, SF; Konig, P; Menzel, A; Migliavacca, M; Ewald, J; Romermann, C</t>
  </si>
  <si>
    <t>Traits and climate are associated with first flowering day in herbaceous species along elevational gradients</t>
  </si>
  <si>
    <t>altitude; carbon isotope discrimination (C-13); leaf nutrients; phenology; specific leaf area; stomatal pore area index</t>
  </si>
  <si>
    <t>PLANT FUNCTIONAL TRAITS; INTRASPECIFIC VARIATION; PHENOLOGICAL RESPONSE; LEAF PHENOLOGY; TEMPERATURE; DORMANCY; TIME; PHOTOSYNTHESIS; PRECIPITATION; SENSITIVITY</t>
  </si>
  <si>
    <t>Phenological responses to changing temperatures are known as fingerprints of climate change, yet these reactions are highly species specific. To assess whether different plant characteristics are related to these species-specific responses in flowering phenology, we observed the first flowering day (FFD) of ten herbaceous species along two elevational gradients, representing temperature gradients. On the same populations, we measured traits being associated with (1) plant performance (specific leaf area), (2) leaf biochemistry (leaf C, N, P, K, and Mg content), and (3) water-use efficiency (stomatal pore area index and stable carbon isotopes concentration). We found that as elevation increased, FFD was delayed for all species with a highly species-specific rate. Populations at higher elevations needed less temperature accumulation to start flowering than populations of the same species at lower elevations. Surprisingly, traits explained a higher proportion of variance in the phenological data than elevation. Earlier flowering was associated with higher water-use efficiency, higher leaf C, and lower leaf P content. In addition to that, the intensity of shifts in FFD was related to leaf N and K. These results propose that traits have a high potential in explaining phenological variations, which even surpassed the effect of temperature changes in our study. Therefore, they have a high potential to be included in future analyses studying the effects of climate change and will help to improve predictions of vegetation changes.</t>
  </si>
  <si>
    <t>10.1002/ece3.3720</t>
  </si>
  <si>
    <t>Yurkowski, DJ; Brown, TA; Blanchfield, PJ; Ferguson, SH</t>
  </si>
  <si>
    <t>Atlantic walrus signal latitudinal differences in the long-term decline of sea ice-derived carbon to benthic fauna in the Canadian Arctic</t>
  </si>
  <si>
    <t>carbon source; compound-specific stable isotope analysis of amino acids; lipid biomarker; marine mammal; phytoplankton; sea ice algae</t>
  </si>
  <si>
    <t>NITROGEN ISOTOPIC COMPOSITION; ODOBENUS-ROSMARUS-ROSMARUS; FOOD-WEB STRUCTURE; AMINO-ACIDS; H-PRINT; TROPHIC RELATIONSHIPS; CHUKCHI SEAS; FRACTIONATION; PHYTOPLANKTON; BIOMARKER</t>
  </si>
  <si>
    <t>Climate change is altering the biogeochemical and physical characteristics of the Arctic marine environment, which impacts sea ice algal and phytoplankton bloom dynamics and the vertical transport of these carbon sources to benthic communities. Little is known about whether the contribution of sea ice-derived carbon to benthic fauna and nitrogen cycling has changed over multiple decades in concert with receding sea ice. We combined compound-specific stable isotope analysis of amino acids with highly branched isoprenoid diatom lipid biomarkers using archived (1982-2016) tissue of benthivorous Atlantic walrus to examine temporal trends of sea ice-derived carbon, nitrogen isotope baseline and trophic position of Atlantic walrus at high- and mid-latitudes in the Canadian Arctic. Associated with an 18% sea ice decline in the mid-Arctic, sea ice-derived carbon contribution to Atlantic walrus decreased by 75% suggesting a strong decoupling of sea ice-benthic habitats. By contrast, a nearly exclusive amount of sea ice-derived carbon was maintained in high-Arctic Atlantic walrus (98% in 1996 and 89% in 2006) despite a similar percentage in sea ice reduction. Nitrogen isotope baseline or the trophic position of Atlantic walrus did not change over time at either location. These findings indicate latitudinal differences in the restructuring of carbon energy sources used by Atlantic walrus and their benthic prey, and in turn a change in Arctic marine ecosystem functioning between sea ice-pelagic-benthic habitats.</t>
  </si>
  <si>
    <t>10.1098/rspb.2020.2126</t>
  </si>
  <si>
    <t>Verstijnen, YJM; Lucassen, ECHET; Gaag, MD; Wagenvoort, AJ; Castelijns, H; Ketelaars, HAM; van der Velde, G; Smolders, AJP</t>
  </si>
  <si>
    <t>Trophic relationships in Dutch reservoirs recently invaded by Ponto-Caspian species: insights from fish trends and stable isotope analysis</t>
  </si>
  <si>
    <t>food web; mixing model; Biesbosch reservoirs; delta C-13 &amp; delta N-15; quagga mussel; round goby; ruffe</t>
  </si>
  <si>
    <t>GOBY NEOGOBIUS-MELANOSTOMUS; RUFFE GYMNOCEPHALUS-CERNUUS; INVASIVE ROUND GOBY; ZEBRA MUSSELS; DREISSENA-POLYMORPHA; APOLLONIA-MELANOSTOMA; QUAGGA MUSSELS; HABITAT USE; FOOD WEBS; DIET</t>
  </si>
  <si>
    <t>Invasive species can directly or indirectly alter (a)biotic characteristics of ecosystems, resulting in changing energy flows through the food web. This can potentially affect bottom-up or top-down control on resident species. The food web structure in the Biesbosch reservoirs (The Netherlands) was examined after recent invasions of the quagga mussel ( Dreissena rostriformis bugensis) and round goby (Neogobius melanostomus), by means of stable isotope analysis. Quagga mussels reached relatively high densities after invasion, replacing the zebra mussel (D. polymorpha). The delta C-13 signatures in the food web showed two distinct basic signatures of primary producers: 1) phytoplankton and Elodea nuttallii, and 2) more enriched submerged macrophytes (i.e. Potamogeton sp.). Quagga mussel was found to rely on zooplankton and phytoplankton. Mussel detritus seemed to be of importance for the gammarid Dikerogammarus spp. (both D. villosus and D. haemobaphes). delta N-15 as a proxy for trophic level revealed that the largest specimens of ruffe (Gymnocephalus cernuus), pike-perch (Sander lucioperca) and perch (Perca fluviatilis) formed the top of the food chain. A stable isotope mixing model estimated that 43% of round goby diet consisted of Dikerogammarus spp. and approximately 27% of quagga mussels. Ruffe diet consisted of 29% of quagga mussels and only 12% of Dikerogammarus sp. Quagga mussels were less important as a food source for round goby than often has been described. Besides being a food source, mussel beds also provide a suitable habitat for macroinvertebrates (i.e. Dikerogammarus spp.). The invasive round goby and native ruffe seemed to compete for food in the benthic zone, where round goby possibly forced ruffe to use less nutritive or favourable food sources. Likely, this has contributed to the decline in ruffe abundance after the invasion of the highly competitive round goby. The altered and recent new links between species have changed the food web. The successful invasion in the reservoirs by the benthic invaders - quagga mussel and round goby - changed the benthic-pelagic coupling and has most likely increased the importance of the benthic food web in these reservoirs.</t>
  </si>
  <si>
    <t>10.3391/ai.2019.14.2.08</t>
  </si>
  <si>
    <t>Seeley, ME; Walther, BD</t>
  </si>
  <si>
    <t>Facultative oligohaline habitat use in a mobile fish inferred from scale chemistry</t>
  </si>
  <si>
    <t>Migration; Scales; Elements; Stable isotopes; Megalops atlanticus; Contingents</t>
  </si>
  <si>
    <t>TARPON MEGALOPS-ATLANTICUS; STABLE-ISOTOPE SIGNATURES; OTOLITH CHEMISTRY; BIOGEOCHEMICAL TAGS; ELEMENTAL ANALYSIS; TRACE-ELEMENTS; ICP-MS; MIGRATION; DYNAMICS; HISTORY</t>
  </si>
  <si>
    <t>Reconstructing fish movements is critical to understand the diversity of habitats required to sustain mobile species. Chemical constituents in otoliths have been invaluable for the field of fish migration ecology to track natal origins and reconstruct lifetime movement patterns. However, alternative non-lethal structures, such as scales, are preferred for imperiled species to avoid mortality. We analyzed 29 individual scales from highly migratory and vulnerable Atlantic tarpon Megalops atlanticus (hereafter referred to as tarpon) in the Gulf of Mexico to identify migrations across salinity gradients and associated trophic shifts using paired measurements of elemental (Sr/Ca) and isotopic (delta C-13 and delta N-15) proxies. Although tarpon can inhabit freshwater, the specific patterns of facultative oligohaline habitat use are unknown. Individual scale-based salinity and diet histories were highly variable, with 4 contingents identified depending on the presence and sequence of movements. Scale salinity proxies (Sr/Ca and delta C-13) indicated that tarpon spent on average 42 +/- 34% of their scale-based life histories within oligohaline habitats. Trans haline movements were accompanied by shifts in delta N-15 that indicated putative trophic shifts between marine or estuarine and oligohaline food webs. Oligohaline habitat use is common yet individually facultative for tarpon. This information is critical to devise sustainable fisheries management plans that account for the full range of diverse habitats used by this species throughout its life. Chemical analyses of scales have the potential to be broadly informative about migrations and trophic interactions in species where lethal methods must be avoided.</t>
  </si>
  <si>
    <t>10.3354/meps12223</t>
  </si>
  <si>
    <t>Copeman, LA; Parrish, CC; Gregory, RS; Jamieson, RE; Wells, J; Whiticar, MJ</t>
  </si>
  <si>
    <t>Fatty acid biomarkers in coldwater eelgrass meadows: elevated terrestrial input to the food web of age-0 Atlantic cod Gadus morhua</t>
  </si>
  <si>
    <t>Juvenile Atlantic cod; Eelgrass; Fatty acids; Lipid classes; Stable isotopes; Terrestrial input</t>
  </si>
  <si>
    <t>HERRING CLUPEA-HARENGUS; ZOSTERA-MARINA BED; LIPID CLASS; SETTLING MATTER; PARTICULATE MATTER; ORGANIC-MATTER; STABLE-ISOTOPE; JUVENILE COD; SPRING BLOOM; TRINITY BAY</t>
  </si>
  <si>
    <t>Lipid classes, fatty acids (FAs), and stable carbon isotopes of FAs were used to investigate dietary sources of organic carbon for juvenile Atlantic cod Gadus morhua during settlement into eelgrass Zostera marina. Primary producers, epibenthic prey, zooplankton, and fish were collected from August to November 2002 in shallow (&lt; 10 m) eelgrass in Bonavista Bay, Newfoundland, Canada. Lipid data indicated that zooplankton (&gt; 80 pm) were associated with fresh organic material, while seston (5-80 pm) had high levels of bacterial FA and non-acyl lipids, typical of sedimentary material. Zooplankton, mysids, and amphipods showed a seasonal decrease in 22:6n-3 with a concomitant increased in the ubiquitous terrestrial indicators 18:2n-3 and 18:3n-3. Based on essential FA composition of prey, there was a decrease in the quality of food available to juvenile fish from August until November. Earlier (August) pelagic juveniles had higher levels of marine-sourced FA (22:6n-3) than late (November) arrivers. Further, in October and November settled juveniles had higher proportions of terrestrial FA biomarkers than pelagic cod, indicating an increased dietary terrestrial input at settlement. Isotopic evidence demonstrated that eelgrass was the most enriched (-14 parts per thousand) source of organic carbon and supported multivariate FA analysis, confirming that eelgrass was not incorporated into the food web of juvenile cod. Increased terrestrial input of organic carbon coupled with low proportions of dietary essential FAs indicate that the functional significance of this habitat is refuge and not nutrition.</t>
  </si>
  <si>
    <t>10.3354/meps08063</t>
  </si>
  <si>
    <t>Yasuno, N; Chiba, Y; Shindo, K; Fujimoto, Y; Shimada, T; Shikano, S; Kikuchi, E</t>
  </si>
  <si>
    <t>Size-dependent ontogenetic diet shifts to piscivory documented from stable isotope analyses in an introduced population of largemouth bass</t>
  </si>
  <si>
    <t>Largemouth bass; Ontogenetic diet shifts; Piscivory; Stable isotope; Introduced fish; Length frequency analysis</t>
  </si>
  <si>
    <t>NICHE SHIFTS; GROWTH; DELTA-C-13; LAKE; RECRUITMENT; BLUEGILL; PREDATOR; FISHES; PREY</t>
  </si>
  <si>
    <t>Piscivorous largemouth bass (Micropterus salmoides) have been introduced in several regions outside of their native range in North America, resulting in significant disturbance to native fish communities. This species exhibits an ontogenetic diet shift from zooplanktivory to piscivory as juveniles. An early switch to piscivory allows 0+ bass to increase their growth rate prior to winter, resulting in reduced mortality. However, little is known about the dietary switch at the population level during the first year. We used carbon stable isotope analyses to examine the diets of age 0+ individuals in Lake Izunuma, Japan. The onset of the shift to piscivory occurred at a smaller size than in native or other non-native areas [&gt; 40 mm total length (TL)]. We found a positive correlation between TL and delta C-13 throughout summer and autumn. Small individuals had delta C-13 values that were similar to those of zooplankton, whereas large individuals had delta C-13 values that were similar to those of cyprinid prey species. This suggests that the smaller 0+ individuals remain zooplanktivorous until late autumn, whereas the larger individuals shift to piscivory as early as June, soon after the breeding season ends. Our results also suggest that a significant number of 0+ bass failed to switch to piscivory until the winter of their first year, despite the smaller size threshold for the onset of piscivory.</t>
  </si>
  <si>
    <t>10.1007/s10641-011-9911-2</t>
  </si>
  <si>
    <t>Divine, D; Isaksson, E; Martma, T; Meijer, HAJ; Moore, J; Pohjola, V; van de Wal, RSW; Godtliebsen, F</t>
  </si>
  <si>
    <t>Thousand years of winter surface air temperature variations in Svalbard and northern Norway reconstructed from ice-core data</t>
  </si>
  <si>
    <t>Palaeoclimatology; late Holocene; winter temperature; regional climate; stable water isotopes; palaeoreconstruction</t>
  </si>
  <si>
    <t>DELTA-O-18 RECORDS; ISOTOPIC SIGNALS; NORDIC SEAS; CLIMATE; LOMONOSOVFONNA; VARIABILITY; PRECIPITATION; WATER; ACCUMULATION; HEMISPHERE</t>
  </si>
  <si>
    <t>Two isotopic ice core records from western Svalbard are calibrated to reconstruct more than 1000 years of past winter surface air temperature variations in Longyearbyen, Svalbard, and Vardo, northern Norway. Analysis of the derived reconstructions suggests that the climate evolution of the last millennium in these study areas comprises three major sub-periods. The cooling stage in Svalbard (ca. 800-1800) is characterized by a progressive winter cooling of approximately 0.9 degrees C century(-1) (0.38 degrees C century(-1) for Vardo) and a lack of distinct signs of abrupt climate transitions. This makes it difficult to associate the onset of the Little Ice Age in Svalbard with any particular time period. During the 1800s, which according to our results was the coldest century in Svalbard, the winter cooling associated with the Little Ice Age was on the order of 4 degrees C (1.3 degrees C for Vardo) compared to the 1900s. The rapid warming that commenced at the beginning of the 20th century was accompanied by a parallel decline in sea-ice extent in the study area. However, both the reconstructed winter temperatures as well as indirect indicators of summer temperatures suggest the Medieval period before the 1200s was at least as warm as at the end of the 1990s in Svalbard.</t>
  </si>
  <si>
    <t>10.3402/polar.v30i0.7379</t>
  </si>
  <si>
    <t>Suzuki, Y; Ikemoto, M; Yokoi, T</t>
  </si>
  <si>
    <t>The ontogenetic dietary shift from non-dangerous to dangerous prey in predator-eating predators under capture risk</t>
  </si>
  <si>
    <t>dietary specialist; natural diet; ontogeny; prey-capturing traits; prey-predator size relationship</t>
  </si>
  <si>
    <t>JUMPING SPIDER ARANEAE; PORTIA-FIMBRIATA; BODY-SIZE; GENERALIST PREDATOR; FORAGING BEHAVIOR; GROWTH; SPECIALIZATION; COLEOPTERA; SALTICIDAE; EVOLUTION</t>
  </si>
  <si>
    <t>Evaluating the patterns and generality of ontogenetic dietary shifts (ODSs) contributes to understanding prey-predator interactions and food web dynamics. Numerous studies have focused on predators that target distinctively lower trophic-level organisms. However, the ODS of predators that routinely prey on organisms at similar trophic levels (i.e., predator-eating predators) have been neglected in ODS research. The ODS patterns of predator eaters may not fit into conventional frameworks owing to constraints of potential capture risk (e.g., deadly counterattack from prey) and body size. We aimed to reveal the ODS patterns of predator eaters and determine whether the patterns were affected by body size and capture risk. Assuming that capture risk is a significant factor in ODS patterns, we expected: (1) juvenile araneophagic spiders to forage on non-dangerous prey (insects) and capture larger non-dangerous prey more frequently than dangerous prey (spiders); and (2) as they grow, their prey types will shift from non-dangerous to dangerous prey because larger predators will be able to capture dangerous prey as the optimal food. As a result of field observations, we revealed that the major ODS pattern in these spiders changed from a mixed (both insect and spider) to a spider-dominant diet. The model selection approach showed that this diet shift was partly due to predator size, and the relative importance of predator size was higher than the life stage per se and almost equal to species identity. In these spiders, the body size of spider prey tended to be smaller than that of insects when the predators were small, suggesting that capture risk may be a critical factor in determining the ODS patterns of these predators. Therefore, our study adds to the evidence that the capture risk is crucial in comprehensively understanding the mechanisms determining ODS patterns in natural systems.</t>
  </si>
  <si>
    <t>e9609</t>
  </si>
  <si>
    <t>10.1002/ece3.9609</t>
  </si>
  <si>
    <t>Clement, LW; Koppen, SCW; Brand, WA; Heil, M</t>
  </si>
  <si>
    <t>Strategies of a parasite of the ant-Acacia mutualism</t>
  </si>
  <si>
    <t>BEHAVIORAL ECOLOGY AND SOCIOBIOLOGY</t>
  </si>
  <si>
    <t>Acacia; ant-plant interaction; mutualism; parasitism; stable isotopes</t>
  </si>
  <si>
    <t>PLANT MUTUALISM; STABLE-ISOTOPES; CREMATOGASTER-BORNEENSIS; HOST SANCTIONS; FOOD BODIES; PARTNER; MYRMECOPHYTE; ASSOCIATION; CASTRATION; PROTECTION</t>
  </si>
  <si>
    <t>Mutualisms can be exploited by parasites-species that obtain resources from a partner but provide no services. Though the stability of mutualisms in the presence of such parasites is under intensive investigation, we have little information on life history traits that allow a species to be a successful mutualist or rather a parasite, particularly in cases where both are closely related. We studied the exploitation of Acacia myrmecophytes by the ant, Pseudomyrmex gracilis, contrasting with the mutualistic ant Pseudomyrmex ferrugineus. P. gracilis showed no host-defending behavior and had a negative effect on plant growth. By preventing the mutualist from colonization, P. gracilis imposes opportunity costs on the host plant. P. gracilis produced smaller colonies with a higher proportion of alates than did the mutualist and thus showed an r-like strategy. This appears to be possible because P. gracilis relies less on host-derived food resources than does the mutualist, as shown by behavioral and stable isotope studies. We discuss how this system allows the identification of strategies that characterize parasites of mutualisms.</t>
  </si>
  <si>
    <t>10.1007/s00265-007-0520-1</t>
  </si>
  <si>
    <t>Cherel, Y; Parenteau, C; Bustamante, P; Bost, CA</t>
  </si>
  <si>
    <t>Stable isotopes document the winter foraging ecology of king penguins and highlight connectivity between subantarctic and Antarctic ecosystems</t>
  </si>
  <si>
    <t>diet; myctophid; prolactin; seabird; Southern Ocean</t>
  </si>
  <si>
    <t>SOUTHERN ELEPHANT SEALS; LONG-LIVED SEABIRD; APTENODYTES-PATAGONICUS; FEEDING ECOLOGY; CLIMATE-CHANGE; BLUE PETRELS; INDIVIDUAL SPECIALIZATION; DISCRIMINATION FACTORS; SYMPATRIC ALBATROSSES; POPULATION-DYNAMICS</t>
  </si>
  <si>
    <t>The poorly known winter foraging ecology of the king penguin, a major Southern Ocean consumer, was investigated at the subantarctic Crozet Islands where the largest global population breeds. Blood C-13 and N-15 values were used as proxies of the birds' foraging habitat and diet, respectively, and circulating prolactin levels helped in determining the birds' reproductive status. Plasma prolactin concentrations showed that king penguin adults of unknown breeding status (n=52) that were present at the colony in winter were in fact breeders and failed breeders, but were not non -breeders. Circulating prolactin was neither related to C-13 nor N-15 values, thus suggesting that both breeders and failed breeders used the same foraging habitats and fed on the same prey. Plasma and blood cell isotopic values depicted four new relevant biological features on the feeding strategies of king penguins during the critical winter period: (1) 42% of the birds foraged in the distant Antarctic Zone, but 58% fed primarily in subantarctic waters (C-13), (2) they preyed upon myctophids in both zones (N-15), (3) individuals were consistent in their foraging strategies over the winter months (C-13 and N-15), and (4) a higher proportion of females (77%-80%) than males (27%-31%) favored feeding in distant Antarctic waters (C-13). This study highlights trophic connectivity between subantarctic and Antarctic ecosystems and hence the key role of energy export from Antarctic waters to sustain breeding populations of subantarctic predators, including during the Austral winter.</t>
  </si>
  <si>
    <t>10.1002/ece3.3883</t>
  </si>
  <si>
    <t>Warlick, AJ; Ylitalo, GM; O'Neill, SM; Hanson, MB; Emmons, C; Ward, EJ</t>
  </si>
  <si>
    <t>Using Bayesian stable isotope mixing models and generalized additive models to resolve diet changes for fish-eating killer whales Orcinus orca</t>
  </si>
  <si>
    <t>Southern Resident killer whale; Stable isotope; Mixing model; Diet estimation; Generalized additive models; Chinook salmon; Salish Sea</t>
  </si>
  <si>
    <t>ONCORHYNCHUS-TSHAWYTSCHA; PRIOR INFORMATION; FEEDING ECOLOGY; PACIFIC SALMON; CHINOOK SALMON; FATTY-ACID; NITROGEN; CARBON; PREY; UNCERTAINTY</t>
  </si>
  <si>
    <t>Understanding diet composition is fundamental to making conservation and management decisions about depleted species, particularly when nutritional stress is a potential threat hindering recovery. Diet in free-ranging marine mammals is challenging to study, but stable isotope mixing models are a powerful means of estimating the contribution of prey species to diet and can improve precision by leveraging information from multiple data sources. We evaluated diet composition of a fish-eating killer whale population (Southern Resident killer whales, Orcinus orca) using 2 approaches. First, we fit generalized additive models to evaluate seasonal and inter-annual patterns in isotopic values across age, sex, and pod, which revealed seasonal carbon enrichment for certain pods and a recent increased nitrogen enrichment that could suggest increased Chinook salmon consumption, changing isotopic values of prey, or nutritional stress. Second, we developed a Bayesian stable isotope mixing model that accounts for the different integration times represented by bulk stable isotopes and fecal samples. Results showed that estimated prey contributions are similar between prey data sources, though the precision of estimates from periods with smaller sample sizes was improved by using an informative prior to account for the different consumption windows of the data. This study illustrates the importance of improving our understanding of how killer whale diets vary over time (both seasonally and across years) and uses a novel approach to resolve 2 sources of diet information (stable isotope, fecal samples) with different consumption windows.</t>
  </si>
  <si>
    <t>10.3354/meps13452</t>
  </si>
  <si>
    <t>Lienart, C; Feunteun, E; Miller, MJ; Aoyama, J; Mortillaro, JM; Hubas, C; Kuroki, M; Watanabe, S; Dupuy, C; Carpentier, A; Otake, T; Tsukamoto, K; Meziane, T</t>
  </si>
  <si>
    <t>Geographic variation in stable isotopic and fatty acid composition of anguilliform leptocephali and particulate organic matter in the South Pacific</t>
  </si>
  <si>
    <t>Leptocephali; Fatty acids; Stable isotopes; Biomarkers; Trophic ecology; Oceanic currents</t>
  </si>
  <si>
    <t>FOOD-WEB; TROPHIC ECOLOGY; NITROGEN ISOTOPES; FLAT ECOSYSTEM; LIPID CLASS; EEL LARVAE; MARINE; CARBON; DELTA-C-13; DELTA-N-15</t>
  </si>
  <si>
    <t>The feeding ecology of leptocephali has remained poorly understood because they apparently feed on particulate organic matter (POM), which varies in composition, and it is unclear which components of the POM they assimilate. The delta C-13 and delta N-15 stable isotope (SI) and fatty acid (FA) compositions of 3 families of leptocephali and POM were compared in 3 latitudinal current zones of the western South Pacific. The delta N-15 signatures of leptocephali and POM overlapped, with both having their lowest values in the southern current zone. POM in general (across all zones) contained 38 FAs and was rich in saturated FAs (SFA) (16: 0, 18: 0, 14: 0), while leptocephali contained 50 FAs, with high proportions of 16: 0, and higher contributions of 22:6 omega 3, 20: 5 omega 3, 18:1 omega 9, 16:1 omega 7 and other FAs than found in the POM. Serrivomeridae leptocephali in the north had higher delta N-15 signatures and were also distinguished from Nemichthyidae and Murae nidae larvae by their FA compositions (higher SFAs, lower 22: 6 omega 3 and 20: 5 omega 3). Although SI signatures of the Serrivomeridae larvae did not clearly vary with size, 16:0 and 18:0 FA proportions decreased with increasing larval size, and 22: 6 omega 3 and 16: 1 omega 7 increased in larger larvae. Correspondences between the latitudinal variations in nitrogen SI signatures and FA compositions of POM with those of leptocephali and the presence of FA markers of both autotrophic and heterotrophic organisms were consistent with leptocephali feeding on POM. POM can contain various materials from primary producers and heterotrophic microorganisms, but differences in the SI signatures and FA compositions in leptocephali remain to be explained through further research.</t>
  </si>
  <si>
    <t>10.3354/meps11575</t>
  </si>
  <si>
    <t>Fraser, D; Kim, SL; Welker, JM; Clementz, MT</t>
  </si>
  <si>
    <t>Pronghorn (Antilocapra americana) enamel phosphate delta O-18 values reflect climate seasonality: Implications for paleoclimate reconstruction</t>
  </si>
  <si>
    <t>oxygen stable isotopes; palaeoclimate; pronghorn; seasonality</t>
  </si>
  <si>
    <t>OXYGEN-ISOTOPE FRACTIONATION; MAMMALIAN TOOTH ENAMEL; STABLE-ISOTOPE; INTRA-TOOTH; MINERALIZATION PATTERN; TEMPERATURE PATTERNS; CARBON ISOTOPES; BONE PHOSPHATE; TIME-SERIES; BISON TEETH</t>
  </si>
  <si>
    <t>Stable oxygen isotope (delta O-18) compositions from vertebrate tooth enamel are widely used as biogeochemical proxies for paleoclimate. However, the utility of enamel oxygen isotope values for environmental reconstruction varies among species. Herein, we evaluate the use of stable oxygen isotope compositions from pronghorn (Antilocapra americana Gray, 1866) enamel for reconstructing paleoclimate seasonality, an elusive but important parameter for understanding past ecosystems. We serially sampled the lower third molars of recent adult pronghorn from Wyoming for delta O-18 in phosphate (delta O-18(PO4)) and compared patterns to interpolated and measured yearly variation in environmental waters as well as from sagebrush leaves, lakes, and rivers (delta O-18(w)). As expected, the oxygen isotope compositions of phosphate from pronghorn enamel are enriched in O-18 relative to environmental waters. For a more direct comparison, we converted delta O-18(w) values into expected delta O-18(PO4*) values (delta O-18(W)-(PO4*)). Pronghorn delta O-18(PO4) values from tooth enamel record nearly the full amplitude of seasonal variation from Wyoming delta O-18(W-PO4*) values. Furthermore, pronghorn enamel delta O-18(PO4) values are more similar to modeled delta O-18(W-PO4*) values from plant leaf waters than meteoric waters, suggesting that they obtain much of their water from evaporated plant waters. Collectively, our findings establish that seasonality in source water is reliably reflected in pronghorn enamel, providing the basis for exploring changes in the amplitude of seasonality of ancient climates. As a preliminary test, we sampled historical pronghorn specimens (1720 +/- 100 AD), which show a mean decrease (a shift to lower values) of 1-2 parts per thousand in delta O-18(PO4) compared to the modern specimens. They also exhibit an increase in the delta O-18 amplitude, representing an increase in seasonality. We suggest that the cooler mean annual and summer temperatures typical of the 18th century, as well as enhanced periods of drought, drove differences among the modern and historical pronghorn, further establishing pronghorn enamel as excellent sources of paleoclimate proxy data.</t>
  </si>
  <si>
    <t>10.1002/ece3.8337</t>
  </si>
  <si>
    <t>Ramirez, MD; Avens, L; Meylan, AB; Shaver, DJ; Stahl, AR; Meylan, PA; Clark, JM; Howell, LN; Stacy, BA; Teas, WG; McMahon, KW</t>
  </si>
  <si>
    <t>Dietary plasticity linked to divergent growth trajectories in a critically endangered sea turtle</t>
  </si>
  <si>
    <t>amino acid; carbon isotope fingerprinting; compound-specific isotope analysis; Eretmochelys imbricata; trophic position; somatic growth; spongivory; sponge (porifera)</t>
  </si>
  <si>
    <t>NITROGEN ISOTOPIC COMPOSITION; ERETMOCHELYS-IMBRICATA; HAWKSBILL TURTLES; AMINO-ACIDS; TROPHIC POSITION; HABITAT USE; MARINE; CARBON; PATTERNS; NICHE</t>
  </si>
  <si>
    <t>Foraging habitat selection and diet quality are key factors that influence individual fitness and meta-population dynamics through effects on demographic rates. There is growing evidence that sea turtles exhibit regional differences in somatic growth linked to alternative dispersal patterns during the oceanic life stage. Yet, the role of habitat quality and diet in shaping somatic growth rates is poorly understood. Here, we evaluate whether diet variation is linked to regional growth variation in hawksbill sea turtles (Eretmochelys imbricata), which grow significantly slower in Texas, United States versus Florida, United States, through novel integrations of skeletal growth, gastrointestinal content (GI), and bulk tissue and amino acid (AA)-specific stable nitrogen (delta N-15) and carbon (delta C-13) isotope analyses. We also used AA delta N-15 sigma V values (heterotrophic bacterial re-synthesis index) and delta C-13 essential AA (delta C-13(EAA)) fingerprinting to test assumptions about the energy sources fueling hawksbill food webs regionally. GI content analyses, framed within a global synthesis of hawksbill dietary plasticity, revealed that relatively fast-growing hawksbills stranded in Florida conformed with assumptions of extensive spongivory for this species. In contrast, relatively slow-growing hawksbills stranded in Texas consumed considerable amounts of non-sponge invertebrate prey and appear to forage higher in the food web as indicated by isotopic niche metrics and higher AA delta N-15-based trophic position estimates internally indexed to baseline nitrogen isotope variation. However, regional differences in estimated trophic position may also be driven by unique isotope dynamics of sponge food webs. AA delta N-15 sigma V values and delta C-13(EAA) fingerprinting indicated minimal bacterial re-synthesis of organic matter (sigma V &lt; 2) and that eukaryotic microalgae were the primary energy source supporting hawksbill food webs. These findings run contrary to assumptions that hawksbill diets predominantly comprise high microbial abundance sponges expected to primarily derive energy from bacterial symbionts. Our findings suggest alternative foraging patterns could underlie regional variation in hawksbill growth rates, as divergence from typical sponge prey might correspond with increased energy expenditure and reduced foraging success or diet quality. As a result, differential dispersal patterns may infer substantial individual and population fitness costs and represent a previously unrecognized challenge to the persistence and recovery of this critically endangered species.</t>
  </si>
  <si>
    <t>10.3389/fevo.2023.1050582</t>
  </si>
  <si>
    <t>Telsnig, JID; Jennings, S; Mill, AC; Walker, ND; Parnell, AC; Polunin, NVC</t>
  </si>
  <si>
    <t>Estimating contributions of pelagic and benthic pathways to consumer production in coupled marine food webs</t>
  </si>
  <si>
    <t>Bayesian mixing model; benthic-pelagic coupling; fish; food webs; marine ecosystems; stable isotope analysis</t>
  </si>
  <si>
    <t>ORGANIC-CARBON FLUX; STABLE-ISOTOPES; BODY-SIZE; CONTINENTAL-SHELF; MYTILUS-EDULIS; PREY SIZE; FISH; COMMUNITY; ECOSYSTEM; FRACTIONATION</t>
  </si>
  <si>
    <t>Pelagic and benthic systems usually interact, but their dynamics and production rates differ. Such differences influence the distribution, reproductive cycles, growth rates, stability and productivity of the consumers they support. Consumer preferences for, and dependence on, pelagic or benthic production are governed by the availability of these sources of production and consumer life history, distribution, habitat, behavioural ecology, ontogenetic stage and morphology. Diet studies may demonstrate the extent to which consumers feed on prey in pelagic or benthic environments. But they do not discriminate benthic production directly supported by phytoplankton from benthic production recycled through detrital pathways. The former will track the dynamics of phytoplankton production more closely than the latter. We develop and apply a new analytical method that uses carbon (C) and sulphur (S) natural abundance stable isotope data to assess the relative contribution of pelagic and benthic pathways to fish consumer production. For 13 species of fish that dominate community biomass in the northern North Sea (estimated &gt;90% of total biomass), relative modal use of pelagic pathways ranged from 85%. Use of both C and S isotopes as opposed to just C reduced uncertainty in relative modal use estimates. Temporal comparisons of relative modal use of pelagic and benthic pathways revealed similar ranking of species dependency over 4 years, but annual variation in relative modal use within species was typically 10%-40%. For the total fish consumer biomass in the study region, the C and S method linked approximately 70% and 30% of biomass to pelagic and benthic pathways, respectively. As well as providing a new method to define consumers' links to pelagic and benthic pathways, our results demonstrate that a substantial proportion of fish biomass, and by inference production, in the northern North Sea is supported by production that has passed through transformations on the seabed.</t>
  </si>
  <si>
    <t>10.1111/1365-2656.12929</t>
  </si>
  <si>
    <t>Stricker, CA; Christ, AM; Wunder, MB; Doll, AC; Farley, SD; Rea, LD; Rosen, DAS; Scherer, RD; Tollit, DJ</t>
  </si>
  <si>
    <t>Stable carbon and nitrogen isotope trophic enrichment factors for Steller sea lion vibrissae relative to milk and fish/invertebrate diets</t>
  </si>
  <si>
    <t>Pinniped; Stable isotopes; Fractionation; Diet; Vibrissae</t>
  </si>
  <si>
    <t>NORTHERN FUR SEALS; EUMETOPIAS-JUBATUS; POPULATION DECLINE; DISCRIMINATION FACTORS; FORAGING STRATEGIES; PHOCA-VITULINA; GREEN TURTLES; GROWTH-RATES; ALASKA; FRACTIONATION</t>
  </si>
  <si>
    <t>Nutritional constraints have been proposed as a contributor to population declines in the endangered Steller sea lion Eumetopias jubatus in some regions of the North Pacific. Isotopic analysis of vibrissae (whiskers) is a potentially useful approach to resolving the nutritional ecology of this species because long-term (up to 8 yr) dietary information is sequentially recorded and metabolically inert once formed. Additionally, vibrissae are grown in utero, potentially offering indirect inference on maternal diet. However, diet reconstruction using isotopic techniques requires a priori knowledge of trophic enrichment factors (TEFs), which can vary relative to diet quality and among animal species. In this study, we provide new TEF estimates for (1) maternal relative to pup vibrissae during both gestation and nursing and (2) adult vibrissae relative to a complex diet. Further, we refine vibrissa-milk TEFs based on an additional 76 animals with an age distribution ranging from 1 to 20 mo. Mother-pup vibrissae TEF values during gestation and nursing were near zero for delta C-13 and averaged 0.8 and 1.6%, respectively, for delta N-15. In contrast, vibrissa-fish/invertebrate TEFs averaged 3.3 (+/- 0.3 SD) and 3.7% (+/- 0.3) for lipid-free delta C-13 and delta N-15, respectively. Average lipid-free d(13)C and d(15)N vibrissa-milk TEFs were 2.5 (+/- 0.9) and 1.8% (+/- 0.8), respectively, and did not differ among metapopulations. Empirically determined TEFs are critical for accurate retrospective diet modeling, particularly for evaluating the hypothesis of nutritional deficiency contributing to the lack of Steller sea lion population recovery in some regions of Alaska.</t>
  </si>
  <si>
    <t>10.3354/meps11205</t>
  </si>
  <si>
    <t>Naya, DE; Bozinovic, F</t>
  </si>
  <si>
    <t>Metabolic scope of fish species increases with distributional range</t>
  </si>
  <si>
    <t>climatic variability hypothesis; macrophysiology; metabolic rate; phenotypic plasticity; physiological flexibility</t>
  </si>
  <si>
    <t>CLIMATE-CHANGE; THERMAL TOLERANCE; PHENOTYPIC PLASTICITY; MOUNTAIN PASSES; VARIABILITY; LATITUDE; ACCLIMATION; FLEXIBILITY; DROSOPHILA; RESPONSES</t>
  </si>
  <si>
    <t>Background: Current models aimed at predicting the effect of climate change on future species distributions assume that all populations of a species are an undifferentiated collection of individuals with each individual having a tolerance range equal to that of the entire species. This assumption overestimates a species' ability to cope with climate change, but data to support better models are available only for a few species with commercial value. An alternative to detailed studies of intra-specific variation in plasticity is to identify global patterns in phenotypic plasticity. One such pattern may be the climatic variability hypothesis (CVH), which states that physiological flexibility should increase with climatic variability, and thus with latitude. Goal: Evaluate the latitudinal pattern predicted by the climatic variability hypothesis. Definitions: Routine metabolic rate (RMR) is the daily metabolic rate of an individual. Standard metabolic rate (SMR) is the minimum metabolic rate needed to sustain life processes at a given temperature. (Typically, RMR is nearly twice SMR.) Let metabolic scope (i.e. RMR SMR) be a measure of physiological flexibility (see Naya et aL, 2012). Methods: Download mass- and temperature-independent SMR and RMR for 38 fish species from the Fish Base. Regress the metabolic scope of species against their body length, trophic position, distributional mid-point, distributional range, maximum depth, environmental temperatures, and thermal range within the distributional area. Results: Metabolic scope was positively correlated with species' distributional range and marginally correlated with the thermal range within species' distributional area. Conclusion: Given the pattern of variation in climatic variability with latitude in aquatic ecosystems, we expected that physiological flexibility in aquatic organisms should be closely related with species' distributional range rather than with latitudinal distributional mid-point, as was indeed the case for metabolic scope.</t>
  </si>
  <si>
    <t>Erdozain, M; Kidd, KA; Emilson, EJS; Capell, SS; Kreutzweiser, DP; Gray, MA</t>
  </si>
  <si>
    <t>Elevated Allochthony in Stream Food Webs as a Result of Longitudinal Cumulative Effects of Forest Management</t>
  </si>
  <si>
    <t>algae; autochthony; benthic macroinvertebrates; cumulative effect; forest harvesting; longitudinal trend; sculpin; stable isotope analysis</t>
  </si>
  <si>
    <t>STABLE-ISOTOPES; TERRESTRIAL SUBSIDIES; VARYING INTENSITIES; TROPHIC POSITION; SPATIAL SCALES; CARBON; DELTA-N-15; RESOURCES; IMPACTS; FRACTIONATION</t>
  </si>
  <si>
    <t>The river continuum concept (RCC) predicts a downstream shift in the reliance of aquatic consumers from terrestrial to aquatic carbon sources, but this concept has rarely been assessed with longitudinal studies. Similarly, there are no studies addressing how forestry related disturbances to the structure of headwater food webs manifest (accumulate/dissipate) downstream and/or whether forest management alters natural longitudinal trends predicted by the RCC. Using stable isotopes of carbon, nitrogen and hydrogen, we investigated how: 1) autochthony in macroinvertebrates and fish change from small streams to larger downstream sites within a basin with minimal forest management (New Brunswick, Canada); 2) longitudinal trends in autochthony and food web length compare among three basins with different forest management intensity [intensive (harvest and replanting), extensive (harvest only), minimal] to detect potential cumulative/dissipative effects; and 3) forest management intensity and other catchment variables are influencing food web dynamics. We showed that, as predicted, the reliance of some macroinvertebrate taxa (especially collector feeders) on algae increased from small streams to downstream waters in the minimally managed basin, but that autochthony in the smallest shaded stream was higher than expected based on the RCC (as high as 90% for some taxa). However, this longitudinal increase in autochthony was not observed within the extensively managed basin and was weaker within the intensively managed one, suggesting that forest management can alter food web dynamics along the river continuum. The dampening of downstream autochthony indicates that the increased allochthony observed in small streams in response to forest harvesting cumulates downstream through the river continuum.</t>
  </si>
  <si>
    <t>10.1007/s10021-021-00717-6</t>
  </si>
  <si>
    <t>Rochat, EC; Paterson, RA; Blasco-Costa, I; Power, M; Adams, CE; Greer, R; Knudsen, R</t>
  </si>
  <si>
    <t>Temporal stability of polymorphic Arctic charr parasite communities reflects sustained divergent trophic niches</t>
  </si>
  <si>
    <t>introduced species; Salvelinus alpinus; Scotland; stable isotopes; trophically transmitted parasites</t>
  </si>
  <si>
    <t>TROUT SALMO-TRUTTA; SALVELINUS-ALPINUS L.; ECOLOGICALLY DISTINCT FORMS; CARP CARASSIUS-CARASSIUS; STABLE-ISOTOPE ANALYSIS; FRESH-WATER ECOSYSTEMS; BROWN TROUT; CLIMATE-CHANGE; LOCH RANNOCH; HELMINTH COMMUNITIES</t>
  </si>
  <si>
    <t>Polymorphic Arctic charr Salvelinus alpinus populations frequently display distinct differences in habitat use, diet, and parasite communities. Changes to the relative species densities and composition of the wider fish community have the potential to alter the habitat niche of sympatric Arctic charr populations. This study evaluated the temporal stability of the parasite community, diet, and stable isotopes (delta C-13, delta N-15) of three sympatric Arctic charr morphs (piscivore, benthivore, and planktivore) from Loch Rannoch, Scotland, in relation to changes to the fish community. All Arctic charr morphs displayed distinct differences in parasite communities, diet, and stable isotope signatures over time, despite the establishment of four new trophically transmitted parasite taxa, and increased fish and zooplankton consumption by the piscivorous and planktivore morphs, respectively. Native parasite prevalence also increased in all Arctic charr morphs. Overall, Loch Rannoch polymorphic Arctic charr morph populations have maintained their distinct trophic niches and parasite communities through time despite changes in the fish community. This result indicates that re-stocking a native fish species has the potential to induce shifts in the parasite community and diet of Arctic charr morphs.</t>
  </si>
  <si>
    <t>e9460</t>
  </si>
  <si>
    <t>10.1002/ece3.9460</t>
  </si>
  <si>
    <t>Guest, MA; Connolly, RM</t>
  </si>
  <si>
    <t>Movement of carbon among estuarine habitats: the influence of saltmarsh patch size</t>
  </si>
  <si>
    <t>landscape ecology; trophic ecology; stable isotopes; Avicennia marina; Crustacea</t>
  </si>
  <si>
    <t>TROPHIC IMPORTANCE; EPIPHYTIC ALGAE; STABLE-ISOTOPES; FIDDLER-CRABS; SEAGRASS; FRAGMENTATION; ASSIMILATION; SCALE; INVERTEBRATES; COMMUNITIES</t>
  </si>
  <si>
    <t>We used carbon stable isotopes to examine the influence of the size of saltmarsh patches on the trophic contribution of saltmarsh grass and mangroves to 2 species of resident crabs (Parasesarma erythrodactyla and Australoplax tridentata). Crabs were collected at different distances across the s altmarsh -mangrove interface at each of 10 saltmarshes of different sizes (0.01 to 8.10 ha) adjacent to mangrove forests (each &gt; 4 ha). The delta C-13 values of crabs at all 10 marshes fitted a sigmoidal curve, with rapidly changing VC values across the saltmarsh-mangrove interface (the transition zone). The size of saltmarsh patches had a significant effect on 8 13C values of P. erythrodactyla collected in the saltmarsh, with a similar trend shown by A. tridentata. On large saltmarshes (&gt; 0.4 ha), delta C-13 values of crabs (P. erythrodactyla, -15.9 parts per thousand; A. tridentata, -15.4) collected &gt; 5 m onto the saltmarsh matched that of the saltmarsh grass Sporobolus virginicus (-15.5). Carbon movement and assimilation by crabs was limited to &lt; 5 m. On small saltmarshes (&lt; 0.3 ha), 513C values of saltmarsh crabs (-18.1 and -16.8, respectively) were depleted, indicating assimilation of carbon from S. virginicus, but also from a more depleted allochthonous source, e.g. mangroves (-28.1), microphytobenthos (-23.7), or phytoplankton (ca. -20). Saltmarsh patch size did not affect the extent of carbon movement or assimilation by crabs in mangroves. Given that habitat patch size can influence pathways of carbon supply to invertebrates, the role of estuarine habitats in food webs cannot be assumed to be independent of the size and configuration of habitats.</t>
  </si>
  <si>
    <t>10.3354/meps310015</t>
  </si>
  <si>
    <t>Guillemain, M; Bacon, L; Kardynal, KJ; Olivier, A; Podhrazsky, M; Musil, P; Hobson, KA</t>
  </si>
  <si>
    <t>Geographic origin of migratory birds based on stable isotope analysis: the case of the greylag goose (Anser anser) wintering in Camargue, southern France</t>
  </si>
  <si>
    <t>Anser anser; Greylag goose; Flyway delineation; International management plans; Deuterium; Stable isotopes</t>
  </si>
  <si>
    <t>HYDROGEN; POPULATIONS</t>
  </si>
  <si>
    <t>Proper delineation of flyways is a prerequisite for adequate management of migratory birds. The implementation of coordinated international management for greylag goose (Anser anser) is currently underway in Europe for the north-west/south-west (NW/SW) population. Some uncertainty remained as to whether greylags wintering in Camargue, Southern France, belonged to this population and bred in Norway, Sweden and Finland, or rather originated from the Central European population, especially since most neck collar observations were of birds ringed in the Czech Republic. Stable hydrogen isotope (delta H-2) analyses of feathers from 147 individuals hunted or trapped during winter in Camargue provide some insight into this question and suggest north-central Europe as a more likely area of origin. This indicates that greylags wintering along the Mediterranean coast may be largely separate from the birds of the NW/SW European population breeding in Fennoscandia, although some individuals may also come from the Polish or German regions of the NW/SW flyway, since the combined ringing and stable isotope analyses suggest these birds are mostly breeding and moulting in an isotopic area consistent with the Czech Republic, Poland and northern Germany. Earlier studies show birds wintering in other French regions rather originate from Sweden and Norway. These results should be considered for the management plan currently being developed for greylag goose in Europe. More generally, they question whether birds from two distinct populations/flyways should be applied similar or potentially different management plans within a given country.</t>
  </si>
  <si>
    <t>10.1007/s10344-019-1304-4</t>
  </si>
  <si>
    <t>Peller, T; Andrews, S; Leroux, SJ; Guichard, F</t>
  </si>
  <si>
    <t>From Marine Metacommunities to Meta-ecosystems: Examining the Nature, Scale and Significance of Resource Flows in Benthic Marine Environments</t>
  </si>
  <si>
    <t>Connectivity; Meta-analysis; Resource flows; Spatial subsidies; Dispersal; Spatial heterogeneity</t>
  </si>
  <si>
    <t>ORGANIC-MATTER; FOOD WEBS; SUBSIDIES; DISPERSAL; TRANSPORT; DYNAMICS; OCEAN; CONNECTIVITY; METAANALYSIS; ENRICHMENT</t>
  </si>
  <si>
    <t>The metacommunity framework has been readily applied to coastal benthic marine environments to examine how larval dispersal affects the dynamics of patchily distributed communities. Transitioning to a meta-ecosystem perspective requires knowledge of interactions between living and non-living compartments occurring across scales in these environments. Here, we synthesize and analyze evidence of non-living resource flows in coastal benthic marine environments. Our objectives are to establish the types of benthic ecosystems that are coupled by resource flows, the spatial scale and directionality of the couplings, and the magnitude of resulting subsidization of recipient organisms. We find that resource flows commonly couple different types of coastal benthic ecosystems and can occur bidirectionally between ecosystems. Our quantitative synthesis yields a frequency distribution of resource flow distance, which suggests they frequently couple ecosystems across smaller distances than larval dispersal and that the probability of resource flows coupling benthic ecosystems decreases exponentially with distance between ecosystems. The magnitude of subsidization of recipient organisms also decreases with distance from the source of the resource flow. Our findings reveal that considering ecosystem heterogeneity and the respective scales of different types of spatial flows will be an important component of extending the marine metacommunity framework to meta-ecosystems. We propose an avenue for integrating ecosystem heterogeneity into meta-ecosystem theory, based upon general differences in functioning across coupled ecosystems revealed by our synthesis, and we argue for the development of a hierarchical meta-ecosystem theory.</t>
  </si>
  <si>
    <t>10.1007/s10021-020-00580-x</t>
  </si>
  <si>
    <t>Jennings, S; Pinnegar, JK; Polunin, NVC; Warr, KJ</t>
  </si>
  <si>
    <t>Linking size-based and trophic analyses of benthic community structure</t>
  </si>
  <si>
    <t>size-spectra; trophic level; food web; community structure; stable isotopes; phylogeny</t>
  </si>
  <si>
    <t>FOOD WEBS; NORTH-SEA; ARCTICA-ISLANDICA; STABLE ISOTOPES; MACROBENTHIC INVERTEBRATES; NEPHTYS-HOMBERGII; FISH; BIOMASS; DELTA-N-15; INDICATORS</t>
  </si>
  <si>
    <t>Models of biomass size spectra assume that organisms with higher body mass feed at higher trophic levels, but explicit empirical tests of this pattern are rare. We used nitrogen stable isotopes (delta(15)N) as an index of the trophic level in a benthic fish and invertebrate size-spectrum, and demonstrated that body mass was Positively and significantly related to trophic level. This pattern was consistent with the expectation that predator-prey relationships led to powerful size-based trophic structuring in marine communities and ecosystems, Further analysis of intra- and interspecific relationships between body mass and trophic level in the community showed that increases in trophic level across the size spectrum were predominantly a consequence of intra-specific increases in trophic level with body mass and not a consequence of larger species (species with greater maximum body mass) feeding at higher trophic levels, We confirmed the absence of strong inter-specific relationships between maximum body mass and trophic level with cross-species and phylogenetic comparative approaches. Size-based models are easier and cheaper to parameterise than most food-web models. Subject to the persistence of relationships between body mass and trophic level in space and time, our results suggest that size spectra could be parameterised with body mass-trophic level relationships and used to describe the trophic structure of some marine communities and ecosystems.</t>
  </si>
  <si>
    <t>10.3354/meps226077</t>
  </si>
  <si>
    <t>Ausems, ANMA; Kuepper, ND; Archuby, D; Braun, C; Gebczynski, AK; Gladbach, A; Hahn, S; Jadwiszczak, P; Kraemer, P; Libertelli, MM; Lorenz, S; Richter, B; Russ, A; Schmoll, T; Thorn, S; Turner, J; Wojczulanis-Jakubas, K; Jakubas, D; Quillfeldt, P</t>
  </si>
  <si>
    <t>Where have all the petrels gone? Forty years (1978-2020) of Wilson's Storm Petrel (Oceanites oceanicus) population dynamics at King George Island (Isla 25 de Mayo, Antarctica) in a changing climate</t>
  </si>
  <si>
    <t>Antarctic seabird; Long-term data; Climate change; Breeding success; Procellariiformes</t>
  </si>
  <si>
    <t>KRILL EUPHAUSIA-SUPERBA; SOUTH SHETLAND ISLANDS; SEA-ICE EXTENT; BREEDING SUCCESS; LIFE-HISTORY; FORAGING BEHAVIOR; STABLE-ISOTOPES; SEABIRDS; SURVIVAL; GROWTH</t>
  </si>
  <si>
    <t>Numerous seabird species are experiencing population declines, and this trend is expected to continue or even accelerate in the future. To understand the effects of environmental change on seabird populations, long-term studies are vital, but rare. Here, we present over four decades (1978-2020) of population dynamic and reproductive performance data of Wilson's Storm Petrels (Oceanites oceanicus) from King George Island (Isla 25 de Mayo), Antarctica. We determined temporal trends in population size, breeding output, and chick growth rates, and related interannual variation in these variables to various environmental variables. Our study revealed a decline of 90% in population size of Wilson's Storm Petrels in two colonies, and considerable changes in breeding output and chick growth rates. Temporal changes in breeding demographics were linked to interannual environmental variation, either causing changes in food availability (particularly Antarctic krill, Euphausia superba) or in nest burrow accessibility due to snow blocking the entrance. With the expected rise in air and sea surface temperatures, the predicted increases in precipitation over the Antarctic Peninsula will likely lead to increased snowstorm prevalence. Additionally, the rising temperatures will likely reduce food availability due to reduced sea ice cover in the wintering grounds of Antarctic krill, or by changing phyto- and zooplankton community compositions. The ongoing environmental changes may thus lead to a further population decline, or at the very least will not allow the population to recover. Monitoring the population dynamics of Antarctic seabirds is vital to increase our understanding of climate change-induced changes in polar food webs.</t>
  </si>
  <si>
    <t>10.1007/s00300-023-03154-4</t>
  </si>
  <si>
    <t>Pries, CEH; Schuur, EAG; Crummer, KG</t>
  </si>
  <si>
    <t>Thawing permafrost increases old soil and autotrophic respiration in tundra: Partitioning ecosystem respiration using delta C-13 and Delta C-14</t>
  </si>
  <si>
    <t>autotrophic respiration; ecosystem respiration; heterotrophic respiration; partitioning; permafrost thaw; radiocarbon; seasonality; delta C-13</t>
  </si>
  <si>
    <t>CARBON-ISOTOPE RATIOS; CO2 EFFLUX; STABLE-ISOTOPES; ORGANIC-MATTER; HETEROTROPHIC COMPONENTS; TEMPERATE FOREST; MOLECULAR-SIEVE; PLANT; C-13; RADIOCARBON</t>
  </si>
  <si>
    <t>Ecosystem respiration (R-eco) is one of the largest terrestrial carbon (C) fluxes. The effect of climate change on R-eco depends on the responses of its autotrophic and heterotrophic components. How autotrophic and heterotrophic respiration sources respond to climate change is especially important in ecosystems underlain by permafrost. Permafrost ecosystems contain vast stores of soil C (1672 Pg) and are located in northern latitudes where climate change is accelerated. Warming will cause a positive feedback to climate change if heterotrophic respiration increases without corresponding increases in primary production. We quantified the response of autotrophic and heterotrophic respiration to permafrost thaw across the 2008 and 2009 growing seasons. We partitioned R-eco using Delta(14) C and delta C-13 into four sources-two autotrophic (above - and belowground plant structures) and two heterotrophic (young and old soil). We sampled the Delta C-14 and delta C-13 of sources using incubations and the Delta C-14 and delta C-13 of R-eco using field measurements. We then used a Bayesian mixing model to solve for the most likely contributions of each source to R-eco. Autotrophic respiration ranged from 40 to 70% of R-eco and was greatest at the height of the growing season. Old soil heterotrophic respiration ranged from 6 to 18% of R-eco and was greatest where permafrost thaw was deepest. Overall, growing season fluxes of autotrophic and old soil heterotrophic respiration increased as permafrost thaw deepened. Areas with greater thaw also had the greatest primary production. Warming in permafrost ecosystems therefore leads to increased plant and old soil respiration that is initially compensated by increased net primary productivity. However, barring large shifts in plant community composition, future increases in old soil respiration will likely outpace productivity, resulting in a positive feedback to climate change.</t>
  </si>
  <si>
    <t>10.1111/gcb.12058</t>
  </si>
  <si>
    <t>Tomaszewicz, CTN; Liles, MJ; Avens, L; Seminoff, JA</t>
  </si>
  <si>
    <t>Tracking movements and growth of post-hatchling to adult hawksbill sea turtles using skeleto plus iso</t>
  </si>
  <si>
    <t>sea turtle; stable isotopes; post-hatchlings; habitat use; conservation</t>
  </si>
  <si>
    <t>STABLE-ISOTOPE ANALYSIS; ERETMOCHELYS-IMBRICATA; CHELONIA-MYDAS; LOGGERHEAD TURTLES; GREEN TURTLES; CARBON ISOTOPES; SOMATIC GROWTH; HABITAT USE; AGE; RATES</t>
  </si>
  <si>
    <t>In the eastern Pacific Ocean, hawksbill sea turtles (Eretmochelys imbricata) are adapted to use coastal habitats and ecosystems uncharacteristic of most other sea turtles. Once considered extirpated from this region, hawksbills had sought refuge in estuaries, nesting on muddy banks among the tangles of mangrove roots. This population is at high risk of bycatch during fishing efforts in the estuaries (blast fishing) and adjacent coastal rocky reefs (gillnets), and is further impacted by habitat degradation from coastal development and climate change. The conservation and population recovery of hawksbills in this region is highly dependent on management actions (e.g., nest relocation, habitat protection, bycatch mitigation), and a better understanding of how hawksbills use and move between distinct habitats will help prioritize conservation efforts. To identify multi-year habitat use and movement patterns, we used stable carbon (delta C-13) and nitrogen (delta N-15) isotope analysis of skin and bone growth layers to recreate movements between two isotopically distinct habitats, a nearshore rocky reef and a mangrove estuary, the latter distinguishable by low delta C-13 and delta N-15 values characteristic of a mangrove-based foodweb. We applied skeletochronology with sequential delta C-13 and delta N-15 analysis of annual growth layers, skeleto+iso, to a dataset of 70 hawksbill humeri collected from coastal El Salvador. The results revealed at least two unique habitat-use patterns. All turtles, regardless of stranding location, spent time outside of the mangrove estuaries during their early juvenile years (&lt; 35 cm curved carapace length, CCL, age 0-5), showing that an oceanic juvenile stage is likely for this population. Juveniles ca. &gt; 35 cm then began to recruit to nearshore areas, but showed divergent habitat-use as some of turtles occupied the coastal rocky reefs, while others settled into the mangrove estuaries. For turtles recruiting to the estuaries, settlement age and size ranged from 3 to 13 years and 35-65 cm CCL. For the adult turtles, age-at-sexual-maturity ranged from 16 to 26 years, and the maximum reproductive longevity observed was 33 years. The skeleto+iso also showed that adult hawksbills have long-term habitat fidelity, and the results demonstrate the importance of both mangrove estuary and nearshore rocky reefs to the conservation of hawksbills in the eastern Pacific.</t>
  </si>
  <si>
    <t>10.3389/fevo.2022.983260</t>
  </si>
  <si>
    <t>Vlah, MJ; Holtgrieve, GW; Sadro, S</t>
  </si>
  <si>
    <t>Low Levels of Allochthony in Consumers Across Three High-Elevation Lake Types</t>
  </si>
  <si>
    <t>allochthony; alpine lakes; stable isotope; Bayesian mixing model; fatty acid</t>
  </si>
  <si>
    <t>AQUATIC FOOD WEBS; FATTY-ACID-COMPOSITION; TERRESTRIAL SUPPORT; STABLE-ISOTOPES; ORGANIC-CARBON; TEMPERATE LAKES; DAPHNIA-MAGNA; FRESH-WATER; ZOOPLANKTON; HYDROGEN</t>
  </si>
  <si>
    <t>The integration of lakes into watershed-scale energy budgets remains a major goal of aquatic ecosystem ecology. However, this enterprise has focused almost exclusively on temperate and boreal systems and on zooplankton as representatives of system-wide energy flow. We investigated the proportion of consumer biomass derived from terrestrial sources, allochthony, in three classes of high-elevation lakesalpine, large and small montaneof varying geometry and watershed ecosystem development, and across five taxa, including macrobenthic invertebrates and fish. We used stable isotopes of carbon (C-13:C-12), nitrogen (N-15:N-14), and hydrogen (H-2:H-1) to fit a modular Bayesian mixing model, which estimated proportional assimilation of phytoplankton, algal periphyton, and terrestrial organic matter by each consumer. The stable isotope analysis was supplemented with a comparison of fatty acid profiles between consumers and producers, and with a Daphnia magna rearing study involving aquatic and terrestrial nutrient sources. The most probable estimate of allochthony across consumer taxa was 41% in small montane lakes (&lt;0.1ha) with high terrestrial C loading. For large montane (3-11ha) and alpine lakes (0.8-3ha), with substantially less terrestrial influence, allochthony was just 4 and 3%, respectively. Allochthony was also lower on average for benthic grazers than for pelagic consumers. Our results corroborate previous findings that lake size, depth, and light penetration are dominant physical controls on allochthony, but add that it sharply declines at high elevation due to changes in terrestrial primary production near or above tree line.</t>
  </si>
  <si>
    <t>10.1007/s10021-017-0206-0</t>
  </si>
  <si>
    <t>Deines, P; Wooller, MJ; Grey, J</t>
  </si>
  <si>
    <t>Unravelling complexities in benthic food webs using a dual stable isotope (hydrogen and carbon) approach</t>
  </si>
  <si>
    <t>chemoautotroph; chironomid; deuterium; Esthwaite; methane</t>
  </si>
  <si>
    <t>METHANE PRODUCTION PATHWAYS; ZONE WETLAND SOILS; BACTERIOGENIC METHANE; SPATIAL-DISTRIBUTION; WATER; MARINE; RATIOS; OXYGEN; ZOOPLANKTON; CYCLE</t>
  </si>
  <si>
    <t>P&gt;1. Stable carbon isotope studies have been an essential component of research regarding the contribution of methane (CH4)-derived carbon to freshwater food webs and results have suggested that benthic macroinvertebrates in billabongs, streams and lakes may be partially, and in some instances, significantly 'fuelled' by methanotrophic biomass. However, the singular use of carbon isotopes can lead to ambiguous interpretations concerning the origin of carbon, especially in systems where phototrophs are likely to be using carbon respired sources and hence show more 13C-depleted values. 2. These uncertainties can be further resolved by the inclusion of additional isotopic data. Stable hydrogen isotopes are being increasingly used in food web studies with a marked advantage that sources may be isotopically distinct by one or two orders of magnitude greater than stable carbon or nitrogen, the isotopes most commonly used to delineate trophic interactions. By using hydrogen as a second biogeochemical tracer we provide further supportive evidence for the assimilation of methanotrophic microbial biomass by chironomid larvae. 3. Moreover, the hydrogen and carbon isotope values we found in chironomid tissues appear to reflect the original substrate used during methanogenesis; either acetate fermentation or carbonate reduction. Use of the former tends to result in relatively heavy carbon and light hydrogen isotope values due to kinetic isotope effects, whereas use of the latter results in relatively lighter carbon and heavier hydrogen isotope values. 4. We provide preliminary evidence to suggest that hydrogen and carbon isotope values in macroinvertebrates may be used to distinguish between CH4 formation pathways and help to explain inter-depth and inter-specific differences between co-existing chironomid species found in the same lake.</t>
  </si>
  <si>
    <t>10.1111/j.1365-2427.2009.02259.x</t>
  </si>
  <si>
    <t>Araujo, MS; Langerhans, RB; Giery, ST; Layman, CA</t>
  </si>
  <si>
    <t>Ecosystem fragmentation drives increased diet variation in an endemic livebearing fish of the Bahamas</t>
  </si>
  <si>
    <t>Bahamas mosquitofish; food webs; individual specialization; niche variation; predation; RNA/DNA ratios; stable isotopes</t>
  </si>
  <si>
    <t>LIFE-HISTORY EVOLUTION; HABITAT FRAGMENTATION; POSTPLEISTOCENE RADIATION; HYDROLOGIC CONNECTIVITY; SECONDARY PRODUCTION; ASSEMBLAGE STRUCTURE; PREDATION RISK; CONSEQUENCES; POPULATION; GUPPIES</t>
  </si>
  <si>
    <t>One consequence of human-driven habitat degradation in general, and habitat fragmentation in particular, is loss of biodiversity. An often-underappreciated aspect of habitat fragmentation relates to changes in the ecology of species that persist in altered habitats. In Bahamian wetlands, ecosystem fragmentation causes disruption of hydrological connectivity between inland fragmented wetlands and adjacent marine areas, with the consequent loss of marine piscivores from fragmented sections. We took advantage of this environmental gradient to investigate effects of ecosystem fragmentation on patterns of resource use in the livebearing fish Gambusia hubbsi (Family Poeciliidae), using both population- and individual-level perspectives. We show that fragmentation-induced release from predation led to increased G. hubbsi population densities, which consequently led to lower mean growth rates, likely as a result of higher intraspecific competition for food. This was accompanied by a broadening of dietary niches via increased interindividual diet variation, suggesting a negative effect of predation and a positive effect of intraspecific competition on the degree of diet variation in natural populations. Our results therefore indicate that habitat fragmentation can greatly impact the ecology of resilient populations, with potentially important ecological and evolutionary implications.</t>
  </si>
  <si>
    <t>10.1002/ece3.1140</t>
  </si>
  <si>
    <t>Cheney, D; Logan, JM; Gardner, K; Sly, E; Wysor, B; Greenwood, S</t>
  </si>
  <si>
    <t>Bioaccumulation of PCBs by a seaweed bloom (Ulva rigida) and transfer to higher trophic levels in an estuarine food web</t>
  </si>
  <si>
    <t>Stable isotopes; Fundulus; New Bedford Harbor; Macroalgal blooms; Persistent organic pollutants</t>
  </si>
  <si>
    <t>POLYCHLORINATED-BIPHENYLS PCBS; PERSISTENT ORGANIC POLLUTANTS; AROMATIC-HYDROCARBONS PAHS; ISOTOPE MIXING MODELS; FUNDULUS-HETEROCLITUS; STRIPED BASS; BEDFORD HARBOR; ORGANOCHLORINE PESTICIDES; SPARTINA-ALTERNIFLORA; NUTRIENT ENRICHMENT</t>
  </si>
  <si>
    <t>Many urban estuaries worldwide contain both eutrophication-induced macroalgal blooms and persistent organic pollutants (POPs) in their sediments. Between 2007 and 2012, we studied an annually occurring green tide of Ulva rigida in the PCB-contaminated Superfund site of New Bedford Harbor, MA, USA. Ulva PCB concentrations were highest (95-99 mg kg(-1) dry weight) near the contamination source and decreased to only 2-4 mg kg(-1) at the site's southern end, approximately 2.5 km away. To assess the bloom's potential role as a PCB contributor to higher trophic levels, we performed stomach content analysis on the system's primary mid-trophic level predator, the salt marsh mummichog Fundulus heteroclitus, and stable isotope analysis on associated potential energy sources. In addition to detritus and macroinvertebrate prey, Ulva was a major component of mummichog stomach contents, and a N-15-labeled feeding experiment demonstrated that mummichogs can assimilate ingested Ulva. Among invertebrate prey, stable isotope mixing models showed Uiva as the main diet source for amphipods Gammarus spp., while grass shrimp Palaemonetes spp. and sandworms Nereis spp. relied on a mix of Lava and Spartina or particulate organic matter, respectively. Sandworms and grass shrimp were the main mummichog energy sources, suggesting that this estuarine keystone species is linked to the (Eva bloom mainly through predation on Ova-consuming grazers rather than direct ingestion. Our data provide evidence for a potentially overlooked impact of macroalgal blooms-namely, their potential role in the trophic transfer of PCBs and other bioaccumulated pollutants.</t>
  </si>
  <si>
    <t>10.3354/meps12840</t>
  </si>
  <si>
    <t>Hamalainen, A; Broadley, K; Droghini, A; Haines, JA; Lamb, CT; Boutin, S; Gilbert, S</t>
  </si>
  <si>
    <t>The ecological significance of secondary seed dispersal by carnivores</t>
  </si>
  <si>
    <t>climate change; diplochory; diploendozoochory; fragmentation; indirect dispersal; invasive species; polychory; predator; secondary dispersal; seed dispersal; seed dispersal effectiveness; seed predation</t>
  </si>
  <si>
    <t>LONG-DISTANCE DISPERSAL; PLANT MIGRATION RATES; PREDATORY BIRDS; FRUGIVOROUS LIZARDS; RANGE SHIFTS; INVERTEBRATES; DETERMINANTS; ENDOZOOCHORY; EXTINCTIONS; MECHANISMS</t>
  </si>
  <si>
    <t>Animals play an important role in the seed dispersal of many plants. It is increasingly recognized, however, that the actions of a single disperser rarely determine a seed's fate and final location; rather, multiple abiotic or animal dispersal vectors are involved. Some carnivores act as secondary dispersers by preying on primary seed dispersers or seed predators, inadvertently consuming seeds contained in their prey's digestive tracts and later depositing viable seeds, a process known as diploendozoochory. Carnivores occupy an array of ecological niches and thus range broadly on the landscape. Consequently, secondary seed dispersal by carnivores could have important consequences for plant dispersal outcomes, with implications for ecosystem functioning under a changing climate and across disturbed landscapes where dispersal may be otherwise limited. For example, trophic downgrading through the loss of carnivores may reduce or eliminate diploendozoochory and thus compromise population connectivity for lower trophic levels. We review the literature on diploendozoochory and conclude that the ecological impact of a secondary vs. primary seed disperser depends on the relative dispersal distances, germination success, and the proportion of seeds exposed to secondary dispersal by carnivores. None of the studies up to present day have been able to rigorously assess the ecological significance of this process. We provide a framework of the components that determine the significance of diploendozoochory across systems and identify the components that must be addressed in future studies attempting to assess the ecological importance of diploendozoochory.</t>
  </si>
  <si>
    <t>e01685</t>
  </si>
  <si>
    <t>10.1002/ecs2.1685</t>
  </si>
  <si>
    <t>Clement, M; Chiasson, AG; Veinott, G; Cairns, DK</t>
  </si>
  <si>
    <t>What otolith microchemistry and stable isotope analysis reveal and conceal about anguillid eel movements across salinity boundaries</t>
  </si>
  <si>
    <t>American eel; Stable isotope; Otolith microchemistry; Migration; Freshwater wintering</t>
  </si>
  <si>
    <t>AMERICAN EELS; PHENOTYPIC PLASTICITY; ARAGONITE OTOLITHS; CARBON ISOTOPES; FRESH-WATER; INSIGHTS; STRONTIUM; ROSTRATA; TROUT; ENRICHMENT</t>
  </si>
  <si>
    <t>Otolith microchemistry studies indicate that growth-phase (yellow stage) anguillid eels commonly shift at irregular intervals between fresh and saline waters, but this technique has not detected regular seasonal migrations across salinity zones. We tested the ability of otolith microchemistry and stable isotope analysis to detect migrations of American eels (Anguilla rostrata) between salinity boundaries in two small stream-estuary systems in Canada's Bay of Fundy. Although the two methods showed concordant classifications of recent residence history, most eels caught in fresh water in spring (68.8-89.7 %) and fall (78.8-83.3 %) showed microchemical and isotopic signatures that reflected occupancy of saline waters. These eels were classified as migrants which had summered in saline waters and then migrated to freshwater wintering grounds where they retained their saline signatures. In summer, most eels (85.0-100.0 %) captured in fresh and saline water had recent microchemical and isotopic signatures matching the habitat of capture. Our results suggest that lifetime otolith microchemistry profiles are unable to detect eel wintering migrations, a failure that is likely due to winter depression of otolith accretion. Elucidation of seasonal eel movements requires cross-seasonal and cross-site sampling for the microchemistry and stable isotope methods, or tagging studies. Seasonal saline-fresh eel migrations may be more common than previously appreciated, underlining the need for conservation of both habitats, and connectivity between the two.</t>
  </si>
  <si>
    <t>10.1007/s00442-014-2969-8</t>
  </si>
  <si>
    <t>Ferreira, GWD; Oliveira, FCC; Soares, EMB; Schnecker, J; Silva, IR; Grandy, AS</t>
  </si>
  <si>
    <t>Retaining eucalyptus harvest residues promotes different pathways for particulate and mineral-associated organic matter</t>
  </si>
  <si>
    <t>C-13 and N-15 stable isotopes; decomposition; logging residues; MAOM; nitrogen; POM; pyrolysis gas chromatography-mass spectrometry (Py-GC/MS); soil organic carbon; soil organic matter formation; soil organic matter fractions; sustainability of forest plantations.</t>
  </si>
  <si>
    <t>Eucalyptus plantations have replaced other (agro)ecosystems over 5.6 Mha in Brazil. While these plantations rapidly accumulate carbon (C) in their biomass, the C storage in living forest biomass is transient, and thus, longer-term sustainability relies on sustaining soil organic matter (SOM) stocks. A significant amount of harvest residues (HR) is generated every rotation and can yield SOM if retained in the field. Yet, there is little information on how managing eucalyptus HR changes SOM dynamics. We used isotopic and molecular approaches in a 3-yr field decomposition experiment where a native grassland has been replaced by eucalyptus plantations to assess how HR management practices influence content and chemistry of two distinct SOM fractions [particulate (POM) and mineral-associated organic matter (MAOM)] at two soil depths (0-1 and 1-5 cm). The management practices investigated were HR removal (-R), only bark removal (-B), and retention of all HR (including bark, +B), combined with two levels of nitrogen (N) fertilization [0 (-N) and 200 (+N) kg/ha]. N fertilization inhibited HR decomposition (P = 0.0409), while bark retention had little effect (P = 0.1164). Retaining HR, especially with bark, increased POM-C and MAOM-C content (2.1- and 1.2-fold, respectively), decreased POM-delta C-13 (1.2-fold), and increased inorganic N retention (1.7-fold) compared with plots where HR had been removed. Inorganic N applications, however, diminished the positive impacts of bark retention. Although the influence of HR management was most pronounced in POM, retaining HR reduced potential soil C mineralization by up to 20%. POM and MAOM chemistry shifted over time and revealed distinct influence of HR on the formation of these fractions. We demonstrate that HR management alters SOM dynamics and that retaining HR, particularly including bark, enhances SOM retention. With continuing conversion of native grassland ecosystems to eucalyptus, long-term sustainability will require careful HR and fertilizer management to balance total biomass harvest with sustaining belowground SOM concentrations.</t>
  </si>
  <si>
    <t>e03439</t>
  </si>
  <si>
    <t>10.1002/ecs2.3439</t>
  </si>
  <si>
    <t>Watanuki, Y; Ito, M</t>
  </si>
  <si>
    <t>Climatic effects on breeding seabirds of the northern Japan Sea</t>
  </si>
  <si>
    <t>Auklet; Breeding performance; Chick diet; Cormorant; Gull; Prey availability; Regime shift; Timing of breeding</t>
  </si>
  <si>
    <t>GULLS LARUS-CRASSIROSTRIS; MARINE TOP-PREDATOR; CERORHINCA-MONOCERATA; TEURI ISLAND; SURFACE TEMPERATURE; FORAGING BEHAVIOR; INTERANNUAL VARIATIONS; RHINOCEROS AUKLETS; TROPHIC LEVELS; REGIME SHIFTS</t>
  </si>
  <si>
    <t>Seabirds as marine top predators have been put forth as reliable indicators of ecosystem change. To understand climate-ecosystem change in the northern Japan Sea, we studied the timing of breeding, chick diets, and breeding success of 3 seabird species almost continuously over 26 yr on Teuri Island, 1984 through 2009. Key climate drivers in this region are: (1) westerly winter winds that cool the atmosphere and the ocean and (2) the northward flowing Tsushima Current (TC) that warms the ocean in late spring and summer. Chick diet showed decadal changes in coastal pelagic fish, with a switch from sardine Sardinops melanostictus to anchovy Engraulis japonicus in the late 1980s corresponding to intensification of the TC. There were no long-term trends in the timing of breeding or breeding success of rhinoceros auklet Cerorhinca monocerata and Japanese cormorant Phalacrocorax filamentosus, but these variables were affected by interannual variation in spring air and sea temperatures, as well as the timing of TC warm water intrusions within the foraging range (similar to 60 km from the colony) of the birds. Effects include: (1) freezing of the breeding grounds by winter winds limiting access to nesting grounds and (2) availability of anchovy and sandlance Ammodytes personatus affecting chick diet, growth, and breeding success. We did not detect relationships between chlorophyll a concentrations and the availability of prey species. The timing and success of black-tailed gulls Larus crassirostris, which fed mainly on sandlance, however, could not be explained by these factors. Our study indicates potential links between the Pacific Decadal Oscillation index and the flow rate of the TC, and between the Arctic Oscillation index and local wind stress, and suggests that broad-scale atmospheric pressure fields influence local weather, oceanography, and seabirds indirectly through changes in prey availability.</t>
  </si>
  <si>
    <t>10.3354/meps09627</t>
  </si>
  <si>
    <t>Gomez-Diaz, E; Gonzalez-Solis, J</t>
  </si>
  <si>
    <t>Geographic assignment of seabirds to their origin: Combining morphologic, genetic, and biogeochemical analyses</t>
  </si>
  <si>
    <t>assignment methods; biogeochemical markers; bird mortality at sea; Calonectris spp.; longline fisheries; mitochrondrial DNA; shearwaters; spatial structure</t>
  </si>
  <si>
    <t>CORYS SHEARWATER; STABLE-ISOTOPES; BREEDING ORIGINS; CALONECTRIS-DIOMEDEA; POPULATION; DIFFERENTIATION; MIGRATION; FEATHERS; MARKERS; BIRDS</t>
  </si>
  <si>
    <t>Longline fisheries, oil spills, and offshore wind farms are some of the major threats increasing seabird mortality at sea, but the impact of these threats on specific populations has been difficult to determine so far. We tested the use of molecular markers, morphometric measures, and stable isotope (delta N-15 and delta C-13) and trace element concentrations in the first primary feather (grown at the end of the breeding period) to assign the geographic origin of Calonectris shearwaters. Overall, we sampled birds from three taxa: 13 Mediterranean Cory's Shearwater (Calonectris diomedea diomedea) breeding sites, 10 Atlantic Cory's Shearwater (Calonectris diomedea borealis) breeding sites, and one Cape Verde Shearwater (C. edwardsii) breeding site. Assignment rates were investigated at three spatial scales: breeding colony, breeding archipelago, and taxa levels. Genetic analyses based on the mitochondrial control region (198 birds from 21 breeding colonies) correctly assigned 100% of birds to the three main taxa but failed in detecting geographic structuring at lower scales. Discriminant analyses based on trace elements composition achieved the best rate of correct assignment to colony (77.5%). Body measurements or stable isotopes mainly succeeded in assigning individuals among taxa (87.9% and 89.9%, respectively) but failed at the colony level (27.1% and 38.0%, respectively). Combining all three approaches (morphometrics, isotopes, and trace elements on 186 birds from 15 breeding colonies) substantially improved correct classifications (86.0%, 90.7%, and 100% among colonies, archipelagos, and taxa, respectively). Validations using two independent data sets and jackknife cross-validation confirmed the robustness of the combined approach in the colony assignment (62.5%, 58.8%, and 69.8% for each validation test, respectively). A preliminary application of the discriminant model based on stable isotope delta N-15 and delta C-13 values and trace elements (219 birds from 17 breeding sites) showed that 41 Cory's Shearwaters caught by western Mediterranean long-liners came mainly from breeding colonies in Menorca (48.8%), Ibiza (14.6%), and Crete (31.7%). Our findings show that combining analyses of trace elements and stable isotopes on feathers can achieve high rates of correct geographic assignment of birds in the marine environment, opening new prospects for the study of seabird mortality at sea.</t>
  </si>
  <si>
    <t>10.1890/06-1232.1</t>
  </si>
  <si>
    <t>Iraheta, A; Birkel, C; Benegas, L; Rios, N; Sanchez-Murillo, R; Beyer, M</t>
  </si>
  <si>
    <t>A preliminary isotope-based evapotranspiration partitioning approach for tropical Costa Rica</t>
  </si>
  <si>
    <t>Costa Rica; Holdridge life zones; stable isotopes; transpiration; tropics; water partitioning</t>
  </si>
  <si>
    <t>SOIL EVAPORATION; STABLE-ISOTOPES; PLANT TRANSPIRATION; SEMIARID GRASSLAND; MASS-BALANCE; RIVER-BASIN; WATER; FRACTIONATION; CLIMATE; ECOSYSTEMS</t>
  </si>
  <si>
    <t>Spatially and seasonally distributed information on transpiration (T) fluxes is limited in the tropics. Here, we applied a coupled isotope mass balance model to separate water fluxes of T and evapotranspiration (ET) from precipitation (P). The mean annual T was estimated at a resolution of 100 m for Costa Rica (51,100 km(2)) and a partitioning of monthly T and evaporation (E) for the 2370-km(2) San Carlos catchment. The dominant flux in the forest ecosystems was T with a mean annual T of 1086 mm that ranged from 700 mm in Tropical Montane Very Humid Forest to 1400 mm in Subtropical and Tropical Low Montane Rainforests. We estimated an average 85% of ET was T, which is concurrent with expectations for forested tropical regions, but varied according to model parameterization and data sources. A model comparison exercise showed a range of mean annual T estimates from 988 to 1465 mm and a range of T/P from 0.35 to 0.5 with temperature and relative humidity exhibiting the highest impact on the model results. Across Costa Rica, we estimated an average loss of precipitation by T of 38% (1085 mm), whereas interception (I) constitutes 10% (230 mm) and direct evaporation (E) only 7% (192 mm). Similarly, the results at the catchment scale indicated that monthly T contributes 76% (85-mm monthly average) to total ET and E corresponds to 24% (24-mm monthly average). The T rates exhibited an opposite seasonality to rainfall with highest T over the drier months from December to April with a peak in March (101-144 mm) and the minimum T in September (53-71 mm). Around 17% (79-130 mm) of precipitation over the catchment area is lost to T, both E (10-35 mm) and I (15-38 mm) correspond to 5%. Despite the inherent uncertainties of the data assumptions and simplifications, including data interpolation errors, the coupled isotope mass balance model showed in comparison to other global products reasonable water partitioning for different ecosystems in Costa Rica and the San Carlos catchment area. These results can help to evaluate the impact of land cover conversion on the hydrological cycle in Costa Rica, and the simple isotope-based model could be transferred to different biomes of the tropics.</t>
  </si>
  <si>
    <t>e2297</t>
  </si>
  <si>
    <t>10.1002/eco.2297</t>
  </si>
  <si>
    <t>Long, ES; Sweitzer, RA; Diefenbach, DR; Ben-David, M</t>
  </si>
  <si>
    <t>Controlling for anthropogenically induced atmospheric variation in stable carbon isotope studies</t>
  </si>
  <si>
    <t>C-13; carbon dioxide; correction factor; isotopic baseline; Puma concolor</t>
  </si>
  <si>
    <t>TREE-RING CELLULOSE; TERRESTRIAL VEGETATION; NITROGEN ISOTOPES; C-13/C-12 RATIOS; TROPHIC POSITION; CLIMATIC-CHANGE; BONE-COLLAGEN; FOOD WEBS; RECORD; C-13</t>
  </si>
  <si>
    <t>Increased use of stable isotope analysis to examine food-web dynamics, migration, transfer of nutrients, and behavior will likely result in expansion of stable isotope studies investigating human-induced global changes. Recent elevation of atmospheric CO2 concentration, related primarily to fossil fuel combustion, has reduced atmospheric CO2 delta C-13 (C-13/C-12), and this change in isotopic baseline has, in turn, reduced plant and animal tissue delta C-13 of terrestrial and aquatic organisms. Such depletion in CO2 delta C-13 and its effects on tissue delta C-13 may introduce bias into delta C-13 investigations, and if this variation is not controlled, may confound interpretation of results obtained from tissue samples collected over a temporal span. To control for this source of variation, we used a high-precision record of atmospheric CO2 delta C-13 from ice cores and direct atmospheric measurements to model modern change in CO2 delta C-13. From this model, we estimated a correction factor that controls for atmospheric change; this correction reduces bias associated with changes in atmospheric isotopic baseline and facilitates comparison of tissue delta C-13 collected over multiple years. To exemplify the importance of accounting for atmospheric CO2 delta C-13 depletion, we applied the correction to a dataset of collagen delta C-13 obtained from mountain lion (Puma concolor) bone samples collected in California between 1893 and 1995. Before correction, in three of four ecoregions collagen delta C-13 decreased significantly concurrent with depletion of atmospheric CO2 delta C-13 (n &gt;= 32, P &lt;= 0.01). Application of the correction to collagen delta C-13 data removed trends from regions demonstrating significant declines, and measurement error associated with the correction did not add substantial variation to adjusted estimates. Controlling for long-term atmospheric variation and correcting tissue samples for changes in isotopic baseline facilitate analysis of samples that span a large temporal range.</t>
  </si>
  <si>
    <t>10.1007/s00442-005-0181-6</t>
  </si>
  <si>
    <t>Pepin, S; Korner, C</t>
  </si>
  <si>
    <t>Web-FACE: a new canopy free-air CO2 enrichment system for tall trees in mature forests</t>
  </si>
  <si>
    <t>elevated CO2; exposure; forest ecology; global change; stable carbon isotopes</t>
  </si>
  <si>
    <t>ATMOSPHERIC CO2; CARBON-DIOXIDE; ELEVATED CO2; RESPONSES; FACILITY</t>
  </si>
  <si>
    <t>The long-term responses of forests to atmospheric CO2 enrichment have been difficult to determine experimentally given the large scale and complex structure of their canopy. We have developed a CO2 exposure system that uses the free-air CO2 enrichment (FACE) approach but was designed for tall canopy trees. The system consists of a CO2-release system installed within the crown of adult trees using a 45-m tower crane, a CO2 monitoring system and an automated regulation system. Pure CO2 gas is released from a network of small tubes woven into the forest canopy (web-FACE), and CO2 is emitted from small laser-punched holes. The set point CO2 concentration ([CO2]) of 500 mumol mol(-1) is controlled by a pulse-width modulation routine that adjusts the rate of CO2 injection as a function of measured [CO2] in the canopy. CO2 consumption for the enrichment of 14 tall canopy trees was about 2 tons per day over the whole growing season. The seasonal daytime mean CO2 concentration was 520 mumol mol(-1). One-minute averages of CO2 measurements conducted at canopy height in the center of the CO2-enriched zone were within +/-20% and +/-10% of the target concentration for 76% and 47% of the exposure time, respectively. Despite the size of the canopy and the windy site conditions, performance values correspond to about 75% of that reported for conventional forest FACE with the added advantage of a much simpler and less intrusive infrastructure. Stable carbon isotope signals captured by 80 Bermuda grass (Cynodon dactylon) seedlings distributed within the canopy of treated and control tree districts showed a clearly delineated area, with some nearby individuals having been exposed to a gradient of [CO2], which is seen as added value. Time-integrated values of [CO2] derived from the C isotope composition of C. dactylon leaves indicated a mean (+/-SD) concentration of 513 +/- 63 mumol mol(-1) in the web-FACE canopy area. In view of the size of the forest and the rough natural canopy, web-FACE is a most promising avenue towards natural forest experiments, which are greatly needed.</t>
  </si>
  <si>
    <t>10.1007/s00442-002-1008-3</t>
  </si>
  <si>
    <t>Drake, KK; Bowen, L; Nussear, KE; Esque, TC; Berger, AJ; Custer, NA; Waters, SC; Johnson, JD; Miles, AK; Lewison, RL</t>
  </si>
  <si>
    <t>Negative impacts of invasive plants on conservation of sensitive desert wildlife</t>
  </si>
  <si>
    <t>annual plants; Bromus rubens; diet; gene transcription; Gopherus agassizii; habitat disturbance; immune function; invasive; Mojave Desert; Mojave Desert tortoise; nutrition</t>
  </si>
  <si>
    <t>TORTOISES GOPHERUS-AGASSIZII; MOJAVE DESERT; NUTRITIONAL QUALITY; PHYSIOLOGICAL ECOLOGY; JUVENILE DESERT; NATURAL FOODS; IMMUNE-SYSTEM; FIRE; CLIMATE; GRASSES</t>
  </si>
  <si>
    <t>Habitat disturbance from development, resource extraction, off-road vehicle use, and energy development ranks highly among threats to desert systems worldwide. In the Mojave Desert, United States, these disturbances have promoted the establishment of nonnative plants, so that native grasses and forbs are now intermixed with, or have been replaced by invasive, nonnative Mediterranean grasses. This shift in plant composition has altered food availability for Mojave Desert tortoises (Gopherus agassizii), a federally listed species. We hypothesized that this change in forage would negatively influence the physiological ecology, immune competence, and health of neonatal and yearling tortoises. To test this, we monitored the effects of diet on growth, body condition, immunological responses (measured by gene transcription), and survival for 100 captive Mojave tortoises. Tortoises were assigned to one of five diets: native forbs, native grass, invasive grass, and native forbs combined with either the native or invasive grass. Tortoises eating native forbs had better body condition and immune functions, grew more, and had higher survival rates (&gt; 95%) than tortoises consuming any other diet. At the end of the experiment, 32% of individuals fed only native grass and 37% fed only invasive grass were found dead or removed from the experiment due to poor body conditions. In contrast, all tortoises fed either the native forb or combined native forb and native grass diets survived and were in good condition. Health and body condition quickly declined for tortoises fed only the native grass (Festuca octoflora) or invasive grass (Bromus rubens) with notable loss of fat and muscle mass and increased muscular atrophy. Bromus rubens seeds were found embedded in the oral mucosa and tongue in most individuals eating that diet, which led to mucosal inflammation. Genes indicative of physiological, immune, and metabolic functions were transcribed at lower levels for individuals fed B. rubens, indicating potential greater susceptibility to disease or other health-related problems. This study highlights the negative indirect effects of invasive grasses, such as red brome, in desert ecosystems, and provides definitive evidence of a larger negative consequence to health, survival, and ultimately population recruitment for Mojave Desert tortoises than previously understood.</t>
  </si>
  <si>
    <t>e01531</t>
  </si>
  <si>
    <t>10.1002/ecs2.1531</t>
  </si>
  <si>
    <t>Gavrilchuk, K; Lesage, V; Ramp, C; Sears, R; Berube, M; Bearhop, S; Beauplet, G</t>
  </si>
  <si>
    <t>Trophic niche partitioning among sympatric baleen whale species following the collapse of groundfish stocks in the Northwest Atlantic</t>
  </si>
  <si>
    <t>Trophic niche; Interspecific; Stable isotopes; delta C-13; delta N-15; Rorqual; Ecosystem change</t>
  </si>
  <si>
    <t>STABLE-ISOTOPE RATIOS; LIPID EXTRACTION; ST-LAWRENCE; CARBON ISOTOPES; MINKE WHALES; BALAENOPTERA-ACUTOROSTRATA; MEGAPTERA-NOVAEANGLIAE; NITROGEN ISOTOPES; FEEDING-BEHAVIOR; HUMPBACK WHALE</t>
  </si>
  <si>
    <t>Ecologically similar species may coexist when resource partitioning over time and space reduces interspecific competition. Understanding resource use within these species assemblages may help predict how species relative abundance might influence ecosystem functioning. In the Gulf of St. Lawrence, Canada, 4 species of rorqual whales (blue Balaenoptera musculus, fin B. physalus, minke B. acutorostrata and humpback Megaptera novaeangliae) coexist during the summer feeding period. They can be observed within hundreds of meters of one another, suggesting an overlap in ecological niches; yet fine-scale habitat use analyses suggest some resource partitioning. While major ecological changes have been observed in marine ecosystems, including the Gulf of St. Lawrence, we have little understanding of how the removal of predatory fish might cascade through ecosystems. Here, we take advantage of a 19 yr tissue collection subsequent to a fishery collapse (which occurred in 1992) to investigate trophic niche partitioning within a guild of rorqual whales following the loss of a key ecosystem component, groundfish. We analyzed stable isotope ratios for 626 rorqual individuals sampled between 1992 and 2010. Using Bayesian isotopic mixing models, we demonstrated that the 4 rorqual species segregated trophically by consuming different proportions of shared prey. An overall increase in delta N-15 values over the study period (post groundfish collapse), particularly for fin and humpback whales, suggested a progressive use of higher-trophic level prey, such as small pelagic fish, whereas the stability of blue whale diet over time confirmed their specialized feeding behaviour. This study provides the first long-term assessment of trophic ecology among rorqual populations on this Northwest Atlantic feeding ground, and evidence for differential resource use among large marine predators following ecosystem change.</t>
  </si>
  <si>
    <t>10.3354/meps10578</t>
  </si>
  <si>
    <t>Brewton, RA; Downey, CH; Streich, MK; Wetz, JJ; Ajemian, MJ; Stunz, GW</t>
  </si>
  <si>
    <t>Trophic ecology of red snapper Lutjanus campechanus on natural and artificial reefs: interactions between annual variability, habitat, and ontogeny</t>
  </si>
  <si>
    <t>Trophic level; Niche width; Stomach content; Stable isotopes; Diet</t>
  </si>
  <si>
    <t>GULF-OF-MEXICO; NORTHERN GULF; STABLE-ISOTOPES; FEEDING ECOLOGY; GAS PLATFORMS; OIL; DIET; CALIFORNIA; IMPAIRMENT; MOVEMENTS</t>
  </si>
  <si>
    <t>In the Gulf of Mexico (GOM), oil and gas platforms have created an expansive network of artificial reefs. Generally, policies mandate removal of these structures post-production; however, many enter 'Rigs-to-Reefs' (RTR) programs that convert the rig materials into artificial reefs ('reefing'). Despite the growth of RTR programs worldwide, the functionality of the resulting habitats remains uncertain, particularly due to the lack of comparative studies with natural systems. To address this data gap as it relates to trophic ecology, we compared annual, ontogenetic, and habitat-specific diet and stable isotope signatures (delta C-13 and delta N-1(5)) of adult red snapper Lutjanus campechanus (n = 1585) from relic coralgal natural reefs to those of fish from standing and reefed platforms located in similar depth strata of the northwestern GOM. Stomach content analyses revealed significant effects of year, habitat, and total length on prey composition. Subsequent analyses of stable isotope values by size class identified a non-linear relationship with ontogeny. delta C-13 and delta N-15 values at reefed platforms and natural reefs decreased in the medium size class (401-600 mm total length), whereas fish from standing platforms exhibited more consistent feeding patterns across ontogeny. Annual variability was also observed in delta C-13 and delta N-15 values, with 2013 and 2014 significantly different from 2015. These findings suggest that the trophic impacts of habitat type on reef fishes are more complex than previously considered in the GOM and that reefed platforms provide foraging opportunities more similar to natural reefs than standing platforms.</t>
  </si>
  <si>
    <t>10.3354/meps13210</t>
  </si>
  <si>
    <t>Chang, CH; Szlavecz, K; Filley, T; Buyer, JS; Bernard, MJ; Pitz, SL</t>
  </si>
  <si>
    <t>Belowground competition among invading detritivores</t>
  </si>
  <si>
    <t>Amynthas hilgendorfi; C-13 and N-15 labeling; earthworm; Eisenoides lonnbergi; functional group; interspecific competition; invasive species; Lumbricus rubellus; Octolasion lacteum; stable isotope; temperate deciduous forest</t>
  </si>
  <si>
    <t>LUMBRICUS-RUBELLUS; EARTHWORM INVASION; FUNCTIONAL-GROUPS; SOIL BIOTA; FOREST; COMMUNITIES; GROWTH; NICHE; DIVERSITY; MARYLAND</t>
  </si>
  <si>
    <t>The factors regulating soil animal communities are poorly understood. Current theory favors niche complementarity and facilitation over competition as the primary forms of non-trophic interspecific interaction in soil fauna; however, competition has frequently been suggested as an important community-structuring factor in earthworms, ecosystem engineers that influence belowground processes. To date, direct evidence of competition in earthworms is lacking due to the difficulty inherent in identifying a limiting resource for saprophagous animals. In the present study, we offer the first direct evidence of interspecific competition for food in this dominant soil detritivore group by combining field observations with laboratory mesocosm experiments using C-13 and N-15 double-enriched leaf litter to track consumption patterns. In our experiments, the Asian invasive species Amynthas hilgendorfi was a dominant competitor for leaf litter against two European species currently invading the temperate deciduous forests in North America. This competitive advantage may account for recent invasion success of A. hilgendorfi in forests with established populations of European species, and we hypothesize that specific phenological differences play an important role in determining the outcome of the belowground competition. In contrast, Eisenoides lonnbergi, a common native species in the Eastern United States, occupied a unique trophic position with limited interactions with other species, which may contribute to its persistence in habitats dominated by invasive species. Furthermore, our results supported neither the hypothesis that facilitation occurs between species of different functional groups nor the hypothesis that species in the same group exhibit functional equivalency in C and N translocation in the soil. We propose that species identity is a more powerful approach to understand earthworm invasion and its impacts on belowground processes.</t>
  </si>
  <si>
    <t>10.1890/15-0551.1</t>
  </si>
  <si>
    <t>Wang, PY; Liu, WJ; Zhang, JL; Yang, B; Singh, AK; Wu, JE; Jiang, XJ</t>
  </si>
  <si>
    <t>Seasonal and spatial variations of water use among riparian vegetation in tropical monsoon region of SW China</t>
  </si>
  <si>
    <t>Buyuan River; floodplain; MixSIAR; stable isotopes; terrace; water use patterns</t>
  </si>
  <si>
    <t>ISOTOPE MIXING MODELS; STABLE-ISOTOPE; SOIL-WATER; SUMMER PRECIPITATION; PLANT; TREES; XISHUANGBANNA; CONNECTIVITY; SEPARATION; ECOSYSTEMS</t>
  </si>
  <si>
    <t>Riparian vegetation is an important inhabitant of numerous forest ecosystems, although it is vulnerable and affected by the changes in climate or microclimate. Due to the fluctuation in rainfall and surface water availability, riparian plants usually exposed to two different seasons throughout the year: a dry season and a rainy season. However, water use patterns among riparian plants are still poorly understood in the tropical monsoon region. In this study, we used stable isotope techniques (delta D and delta O-18) coupled with MixSIAR model to identify the water sources for riparian plants in a tropical forest of SW China. The results showed an apparent seasonal variation in water use patterns for most trees, and the spatial variations were less pronounced between the terrace and floodplain sites. Among most riparian trees, deep soil (below 50cm) was the main water source in the dry season, and shallow soil (above 15cm) was the primary water source during the rainy season. However, there was no change in water source for herbs and other shallow-rooted species with the fluctuation in water availability. This result indicates that shallow-rooted plants (i.e., herbs and seedlings) struggle for their survivability in a riparian ecosystem because of the water scarcity in shallow soil during the dry season. Thus, lower rainfall and/or extended dry period may affect the productivity and sustainability of riparian vegetation under a future climate change scenario.</t>
  </si>
  <si>
    <t>e2085</t>
  </si>
  <si>
    <t>10.1002/eco.2085</t>
  </si>
  <si>
    <t>Garten, CT; Cooper, LW; Post, WM; Hanson, PJ</t>
  </si>
  <si>
    <t>Climate controls on forest soil C isotope ratios in the Southern Appalachian Mountains</t>
  </si>
  <si>
    <t>Appalachian Mountains, Southern; discrimination factors; elevation gradient; forest soil; isotopic fractionation; soil organic carbon (SOC); soil organic matter (SOM); stable isotopes; temperature; effects on delta C-13</t>
  </si>
  <si>
    <t>ORGANIC-MATTER; CARBON-ISOTOPE; THEORETICAL-ANALYSIS; NATURAL ABUNDANCE; TEMPERATE FOREST; C-13 ABUNDANCE; DECOMPOSITION; TURNOVER; STORAGE; CO2</t>
  </si>
  <si>
    <t>A large portion of terrestrial carbon (C) resides in soil organic carbon (SOC). The dynamics of this large reservoir depend on many factors, including climate. Measurements of C-13:C-12 ratios, C concentrations, and C:N ratios at six forest sites in the Southern Appalachian Mountains (USA) were used to explore several hypotheses concerning the relative importance of factors that control soil organic matter (SOM) decomposition and SOC turnover. Mean delta(13)C values increased with soil depth and decreasing C concentrations along a continuum from fresh litter inputs to more decomposed soil constituents. Data from the six forest sites, in combination with data from a literature review, indicate that the extent of change in delta(13)C values from forest litter inputs to mineral soil (similar to 20 cm deep) is significantly associated with mean annual temperature. The findings support a conceptual model of vertical changes in forest soil delta(13)C values, C concentrations, and C:N ratios that are interrelated through climate controls on decomposition. We hypothesize that, if other environmental factors (like soil moisture) are not limiting, then temperature and litter quality indirectly control the extent of isotopic fractionation during SOM decomposition in temperate forest ecosystems.</t>
  </si>
  <si>
    <t>10.1890/0012-9658(2000)081[1108:CCOFSC]2.0.CO;2</t>
  </si>
  <si>
    <t>Tucker, AD; MacDonald, BD; Seminoff, JA</t>
  </si>
  <si>
    <t>Foraging site fidelity and stable isotope values of loggerhead turtles tracked in the Gulf of Mexico and northwest Caribbean</t>
  </si>
  <si>
    <t>Stable isotope; Carbon; Nitrogen; Sulfur; Premise testing; Satellite telemetry; Loggerhead turtle; Caretta caretta; delta C-13; delta N-15; delta S-34</t>
  </si>
  <si>
    <t>FEEDING HABITAT USE; SATELLITE-TRACKING; LIPID EXTRACTION; CARETTA-CARETTA; INDIVIDUAL VARIATION; LEATHERBACK TURTLES; CONTINENTAL-SHELF; DELTA-N-15 VALUES; CHELONIA-MYDAS; GREEN TURTLES</t>
  </si>
  <si>
    <t>We used stable isotope ( delta C-13, delta N-15, delta S-34) analysis in combination with satellite telemetry to evaluate the foraging areas chosen by 88 loggerhead turtles Caretta caretta nesting in southwestern Florida. Nine turtles were tracked and skin-sampled in more than one nesting season to evaluate within-individual consistency in foraging sites and stable isotope values. Turtles migrated to 5 regions: Caribbean, Florida Keys, West Florida Shelf, northern Gulf of Mexico, and Yucatan Peninsula. The stable isotope ratios across these foraging grounds ranged from -21.16 to -7.69 parts per thousand for delta C-13, 3.27 to 13.99 parts per thousand for delta N-15, and 1.91 to 20.64 parts per thousand for delta S-34. We compared bulk skin tissue stable isotope values for all turtles by bioregion, year, body size, depth of putative foraging area, and linear distance from the closest shore; among these factors, only bioregion showed a significant effect on isotope values. There were subtle regional differences in mean delta C-13, delta N-15, and delta S-34, and an apparent north-south isotopic shift aligning strongly with ocean currents adjacent to the Florida Keys. The influence of coastal topography and shifting biogeographic boundaries such as the Loop Current may cause strong ocean water mixing that results in the observed similarities in stable isotope values among regions. These results indicate that stable isotopes alone may be an inadequate tool for identifying fine-scale (&lt; 100 km) residency of sea turtles within this ocean region.</t>
  </si>
  <si>
    <t>10.3354/meps10655</t>
  </si>
  <si>
    <t>Peri, PL; Ladd, B; Pepper, DA; Bonser, SP; Laffan, SW; Amelung, W</t>
  </si>
  <si>
    <t>Carbon (delta C-13) and nitrogen (delta N-15) stable isotope composition in plant and soil in Southern Patagonia's native forests</t>
  </si>
  <si>
    <t>foliar isotope; Nothofagus; rainfall; soil delta C-13; soil delta N-15</t>
  </si>
  <si>
    <t>WATER-USE EFFICIENCY; PARTICLE-SIZE FRACTIONS; N-15 NATURAL-ABUNDANCE; PRECIPITATION GRADIENT; RAINFALL GRADIENT; GLOBAL PATTERNS; HYDRAULIC LIFT; CLIMATE; DISCRIMINATION; TURNOVER</t>
  </si>
  <si>
    <t>Stable isotope natural abundance measurements integrate across several biogeochemical processes in ecosystem N and C dynamics. Here, we report trends in natural isotope abundance (delta C-13 and delta N-15 in plant and soil) along a climosequence of 33 Nothofagus forest stands located within Patagonia, Southern Argentina. We measured 28 different abiotic variables (both climatic variables and soil properties) to characterize environmental conditions at each of the 33 sites. Foliar delta C-13 values ranged from -35.4 parts per thousand to -27.7 parts per thousand, and correlated positively with foliar delta N-15 values, ranging from -3.7 parts per thousand to 5.2 parts per thousand. Soil delta C-13 and delta N-15 values reflected the isotopic trends of the foliar tissues and ranged from -29.8 parts per thousand to -25.3 parts per thousand, and -4.8 parts per thousand to 6.4 parts per thousand, respectively, with no significant differences between Nothofagus species (Nothofagus pumilio, Nothofagus antarctica, Nothofagus betuloides). Principal component analysis and multiple regressions suggested that mainly water availability variables (mean annual precipitation), but not soil properties, explained between 42% and 79% of the variations in foliar and soil delta C-13 and delta N-15 natural abundance, which declined with increased moisture supply. We conclude that a decline in water use efficiency at wetter sites promotes both the depletion of heavy C and N isotopes in soil and plant biomass. Soil delta C-13 values were higher than those of the plant tissues and this difference increased as annual precipitation increased. No such differences were apparent when delta N-15 values in soil and plant were compared, which indicates that climatic differences contributed more to the overall C balance than to the overall N balance in these forest ecosystems.</t>
  </si>
  <si>
    <t>10.1111/j.1365-2486.2011.02494.x</t>
  </si>
  <si>
    <t>Crotty, FV; Blackshaw, RP; Adl, SM; Inger, R; Murray, PJ</t>
  </si>
  <si>
    <t>Divergence of feeding channels within the soil food web determined by ecosystem type</t>
  </si>
  <si>
    <t>Community structure; decomposers; energy channels; food webs; soil ecology; stable isotopes</t>
  </si>
  <si>
    <t>STABLE-ISOTOPE RATIOS; TROPHIC STRUCTURE; NICHE DIFFERENTIATION; CARBON ISOTOPES; BEECH FORESTS; NITROGEN; COMMUNITIES; N-15; LITTER; C-13</t>
  </si>
  <si>
    <t>Understanding trophic linkages within the soil food web (SFW) is hampered by its opacity, diversity, and limited niche adaptation. We need to expand our insight between the feeding guilds of fauna and not just count biodiversity. The soil fauna drive nutrient cycling and play a pivotal, but little understood role within both the carbon (C) and nitrogen (N) cycles that may be ecosystem dependent. Here, we define the structure of the SFW in two habitats (grassland and woodland) on the same soil type and test the hypothesis that land management would alter the SFW in these habitats. To do this, we census the community structure and use stable isotope analysis to establish the pathway of C and N through each trophic level within the ecosystems. Stable isotope ratios of C and N from all invertebrates were used as a proxy for trophic niche, and community-wide metrics were obtained. Our empirically derived C/N ratios differed from those previously reported, diverging from model predictions of global C and N cycling, which was unexpected. An assessment of the relative response of the different functional groups to the change from agricultural grassland to woodland was performed. This showed that abundance of herbivores, microbivores, and micropredators were stimulated, while omnivores and macropredators were inhibited in the grassland. Differences between stable isotope ratios and community-wide metrics, highlighted habitats with similar taxa had different SFWs, using different basal resources, either driven by root or litter derived resources. Overall, we conclude that plant type can act as a top-down driver of community functioning and that differing land management can impact on the whole SFW.</t>
  </si>
  <si>
    <t>10.1002/ece3.905</t>
  </si>
  <si>
    <t>Swap, RJ; Aranibar, JN; Dowty, PR; Gilhooly, WP; Macko, SA</t>
  </si>
  <si>
    <t>Natural abundance of C-13 and N-15 in C-3 and C-4 vegetation of southern Africa: patterns and implications</t>
  </si>
  <si>
    <t>carbon and nitrogen stable isotopes; C-3/C-4 vegetation; isotopic gradient; rainfall gradient; southern Africa</t>
  </si>
  <si>
    <t>ISOTOPIC COMPOSITION; RAINFALL GRADIENT; FOLIAR DELTA-N-15; NITROGEN DYNAMICS; ARIDITY GRADIENT; SOIL-NITROGEN; CARBON; WATER; FOREST; AVAILABILITY</t>
  </si>
  <si>
    <t>The mean annual rainfall in southern Africa is found to explain over half of the observed variance in the stable nitrogen (N) isotopic signatures of C-3 vegetation in southern Africa (r(2)=0.54, P&lt;0.01). The inverse relationship between the stable N isotopic signatures of foliar samples from C-3 vegetation and long-term southern African rainfall is found on a scale larger than previously observed. A modest relationship is found between stable carbon (C) isotopic signatures of C-3 vegetation and rainfall across the region (r(2)=0.20, P&lt;0.01). No such relationship is found between stable C and N isotopic signatures of C-4 vegetation and rainfall. The explanation of the relationship between N-15 in C-3 vegetation and the mean annual rainfall presented here is that nutrient availability varies inversely with water availability. This suggests that water-limited systems in southern Africa are more open in terms of nutrient cycling and therefore the resulting natural abundance of foliar N-15 in these systems is enriched. The use of this relationship may be of value to those researchers modeling both the dynamics of vegetation and biogeochemistry across this region. The use of the isotopic enrichment in C-3 vegetation as a function of rainfall may provide an insight into nutrient cycling across the semi-arid and arid regions of southern Africa. This finding has implications for the study of global change, especially as it relates to vegetation responses to changing regional rainfall regimes over time.</t>
  </si>
  <si>
    <t>10.1111/j.1365-2486.2003.00702.x</t>
  </si>
  <si>
    <t>Lebeda, DD; Lebeda, AM; Flinn, MB</t>
  </si>
  <si>
    <t>Isotopic niches of Silver Carp and two native planktivores in a large reservoir</t>
  </si>
  <si>
    <t>Bigheaded Carps; Asian Carp; Silver Carp; Gizzard Shad; Threadfin Shad; niche overlap; stable isotopes; reservoirs; invasive species; invasion ecology; competition; resource use</t>
  </si>
  <si>
    <t>GIZZARD SHAD; FOOD-WEB; FILTER FEEDERS; KENTUCKY LAKE; COMMON CARP; FISH; OVERLAP; IMPACT; RIVER; COMPETITION</t>
  </si>
  <si>
    <t>Human-mediated biological invasions can greatly reduce native species diversity. More than 138 nonnative fishes have been introduced to the United States. Many of these nonnative species can alter ecosystem dynamics and compete with native species. The planktivorous Silver Carp (Hypophthalmichthys molitrix Valenciennes in Cuvier and Valenciennes, 1844) is a nonnative species of concern that is currently expanding its range across the Greater Mississippi River Basin in the Midwestern United States. The objective of our study was to determine the degree of potential competition among invasive Silver Carp and the native planktivores, Gizzard Shad (Dorosoma cepedianum Lesueur, 1818) and Threadfin Shad (Dorosoma petenense Gunther, 1867), in Kentucky Lake, a large reservoir located in western Kentucky and Tennessee. We used data derived from N and C isotopes to model isotopic niches, calculate quantitative metrics to describe variability within and among isotopic niches and trophic positions, and qualitatively assess seasonal shifts in trophic positions. Our results suggest that in the spring, older (&gt;= 1 y old) Silver Carp share resources with older and young-of-year (YOY; &lt;1 y old) Gizzard Shad, whereas YOY Silver Carp only share resources with YOY Gizzard Shad. Additionally, our analyses showed that older Silver Carp and older Gizzard Shad share resources in the summer. In contrast, we found no overlap in resource use between YOY Threadfin Shad and YOY or older Silver Carp. Furthermore, we provide evidence of intraspecific ontogenetic shifts in isotopic niche area and overlap between invasive and native fishes (measured by sample-size corrected standard ellipse area). If resources become limiting, invasive Silver Carp may compete with multiple life stages of Gizzard Shad in Kentucky Lake and alter foodweb dynamics.</t>
  </si>
  <si>
    <t>10.1086/722054</t>
  </si>
  <si>
    <t>Parvulescu, L; Stoia, DI; Miok, K; Ion, MC; Puha, AE; Sterie, M; Veres, M; Marcu, I; Muntean, MD; Aburel, OM</t>
  </si>
  <si>
    <t>Force and Boldness: Cumulative Assets of a Successful Crayfish Invader</t>
  </si>
  <si>
    <t>behaviour; competition; Faxonius limosus; invasive species; Pontastacus leptodactylus</t>
  </si>
  <si>
    <t>AGONISTIC INTERACTIONS; MITOCHONDRIAL-FUNCTION; PERSONALITY-TRAITS; UNRELIABLE SIGNALS; SIZE; DOMINANCE; INVASION; POPULATIONS; PLASTICITY; NEOPHOBIA</t>
  </si>
  <si>
    <t>Multiple causes can determine the disturbance of natural equilibrium in a population of a species, with a common one being the presence of invasive competitors. Invasives can drive native species to the resettlement of the trophic position, changing reproduction strategies or even daily normal behaviours. Here, we investigated the hypothesis that more effective anatomical features of an intruder (Faxonius limosus) come with increased boldness behaviour, contributing to their invasion success in competition against the native species (Pontastacus leptodactylus). We tested the boldness of specimens representing the two species by video-based assessment of crayfish individuals' attempts to leave their settlement microenvironment. The experiment was followed by a series of measurements concerning chelae biometry, force and muscle energetics. The native species was less expressive in terms of boldness even if it had larger chelae and better muscular tissue performance. In contrast, because of better biomechanical construction of the chelae, the invasive species was capable of twice superior force achievements, which expectedly explained its bolder behaviour. These findings suggest that, in interspecific agonistic interactions, the behaviour strategy of the invasive crayfish species is based on sheer physical superiority, whereas the native crayfish relies on intimidation display.</t>
  </si>
  <si>
    <t>10.3389/fevo.2021.581247</t>
  </si>
  <si>
    <t>Every, SL; Pethybridge, HR; Fulton, CJ; Kyne, PM; Crook, DA</t>
  </si>
  <si>
    <t>Niche metrics suggest euryhaline and coastal elasmobranchs provide trophic connections among marine and freshwater biomes in northern Australia</t>
  </si>
  <si>
    <t>Niche metrics; Sharks; Glyphis; Carcharhinus; Rhizoprionodon; Biotracers; Stable isotopes; Fatty acids</t>
  </si>
  <si>
    <t>INTERPRETING STABLE-ISOTOPES; SHARKS CARCHARHINUS-LEUCAS; WET-DRY TROPICS; FATTY-ACIDS; FOOD WEBS; DISCRIMINATION FACTORS; TRINITY BAY; ECOSYSTEM; TISSUE; DIET</t>
  </si>
  <si>
    <t>Tropical elasmobranchs could play significant roles in connecting coastal and river ecosystems, yet few studies have explored the trophic ecology of elasmobranch species that may link these biomes. We investigated the trophic niches of 7 such species in northern Australia during the tropical monsoonal wet and dry seasons, using stable carbon (delta C-13) and nitrogen (delta N-15) isotopes (SI), and fatty acid (FA) biomarkers taken from muscle tissue. Both SI and FA metrics suggested significant niche partitioning between species, with 2 distinct guilds: a marine food web based on epiphytes and seagrass (low delta C-13), and an estuarine/freshwater food web with a seston base (higher delta C-13). A large overlap in SI niche areas and higher mean trophic positions (4.1-4.8) were evident in species accessing marine diets (Carcharhinus leucas, Rhizoprionodon taylori) when compared with species predominantly feeding in estuaries (3.2-3.6; Glyphis garricki, G. glyphis). Across all seasons, G. garricki had the greatest FA niche space, and variable overlap with 2 other species (R. taylori, C. leucas). Although limited seasonal effects were apparent for individual FA biomarkers, SI niche metrics revealed greater niche areas and inter-specific partitioning during the dry season for 3 species. Subtle differences in niche metrics derived from SI and FAs were likely due to disparate turnover times, and the statistical approach of each metric (2-dimensional versus multi-dimensional). Collectively, our analyses suggest that these tropical coastal and euryhaline elasmobranchs consume prey from a range of sources to provide trophic connections across marine, estuarine and freshwater biomes.</t>
  </si>
  <si>
    <t>10.3354/meps11995</t>
  </si>
  <si>
    <t>Gippet, JMW; Mondy, N; Diallo-Dudek, J; Bellec, A; Dumet, A; Mistler, L; Kaufmann, B</t>
  </si>
  <si>
    <t>I'm not like everybody else: urbanization factors shaping spatial distribution of native and invasive ants are species-specific</t>
  </si>
  <si>
    <t>Urbanization; Global change; Species distribution; Biological invasions; Formicidae; Lasius neglectus</t>
  </si>
  <si>
    <t>HYMENOPTERA-FORMICIDAE; ARTHROPOD COMMUNITIES; METROPOLITAN-AREA; LANDSCAPE ECOLOGY; GARDEN ANT; LAND-USE; URBAN; BIODIVERSITY; ASSEMBLAGES; DIVERSITY</t>
  </si>
  <si>
    <t>Urbanization is a major global change inducing complex and multiple modifications of landscapes and ecosystems. The spatial distributions of organisms experiencing these modifications will likely shift specifically, depending on each species' response to each environmental modification induced by urbanization. We sampled two ant genera (Lasius and Tetramorium) at 1248 locations along an urbanization gradient in Lyon, France and used high resolution spatial layers for 18 spatial (e.g., open habitat fragmentation, bio-climatic data and surface temperatures) and temporal (e.g., comparison of Normalized Difference Vegetation Index between 1986 and 2015) environmental variables associated with urbanization. Coupling two different analytical methods (Outlying Mean Index and Boosted Regression Trees), we showed that each species' distribution was influenced by its own combination of environmental factors. Two morphologically cryptic Tetramorium species (T. sp.E and T. sp.U2) were both highly abundant but with opposite responses to urbanization: while T. sp.E was favored by urbanized habitat, T. sp.U2 avoided urbanized areas. Among Lasius species, we detected 63 occurrences of the invasive ant Lasius neglectus, the distribution of which was favored only by embankments along roads. We found that, even at this reduced spatial scale, climatic effects influenced most species and interacted with urbanization factors.</t>
  </si>
  <si>
    <t>10.1007/s11252-016-0576-7</t>
  </si>
  <si>
    <t>Litz, MNC; Miller, JA; Copeman, LA; Hurst, TP</t>
  </si>
  <si>
    <t>Effects of dietary fatty acids on juvenile salmon growth, biochemistry, and aerobic performance: A laboratory rearing experiment</t>
  </si>
  <si>
    <t>Lipids; Lipid classes; Fatty acids; Stable isotopes; Turnover rate; Discrimination value; Critical swimming speed; Fasting</t>
  </si>
  <si>
    <t>POLLOCK THERAGRA-CHALCOGRAMMA; SIZE-SELECTIVE MORTALITY; EARLY MARINE RESIDENCE; CHINOOK SALMON; ONCORHYNCHUS-TSHAWYTSCHA; DOCOSAHEXAENOIC ACID; STABLE-ISOTOPES; PERIOD HYPOTHESIS; TROPHIC STRUCTURE; ONTOGENIC SHIFTS</t>
  </si>
  <si>
    <t>A three-phase experiment measured the effects of prey quality and fasting on juvenile Chinook salmon (Oncorhynchus tshawytscha) performance. The first phase was designed to evaluate the effect of dietary levels of two essential fatty acids, docosahexaenoic acid (DHA) and eicosapentaenoic acid (EPA), on salmon growth. Salmon were reared for 12 weeks on three diets varying in proportions of krill (Thysanoessa spinifera and Euphausia pacifica) and northern anchovy (Engraulis mordax). Supplements of DHA and EPA were added to the formulated diets to achieve DHA:EPA ratios (0.6, 0.9, and 1.5) representative of naturally occurring prey. Growth rates over 12 weeks were not significantly different among diet treatments, which may be because DHA and EPA were provisioned at or above minimum requirements. Salmon maintained DHA at high levels (&gt; 20% of total fatty acids) across all treatments and sampling periods, whereas EPA reflected dietary concentrations after 12 weeks. Fatty acids were incorporated into salmon muscle at varying rates but on average reflected diet after 1 to 2 months, similar to bulk stable isotopes of carbon and nitrogen. The second phase of the experiment was designed to evaluate fasting effects on salmon size, growth, and lipid storage over 4 weeks. Fed fish were heavier, grew faster, and had significantly more storage lipids than fasted fish. The third phase was designed to evaluate aerobic performance in fasted fish. Critical swim speeds were found to be positively related to salmon body size and storage lipids, but not prior diet quality, evidence that larger salmon with higher energy reserves may be better suited for overwinter survival due to their ability to swim faster than smaller leaner individuals. These results provide mechanistic support for the idea that body condition prior to the first ocean winter is important for juvenile salmon survival.</t>
  </si>
  <si>
    <t>10.1016/j.jembe.2017.04.007</t>
  </si>
  <si>
    <t>Wood, TJ; Roberts, SPM</t>
  </si>
  <si>
    <t>An assessment of historical and contemporary diet breadth in polylectic Andrena bee species</t>
  </si>
  <si>
    <t>Agricultural intensification; Pollen preferences; Agri-environment schemes; Hedgerows; Rosaceae; Pollen mixing; Toxic pollen</t>
  </si>
  <si>
    <t>SOLITARY BEES; POLLEN; HYMENOPTERA; SPECIALIZATION; POLLINATORS; PLANTS; BUMBLEBEES; EVOLUTION; DECLINES; HABITAT</t>
  </si>
  <si>
    <t>The loss of key forage plants and a narrow pollen diet have both been implicated in the decline of wild bees over the past 70 years. These ideas have been studied extensively in recent years in bumblebees (Bombus spp.), but have rarely been investigated in other bee groups, due in part to a lack of detailed ecological data for many species of wild bee. Chambers (1968) extensively documented pollen preferences in bees from the genus Andrena collected in Bedfordshire, UK, during the 1940s, before the period of rapid agricultural intensification following the Second World War. This extensive dataset allows for the importance of diet breadth in modifying the response of bees to environmental change to be investigated in a common and widespread but understudied genus of bees. We compared the pollen preferences of a suite of Andrena species collected in the 1941-1949 period with a similar suite of Andrena species collected between 1985 and 2016. Relative diet breadth was consistent across studied species between the historical and contemporary period. However, dietary composition changed with a shift away from Rosaceae and towards Brassicaceae. The reduction in the collection of Rosaceae pollen was more pronounced in spring-flying than summer-flying Andrena, which may be due to a reduction in the length and quality of hedgerow habitats and hence spring-flowering woody Rosaceae present in the countryside, and an increase in the availability of the mass-flowering crop oilseed rape (Brassica napus). Both historical and contemporary diet breadth were significant positive predictors of how frequently Andrena species are encountered on contemporary farmland, with those species with a relatively wider diet present on the majority of farms. These findings support the idea that inherent differences in diet breadth mediate the ability of bee species to respond to changes in resource availability resulting from agricultural intensification. A more detailed understanding of species-level characteristics can help improve our understanding of why seemingly similar species respond very differently to environmental change.</t>
  </si>
  <si>
    <t>10.1016/j.biocon.2017.09.009</t>
  </si>
  <si>
    <t>Muto, EY; Soares, LSH; Sarkis, JES; Hortellani, MA; Petti, MAV; Corbisier, TN</t>
  </si>
  <si>
    <t>Biomagnification of mercury through the food web of the Santos continental shelf, subtropical Brazil</t>
  </si>
  <si>
    <t>Stable isotopes; Marine pollution; Trophodynamics; Southwest Atlantic</t>
  </si>
  <si>
    <t>VICENTE ESTUARINE SYSTEM; STABLE-ISOTOPE ANALYSIS; SAO-PAULO STATE; NITROGEN ISOTOPE; TROPHIC RELATIONSHIPS; TRACE-ELEMENTS; SPATIOTEMPORAL VARIATIONS; NORTHWATER POLYNYA; OCTOPUS-VULGARIS; OFFSHORE WATERS</t>
  </si>
  <si>
    <t>This study was conducted on the continental shelf surrounding a large metropolitan region on the coast of Sao Paulo State, Southeast Brazil. This region harbours a large industrial plant and the largest port in Latin America, both of which release pollutants into the Santos-Sao Vicente estuarine system. High levels of Hg have been reported in sediments and fish from the estuaries and Santos Bay; however, data for the biota in offshore waters are scarce, and the biomagnification of Hg across the food web here has never been assessed. In this study, the trophic structure of the Santos shelf was addressed through the carbon and nitrogen stable isotope compositions of different species across a trophic gradient. We determined the total Hg levels (THg, dry weight) of invertebrates and fish to estimate the rate of biomagnification of this metal in the benthic and pelagic food webs. The lowest mean THg levels were found in zooplankton (0.006 mu g g(-1)) and surface-depositivore polychaetes (0.011 mu g g(-1)); the highest THg levels were found in the largest fishes: Patagonian flounder (0.825 mu g g(-1)), fat snook (0.714 mu g g(-1)), and lesser guitarfish (0.639 mu g g(-1)). Overall, the Hg concentration in fish was below the recommended limit for human consumption. The THg and delta N-15 were positively correlated in both food webs; however, the rate of biomagnification was higher and the basal Hg was lower in the pelagic food web. These differences may be related to the differing bioavailability of mercury in water and sediment, the higher diversity of prey and more complex feeding interactions in the benthic food web, and metabolic differences among different taxa.</t>
  </si>
  <si>
    <t>10.3354/meps10892</t>
  </si>
  <si>
    <t>Wilk-Wozniak, E; Amirowicz, A; Pociecha, A; Gasiorowski, M</t>
  </si>
  <si>
    <t>The effect of water balance of a man-made lacustrine ecosystem on the food web: does flushing affect the carbon signature of plankton and benthos?</t>
  </si>
  <si>
    <t>carbon; dam reservoir; human impact; stable isotopes</t>
  </si>
  <si>
    <t>TERRESTRIAL ORGANIC-MATTER; STABLE-ISOTOPE SIGNATURES; LAKE; ZOOPLANKTON; DELTA-C-13; NITROGEN; PLANTS; VARIABILITY; INDICATORS; HYDROGEN</t>
  </si>
  <si>
    <t>Reservoir ecosystems may be supported by considerable input of organic matter originating from the catchment. Thus, the current proportion of allochthonous and autochthonous organic matter available to reservoir biota will be affected by changes in the flushing rate. In a medium-sized submontane reservoir, we examined reaction of the delta C-13 isotopic signature of fine (10-50 mu m) and coarse (&gt; 50 mu m) fractions of the seston, and of benthic invertebrates, to the reservoir flushing rate. The delta C-13 signatures of samples varied, and spatially delta C-13 increased significantly down-reservoir in all instances, becoming less similar to the carbon signature of organic matter of terrestrial origin. Two distinct trends in the correlation between delta C-13 and flushing rate were identified as follows: (1) fine seston tended to become more C-13-depleted and therefore similar to the carbon signature of terrestrial organic matter; and (2) the C-13 signature of coarse seston became enriched with increasing flushing, and also tended to become closer to values of terrestrial organic matter. Benthic assemblages did not display any clear association with flushing rates. Such reactions in different components of the food web to allochthonous carbon input and the rate of reservoir flushing may be a common feature of other comparable Central European reservoirs and an important characteristic of their carbon cycles. Copyright (C) 2015 John Wiley &amp; Sons, Ltd.</t>
  </si>
  <si>
    <t>10.1002/eco.1672</t>
  </si>
  <si>
    <t>Faletti, ME; Stallings, CD</t>
  </si>
  <si>
    <t>Life history through the eyes of a hogfish: trophic growth and differential juvenile habitat use from stable isotope analysis</t>
  </si>
  <si>
    <t>Ontogeny; Sclerochronology; Connectivity; Carbon; Nitrogen; Reef fish</t>
  </si>
  <si>
    <t>EASTERN GULF; LACHNOLAIMUS-MAXIMUS; FISH POPULATIONS; MARINE NURSERIES; EPIPHYTIC ALGAE; CARBON ISOTOPES; SEAGRASS BEDS; BLUEFIN TUNA; RECRUITMENT; ESTUARINE</t>
  </si>
  <si>
    <t>Understanding ontogenetic linkages among fish habitats is critical for conservation of fish populations and the ecosystems on which they rely. Natural tags such as stable isotopes are effective for investigating ecological questions regarding fish movement and habitat use. We analyzed stable isotopes from sequentially deposited laminae of hogfish Lachnolaimus maxim us eye lenses from the eastern Gulf of Mexico (eGOM) to investigate trophic and geographic changes across individual life histories. We documented evidence of 1 to 2 step trophic level increases through delta N-15 increases. We also observed depth separation at the juvenile stage, evidenced by delta C-13 variation early in life. These results suggest that adult hogfish in deeper habitats likely inhabited deeper juvenile habitats (i.e. nearshore reefs), while adult hogfish inhabiting shallower adult habitats likely used shallower juvenile habitats (i.e. estuaries). This novel finding for eGOM hogfish contradicts prior literature that solely discusses seagrass as juvenile habitat. We used muscle tissue isotopes to characterize juvenile hogfish habitats and linear discriminant function analysis (LDA) to determine the habitats previously inhabited by adults in this study. The LDA revealed Cedar Key as the most used juvenile hogfish habitat in this study, but more evidence is needed to determine its status as a nursery. This study provides the first evidence for ontogenetic migration of individual hogfish using natural tags as tracers and demonstrates a mechanism for identifying juvenile habitats based on eye lens stable isotope analysis. Identifying ontogenetic patterns and habitat use can help to better conserve stocks and essential fish habitats.</t>
  </si>
  <si>
    <t>10.3354/meps13671</t>
  </si>
  <si>
    <t>Nehemy, MF; Benettin, P; Allen, ST; Steppe, K; Rinaldo, A; Lehmann, MM; McDonnell, JJ</t>
  </si>
  <si>
    <t>Phloem water isotopically different to xylem water: Potential causes and implications for ecohydrological tracing</t>
  </si>
  <si>
    <t>phloem water; stable isotopes; stem water storage; tree water relations; tree water source; tree water status; xylem water</t>
  </si>
  <si>
    <t>STEM RADIUS CHANGES; HYDRAULIC CONDUCTANCE; ISOTOPE COMPOSITION; DIAMETER VARIATIONS; MESOPOROUS SILICA; RICINUS-COMMUNIS; PLANT WATER; DYNAMICS; TREES; TRANSPORT</t>
  </si>
  <si>
    <t>The stable isotopes of hydrogen and oxygen in xylem water are often used to investigate tree water sources. But this traditional approach does not acknowledge the contribution of water stored in the phloem to transpiration and how this may affect xylem water and source water interpretations. Additionally, there is a prevailing assumption that there is no isotope fractionation during tree water transport. Here, we systematically sampled xylem and phloem water at daily and subdaily resolutions in a large lysimeter planted with Salix viminalis. Stem diurnal change in phloem water storage and transpiration rates were also measured. Our results show that phloem water is significantly less enriched in heavy isotopes than xylem water. At subdaily resolution, we observed a larger isotopic difference between xylem and phloem during phloem water refilling and under periods of tree water deficit. These findings contrast with the expectation of heavy-isotope enriched water in phloem due to downward transport of enriched leaf water isotopic signatures. Because of previous evidence of aquaporin mediated phloem and xylem water transport and higher osmotic permeability of lighter hydrogen isotopologues across aquaporins, we propose that radial water transport across the xylem-phloem boundary may drive the relative depletion of heavy isotopes in phloem and their relative enrichment in xylem.</t>
  </si>
  <si>
    <t>e2417</t>
  </si>
  <si>
    <t>10.1002/eco.2417</t>
  </si>
  <si>
    <t>Simonin, KA; Link, P; Rempe, D; Miller, S; Oshun, J; Bode, C; Dietrich, WE; Fung, I; Dawson, TE</t>
  </si>
  <si>
    <t>Vegetation induced changes in the stable isotope composition of near surface humidity</t>
  </si>
  <si>
    <t>d-excess; water isotopes; transpiration; water cycling</t>
  </si>
  <si>
    <t>LEAF WATER; SAP FLOW; DIURNAL-VARIATION; EVAPORATION; PLANT; TRANSPIRATION; OXYGEN; VAPOR; SOIL; EVAPOTRANSPIRATION</t>
  </si>
  <si>
    <t>Obtaining the d-excess parameter from oxygen and hydrogen stable isotope composition of meteoric waters has the potential power to reconstruct changes in atmospheric water pools (e,g. sources, origins and overall balance) and the climatic conditions that prevail during surface evaporation. Recently, plant and ecosystem scientists turned their attention using d-excess information to inform questions at these scales. Here, we use the d-excess parameter to evaluate the influence of forest canopies on atmospheric humidity within a mixed evergreen forest in coastal California. We found that during the day, when transpiration was at a maximum, the d-excess of atmospheric water vapour exceeded model predictions for the background atmosphere into which the ecosystem evapotranspiration mixes. At night when transpiration was minor, the d-excess of atmospheric water vapour was on average less than model predictions for an ocean derived water vapour source. The observed diurnal fluctuations around the d-excess of the modelled background water vapour provided a strong evidence that during the day as the land surface warms and the boundary layer grows plants alter the isotope composition of atmospheric humidity via non-steady state isotope effects. In contrast, at night equilibrium isotope effects dominate as the atmosphere stabilizes. These day and nighttime fluctuations around the d-excess of ocean derived water vapour highlight the importance of plant transpiration for the isotope hydrology of near surface humidity and subsequently for the isotope composition of condensate like dew, an important water input to this ecosystem. Copyright (c) 2013 John Wiley &amp; Sons, Ltd.</t>
  </si>
  <si>
    <t>10.1002/eco.1420</t>
  </si>
  <si>
    <t>Cremona, F; Timm, H; Agasild, H; Tonno, I; Feldmann, T; Jones, RI; Noges, T</t>
  </si>
  <si>
    <t>Benthic foodweb structure in a large shallow lake studied by stable isotope analysis</t>
  </si>
  <si>
    <t>carbon and nitrogen stable isotopes; benthic food webs; Lake Vortsjarv; macroinvertebrates; carbon source; methane-oxidizing bacteria; trophic levels</t>
  </si>
  <si>
    <t>EUTROPHIC LAKE; TEMPERATE LAKE; SUBMERGED MACROPHYTES; BIOGENIC METHANE; WATER LAKES; CARBON; DELTA-N-15; PHYTOPLANKTON; NITROGEN; FISH</t>
  </si>
  <si>
    <t>The benthic foodweb structure of Lake Vortsjarv, a large (270 km(2)), shallow, and turbid Estonian lake, was evaluated based on C and N stable-isotope signatures (delta C-13, delta N-15). Variation in delta C-13 between sampling sites was not related to site proximity to the littoral zone or the more vegetated southern part of the lake, but rather appeared to be influenced by in-situ site peculiarities. delta C-13 was stable temporally and between functional feeding groups, a result implying that the whole benthic food web of the lake relies largely on the same C source admixture, essentially particulate organic matter (POM). Thus, the foodweb composition of Lake Vortsjarv is remarkably homogeneous given the lake's large surface area. Apparent trophic-level delta N-15 fractionation between total collectors and total predators (mean 1.7 parts per thousand) was lower than the value of 3.4 parts per thousand generally adopted in foodweb studies, but the higher value was valid for specific prey-predator links. The low delta C-13 signature of some chironomid samples indicated probable assimilation of methane-oxidizing bacteria (MOB) by these sediment-dwelling invertebrates. However, the lack of similar C-13 depletion in benthic filterers (mussels) indicated that the MOB layer is essentially confined to the sediments and does not reach the water column, which probably constrains transfer of methane-derived C through the food web to fish in this lake. Our study demonstrates that the benthic food web of shallow turbid lakes like Vortsjarv is simplified and is mostly sustained by phytoplanktonic C sources.</t>
  </si>
  <si>
    <t>10.1086/677540</t>
  </si>
  <si>
    <t>Cristol, DA; Smith, FM; Varian-Ramos, CW; Watts, BD</t>
  </si>
  <si>
    <t>Mercury levels of Nelson's and saltmarsh sparrows at wintering grounds in Virginia, USA</t>
  </si>
  <si>
    <t>Chesapeake Bay; Mercury; Nelson's sparrow; Saltmarsh sparrow; Stable isotopes; Wintering ground</t>
  </si>
  <si>
    <t>CARSON RIVER; BIRDS; EXPOSURE</t>
  </si>
  <si>
    <t>Nelson's and saltmarsh sparrows (Ammodramus nelsoni and A. caudacutus) have recently been recognized as separate species, and because of their limited distributions and the susceptibility of their wetland habitats to climate change, these two new species are of conservation concern. Both species are known to bioaccumulate mercury at breeding sites in New England, USA where their ranges overlap, with the saltmarsh sparrow reported to have twice the concentration of blood total mercury. In this study we sampled both species on their shared wintering grounds, and documented that mercury exposure is lower than that reported for the breeding range, with saltmarsh sparrow blood mercury 2.6 times higher than in Nelson's sparrow. Feather mercury, which is incorporated on the breeding grounds, confirmed that saltmarsh sparrows had incorporated 2.3 times more mercury than Nelson's sparrows during the previous breeding season. A comparison of stable isotopes of nitrogen and carbon suggests that the higher exposure of saltmarsh sparrows may be not due to feeding at a higher trophic level, as previously hypothesized, but rather could be related to a difference in the carbon source at the base of each species' food chain. This study, along with recently published data from both species on additional breeding and wintering grounds, provides a more complete picture of relative mercury exposure. Saltmarsh sparrows are exposed to mercury levels that warrant concern, with the highest exposure being during the breeding season. Areas set aside for the long-term conservation of this species should be carefully assessed for mercury bioaccumulation.</t>
  </si>
  <si>
    <t>10.1007/s10646-011-0710-5</t>
  </si>
  <si>
    <t>McCluskey, SM; Sprogis, KR; London, JM; Bejder, L; Loneragan, NR</t>
  </si>
  <si>
    <t>Foraging preferences of an apex marine predator revealed through stomach content and stable isotope analyses</t>
  </si>
  <si>
    <t>Bottlenose dolphin; Diet; Foraging ecology; Predator-prey dynamics; Tursiops aduncus; Trophic ecology; Stomach content analyses; Stable isotopes</t>
  </si>
  <si>
    <t>BOTTLE-NOSED DOLPHINS; TURSIOPS-TRUNCATUS; FEEDING ECOLOGY; FOOD-WEB; DISCRIMINATION FACTORS; PREY DISTRIBUTION; HARBOR PORPOISES; SMALL CETACEANS; TOP PREDATORS; PHOCID SEALS</t>
  </si>
  <si>
    <t>Insights into the food habits of predators are essential for maintaining healthy predator populations and the functioning of ecosystems. Stomach content and stable isotope analyses were used to investigate the foraging habits of an apex predator, the Indo-Pacific bottlenose dolphin (Tursiops aduncus) in south-western Australia. A total of 2,594 prey items from 26 families were identified from the stomachs of 10 deceased stranded dolphins. Fish otoliths from stomach contents were used to identify fish to family or species level. Ninety-three percent of identified stomach contents were perciforme fishes, however, perciformes comprised only 30% of the catch during prey sampling. Gobiidae species, small fish generally &lt;100 mm in total length, were the most prevalent family identified in dolphin stomachs, accounting for 82% of identified prey, yet Gobiidae accounted for 12.7% of the catch during prey sampling. For stable isotope analyses, tissue samples from 14 free ranging dolphins were analyzed for nitrogen (delta N-15) and carbon (delta C-13) ratios. From stable isotope analyses and boat-based dolphin photo-identification surveys (n = 339, 2007-2011), results indicated niche differentiation between coastal and inshore (bay and estuarine habitat) dolphins. Carbon signatures showed that coastal dolphins had a more pelagic diet compared to a benthic diet observed in the inshore dolphins. Whereas, nitrogen signatures of inshore dolphins showed higher nitrogen levels than coastal dolphins, likely attributed to feeding on enriched prey typical of estuarian environments. Overall, these results indicated that bottlenose dolphins in the study area were selective foragers and that their foraging is specialized by the habitats most frequently used. (c) 2020 The Authors. Published by Elsevier B.V. This is an open access article under the CC BY-NC-ND license (http://creativecommons.org/licenses/by-nc-nd/4.0/).</t>
  </si>
  <si>
    <t>e01396</t>
  </si>
  <si>
    <t>10.1016/j.gecco.2020.e01396</t>
  </si>
  <si>
    <t>Winemiller, KO; Zeug, SC; Robertson, CR; Winemiller, BK; Honeycutt, RL</t>
  </si>
  <si>
    <t>Food-web structure of coastal streams in Costa Rica revealed by dietary and stable isotope analyses</t>
  </si>
  <si>
    <t>Central America; detritus; fishes; macro-invertebrate; migration; omnivory; periphyton; production source; shrimp; trophic position</t>
  </si>
  <si>
    <t>FRESH-WATER; NEOTROPICAL STREAM; TROPHIC POSITION; PUERTO-RICO; COMMUNITY STRUCTURE; AQUATIC CONSUMERS; TROPICAL STREAMS; ELEOTRID FISHES; ALGAL BIOMASS; FOREST STREAM</t>
  </si>
  <si>
    <t>Food webs of streams draining tropical rain forests on Costa Rica's Pacific and Caribbean coasts were examined in the 1980s via dietary analyses, and the same streams were surveyed again in 2004 to compare trophic structure based on analysis of stable isotope ratios of fish, macro-invertebrate and plant tissues. Estimates of species' trophic positions (TP) were calculated from stomach-contents data (51 species; 5420 specimens) and compared with TP estimates derived from analysis of nitrogen isotope ratios (82 taxa; 240 samples). Coefficients of determination for TP based on dietary versus isotopic analysis ranged from 0.18 (Quebrada Camaronal, Corcovado) to 0.73 (Quebrada Estacion, Tortuguero). Consumer taxa within all four streams spanned a broad range of carbon isotope values, indicating assimilation of variable proportions of carbon from periphyton and terrestrial vegetation that in all but one of the streams had similar delta C-13 values. Approximately half the consumers in all four streams had carbon ratios heavier than any of the in situ production sources examined. This pattern could be explained by consumption of other production sources that were not sampled, including periphyton taxa with variable carbon isotope signatures, or migration of prey and/or consumers between these freshwater and coastal marine habitats.</t>
  </si>
  <si>
    <t>10.1017/S0266467411000277</t>
  </si>
  <si>
    <t>Takahashi, A; Thiebot, JB; Will, A; Tsukamoto, S; Merkel, B; Kitaysky, A</t>
  </si>
  <si>
    <t>Breeding together, wintering an ocean apart: Foraging ecology of the northern Bering Sea thick-billed and common murres in years of contrasting sea-ice conditions</t>
  </si>
  <si>
    <t>Corticosterone; Diving; Migration; Seabird; Stable isotopes</t>
  </si>
  <si>
    <t>LINK FOOD AVAILABILITY; URIA-LOMVIA; HABITAT USE; SEABIRD; SEGREGATION; DYNAMICS; NITROGEN; BEHAVIOR; CARBON; ZOOPLANKTON</t>
  </si>
  <si>
    <t>Assessing impacts of environmental change on Arctic-breeding seabirds requires a better understanding of their year-round movement and foraging ecology. Here we examined the post-breeding movements and diving behavior of thick-billed (Uria lomvia) and common murres (U. aalge) breeding on St. Lawrence Island, northern Bering Sea, by using geolocators deployed in 2016 (n = 3, per species). During 2016?2019, we examined foraging niches and exposure to nutritional stress by using stable isotope signatures and corticosterone titers of blood and feather tissues (n = 60?96, per species). We found that thick-billed murres migrated to the Chukchi Sea in the fall and wintered in the western North Pacific, whereas common murres stayed in the eastern Bering Sea in the fall and wintered in the eastern North Pacific. Nutritional stress levels of breeding common murres were higher in 2017?2019, the period of historic low winter sea-ice extent, than in 2016. Higher nutritional stress levels of post-breeding thick-billed murres were associated with lower fall sea-ice extent in the Chukchi Sea. These results indicate that the loss of sea-ice might negatively affect murres breeding in the Pacific Arctic. Divergent migratory connectivity between the two murre species might also lead to different conservation threats both inside and outside the Arctic.</t>
  </si>
  <si>
    <t>10.1016/j.polar.2020.100552</t>
  </si>
  <si>
    <t>Cazau, M; Garel, M; Maillard, D</t>
  </si>
  <si>
    <t>Responses of Heather Moorland and Mediterranean Mouflon Foraging to Prescribed-Burning and Cutting</t>
  </si>
  <si>
    <t>diet forage quality; habitat improvement; mechanical cutting; open-landscape restoration; Ovis gmelini musimon x Ovis sp.; mouflon; prescribed burning; scan sampling</t>
  </si>
  <si>
    <t>MOUNTAIN SHEEP; BIGHORN SHEEP; OVIS-GMELINI; FIRE; POPULATION; MANAGEMENT; NUTRITION; ECOLOGY; WINTER; DIET</t>
  </si>
  <si>
    <t>We assessed the effects of prescribed burning and cutting on mouflon (Ovis gmelini musimon x Ovis sp.) spring habitat using an experimental design (17.28 ha) of 2 burned, 2 cut, and 2 untreated plots within a homogeneous stand dominated by heather (Erica cinerea and Calluna vulgaris). Overall, we found a shift in treated plots from ligneous species to herbaceous species with high digestive and energetic values for mouflon. We also found a consistently higher number of mouflon feeding on these treated habitats compared to untreated plots. Such effects were still apparent 4 years after habitat modifications. Our approaches could be used by managers to improve and maintain the range of mouflon populations experiencing habitat loss (e. g., woody plant encroachment) and for which the condition of an animal has often a high economical value through trophy hunting. (C) 2011 The Wildlife Society.</t>
  </si>
  <si>
    <t>10.1002/jwmg.117</t>
  </si>
  <si>
    <t>Otieno, NE; Butler, M; Pryke, JS</t>
  </si>
  <si>
    <t>Fallow fields and hedgerows mediate enhanced arthropod predation and reduced herbivory on small scale intercropped maize farms-813C and 815N stable isotope evidence</t>
  </si>
  <si>
    <t>Trophic linkages; Crop protection; Habitat heterogeneity; Maize; Stable isotopes; Biocontrol; Tropical farming</t>
  </si>
  <si>
    <t>BIOLOGICAL-CONTROL; NATURAL ENEMIES; AGRICULTURAL LANDSCAPES; SEMINATURAL HABITATS; INSECT PESTS; MANAGEMENT; DIVERSITY; BIODIVERSITY; SPILLOVER; SPIDERS</t>
  </si>
  <si>
    <t>Fallow fields and hedgerows enhance agricultural landscape heterogeneity and boost predatory arthropod di-versity, though there is little direct quantitative evidence of their value in mediating pest suppression. Here, stable isotope analyses were used to quantify the influence of fallow field presence, fallow size proportion of farms, hedgerow volume and hedgerow type, on arthropod pest consumption by six predatory taxa. Levels of herbivory by four arthropod taxa on three vegetation groups: maize, beans and non-crops - were also considered. This was achieved through mixing model analysis with 813C and 815N stable isotope to identify and estimate food-source proportions incorporated into tissues of arthropod consumers collected from ten maize farms intercropped with beans in western Kenya. Fallow fields' presence supported predation on Lepidopteran her-bivores by attracting predatory bugs and wasps, and mediated lower herbivory levels. Fallow size proportion corresponded to higher taxa-level predation by ants and spiders on phytophagous beetles, and overall increase in bean herbivory, but predicted no difference in maize or non-crop herbivory. Higher hedgerow volumes did not affect overall predation pressure, but supported increased bean herbivory by Lepidoptera, and lower maize consumption by Orthoptera. Exotic hedgerows supported highest wasp predation on Lepidoptera while spiders consumed significantly more Orthoptera and phytophagous beetle pests on indigenous-hedgerow farms. Simi-larly, exotic hedgerows corresponded to enhanced Lepidoptera bean herbivory while trophic linkage of maize and non-crops to pests overall, were stronger with indigenous hedgerows. Thus, in addition to thicker hedgerows, predatory spillover impacts of wasps, bugs and beetles can be enhanced with fallow presence and exotic hedgerows, and that of spiders and ants, with larger fallows. Overall, the choice, combination and application of farm habitat structural features to maximize predatory arthropods' contributions to pest biocontrol requires knowledge of focal crops, dominant pest groups and their most important predators. The findings demonstrate that fallow fields and hedgerows are significant in supporting the biological component of integrated crop pest management.</t>
  </si>
  <si>
    <t>10.1016/j.agee.2023.108448</t>
  </si>
  <si>
    <t>Genier, CSV; Guglielmo, CG; Hobson, KA</t>
  </si>
  <si>
    <t>Combining bulk stable H isotope (delta H-2) measurements with fatty acid profiles to examine differential use of aquatic vs. terrestrial prey by three sympatric species of aerial insectivorous birds</t>
  </si>
  <si>
    <t>aerial insectivore; diet quality; stable hydrogen isotopes; fatty acids; nutritional landscapes</t>
  </si>
  <si>
    <t>DIET; SUBSIDIES; HYDROGEN; PERFORMANCE; ABUNDANCE; DECLINE; RATIOS; EXPORT; WATER</t>
  </si>
  <si>
    <t>Aerial insectivorous songbirds such as swallows and martins have declined substantially in North America in recent decades. Aquatic-emergent insects provide more beneficial omega-3 fatty acids than terrestrial insects, and thus, diet quality is expected to vary among aerial insectivores with differential access to aquatic-emergent insects. We compared the stable hydrogen isotope (delta H-2) values of feathers and bulk blood plasma fatty acids of nestling purple martins (Progne subis), tree swallows (Tachycineta bicolor), and barn swallows (Hirundo rustica), at lakeshore and inland sites near Lake Erie, Ontario, Canada. We found that diet quality differed between inland and lakeshore nesting habitats, but differences depended on species. Overall, purple martin and tree swallow nestlings had lower feather delta H-2 values, indicating a more aquatic-emergent diet, and lakeshore populations of both species had higher omega-3 fatty acid levels in their blood plasma compared to inland populations. Conversely, higher plasma levels of omega-6 fatty acids were found in inland birds. Tree swallows have a low omega-3 conversion efficiency from precursor substrates and so depend on aquatic subsidies to fulfill their nutritional needs. We suggest this may also be the case with purple martins. Barn swallows had the most positive feather delta H-2 values, regardless of proximity to the lakeshore, indicating a more terrestrial diet. However, barn swallow nestlings had consistently higher plasma omega-3 docosahexaenoic acid (DHA) regardless of nesting location, suggesting that barn swallows can efficiently convert omega-3 precursors into their beneficial elongated fatty acid chains. Our study indicates the benefit of combining plasma fatty acid compositional analyses with bulk feather delta H-2 values to decipher interspecific differences in adaptations to availability of aquatic-emergent insects.</t>
  </si>
  <si>
    <t>10.3389/fevo.2022.1006928</t>
  </si>
  <si>
    <t>Trophic relationship between the parasitic isopod ichthyoxenus japonensis and the fish carassius auratus auratus as revealed by stable isotopes</t>
  </si>
  <si>
    <t>FOOD-WEB STRUCTURE; DELTA-N-15; CARBON; LAKE; FRACTIONATION; DELTA-C-13; NITROGEN; ENRICHMENT; ASSOCIATION; PATTERNS</t>
  </si>
  <si>
    <t>Stable carbon and nitrogen isotope analysis was used to investigate the host-parasite trophic relationship between the parasitic isopod Ichthyoxenus japonensis and one of its freshwater fish host Carassius auratus auratus from Lake Fuxian, China. No significant differences in delta C-13 and delta N-15 were observed between the heterosexual pairs of I. japonensis in the same host. delta C-13 and delta N-15 of I. japonensis were significantly lower than those of its host fish, and the isotopic ratios of the isopod increased with the increase of host fish isotopic signatures. Unlike isotopic fractionation patterns generally observed among consumers and their diets, isopod parasite was delta C-13 and N-15 depleted relative to the muscle tissue of this host fish. Differential isotopic fractionation patterns in the isopod parasite and the fish may be attributed to differences in parasite and host metabolism.</t>
  </si>
  <si>
    <t>10.1080/02705060.2007.9665055</t>
  </si>
  <si>
    <t>Trueman, CN; MacKenzie, KM; Glew, KS</t>
  </si>
  <si>
    <t>Stable isotope-based location in a shelf sea setting: accuracy and precision are comparable to light-based location methods</t>
  </si>
  <si>
    <t>assignment; connectivity; geolocation; isoscape; marine; migration; provenance; spatial</t>
  </si>
  <si>
    <t>SCALE SPATIAL VARIATION; NORTH-SEA; DELTA-N-15; DELTA-C-13; ISOSCAPES; FISH; MOVEMENTS; JELLYFISH; PATTERNS; CARBON</t>
  </si>
  <si>
    <t>1. Retrospective determination of location for marine animals would facilitate investigations of migration, connectivity and food provenance. Predictable spatial variations in carbon and nitrogen isotopes in primary production across shelf seas provide a basis for stable isotope-based location. Here, we assess the accuracy and precision that can be obtained through dietary-isotope-based location methods. We build isoscapes from jellyfish tissues and use these to assign scallops of fixed and known individual location, and herring with well-understood population-level distributions in the North Sea. Accuracy and precision for retrospective isotope-based location in the North Sea were of a similar order to light-based location devices, with 75% of individual scallops assigned correctly to areas representing c. 30% of the North Sea, with a mean linear error on the order of 10(2)km. Applying assignment methods to an alternative migratory species (herring) resulted in ecologically realistic assignments consistent with fisheries survey data. Location methods based on dietary isotopes such as carbon and nitrogen recover the spatial origin of nutrients assimilated into tissues, and this may not correspond directly to the physical location if either the test animal or its prey is highly migratory. Stable isotope-based location can be applied to any marine-feeding organism or derived food product, but the ecological meaning of any assigned area will be more difficult to interpret for large, high trophic level, migratory animals with relatively slow isotopic assimilation rates.</t>
  </si>
  <si>
    <t>10.1111/2041-210X.12651</t>
  </si>
  <si>
    <t>Wigand, C; Roman, CT; Davey, E; Stolt, M; Johnson, R; Hanson, A; Watson, EB; Moran, SB; Cahoon, DR; Lynch, JC; Rafferty, P</t>
  </si>
  <si>
    <t>Below the disappearing marshes of an urban estuary: historic nitrogen trends and soil structure</t>
  </si>
  <si>
    <t>belowground biomass; carbon dioxide emissions; computer-aided tomography (CT) imaging; eutrophication; Jamaica Bay; marsh loss; peat swelling; radiometric dating; sea level rise; shear stress</t>
  </si>
  <si>
    <t>HIGH-PRECISION MEASUREMENTS; LONG-ISLAND SOUND; SPARTINA-ALTERNIFLORA; SALT MARSHES; NEW-ENGLAND; VERTICAL ACCRETION; SEDIMENT ELEVATION; ISOTOPE SIGNATURES; CARBON BALANCE; CLIMATE-CHANGE</t>
  </si>
  <si>
    <t>Marshes in the urban Jamaica Bay Estuary, New York, USA are disappearing at an average rate of 13 ha/yr, and multiple stressors (e.g., wastewater inputs, dredging activities, groundwater removal, and global warming) may be contributing to marsh losses. Among these stressors, wastewater nutrients are suspected to be an important contributing cause of marsh deterioration. We used census data, radiometric dating, stable nitrogen isotopes, and soil surveys to examine the temporal relationships between human population growth and soil nitrogen; and we evaluated soil structure with computer-aided tomography, surface elevation and sediment accretion trends, carbon dioxide emissions, and soil shear strength to examine differences among disappearing (Black Bank and Big Egg) and stable marshes (JoCo). Radiometric dating and nitrogen isotope analyses suggested a rapid increase in human wastewater nutrients beginning in the late 1840s, and a tapering off beginning in the 1930s when wastewater treatment plants (WWTPs) were first installed. Current WWTPs nutrient loads to Jamaica Bay are approximately 13 995 kg N/d and 2767 kg P/d. At Black Bank, the biomass and abundance of roots and rhizomes and percentage of organic matter on soil were significantly lower, rhizomes larger in diameter, carbon dioxide emission rates and peat particle density significantly greater, and soil strength significantly lower compared to the stable JoCo Marsh, suggesting Black Bank has elevated decomposition rates, more decomposed peat, and highly waterlogged peat. Despite these differences, the rates of accretion and surface elevation change were similar for both marshes, and the rates of elevation change approximated the long term relative rate of sea level rise estimated from tide gauge data at nearby Sandy Hook, New Jersey. We hypothesize that Black Bank marsh kept pace with sea level rise by the accretion of material on the marsh surface, and the maintenance of soil volume through production of larger diameter rhizomes and swelling (dilation) of waterlogged peat. JoCo Marsh kept pace with sea-level rise through surface accretion and soil organic matter accumulation. Understanding the effects of multiple stressors, including nutrient enrichment, on soil structure, organic matter accumulation, and elevation change will better inform management decisions aimed at maintaining and restoring coastal marshes.</t>
  </si>
  <si>
    <t>10.1890/13-0594.1</t>
  </si>
  <si>
    <t>Blundell, GM; Womble, JN; Pendleton, GW; Karpovich, SA; Gende, SM; Herreman, JK</t>
  </si>
  <si>
    <t>Use of glacial and terrestrial habitats by harbor seals in Glacier Bay, Alaska: costs and benefits</t>
  </si>
  <si>
    <t>Foraging behaviour; Activity budget; Body condition; Habitat use; Stable isotopes; Time-depth recorder; Phocid; Pinniped</t>
  </si>
  <si>
    <t>ARCTIC MARINE MAMMALS; TOTAL-BODY WATER; PHOCA-VITULINA; CLIMATE-CHANGE; NATIONAL-PARK; BEHAVIOR; MASS; LACTATION; LANDSCAPE; MOVEMENTS</t>
  </si>
  <si>
    <t>Among pinnipeds, harbor seals Phoca vitulina have the broadest distribution (a 34 to 50 range in latitudes in the Pacific and Atlantic regions, respectively) and are found in a diversity of habitats. Harbor seals in Alaska, USA, similar to Arctic pinnipeds in many respects, rely upon glacial ice for pupping, mating, and molting. Just as climate change affects Arctic sea ice, tidewater glaciers are rapidly retreating in Alaska, reducing ice availability for harbor seals. An increased understanding of glacial vs. terrestrial harbor seals may reveal information important to conservation of harbor seals and Arctic pinnipeds, as effects of climate change continue. We compared foraging distances, activity budgets, diet, and body condition for seals captured at glacial and terrestrial sites in Glacier Bay, Alaska. Foraging strategies and activity budgets of seals using glacial ice differed substantially from seals using terrestrial sites. Glacial seals traveled significantly farther to forage (&gt;= 40 vs. &lt;5 km) and spent more time hauled out than terrestrial seals (26 vs. 11 to 16%). Diets of glacial seals were higher in pelagic fishes compared to diets of terrestrial seals that foraged primarily on intertidal/demersal fishes. Body condition of seals was similar between habitats (p &gt;= 0.09) and suggests that costs of longer foraging trips for glacial seals may be offset by obtaining higher quality diets of pelagic fishes, which may allow seals to spend more time hauled out. During the brief lactation period, more time hauled out could result in more time available for the transfer of energy from adult females to dependent offspring.</t>
  </si>
  <si>
    <t>10.3354/meps09073</t>
  </si>
  <si>
    <t>Danielsen, NST; Hedeholm, RB; Gronkjaer, P</t>
  </si>
  <si>
    <t>Seasonal changes in diet and lipid content of northern sand lance Ammodytes dubius on Fyllas Bank, West Greenland</t>
  </si>
  <si>
    <t>Sandeel; Forage fish; Feeding ecology; Energy accumulation; Condition; Nutritional value</t>
  </si>
  <si>
    <t>CAPELIN MALLOTUS-VILLOSUS; PROXIMATE COMPOSITION; CALANUS-FINMARCHICUS; ENERGY CONTENT; DISKO BAY; ZOOPLANKTON BIOMASS; FORAGE FISHES; REGIME SHIFT; ISE BAY; SEA</t>
  </si>
  <si>
    <t>Sandeel (Ammodytes spp.) are forage fishes and form a crucial link in the flow of energy from phytoplankton to marine top predators in the North Atlantic. The nutritional value of the sandeel is linked to the presence of lipid-rich zooplankton species, which makes their trophic role vulnerable to climate-induced changes in the zooplankton community. We provide the first description of diet and lipid accumulation of the northern sand lance Ammodytes dubius Reinhardt, 1837 in southwest Greenland (64 degrees N) during a growing season. Sampling occurred in May, August and September 2013, and differences in diet and lipid content were found in relation to season, gender and ontogeny. In terms of numbers and biomass, nauplii constituted the vast majority of prey in May, whereas copepods (primarily large Calanus spp.) dominated in August and September. Groups of larger prey (euphausiids and amphipods) were only found late in the season and primarily in sandeel larger than 16 cm. Mean lipid content (% DW) was at a minimum in May for both mature (males: 5.6%, females: 6.4%) and immature sandeel (3.9%), and peaked in August for mature individuals (males: 21.7%, females: 24.2%) and in September for juveniles (19.8%). Sandeel condition responds quickly to changes in prey availability and can be used as an indicator sensitive to of productivity and environmental change on the banks in West Greenland. In the light of rapid climate changes in Arctic marine ecosystems, the present findings may serve as a baseline for future monitoring of the productivity of pelagic ecosystems in West Greenland.</t>
  </si>
  <si>
    <t>10.3354/meps11859</t>
  </si>
  <si>
    <t>Shrestha, MK; Stock, WD; Ward, D; Golan-Goldhirsh, A</t>
  </si>
  <si>
    <t>Water status of isolated Negev desert populations of Acacia raddiana with different mortality levels</t>
  </si>
  <si>
    <t>carbon isotopes; cell water relations; desert; mortality; water potential</t>
  </si>
  <si>
    <t>PRESSURE-BOMB; PLANTS; LEAVES; ISRAEL; COMPONENTS; MOISTURE; STRESS; ALBIDA</t>
  </si>
  <si>
    <t>Many populations of native Acacia raddiana trees in ephemeral riverbeds in the Negev desert are suffering from high mortality. Road-building techniques that cut off water to trees in downstream populations and the pumping of aquifers for agriculture have been mooted as causes of this mortality. We studied the water relations of nine isolated populations of these trees using a pressure chamber and stable carbon isotopes in order to determine whether current water stress could be the cause of this mortality. High mortality populations had more negative water potentials, lower relative water contents, and lower cell water volumes at full turgor than low mortality populations. Thus, mortality is correlated with current inter-population differences in water stress. However, there was no difference in water potentials between trees upstream and downstream of roads. Furthermore, greater water stress in trees after a dry winter than in the previous summer indicates that these trees are largely drawing on surface floods for water. Thus, road-building practices and aquifer pumping are unlikely causes of current water stress. Hence, water stress is linked to mortality in these trees, although our results indicate that irregular water stress ( perhaps in drought years only) is probably the cause of this mortality.</t>
  </si>
  <si>
    <t>10.1023/A:1024431124954</t>
  </si>
  <si>
    <t>Studds, CE; McFarland, KP; Aubry, Y; Rimmer, CC; Hobson, KA; Marra, PP; Wassenaar, LI</t>
  </si>
  <si>
    <t>Stable-hydrogen isotope measures of natal dispersal reflect observed population declines in a threatened migratory songbird</t>
  </si>
  <si>
    <t>Bicknell's thrush; conservation biogeography; dispersal; movement ecology; Neotropical-Nearctic migratory bird; population declines; stable isotopes</t>
  </si>
  <si>
    <t>LONG-DISTANCE DISPERSAL; THRUSH CATHARUS-BICKNELLI; INDIVIDUAL BEHAVIOR; BREEDING DISPERSAL; MONTANE FORESTS; CLIMATE-CHANGE; NORTH-AMERICA; BIRDS; ABUNDANCE; CONNECTIVITY</t>
  </si>
  <si>
    <t>Aim Measuring dispersal is crucial for estimating demographic rates that inform conservation plans for rare and threatened species. We evaluated natal dispersal patterns in Bicknell's thrush (Catharus bicknelli) across most of the breeding range using a 10-year data set of stable-hydrogen isotope ratios in feathers (d2HF) grown on the natal area and sampled 1 year later at the first breeding site. Location North-eastern United States and south-eastern Canada. Methods We used d2HF values of adult thrushes sampled at 25 breeding sites as prior information for assigning first-time breeders to their natal site. We calculated the minimum distance birds moved from their natal to first breeding site and fit these data to three statistical distributions for characterizing the importance of long-distance dispersal: the exponential, Weibull and half-Cauchy. Finally, we assessed differences in the probability of dispersal across the breeding range and through time to understand spatio-temporal variation in demographic connectivity. Results The d2HF values of first-time breeders were lower compared with those of adults, a difference that was greater at the southern compared with northern breeding range extreme. Assignment tests accounting for age differences in d2HF suggested that most birds dispersed &lt; 200 km from their natal area and within the centre of the breeding range, whereas comparatively few individuals dispersed up to 700 km. A Weibull distribution provided the best fit to these data. Two of three corrections for age differences in d2HF indicated that natal dispersal probability declined by 3038% from 1996 to 2005. Main conclusions Our findings suggest that estimating natal dispersal with d2HF measurements may contribute to understanding the resilience of geographically isolated Bicknell's thrush populations. Declining natal dispersal may be symptomatic of observed population declines and could compound this trend by limiting demographic exchange between habitat patches predicted to be increasingly isolated by natural and anthropogenic habitat changes.</t>
  </si>
  <si>
    <t>10.1111/j.1472-4642.2012.00931.x</t>
  </si>
  <si>
    <t>Choy, ES; Giraldo, C; Rosenberg, B; Roth, JD; Ehrman, AD; Majewski, A; Swanson, H; Power, M; Reist, JD; Loseto, LL</t>
  </si>
  <si>
    <t>Variation in the diet of beluga whales in response to changes in prey availability: insights on changes in the Beaufort Sea ecosystem</t>
  </si>
  <si>
    <t>Delphinapterus leucas; Arctic change; Marine top predators; Fatty acid signatures; Stable isotope ratios; Marine mammals; Diet estimation; Fishes; Macroinvertebrates</t>
  </si>
  <si>
    <t>ACID SIGNATURE ANALYSIS; COD BOREOGADUS-SAIDA; CAPELIN MALLOTUS-VILLOSUS; STABLE-ISOTOPES; FATTY-ACIDS; DELPHINAPTERUS-LEUCAS; FORAGING BEHAVIOR; TROPHIC ECOLOGY; BODY CONDITION; CLIMATE-CHANGE</t>
  </si>
  <si>
    <t>The eastern Beaufort Sea (EBS) beluga whale Delphinapterus leucas population has experienced a 20 yr decline in inferred growth rates of individuals, which is hypothesized to have resulted from changes in prey availability. We used fatty acid signatures and stable isotope ratios to reconstruct the proportional contributions of 14 prey species to the diets of 178 beluga whales from 2011 to 2014. Prey estimates using quantitative fatty acid signature analysis suggest that EBS beluga whales primarily consume Arctic cod Boreogadus saida, a species highly sensitive to climate change. Prey estimates varied with year and sex and size class of the whales, with large males consuming the highest proportions of Arctic cod, and females consuming the highest proportions of capelin Mallotus villosus. Estimated proportional contributions of Arctic cod to beluga diet decreased from 2011 to 2014, coinciding with an increase in capelin. Belugas consumed the highest proportions of capelin and the lowest proportions of cod in 2014, the same year in which body condition indices were lowest in the whales. We hypothesize that changing conditions in the Beaufort Sea ecosystem may result in a decreased consumption of Arctic cod by belugas and increased consumption of capelin, which may result in a decline in condition. This may predominately affect females and juveniles since they consume the highest proportions of capelin; however, long-term monitoring is needed for confirmation. Understanding inter-annual variation in prey, and the longer-term nutritional implications of shifting from an Arctic cod- to a capelindominated diet should be a priority for monitoring EBS predators.</t>
  </si>
  <si>
    <t>10.3354/meps13413</t>
  </si>
  <si>
    <t>Hollyman, PR; Leng, MJ; Chenery, SRN; Laptikhovsky, VV; Richardson, CA</t>
  </si>
  <si>
    <t>Statoliths of the whelk Buccinum undatum: a novel age determination tool</t>
  </si>
  <si>
    <t>Buccinum undatum; Statoliths; Age determination; Fisheries monitoring; Oxygen isotope; Raman spectroscopy; Sclerochronology</t>
  </si>
  <si>
    <t>COMMON WHELK; L GASTROPODA; GROWTH; SIZE; OXYGEN; SHELL; ARAGONITE; ISOTOPES; MATURITY; SCALES</t>
  </si>
  <si>
    <t>Sustainability within the fisheries of the commercially important European whelk Buccinum undatum has become a major concern because of over-exploitation and increased landings in many European coastal shelf seas due to the expansion of export markets to East Asian countries. Current management of B. undatum populations is difficult to achieve as several life history traits are problematic to accurately monitor. The current method of age determination for stock assessment has a low success rate and focuses on the use of putative annual rings on the surface of the organic operculum. Here, we validate an annual periodicity of growth ring formation in B. undatum statoliths that provides an alternative, reliable and accurate method for determining a whelk's age. Laboratory-reared juvenile B. undatum of known provenance and age deposited a hatching ring at the time of emergence from their egg capsule and a clearly defined growth ring during February of their first and second years. Stable oxygen isotope profiles from the shells of 2 adult whelks confirmed annual growth ring deposition by demonstrating seasonal cycles of delta O-18 in the shell that matched the relative position and number of visible growth rings in the statolith. Validation of annually resolved statolith growth rings will, for the first time, provide fisheries scientists with a tool to determine the age structure of B. undatum populations and allow analytical stock assessments that will enable informed decisions for future management practices of whelk fisheries.</t>
  </si>
  <si>
    <t>10.3354/meps12119</t>
  </si>
  <si>
    <t>Adite, A; Winemiller, KO; Fiogbe, ED</t>
  </si>
  <si>
    <t>Ontogenetic, seasonal, and spatial variation in the diet of Heterotis niloticus (Osteoglossiformes : Osteoglossidae) in the So River and Lake Hlan, Benin, West Africa</t>
  </si>
  <si>
    <t>diet breadth; dietary overlap; fishery; flooding; omnivore</t>
  </si>
  <si>
    <t>UPPER ZAMBEZI RIVER; FISH; FOOD; SHIFT; FLOODPLAIN; ECOLOGY; SIZE</t>
  </si>
  <si>
    <t>The African bonytongue, Heterotis niloticus (Osteoglossidae), is an important fisheries and aquaculture species in West Africa. This species has frequently been characterized either as an omnivore, insectivore or detritivore, the latter, in part, because of its benthic feeding habitats and possession of a gizzard (thick-walled pyloric stomach). We examined diets of two populations of H. niloticus in the So River in southern Benin. A population from the river channel and seasonally flooded marginal plains was dominated by juvenile and subadult size classes. Adults size classes were common in a second population from Lake Hlan, a natural lake in the river floodplain located upstream from the channel study region. Heterotis of all sizes consumed a variety of food resources, ranging from aquatic invertebrates to small seeds. Aquatic invertebrates composed a large proportion of the diets of juveniles, and adults consumed a mixture of aquatic invertebrates, seeds, and detritus. Seasonal dietary variation was observed in both populations, and diet breadth was not significantly different between populations. Aquatic invertebrates remained significant in diets of larger size classes; diets of fish between 100 and 200 mm began to include seeds and detritus, with a marked increase in the volumetric proportion of detritus in diets of fish between 300 and 400 mm in Lake Hlan and between 500 600 mm in the river. Relative gut length was inversely related to body size, which supports the notion that Heterotis is an omnivore and not a specialized detritivore. The thick-walled gizzard of Heterotis, which generally contained sand, probably aids digestion of seed coats. Because Heterotis consume mostly invertebrates and grass seeds in shallow waters of seasonal aquatic habitats and lakes the river floodplain, foraging success and fishery production should be strongly dependent on the annual flood pulse.</t>
  </si>
  <si>
    <t>10.1007/s10641-004-5563-9</t>
  </si>
  <si>
    <t>Fossette, S; Abrahms, B; Hazen, EL; Bograd, SJ; Zilliacus, KM; Calambokidis, J; Burrows, JA; Goldbogen, JA; Harvey, JT; Marinovic, B; Tershy, B; Croll, DA</t>
  </si>
  <si>
    <t>Resource partitioning facilitates coexistence in sympatric cetaceans in the California Current</t>
  </si>
  <si>
    <t>Balaenoptera; foraging ecology; interspecific competition; resource partitioning; species coexistence; trophic position</t>
  </si>
  <si>
    <t>COASTAL UPWELLING SYSTEM; NORTH PACIFIC; MONTEREY-BAY; CHARACTER DISPLACEMENT; HUMPBACK WHALES; RELATIVE IMPORTANCE; POPULATION-STRUCTURE; STABLE-ISOTOPES; OCEAN CLIMATE; MINKE WHALES</t>
  </si>
  <si>
    <t>Resource partitioning is an important process driving habitat use and foraging strategies in sympatric species that potentially compete. Differences in foraging behavior are hypothesized to contribute to species coexistence by facilitating resource partitioning, but little is known on the multiple mechanisms for partitioning that may occur simultaneously. Studies are further limited in the marine environment, where the spatial and temporal distribution of resources is highly dynamic and subsequently difficult to quantify. We investigated potential pathways by which foraging behavior may facilitate resource partitioning in two of the largest co-occurring and closely related species on Earth, blue (Balaenoptera musculus) and humpback (Megaptera novaeangliae) whales. We integrated multiple long-term datasets (line-transect surveys, whale-watching records, net sampling, stable isotope analysis, and remote-sensing of oceanographic parameters) to compare the diet, phenology, and distribution of the two species during their foraging periods in the highly productive waters of Monterey Bay, California, USA within the California Current Ecosystem. Our long-term study reveals that blue and humpback whales likely facilitate sympatry by partitioning their foraging along three axes: trophic, temporal, and spatial. Blue whales were specialists foraging on krill, predictably targeting a seasonal peak in krill abundance, were present in the bay for an average of 4.7months, and were spatially restricted at the continental shelf break. In contrast, humpback whales were generalists apparently feeding on a mixed diet of krill and fishes depending on relative abundances, were present in the bay for a more extended period (average of 6.6months), and had a broader spatial distribution at the shelf break and inshore. Ultimately, competition for common resources can lead to behavioral, morphological, and physiological character displacement between sympatric species. Understanding the mechanisms for species coexistence is both fundamental to maintaining biodiverse ecosystems, and provides insight into the evolutionary drivers of morphological differences in closely related species.</t>
  </si>
  <si>
    <t>10.1002/ece3.3409</t>
  </si>
  <si>
    <t>Jacobson, P; Gardmark, A; Ostergren, J; Casini, M; Huss, M</t>
  </si>
  <si>
    <t>Size-dependent prey availability affects diet and performance of predatory fish at sea: a case study of Atlantic salmon</t>
  </si>
  <si>
    <t>Atlantic salmon; Baltic Sea; body condition; diet composition; ontogenetic niche shifts; predator performance; predator-prey interactions; prey availability; size-dependent interactions</t>
  </si>
  <si>
    <t>HERRING CLUPEA-HARENGUS; COMPLEX LIFE-CYCLES; POST-SMOLT GROWTH; BALTIC SEA; SALAR L.; STRUCTURED POPULATIONS; BODY-SIZE; REPRODUCTIVE DISORDER; TROPHIC CASCADES; BOTHNIAN SEA</t>
  </si>
  <si>
    <t>Identifying factors determining the performance of individuals is an essential part of resolving what drives population dynamics. For species undergoing ontogenetic shifts in resource and habitat use, this entails assessing individual performance in all habitats used. Whereas survival and growth of anadromous Atlantic salmon, Salmo salar L., in its juvenile, river habitat are known to depend on size-dependent foraging and food availability, individual performance of salmon in the growth habitat out at sea is commonly explained only by abiotic factors. Still, individuals undergo this habitat shift to grow large, suggesting performance should be food-dependent also in the growth habitat. Because fish communities are highly size-structured, the link between predators and their prey may depend on their respective body sizes. Here, we study whether the performance of Baltic Sea salmon in its growth habitat is food- and size-dependent, by combining extensive diet and body size data of Baltic salmon with spatially resolved monitoring data on abundance and size distribution of their main prey, herring, Clupea harengus L., and sprat, Sprattus sprattus L. We found that both the species and size composition of prey in the diet varied with salmon body size. By accounting for this size-dependent predation and the spatially varying size distribution of prey species, we could explain the variation in salmon diet composition among salmon individuals in different Baltic Sea basins and of different length. The proportion of sprat in diet of salmon was better explained by size-specific prey availability (SSP) than total prey biomass, especially for small salmon. Further, salmon body condition increased with SSP, whereas total prey biomass could not explain variation in the condition of salmon. These findings demonstrate that food- and size-dependent processes indeed can influence the performance of anadromous fish also in large marine systems. Thus, we argue that consideration of these processes, stretching across habitats, is important for understanding performance and dynamics of predatory fish in open aquatic systems, as well as for successful management of species such as Atlantic salmon.</t>
  </si>
  <si>
    <t>e02081</t>
  </si>
  <si>
    <t>10.1002/ecs2.2081</t>
  </si>
  <si>
    <t>Melton, JT; Collado-Vides, L; Lopez-Bautista, JM</t>
  </si>
  <si>
    <t>Molecular identification and nutrient analysis of the green tide species Ulva ohnoi M. Hiraoka &amp; S. Shimada, 2004 (Ulvophyceae, Chlorophyta), a new report and likely nonnative species in the Gulf of Mexico and Atlantic Florida, USA</t>
  </si>
  <si>
    <t>Ulvales; algal bloom; new record; nonindigenous; Western Atlantic; Biscayne Bay</t>
  </si>
  <si>
    <t>BISCAYNE BAY; MACROALGAL BLOOMS; NARRAGANSETT BAY; STABLE-ISOTOPES; FLOATING ULVA; NUCLEAR RDNA; CORAL-REEFS; NITROGEN; DIVERSITY; LACTUCA</t>
  </si>
  <si>
    <t>Species level identifications of morphologically simple marine algae have undoubtedly caused biodiversity assessments to be an arduous task. The green algal genus Ulva L., 1753, is notorious for morphological plasticity and cryptic speciation. We used two chloroplast-encoded (rbcL and tufA) molecular markers and the nuclear internal transcribed spacer 1 (ITS1) of the ribosomal cistron to detect Ulva ohnoi M. Hiraoka and S. Shimada, 2004, a species known for forming green tides in Japan, as a new record for the Western Atlantic, including the Gulf of Mexico (GoMX) and Atlantic coast of Florida. All rbcL sequences from this investigation were identical to reports for U. ohnoi. The Western Atlantic isolates showed relatively low genetic diversity in tufA and ITS1 sequences, which suggests that this species is not native to the GoMX and Atlantic Florida. Furthermore, we have identified U. ohnoi as the species that formed an ephemeral, localized overgrowth during July of 2013 in Biscayne Bay, Florida, an area with a persistent bloom of two other green algal species, Anadyomene stellata J. V. Lamouroux, 1812, and Anadyomene sp., due to eutrophication from anthropogenic nutrient loading near canals. A tissue nutrient analysis of samples from this overgrowth of Ulva showed that this species has a high affinity for nitrogen, especially partial derivative 15N, which suggests anthropogenic sources of N. Further investigations are needed to assess the geographical ranges of this species in this region as well as the potential invasiveness of this alga in the Western Atlantic. It is highly recommended to monitor the abundance of this species in response to nutrient discharges in Biscayne Bay.</t>
  </si>
  <si>
    <t>10.3391/ai.2016.11.3.01</t>
  </si>
  <si>
    <t>Pataki, DE; Bush, SE; Gardner, P; Solomon, DK; Ehleringer, JR</t>
  </si>
  <si>
    <t>Ecohydrology in a Colorado River riparian forest: Implications for the decline of Populus fremontii</t>
  </si>
  <si>
    <t>Colorado River (USA); ecohydrology; gas exchange; invasive species; Populus fremontii; riparian; salinity; sap flow; stable isotopes; Tamarix ramosissima; transpiration</t>
  </si>
  <si>
    <t>SOUTHWESTERN UNITED-STATES; TAMARIX-RAMOSISSIMA; SAP FLOW; XYLEM CAVITATION; SALT TOLERANCE; WATER-USE; COTTONWOOD; SALINITY; ARIZONA; TREES</t>
  </si>
  <si>
    <t>Populus fremontii (Fremont cottonwood) was once a dominant species in desert riparian forests but has been increasingly replaced by the exotic invasive Tamarix ramosissima (saltcedar). Interspecific competition, reduced flooding frequency, and increased salinity have been implicated in the widespread decline of P. fremontii. To elucidate some of the multiple and interacting mechanisms of this decline, we examined ecological processes in a control stand of P. fremontii along the Colorado River in Utah, USA, as well as a disturbed stand characterized by high groundwater salinity and invasion of T. ramosissima. Sap flux data showed that P. fremontii at the saline site experienced large reductions in afternoon canopy stomatal conductance relative to the control. Thus, average daily stand transpiration was 4.8 +/- 0.1 mm/d at the saline site in comparison to 9.3 +/- 0.2 mm/d at the control site over a two-month period. Light-saturated photosynthesis and apparent quantum yield were also reduced in saline P. fremontii. Stable isotope analysis indicated that trees at the saline site utilized evaporatively enriched groundwater that was likely derived from a nearby pond of irrigation runoff; this was also the probable source of high salinity. Interspecific competition for water at the saline site is unlikely, as T. ramosissima is still a minor species that is present only in the understory. However, reduced tissue N content in P. fremontii at the saline site suggested that physiological stress during salinity and halophyte invasion may be exacerbated by altered N relations.</t>
  </si>
  <si>
    <t>10.1890/04-1272</t>
  </si>
  <si>
    <t>Bodey, TW; Cleasby, IR; Votier, SC; Hamer, KC; Newton, J; Patrick, SC; Wakefield, ED; Bearhop, S</t>
  </si>
  <si>
    <t>Frequency and consequences of individual dietary specialisation in a wide-ranging marine predator, the northern gannet</t>
  </si>
  <si>
    <t>Fisheries; Foraging; GPS; Individual specialisation; Stable isotope analysis; Seabird</t>
  </si>
  <si>
    <t>INTRA-SPECIFIC COMPETITION; FORAGING BEHAVIOR; STABLE-ISOTOPES; GPS TRACKING; RESOURCE USE; SEABIRD; ECOLOGY; POPULATION; FISHERIES; SELECTION</t>
  </si>
  <si>
    <t>Individual specialisations in animals are important contributors to a wide range of ecological and evolutionary processes, and have been particularly documented in relation to multiple aspects of foraging behaviours. Central-place foragers, such as seabirds, frequently exhibit pronounced specialisations and individual differences in a variety of foraging traits. In particular, the availability of fisheries discards alongside natural prey resources provides additional potential for differentiation and specialisation for opportunistically scavenging seabird species. However, the consequences of such specialisations for at-sea distributions and intraspecific interactions are not well known. Here, we investigated the links between the degree of dietary specialisation on natural or discarded prey and the foraging movements and spatial occupancy of northern gannets Morus bassanus in relation to differing intraspecific competition at 6 colonies of differing sizes. We found that, at most colonies, individuals with different dietary strategies concentrated foraging at differing levels of intraspecific competition. In addition, individuals pursuing different strategies were frequently, but not consistently, spatially separated, distinctions that were most acutely seen in females. However, this variation in individual strategy had no significant impact on current body condition. These analyses demonstrate how foraging-associated metrics need not covary within an unconstrained system. They also reveal that specialisation can have important consequences for the competitive regimes individuals experience, highlighting the complexity of examining interacting consequences at large spatial scales.</t>
  </si>
  <si>
    <t>10.3354/meps12729</t>
  </si>
  <si>
    <t>Pellerin, A; Lotem, N; Anthony, KW; Russak, EE; Hasson, N; Roy, H; Chanton, JP; Sivan, O</t>
  </si>
  <si>
    <t>Methane production controls in a young thermokarst lake formed by abrupt permafrost thaw</t>
  </si>
  <si>
    <t>Alaska; Arctic; emission; methane; methanogenesis; permafrost; stable isotopes; thermokarst</t>
  </si>
  <si>
    <t>CARBON-ISOTOPE FRACTIONATION; STABLE CARBON; FRESH-WATER; ANAEROBIC OXIDATION; ARCTIC LAKES; PORE WATERS; EMISSIONS; SEDIMENTS; DYNAMICS; SAMPLES</t>
  </si>
  <si>
    <t>Methane (CH4) release to the atmosphere from thawing permafrost contributes significantly to global CH4 emissions. However, constraining the effects of thaw that control the production and emission of CH4 is needed to anticipate future Arctic emissions. Here are presented robust rate measurements of CH4 production and cycling in a region of rapidly degrading permafrost. Big Trail Lake, located in central Alaska, is a young, actively expanding thermokarst lake. The lake was investigated by taking two 1 m cores of sediment from different regions. Two independent methods of measuring microbial CH4 production, long term (CH4 accumulation) and short term (C-14 tracer), produced similar average rates of 11 +/- 3.5 and 9 +/- 3.6 nmol cm(-3) d(-1), respectively. The rates had small variations between the different lithological units, indicating homogeneous CH4 production despite heterogeneous lithology in the surface similar to 1 m of sediment. To estimate the total CH4 production, the CH4 production rates were multiplied through the 10-15 m deep talik (thaw bulb). This estimate suggests that CH4 production is higher than emission by a maximum factor of similar to 2, which is less than previous estimates. Stable and radioactive carbon isotope measurements showed that 50% of dissolved CH4 in the first meter was produced further below. Interestingly, labeled C-14 incubations with 2-C-14 acetate and C-14 CO2 indicate that variations in the pathway used by microbes to produce CH4 depends on the age and type of organic matter in the sediment, but did not appear to influence the rates at which CH4 was produced. This study demonstrates that at least half of the CH4 produced by microbial breakdown of organic matter in actively expanding thermokarst is emitted to the atmosphere, and that the majority of this CH4 is produced in the deep sediment.</t>
  </si>
  <si>
    <t>10.1111/gcb.16151</t>
  </si>
  <si>
    <t>Zeng, J; Han, GL; Wu, QX; Tang, Y</t>
  </si>
  <si>
    <t>Effects of agricultural alkaline substances on reducing the rainwater acidification: Insight from chemical compositions and calcium isotopes in a karst forests area</t>
  </si>
  <si>
    <t>Stable Ca isotope (delta(44)/Ca-40); Chemical compositions; Rainwater; Karst forest areas; Southwest China</t>
  </si>
  <si>
    <t>PRECIPITATION CHEMISTRY; ACID-RAIN; ATMOSPHERIC PRECIPITATION; EASTERN CARPATHIANS; SEASONAL-VARIATION; WET PRECIPITATION; AIR-QUALITY; URBAN SITE; CHINA; DEPOSITION</t>
  </si>
  <si>
    <t>Two-year chemical and stable Ca isotopic compositions (delta(44)/Ca-40) of rainwater were detected in a typical karst virgin forest site (Maolan National Nature Reserved Park, Southwest China, MNNRP). The results show that the pH values and the ionic concentrations of rainwater samples vary considerably, and about half of them are defined as acidic rain (pH &lt; 5.0). NH4+ is the predominant cation in rainwater with a volume weighted mean (VWM) value of 110 mu mol L-1 (1.3-377 mu mol L-1), and the second is Ca2+ with VWM value of 11.7 mu mol L-1 (0.9-67.7 mu mol L-1). SO42- and NO3- are the principal anions with VWM values of 51.8 mu mol L-1 (9.8-203 mu mol L-1) and 24.7 mu mol L-1 (2.7-151 mu mol L-1), respectively. Source identification shows that the NO3- and SO42- of rainwater are controlled by anthropogenic sources, and the agricultural activities and natural processes are the main sources of NH4+, while the part of Ca2+, K+ and Mg2+ originate from crustal inputs. The higher concentration of alkaline ions is a significant contributor to reduce rainwater acidification. Based on the reported data of previous literature, the stable Ca isotopes (delta(44)/Ca-40) are applied to decipher the different sources. The three sources include as the carbonate weathering (low delta(44)/Ca-40 - 0.6%, low NH4+/Ca2+ and NO3-/Ca2+ ratios), the silicate weathering which refers to the dissolvable soil dirt minerals from both local and the surrounding place (high delta(44)/Ca-40 - 0.9%, low NH4+/Ca2+ and NO3-/Ca2+ ratios), and the anthropogenic source (mainly from fertilizers, moderate delta(44)/Ca-40 - 0.8%, high NH4+/Ca2+ and NO3-/Ca2+ ratios). This study highlights the broader applicability of the chemical and Ca isotopic method in tracing the sources (particularly agricultural sources) of rainwater solute and atmospheric mixing/trapping processes, and can also provide additional insight regarding the elemental biogeochemical cycle in karst areas.</t>
  </si>
  <si>
    <t>10.1016/j.agee.2019.106782</t>
  </si>
  <si>
    <t>Kesaniemi, J; Jernfors, T; Lavrinienko, A; Kivisaari, K; Kiljunen, M; Mappes, T; Watts, PC</t>
  </si>
  <si>
    <t>Exposure to environmental radionuclides is associated with altered metabolic and immunity pathways in a wild rodent</t>
  </si>
  <si>
    <t>DNA repair; Myodes glareolus; pollution; radionuclides; RNAseq; stable isotope</t>
  </si>
  <si>
    <t>MITOCHONDRIAL GENOME VARIATION; DNA-DAMAGE RESPONSE; IONIZING-RADIATION; SMALL MAMMALS; MAST-CELLS; BANK VOLES; OXIDATIVE STRESS; STABLE-ISOTOPES; GAMMA-RADIATION; 50 GENERATIONS</t>
  </si>
  <si>
    <t>Wildlife inhabiting environments contaminated by radionuclides face putative detrimental effects of exposure to ionizing radiation, with biomarkers such as an increase in DNA damage and/or oxidative stress commonly associated with radiation exposure. To examine the effects of exposure to radiation on gene expression in wildlife, we conducted a de novo RNA sequencing study of liver and spleen tissues from a rodent, the bank vole Myodes glareolus. Bank voles were collected from the Chernobyl Exclusion Zone (CEZ), where animals were exposed to elevated levels of radionuclides, and from uncontaminated areas near Kyiv, Ukraine. Counter to expectations, we did not observe a strong DNA damage response in animals exposed to radionuclides, although some signs of oxidative stress were identified. Rather, exposure to environmental radionuclides was associated with upregulation of genes involved in lipid metabolism and fatty acid oxidation in the livers - an apparent shift in energy metabolism. Moreover, using stable isotope analysis, we identified that fur from bank voles inhabiting the CEZ had enriched isotope values of nitrogen: such an increase is consistent with increased fatty acid metabolism, but also could arise from a difference in diet or habitat between the CEZ and elsewhere. In livers and spleens, voles inhabiting the CEZ were characterized by immunosuppression, such as impaired antigen processing, and activation of leucocytes involved in inflammatory responses. In conclusion, exposure to low dose environmental radiation impacts pathways associated with immunity and lipid metabolism, potentially as a stress-induced coping mechanism.</t>
  </si>
  <si>
    <t>10.1111/mec.15241</t>
  </si>
  <si>
    <t>Ponton, S; Flanagan, LB; Alstad, KP; Johnson, BG; Morgenstern, K; Kljun, N; Black, TA; Barr, AG</t>
  </si>
  <si>
    <t>Comparison of ecosystem water-use efficiency among Douglas-fir forest, aspen forest and grassland using eddy covariance and carbon isotope techniques</t>
  </si>
  <si>
    <t>boreal forest; conifer forest; eddy covariance; grassland; stable isotopes</t>
  </si>
  <si>
    <t>RESPIRED CO2; INTERANNUAL VARIATION; TEMPORAL VARIATION; RESPIRATORY CO2; BOREAL; DISCRIMINATION; VARIABILITY; DELTA-C-13; DIOXIDE; DARK</t>
  </si>
  <si>
    <t>Comparisons were made among Douglas-fir forest, aspen (broad leaf deciduous) forest and wheatgrass (C-3) grassland for ecosystem-level water-use efficiency (WUE). WUE was defined as the ratio of photosynthetic CO2 assimilation rate and evapotranspiration (ET) rate. The ET data measured by eddy covariance were screened so that they overwhelmingly represented transpiration. The three sites used in this comparison spanned a range of vegetation (plant functional) types and environmental conditions within western Canada. When compared in the relative order Douglas-fir (located on Vancouver Island, BC), aspen (northern Saskatchewan), grassland (southern Alberta), the sites demonstrated a progressive decline in precipitation and a general increase in maximum air temperature and atmospheric saturation deficit (D-max) during the mid-summer. The average (+/- SD) WUE at the grassland site was 2.6 +/- 0.7 mmol mol(-1), which was much lower than the average values observed for the two other sites (aspen: 5.4 +/- 2.3, Douglas-fir: 8.1 +/- 2.4). The differences in WUE among sites were primarily because of variation in ET. The highest maximum ET rates were approximately 5, 3.2 and 2.7 mm day(-1) for the grassland, aspen and Douglas-fir sites, respectively. There was a strong negative correlation between WUE and D-max for all sites. We also made seasonal measurements of the carbon isotope ratio of ecosystem respired CO2 (delta(R)) in order to test for the expected correlation between shifts in environmental conditions and changes to the ecosystem-integrated ratio of leaf intercellular to ambient CO2 concentration (c(i)/c(a)). There was a consistent increase in delta(R) values in the grassland, aspen forest and Douglas-fir forest associated with a seasonal reduction in soil moisture. Comparisons were made between WUE measured using eddy covariance with that calculated based on D and delta(R) measurements. There was excellent agreement between WUE values calculated using the two techniques. Our delta(R) measurements indicated that c(i)/c(a) values were quite similar among the Douglas-fir, aspen and grassland sites, despite large variation in environmental conditions among sites. This implied that the shorter-lived grass species had relatively high c(i)/c(a) values for the D of their habitat. By contrast, the longer-lived Douglas-fir trees were more conservative in water-use with lower c(i)/c(a) values relative to their habitat D. This illustrates the interaction between biological and environmental characteristics influencing ecosystem-level WUE. The strong correlation we observed between the two independent measurements of WUE, indicates that the stable isotope composition of respired CO2 is a useful ecosystem-scale tool to help study constraints to photosynthesis and acclimation of ecosystems to environmental stress.</t>
  </si>
  <si>
    <t>10.1111/j.1365-2486.2005.01103.x</t>
  </si>
  <si>
    <t>Hoenig, BD; Trevelline, BK; Kautz, A; Latta, SC; Porter, BA</t>
  </si>
  <si>
    <t>Two is better than one: Coupling DNA metabarcoding and stable isotope analysis improves dietary characterizations for a riparian-obligate, migratory songbird</t>
  </si>
  <si>
    <t>arthropods; diet; DNA metabarcoding; mixing models; stable isotope analysis; trophic niche</t>
  </si>
  <si>
    <t>POLYUNSATURATED FATTY-ACIDS; LOUISIANA WATERTHRUSH; NITROGEN ISOTOPES; PREY; ECOLOGY; COMMUNITIES; DELTA-N-15; DELTA-C-13; ABUNDANCE; PATTERNS</t>
  </si>
  <si>
    <t>While an increasing number of studies are adopting molecular and chemical methods for dietary characterization, these studies often employ only one of these laboratory-based techniques; this approach may yield an incomplete, or even biased, understanding of diet due to each method's inherent limitations. To explore the utility of coupling molecular and chemical techniques for dietary characterizations, we applied DNA metabarcoding alongside stable isotope analysis to characterize the dietary niche of breeding Louisiana waterthrush (Parkesia motacilla), a migratory songbird hypothesized to preferentially provision its offspring with pollution-intolerant, aquatic arthropod prey. While DNA metabarcoding was unable to determine if waterthrush provision aquatic and terrestrial prey in different abundances, we found that specific aquatic taxa were more likely to be detected in successive seasons than their terrestrial counterparts, thus supporting the aquatic specialization hypothesis. Our isotopic analysis added greater context to this hypothesis by concluding that breeding waterthrush provisioned Ephemeroptera and Plecoptera, two pollution-intolerant, aquatic orders, in higher quantities than other prey groups, and expanded their functional trophic niche when such prey were not abundantly provisioned. Finally, we found that the dietary characterizations from each approach were often uncorrelated, indicating that the results gleaned from a diet study can be particularly sensitive to the applied methodologies. Our findings contribute to a growing body of work indicating the importance of high-quality, aquatic habitats for both consumers and their pollution-intolerant prey, while also demonstrating how the application of multiple, laboratory-based techniques can provide insights not offered by either technique alone.</t>
  </si>
  <si>
    <t>10.1111/mec.16688</t>
  </si>
  <si>
    <t>Martinetto, P; Teichberg, M; Valiela, I</t>
  </si>
  <si>
    <t>Coupling of estuarine benthic and pelagic food webs to land-derived nitrogen sources in Walquoit Bay, Massachusetts, USA</t>
  </si>
  <si>
    <t>eutrophication; benthic coupling; pelagic coupling; land-estuary coupling; food webs; estuaries; Waquoit Bay</t>
  </si>
  <si>
    <t>STABLE-ISOTOPE SIGNATURES; MARINE EUTROPHICATION; FEEDING ECOLOGY; WAQUOIT BAY; POLYCHAETA; AMPHIPODS; SELECTION; VERIFICATION; POPULATION; ECOSYSTEM</t>
  </si>
  <si>
    <t>The fact that land-derived sources of nutrients promote eutrophication in the receiving coastal waters implies coupling between land and marine environments. Increasing nitrogen inputs in the estuaries are followed by major shifts in biota composition and abundances. In the present paper we used N and C isotopic ratios to analyze the coupling of benthic and pelagic components of food webs to estuaries receiving different N loads from their watersheds. We found that primary producers, benthic taxa, and fishes were coupled to the watersheds and estuaries where they were collected. In contrast, zooplankton was uncoupled. Primary consumers and predators feeding on benthic prey within the estuaries were also coupled to the watershed and estuaries, but predators feeding on zooplankton were not. We hypothesized that short water residence time in these estuaries uncoupled plankton from terrestrial influence. Stable isotopic measurements of N in producers, consumers, POM, and sediment in different estuaries of Waquoit Bay, Massachusetts, USA, demonstrate a consistent link between land-use on contributing watersheds and the isotopic ratio in all the benthic components and food webs.. The remarkably consistent link suggests that the benthos was tightly coupled to land-derived inputs, and that these components, particularly macrophytes, could be good indicators for monitoring increases in land-derived N inputs. Our results showed that stable isotopes of N and C have the potential for use in basic research and applied monitoring, but need to be applied considering the features of estuaries that might couple or uncouple organisms regarding dependency on land, such as hydrodynamic exchanges.</t>
  </si>
  <si>
    <t>10.3354/meps307037</t>
  </si>
  <si>
    <t>Caputo, M; Elwen, S; Gridley, T; Kohler, SA; Roux, JP; Froneman, PW; Kiszka, JJ</t>
  </si>
  <si>
    <t>Dietary plasticity of two coastal dolphin species in the Benguela upwelling ecosystem</t>
  </si>
  <si>
    <t>Cetaceans; Foraging; Stable isotopes; Trophic ecology; Mixing models; Dusky dolphin; Lagenorhynchus obscurus; Heaviside's dolphin; Cephalorhynchus heavisidii</t>
  </si>
  <si>
    <t>BOTTLE-NOSED DOLPHINS; ISOTOPE MIXING MODELS; ARCTOCEPHALUS-PUSILLUS-PUSILLUS; MAINLAND BREEDING COLONIES; SCALE POPULATION-STRUCTURE; CEPHALORHYNCHUS-HEAVISIDII; STABLE-ISOTOPES; MARINE MAMMALS; DUSKY-DOLPHINS; LAGENORHYNCHUS-OBSCURUS</t>
  </si>
  <si>
    <t>Defining the trophic relationships of marine predators and their dietary preferences is essential in understanding their role and importance in ecosystems. Here we used stable isotope analysis of skin samples (delta N-15 values reflecting trophic level and delta C-13 values reflecting foraging habitat) to investigate resource partitioning and spatial differences of the feeding ecology of dusky dolphins Lagenorhynchus obscurus and Heaviside's dolphins Cephalorhynchus heavisidii from 2 coastal study sites separated by 400 km along the coast of central (Walvis Bay) and southern (Luderitz) Namibia in the Benguela upwelling ecosystem. Overall, isotopic niches of both predators were significantly different, indicating partitioning of resources and foraging habitats. Despite their smaller body size, Heaviside's dolphins fed at a significantly higher trophic level than dusky dolphins. Stable isotope mixing models revealed that both species fed on high trophic level prey (i.e. large Merluccius spp., large Sufflogobius bibarbatus, and Trachurus t. capensis) at Walvis Bay. The diet of both dolphin species included smaller pelagic fish and squid at Luderitz. Spatial differences highlight that Heaviside's and dusky dolphins may exhibit dietary plasticity driven by prey availability, and that they likely form distinct population segments. Important prey for both dolphin species, specifically Merluccius spp. and T. t. capensis, are the main target of trawl fisheries in the Benguela upwelling ecosystem, highlighting potential resource overlap between dolphins and fisheries.</t>
  </si>
  <si>
    <t>10.3354/meps13755</t>
  </si>
  <si>
    <t>Mehner, T; Holmgren, K; Lauridsen, TL; Jeppesen, E; Diekmann, M</t>
  </si>
  <si>
    <t>Lake depth and geographical position modify lake fish assemblages of the European 'Central Plains' ecoregion</t>
  </si>
  <si>
    <t>fish abundance; geographical position; lake morphometry; lake productivity; water framework directive</t>
  </si>
  <si>
    <t>SPECIES RICHNESS; TROPHIC STRUCTURE; COMMUNITIES; PATTERNS; CLASSIFICATION; PRODUCTIVITY; BIOGEOGRAPHY; GRADIENT; STREAMS; IMPACT</t>
  </si>
  <si>
    <t>1. Classification of European lake fish assemblages can be based on fish-assemblage structure or morphological, geographical, physical and chemical lake attributes. However, substantial gaps in knowledge exist with respect to the correspondence between both classification approaches. 2. Here, we compiled fish assemblage data from 165 lakes situated in the European 'Central Plains' ecoregion. Cluster analysis of fish abundances was performed to compare fish assemblage types of the entire ecoregion with those from previous country-specific studies. Nonparametric group comparisons, classification trees and partial canonical ordinations were used to infer the correspondence between fish assemblage types and morphology, geographical position and nutrient concentration of the lakes. 3. Three distinct fish assemblages were revealed: vendace (Coregonus albula), ruffe (Gymnocephalus cernuus) and roach (Rutilus rutilus) lake types. Both latitude and lake depth were the best determinants of lake type, but total phosphorus (TP) concentrations were also important. Vendace lakes were deep and had low TP concentrations, whereas the shallower ruffe and roach lakes had higher TP values. Roach lakes were more frequent in the north-west area of the ecoregion, whereas ruffe lakes were more often found south of the Baltic Sea. 4. Controlling for the influence of nutrient concentration showed that lake morphology and geographical position were important determinants of fish assemblages. However, the variance explained was low (&lt; 20%), implying that biological interactions may also be important in forming the lake-specific fish assemblages. 5. The results suggest that fish assemblages differ between deep and shallow lakes, and between the north-west and south-east locations within the Central Plains ecoregion. Accordingly, establishment of depth-related lake morphotypes is needed, and the European ecoregions recommended to be used in evaluation systems according to the Water Framework Directive seem to be too coarse to reflect the subtle differences of fish species richness along geographical gradients.</t>
  </si>
  <si>
    <t>10.1111/j.1365-2427.2007.01836.x</t>
  </si>
  <si>
    <t>A comparative analysis of population structuring and genetic diversity in sympatric lineages of freshwater shrimp (Atyidae : Paratya): concerted or independent responses to hydrographic factors?</t>
  </si>
  <si>
    <t>cryptic species; population genetics; stable isotopes; stream restoration; temporal stability</t>
  </si>
  <si>
    <t>RAIN-FOREST STREAMS; STABLE-ISOTOPE ANALYSES; SALMO-TRUTTA L.; MITOCHONDRIAL-DNA; COMPARATIVE PHYLOGEOGRAPHY; AUSTRALIENSIS ATYIDAE; DIVERGENT LINEAGES; TEMPORAL STABILITY; COMPUTER-PROGRAM; DECAPODA</t>
  </si>
  <si>
    <t>1. We determined whether two sympatric mitochondrial DNA (mtDNA) lineages of freshwater shrimp (Decapoda: Atyidae: Paratya australiensis) represent biological species and if they had concerted or independent population responses to hydrographic factors in small streams (the Granite Creeks) in southeastern Australia. 2. Allozyme data indicated the presence of two gene pools at sites where the P. australiensis lineages were co-occurring and the gene pools were statistically assigned with high probability to each respective lineage. This indicated that these mtDNA lineages in P. australiensis were reproductively isolated and thus biological species. 3. Populations of both lineages were genetically homogeneous among lowland sites within streams, but were isolated by steep stream gradients among upland sites and for lowland-upland site comparisons. However, the magnitude of differentiation was markedly different between the two lineages. Allozyme diversity also differed between the two lineages, suggesting that they have different effective population sizes. Thus, differences in the magnitude of genetic divergence among populations were probably because of different life-history characteristics, including dispersal ability and population size. 4. Genetic population structure was mostly temporally stable, despite the extreme effects of drought during the first year and substantial stream-flow during the second. However, stable isotope analyses revealed greater local movement in both lineages during the second year, as greater hydrological connectivity provided more opportunities for dispersal. Thus, although lowland populations within streams were genetically homogeneous, stable isotope data indicated that connections may be sporadic and result from accumulated small-scale movements among refugial pools. 5. Both lineages were therefore found to have similar small-scale population responses to the unstable habitats of the Granite Creeks. Results highlight the importance of refugia for the capacity of biota to recover from drought and the need for multiple restored patches to reinstate natural population processes (e.g. resilience, recolonization) in degraded systems.</t>
  </si>
  <si>
    <t>10.1111/j.1365-2427.2007.01842.x</t>
  </si>
  <si>
    <t>Sommer, F; Saage, A; Santer, B; Hansen, T; Sommer, U</t>
  </si>
  <si>
    <t>Linking foraging strategies of marine calanoid copepods to patterns of nitrogen stable isotope signatures in a mesocosm study</t>
  </si>
  <si>
    <t>nitrogen stable isotopes; trophic enrichment; food webs; foraging strategy; copepods; mesocosm; zooplankton</t>
  </si>
  <si>
    <t>TEMORA-LONGICORNIS; ACARTIA-TONSA; FEEDING-BEHAVIOR; CARBON; FRACTIONATION; DELTA-N-15; ENRICHMENT; SELECTION; CAPTURE; VOLUME</t>
  </si>
  <si>
    <t>The foraging modes of calanoid copepods differ in that stationary suspension-feeding is more easily detected by prey with strong escape responses (ciliates) than is 'cruising' or 'ambushing' feeding. Thus, the ability of a copepod to include heterotrophic prey in its diet may be associated with its foraging mode and, further, with its nitrogen stable isotope signature (delta(15)N). This is because a more carnivorous diet may be expected to result in a higher delta(15)N. We tested this hypothesis in a mesocosm study using a density gradient (0 to 80 ind. 1(-1)) of calanoid copepods. We expected copepod delta(15)N to generally increase with decreasing copepod density because of increased food availability, and predicted stronger increases for cruising than for stationary suspension-fee ding species. As an assemblage, copepods had a pronounced impact on the food web: diatoms and ciliates decreased, whereas nanoflagellates increased with increasing copepod density. As expected, Centropages hamatus, a cruising species, showed the strongest isotopic increase and also highest population growth at low copepod density, suggesting that it was the most efficient species in capturing ciliates. Temora longicornis, a stationary suspension-feeder, showed a uniform isotopic increase in all mesocosms, which we believe resulted from nutritional stress arising from poor feeding on both ciliates (too fast for ingestion by T. longicornis) and nanoflagellates (too small). However, Pseudocalanus elongatus, a species equally categorised as a stationary suspension-feeder, showed increases in its delta(15)N similar to those for C. hamatus. While this may indicate potential switching in its foraging mode, alternative explanations cannot be ruled out, partly because qualitative and quantitative aspects of trophic enrichment in our experiment could not be clearly separated. This study shows that consumer delta(15)N are difficult to interpret, even if potential food sources and aspects of the species' biology are known, and thus emphasises the necessity for further laboratory studies to help better interpret zooplankton delta(15)N in the field.</t>
  </si>
  <si>
    <t>10.3354/meps286099</t>
  </si>
  <si>
    <t>Kolasinski, J; Rogers, K; Cuet, P; Barry, B; Frouin, P</t>
  </si>
  <si>
    <t>Sources of particulate organic matter at the ecosystem scale: a stable isotope and trace element study in a tropical coral reef</t>
  </si>
  <si>
    <t>Organic matter; Stable isotopes; Trace metals; Coral reef; Cyclone; Bentho-pelagic coupling; Seasonal variation</t>
  </si>
  <si>
    <t>GREAT-BARRIER-REEF; REUNION ISLAND; INDIAN-OCEAN; NUTRIENT ENRICHMENT; BENTHIC MACROFAUNA; NITROGEN-SOURCES; FOOD SOURCES; BAY; EUTROPHICATION; PHYTOPLANKTON</t>
  </si>
  <si>
    <t>Spatial and seasonal variability of sources of particulate organic matter (POM) were evaluated in a coral reef ecosystem. Reef water POM was sampled monthly along a south-north gradient. The passage of tropical cyclone Gamede, which crossed Reunion Island in February 2007, provided an ideal opportunity to examine the impact of high river discharge. Stable isotope composition (delta C-13, delta N-15) was determined in oceanic, riverine and reef water POM, sedimentary organic matter (SOM), benthic primary producers and detritus. Trace elements (Ti, Fe, Cr, Ni, Cu, Zn) measured in SOM were used as additional terrestrial tracers. Stable isotope analysis of reef water showed that POM was affected by anthropogenic non-point nutrient sources, water circulation patterns and residence time. During the cold and dry season, the southern end of the reef received organic matter input derived from ocean primary production, while the middle and northern reef water POM originated primarily from SOM, reflecting an important bentho-pelagic coupling process. During the hot and wet season, reef water was enriched in benthic detritus due to higher autochthonous production. We found important spatial variability in POM sources, highlighting the importance of small-scale (hundreds of meters) studies when investigating ecosystem functioning. Although coastal tidal currents transported some river discharge material to the south of the reef, riverine POM input was limited, even after cyclone passage. We hypothesized that the major effect of the cyclone was the export of SOM and benthic detritus out of the system and that persistent disturbances such as groundwater discharges can be of greater importance than a cyclone in long-term degradation of ecosystems.</t>
  </si>
  <si>
    <t>10.3354/meps09416</t>
  </si>
  <si>
    <t>Hill, RA; Weber, MH; Debbout, RM; Leibowitz, SG; Olsen, AR</t>
  </si>
  <si>
    <t>The Lake-Catchment (LakeCat) Dataset: characterizing landscape features for lake basins within the conterminous USA</t>
  </si>
  <si>
    <t>lakes; watersheds; National Hydrography Dataset (NHD); StreamCat Dataset; National Lakes Assessment (NLA); landscape descriptors; chlorophyll a; eutrophication; macrosystems ecology</t>
  </si>
  <si>
    <t>MACROSYSTEMS ECOLOGY; FRESH-WATER; DATABASE; CONNECTIVITY; PHOSPHORUS; POSITION; DRIVERS; STREAMS; RIVERS</t>
  </si>
  <si>
    <t>Natural and human-related landscape features influence the ecology and water quality of lakes. Summarizing these features in a hydrologically meaningful way is critical to understanding and managing lake ecosystems. Such summaries are often done by delineating watershed boundaries of individual lakes. However, many technical challenges are associated with delineating hundreds or thousands of lake watersheds at broad spatial extents. These challenges can limit the application of analyses and models to new, unsampled locations. We present the Lake-Catchment (LakeCat) Dataset (https://www.epa.gov/national-aquatic-resource-surveys/lakecat) of watershed features for 378,088 lakes within the conterminous USA. We describe the methods we used to: 1) delineate lake catchments, 2) hydrologically connect nested lake catchments, and 3) generate several hundred watershed-level metrics that summarize both natural (e.g., soils, geology, climate, and land cover) and anthropogenic (e.g., urbanization, agriculture, and mines) features. We illustrate how this data set can be used with a random forest model to predict the probability of lake eutrophication by combining LakeCat with data from US Environmental Protection Agency's National Lakes Assessment (NLA). This model correctly predicted the trophic state of 72% of NLA lakes, and we applied the model to predict the probability of eutrophication at 297,071 unsampled lakes across the conterminous USA. The large suite of LakeCat metrics could be used to improve analyses of lakes at broad spatial extents, improve the applicability of analyses to unsampled lakes, and ultimately improve the management of these important ecosystems.</t>
  </si>
  <si>
    <t>10.1086/697966</t>
  </si>
  <si>
    <t>Thyrring, J; Blicher, ME; Sorensen, JG; Wegeberg, S; Sejr, MK</t>
  </si>
  <si>
    <t>Rising air temperatures will increase intertidal mussel abundance in the Arctic</t>
  </si>
  <si>
    <t>Latitudinal gradient; Greenland; Baseline data; Space-for-time; Climate change; Mytilus; Temperature; Thermal tolerance</t>
  </si>
  <si>
    <t>MYTILUS-EDULIS L.; SEA-ICE COVER; CLIMATE-CHANGE; COMMUNITY COMPOSITION; GEOGRAPHIC-VARIATION; ENVIRONMENTAL TEMPERATURES; ROCKY SHORES; BLUE MUSSELS; GREENLAND; GROWTH</t>
  </si>
  <si>
    <t>Knowledge about the consequences of Arctic warming for marine biogeography remains limited. Mytilus mussels play a key ecological role in the littoral zone, and they are expected to be sensitive to climate change. Here we used a space-for-time approach as a first attempt to infer the coupling between climate warming and population structure and abundance of intertidal mussels along a latitudinal climate gradient in west Greenland. We analysed trends in air temperatures, collected seasonal temperature data from intertidal microhabitats, and quantified abundance, growth and age structure at 73 sites in 5 fjords. We also compared tolerance to sub-zero temperatures between seasons and latitudes. Since 1958, atmospheric temperatures have increased significantly in all fjords. Consequently, the number of days with temperatures below the lower lethal temperature, LT50 (-13 degrees C), has decreased by up to 57%, suggesting that constraint by low temperature is weakening. Abundance declined &gt;95% with increasing latitude from an average of 23.67 to 0.71 ind. 0.0625 m(-2) in mid-intertidal habitats. However, no latitudinal differences in growth, average size (6.3-9 cm), age (1.5-2.5 yr) and mortality (55.9-62.5 yr(-1)) were found. The abundance of 1 yr old recruits declined with latitude, indicating that geographical patterns are controlled at the earliest life stages. Air temperatures and exposure time were important drivers for latitudinal patterns in abundance, with adults being increasingly limited to favourable microhabitats in the lower intertidal to the North. Combined, the data suggest that increased warming will facilitate an increase in intertidal mussel abundance in Greenland, and potentially, across the Arctic.</t>
  </si>
  <si>
    <t>10.3354/meps12369</t>
  </si>
  <si>
    <t>Catalan, TP; Barcelo, M; Niemeyer, HM; Kalergis, AM; Bozinovic, F</t>
  </si>
  <si>
    <t>Pathogen- and diet-dependent foraging, nutritional and immune ecology in mealworms</t>
  </si>
  <si>
    <t>antibacterial activity; dietary nutrients; ecoimmunology; feeding; haemocytes; phenoloxidase activity; Tenebrio molitor</t>
  </si>
  <si>
    <t>TRADE-OFFS; DIGESTIVE RESPONSES; HERBIVOROUS RODENT; OCTODON-DEGUS; PROTEIN COSTS; RESISTANCE; MELANIZATION; DEFENSE; IMMUNOLOGY; PHYSIOLOGY</t>
  </si>
  <si>
    <t>Background: Feeding habits and dietary nutritional content may play a key role in pathogen-dependent foraging ecology, because mounting an effective immune response is costly for the host. Hypothesis: Since immune defence is the final line of protection against infective aggression, an adequate provision of dietary macromolecules through a selective foraging behaviour is required to maintain immunocompetence in infected hosts. Goal: We studied dietary switching and its consequences on immune response performance after an immune challenge using mealworms (Tenebrio molitor) as a model host. Methods: We evaluated diet selection and body mass balance (proxy of fitness) of larvae following a lipopolysaccharide challenge under three experimental nutritional treatments: an isocaloric low-protein/high-carbohydrate or high-protein/low-carbohydrate diet offered either independently (no-choice experiment) or simultaneously (dual-choice experiment). Furthermore, we studied the effect of diet composition on three immune traits: antibacterial activity, phenoloxidase activity, and total haemocyte count. Results: Immune-challenged larvae ate almost five times more than did control larvae in the dual-choice experiment. In addition, 50.7% of total food intake by immune-challenged larvae corresponded to the high-protein/low-carbohydrate diet, significantly higher than challenged or unchallenged control larvae (3.7% and 2.3% respectively). However, no significant differences in body mass change were observed. In contrast, in the no-choice diet condition, immune-challenged larvae lost body mass compared with naive mealworms. Furthermore, we found that dietary protein had a positive effect on antibacterial activity and total haemocyte count but not phenoloxidase activity, and that mealworms feeding on a balanced diet did not have a better immune performance. Conclusions: The immune response activation triggers a compensatory shift in host foraging behaviour that is not necessarily associated with the prevailing physiological state, but can have considerable influence on Darwinian fitness.</t>
  </si>
  <si>
    <t>Gomez, C; Guerrero, SL; FitzGerald, AM; Bayly, NJ; Hobson, KA; Cadena, CD</t>
  </si>
  <si>
    <t>Range-wide populations of a long-distance migratory songbird converge during stopover in the tropics</t>
  </si>
  <si>
    <t>bottleneck; Catharus minimus; Colombia; deuterium; migratory connectivity; ND2; occupancy; South America; stable isotopes</t>
  </si>
  <si>
    <t>GRAY-CHEEKED THRUSHES; FALL MIGRATION; ANNUAL-CYCLE; SEASONAL-VARIATION; NORTHERN COLOMBIA; SPRING MIGRATION; CATHARUS MINIMUS; BREEDING ORIGINS; STABLE HYDROGEN; OXYGEN ISOTOPES</t>
  </si>
  <si>
    <t>Geographic convergence during migration influences the extent to which animal populations may experience carry-over effects across periods of the annual cycle. When most individuals of a population share geographic areas during a given priod, carry-over effects are likely stronger than when individuals occupy multiple areas. We used genetic data and stable isotope (delta H-2) measurements from feathers and claws to describe the likely breeding and wintering geographic origins of a long-distance migratory songbird (Gray-cheeked Thrush, Catharus minimus) moving through northern Colombia in spring and fall migration. Furthermore, we used these data coupled with regional occupancy surveys to assess whether individuals from various breeding populations converge during migration and evaluated whether geographic origin, age, or sex affected stopover strategies. We found that range-wide breeding populations of Gray-cheeked Thrush converged in northern Colombia in an area spanning &lt;1% of the breeding range, especially during a prolonged spring stopover in the Sierra Nevada de Santa Marta. Breeding (but not winter) origin, sex, and age influenced arrival date and body condition upon arrival at stopover sites where populations converged. Birds from more northerly breeding latitudes, males and adults generally arrived earlier and in lower body condition than those with more southerly breeding origins, females, and juveniles. Our work and other studies suggest that areas in northern Colombia may function as ecological bottlenecks for Gray-cheeked Thrush because they concentrate individuals from across the breeding range, provide critical resources, and impose constraints during migration. Future studies quantifying the effects of high-convergence areas on fitness and survival of individuals and their demographic consequences are required to assess their roles as ecological bottlenecks.</t>
  </si>
  <si>
    <t>e01349</t>
  </si>
  <si>
    <t>10.1002/ecm.1349</t>
  </si>
  <si>
    <t>Dumandan, PKT; Bildstein, KL; Goodrich, LJ; Zaiats, A; Caughlin, TT; Katzner, TE</t>
  </si>
  <si>
    <t>Shared functional traits explain synchronous changes in long-term count trends of migratory raptors</t>
  </si>
  <si>
    <t>breakpoint model; global environmental change; north&amp;#8208; eastern USA; species assemblages; traits</t>
  </si>
  <si>
    <t>COMMUNITY ECOLOGY; POPULATION-CHANGE; REGRESSION; BIRDS; BIODIVERSITY; EVOLUTION; IMPACTS; DECLINE; MODELS; RISK</t>
  </si>
  <si>
    <t>Aim Assessing long-term shifts in faunal assemblages is important to understand the consequences of ongoing global environmental change. One approach to assess drivers of assemblage changes is to identify the traits associated with synchronous shifts in count trends among species. Our research identified traits influencing trends in 73 years of count data on migrating raptors recorded in the north-eastern USA. Location Pennsylvania, USA. Time period 1946-2018. Major taxa studied Birds of prey/raptors. Methods Migrating raptors were counted during autumn, following a standardized protocol. We used a hierarchical breakpoint model to identify when count trends shifted and to assess the role of traits in driving these trends before and after the breakpoint. Specifically, we quantified the probability of the direction (PD) of an effect of body mass, habitat or dietary specialization, migratory behaviour and susceptibility to dichlorodiphenyltrichloroethane (DDT) on count trends. Results We documented an assemblage-wide mean shift in count trends of migrating raptors in 1974. In general, species that exhibited negative count trends before the breakpoint exhibited positive count trends afterwards. We found that traits associated with resource use (diet and habitat specialization) had high probabilities of affecting count trends, pre- and post-breakpoint (&gt; 90%). Moreover, the direction of their effects differed during both periods. Unexpectedly, other traits we evaluated, including DDT susceptibility, had relatively weaker associations with count trends. Main conclusions Trait-based frameworks have promise for testing generalized assumptions about drivers of population trajectories. Historically, DDT was considered a key driver of changes in raptor population trends. However, our analysis suggests that other factors were also relevant. Moreover, the positive association between count trends and generalist behaviour depended on the temporal context. This result has implications for other settings where demographic trends can be linked to traits and help to identify drivers of biodiversity change.</t>
  </si>
  <si>
    <t>10.1111/geb.13242</t>
  </si>
  <si>
    <t>Johnson, JC; Luczkovich, JJ; Borgatti, SP; Snijders, TAB</t>
  </si>
  <si>
    <t>Using social network analysis tools in ecology: Markov process transition models applied to the seasonal trophic network dynamics of the Chesapeake Bay</t>
  </si>
  <si>
    <t>Estuary; Ascendency; Continuous-time Markov model; Dynamics; Statistical network analysis; Network visualization</t>
  </si>
  <si>
    <t>ECOSYSTEM ATTRIBUTES; FOOD; VARIABILITY; COMMUNITIES; ENVIRONS; RULES</t>
  </si>
  <si>
    <t>Ecosystem components interact in complex ways and change over time due to a variety of both internal and external influences (climate change, season cycles, human impacts). Such processes need to be modeled dynamically using appropriate statistical methods for assessing change in network structure. Here we use visualizations and statistical models of network dynamics to understand seasonal changes in the trophic network model described by Baird and Ulanowicz [Baird, D., Ulanowicz, R.E., 1989. Seasonal dynamics of the Chesapeake Bay ecosystem. Ecol. Monogr. 501 (59), 329-364] for the Chesapeake Bay (USA). Visualizations of carbon flow networks were created for each season by using a network graphic analysis tool (NETDRAW). The structural relations of the pelagic and benthic compartments (nodes) in each seasonal network were displayed in a two-dimensional space using spring-embedder analyses with nodes color-coded for habitat associations (benthic or pelagic). The most complex network was summer, when pelagic species such as sea nettles, larval fishes, and carnivorous fishes immigrate into Chesapeake Bay and consume prey largely from the plankton and to some extent the benthos. Winter was the simplest of the seasonal networks, and exhibited the highest ascendency, with fewest nodes present and with most of the flows shifting to the benthic bacteria and sediment POC compartments. This shift in system complexity corresponds with a shift from a pelagic- to benthic-dominated system over the seasonal cycle, suggesting that winter is a mostly closed system, relying on internal cycling rather than external input. Network visualization tools are useful in assessing temporal and spatial changes in food web networks, which can be explored for patterns that can be tested using statistical approaches. A simulation-based continuous-time Markov Chain model called SIENA was used to determine the dynamic structural changes in the trophic network across phases of the annual cycle in a statistical as opposed to a visual assessment. There was a significant decrease in outdegree (prey nodes with reduced link density) and an increase in the number of transitive triples (a triad in which i chooses j and h, and j also chooses h, mostly connected via the non-living detritus nodes in position i), suggesting the Chesapeake Bay is a simpler, but structurally more efficient, ecosystem in the winter than in the summer. As in the visual analysis, this shift in system complexity corresponds with a shift from a pelagic to a more benthic-dominated system from summer to winter. Both the SIENA model and the visualization in NETDRAW support the conclusions of Baird and Ulanowicz [Baird, D., Ulanowicz, R.E., 1989. Seasonal dynamics of the Chesapeake Bay ecosystem. Ecol. Monogr. 501 (59),329-364] that there was an increase in the Chesapeake Bay ecosystem's ascendancy in the winter. We explain such reduced complexity in winter as a system response to lowered temperature and decreased solar energy input, which causes a decline in the production of new carbon, forcing nodes to go extinct; this causes a change in the structure of the system, making it simpler and more efficient than in summer. It appears that the seasonal dynamics of the trophic structure of Chesapeake Bay can be modeled effectively using the SIENA statistical model for network change. (C) 2009 Elsevier B.V. All rights reserved.</t>
  </si>
  <si>
    <t>10.1016/j.ecolmodel.2009.06.037</t>
  </si>
  <si>
    <t>Bengtson, P; Barker, J; Grayston, SJ</t>
  </si>
  <si>
    <t>Evidence of a strong coupling between root exudation, C and N availability, and stimulated SOM decomposition caused by rhizosphere priming effects</t>
  </si>
  <si>
    <t>Carbon sequestration; coupled biogeochemical cycles; elevated CO2; global warming; microbial C assimilation; nitrogen mineralization; plant-microbial feedbacks; soil respiration</t>
  </si>
  <si>
    <t>PLANT-MICROBIAL COMPETITION; LONG-TERM ENHANCEMENT; ELEVATED CO2; FOREST PRODUCTIVITY; CLIMATE-CHANGE; CARBON; SOIL; NITROGEN; GROWTH; FUNGI</t>
  </si>
  <si>
    <t>Increased temperatures and concomitant changes in vegetation patterns are expected to dramatically alter the functioning of northern ecosystems over the next few decades. Predicting the ecosystem response to such a shift in climate and vegetation is complicated by the lack of knowledge about the links between aboveground biota and belowground process rates. Current models suggest that increasing temperatures and rising concentrations of atmospheric CO2 will be partly mitigated by elevated C sequestration in plant biomass and soil. However, empirical evidence does not always support this assumption, as elevated temperature and CO2 concentrations also accelerate the belowground C flux, in many cases extending to increased decomposition of soil organic matter (SOM) and ultimately resulting in decreased soil C stocks. The mechanism behind the increase has remained largely unknown, but it has been suggested that priming might be the causative agent. Here, we provide quantitative evidence of a strong coupling between root exudation, SOM decomposition, and release of plant available N caused by rhizosphere priming effects. As plants tend to increase belowground C allocation with increased temperatures and CO2 concentrations, priming effects need to be considered in our long-term analysis of soil C budgets in a changing environment. The extent of priming seems to be intimately linked to resource availability, as shifts in the stoichiometric nutrient demands of plants and microorganisms will lead to either cooperation (resulting in priming) or competition (no priming will occur). The findings lead us on the way to resolve the varying response of primary production, SOM decomposition, and release of plant available N to elevated temperatures, CO2 concentrations, and N availability.</t>
  </si>
  <si>
    <t>10.1002/ece3.311</t>
  </si>
  <si>
    <t>Olivos, JA; Arismendi, I; Penaluna, BE; Flitcroft, R; Herrera, AH; Firman, J; Giannico, G</t>
  </si>
  <si>
    <t>An environmental resistance model to inform the biogeography of aquatic invasions in complex stream networks</t>
  </si>
  <si>
    <t>aquatic; complementarity; hydrogeomorphology; invasibility; lotic; non-native; resistance; risk; riverscapes; suitability</t>
  </si>
  <si>
    <t>COHO SALMON; CHINOOK SALMON; FRESH-WATER; RIVERINE LANDSCAPES; CASTOR-CANADENSIS; AMERICAN BEAVER; SOUTHERN CHILE; PACIFIC SALMON; HABITAT; DYNAMICS</t>
  </si>
  <si>
    <t>Aim: Freshwater invasions are a global conservation issue. Emerging tools for biogeographical analyses can provide critical information for their effective management and monitoring. Here, we propose a method to assess the distribution of environmental resistance of stream ecosystems to biological invasions by coupling multi-stage habitat potential models for non-native species. Location: Andean Patagonia (Chile and Argentina). Taxa: North American beaver (Castor canadensis), Chinook salmon (Oncorhynchus tshawytscha) and coho salmon (O. kisutch). Methods: Environmental resistance to invasive species was mapped throughout a large region of Patagonia by stacking multi-stage habitat relationships for each target species and assessing the complementation between critical habitats at multiple scales. We generated an environmental model of stream networks derived from high-resolution topographic and climatic data representing 15,406 drainage basins (&gt;1 km(2)) covering an area of 369,791 km(2). We quantified the intrinsic potential of stream-reaches (100-m and 1000-m) to sustain high-quality habitats and assessed habitat complementation (i.e., abundance and proximity) at the sub-basin scale as a proxy for environmental resistance. Results: Our model revealed high heterogeneity in the distribution of environmental resistance to invasions throughout the study region, providing case-specific insights for the research and management of invaders. Main Conclusions: Environmental resistance modelling is a novel method to study the biogeography of riverine invasions. Our approach is compatible with additional sources of information about species and the environment and shows versatility to diverse invasion scenarios and data sources. This method can be useful in prioritising research and management of incipient and spreading invasions, especially for large and data-poor regions.</t>
  </si>
  <si>
    <t>10.1111/jbi.14621</t>
  </si>
  <si>
    <t>Barger, CP; Kitaysky, AS</t>
  </si>
  <si>
    <t>Isotopic segregation between sympatric seabird species increases with nutritional stress</t>
  </si>
  <si>
    <t>trophic segregation; food availability; seabirds; corticosterone; stable isotopes</t>
  </si>
  <si>
    <t>THICK-BILLED MURRES; FOOD AVAILABILITY; COMMON MURRES; ECOLOGICAL RELATIONSHIPS; POPULATION PROCESSES; FEEDING ECOLOGY; GANNET ISLANDS; URIA-AALGE; COMMUNITY; NITROGEN</t>
  </si>
  <si>
    <t>Dietary segregation is essential for the coexistence of closely related species of animals. However, little is known about how changes in availability of food resources might affect trophic interactions of wild animals breeding in sympatry. Here, we examined how interannual variations in relative food availability (as reflected in blood levels of stress hormone corticosterone, CORT) affect food partitioning (assessed via a comparison of stable isotope delta N-15 and delta C-13 ratios of blood) between the common murre (Uria aalge) and thick-billed murre (Uria lomvia), breeding on a single colony in the Bering Sea. During a 6-year study, CORT varied among years but not between species, whereas stable isotope ratios varied among years and between species. Isotopic distance between species increased with increasing CORT. These results indicate that, when food was not limiting, both species relied on similar food resources. As foraging conditions deteriorated, murres diverged in their diets. We conclude that the degree of dietary segregation between Uria spp. varies with changes in the availability of food and is greatest during food shortages.</t>
  </si>
  <si>
    <t>10.1098/rsbl.2011.1020</t>
  </si>
  <si>
    <t>Dincer, AR; Yumun, S; Once, M; Yumun, ZU</t>
  </si>
  <si>
    <t>INVESTIGATION OF INLAND POLLUTION USING TOTAL CARBON (TC), TOTAL ORGANIC CARBON (TOC), INORGANIC CARBON (IC), TOTAL NITROGEN (TN) AND TOC/TN RATIOS</t>
  </si>
  <si>
    <t>inland pollution; marine pollution; TOC; TN; TOC/TN</t>
  </si>
  <si>
    <t>COASTAL MARINE-SEDIMENTS; SURFACE SEDIMENTS; PARTICULATE MATTER; STABLE-ISOTOPES; RIVER ESTUARY; BAY; SEA; GULF; GEOCHEMISTRY; INDICATORS</t>
  </si>
  <si>
    <t>In this study, sediment samples were taken at three different points in Edremit Bay at different depths from the sea floor. In Edremit Bay, it was investigated whether the pollution was marine or terrestrial. According the results of measurement of TOC (Total Organic Carbon) values have been yielded results between 10.35-20.36 (Kucukkuyu), 8.14-16.40 (Gore), and 2.71-12.60 g/kg (Dikili) in the marine sediments. The fact that first and second regions are susceptible to mountainous and infra-continental erosion (sedimentation 5.743 and 7.509 mm/year) increased the TOC value. The highest TOC/TN ratio (12.33-46.89) was found in the second region. No linear change in TOC and TOC/TN (Total Nitrogen) ratios was observed at all three points depending on the depth. At results of compared all carotes, the low TOC/TN (2.82-14.48) ratio have been observed in the BH1 carotes, probably the result of small stream beds and low intra-continental erosion. This study shows that TOC and TOC/TN ratios in different parts of Edremit Gulf show inconsistency and this inconsistency arises not only from the marine contribution their natural organic matter, but also from the continent.</t>
  </si>
  <si>
    <t>10.15666/aeer/1706_1475114765</t>
  </si>
  <si>
    <t>Kimmitt, AA; Hardman, JW; Stricker, CA; Ketterson, ED</t>
  </si>
  <si>
    <t>Migratory strategy explains differences in timing of female reproductive development in seasonally sympatric songbirds</t>
  </si>
  <si>
    <t>female physiology; heteropatry; migration; reproductive endocrinology; seasonality; stable isotopes</t>
  </si>
  <si>
    <t>DARK-EYED JUNCOS; POPULATION DIVERGENCE; TEMPORAL ISOLATION; SEX-DIFFERENCES; CLIMATE-CHANGE; TESTOSTERONE; ELEVATION; EVOLUTION; SPARROWS; DIVERSIFICATION</t>
  </si>
  <si>
    <t>Divergent migratory strategies among populations can result in population-level differences in timing of reproduction (allochrony) and local adaptation. However, the mechanisms underlying among-population variation in timing are insufficiently understood, particularly in females. We studied differences in reproductive development and its related mechanisms along the hypothalamic-pituitary-gonadal axis (HPG) in closely related migratory and sedentary (i.e. resident) female dark-eyed juncos (Junco hyemalis) living together in sympatry during early spring. Despite exposure to the same environmental cues in early spring, residents initiate breeding prior to the departure of migrants for their breeding grounds. We investigated whether residents would be more reproductively developed than migrants based on their behavioural differences. Alternatively, females could exhibit similar reproductive development in response to the same environmental cues despite differences in migratory behaviour. To compare their degree of reproductive development during seasonal sympatry and the underlying mechanisms of these differences, we collected ovarian and liver tissue in early spring prior to migration and compared transcript abundance of genes associated with reproduction using quantitative PCR. We also used stable hydrogen isotopes to infer relative breeding and wintering latitude of migrants. We found higher transcript abundance of luteinizing hormone receptor and aromatase in the ovary in addition to significantly heavier ovaries in residents than in migrants. Together, these results suggest greater sensitivity and response to upstream endocrine stimulation in resident females. Transcript abundance for other receptors in the ovary and liver associated with reproduction, however, did not differ between populations. When comparing ovarian development within migrants, females with lower hydrogen isotopes (indicating higher breeding latitudes) had smaller ovaries, suggesting that longer-distance migrations may further delay reproductive development. Based on differences in ovary mass and transcript abundance, we conclude that females that differ in migratory strategy also differ in timing of reproductive development. These results support that divergent migratory behaviour drives allochrony and could enable reproductive isolation between populations; mechanistic differences at the level of gonadal stimulation can explain these differences in timing of reproductive development. A plain language summary is available for this article.</t>
  </si>
  <si>
    <t>10.1111/1365-2435.13386</t>
  </si>
  <si>
    <t>Cutting, KA; Rotella, JJ; Waxe, JA; O'Harra, A; Schroff, SR; Berkeley, L; Szczypinski, M; Litt, AR; Sowell, BF</t>
  </si>
  <si>
    <t>Resource allocation effects on the timing of reproduction in an avian habitat specialist</t>
  </si>
  <si>
    <t>endogenous; nutrient allocation; reproduction; sagebrush; sage-grouse; stable isotopes</t>
  </si>
  <si>
    <t>SAGE-GROUSE; INCOME DICHOTOMY; STABLE-ISOTOPES; DIET; NUTRITION; SURVIVAL; BIRDS; RESPONSES; SELECTION; PROTEIN</t>
  </si>
  <si>
    <t>Variation in nutrient allocation can influence the timing of breeding and ultimately reproductive output. Time and space constraints might exist, however, if fewer food resources are available to meet the costs of reproduction early during the reproductive season. Here, for the first time, we test whether nutrient-allocation strategies for reproduction in a shrub-dependent avian species differ with timing of breeding in different ecoregions: a high-elevation landscape, containing spatially complex vegetation (Rocky Mountains) vs. a low-elevation, more homogenous landscape (Great Plains). We analyzed data collected from radio-telemetry and stable isotopes to assess the degree to which endogenous (body) reserves are used for reproduction and whether variation in allocation strategies was associated with time of year, ecoregion, habitat quality (including sagebrush type and plant greenness), or maternal characteristics. Using a Bayesian statistical framework, we found that females relied on a similar amount of endogenous reserves for reproduction in first nesting and renesting attempts. Additionally, endogenous contributions declined more rapidly throughout the nesting season in the Rocky Mountains than in the Great Plains. Individuals in high- and intermediate-elevation sagebrush types in the Rocky Mountains used similar amounts of endogenous reserves, whereas females nesting in low-elevation sagebrush used less. Females nesting at intermediate elevations, which experience the greatest flush of new green vegetation during the nesting season, switched their reliance from endogenous-to-exogenous sources for reproduction as green vegetation became available during spring. Our study highlights adaptations of a nutrient-allocation strategy across areas with varying levels of resources in time and space in a habitat specialist bird. Nutrient allocation by individuals residing in high-elevation areas favors a strategy that mainly uses nutrients gained from wintering habitats, whereas individuals residing in low-elevation areas mainly use exogenous sources for reproduction.</t>
  </si>
  <si>
    <t>e03700</t>
  </si>
  <si>
    <t>10.1002/ecs2.3700</t>
  </si>
  <si>
    <t>Espinasse, B; Hunt, BPV; Finney, BP; Fryer, JK; Bugaev, AV; Pakhomov, EA</t>
  </si>
  <si>
    <t>Using stable isotopes to infer stock-specific high-seas distribution of maturing sockeye salmon in the North Pacific</t>
  </si>
  <si>
    <t>animal tracking; biogeography; feeding grounds; scales; &amp;#948; C-13 and &amp;#948; N-15</t>
  </si>
  <si>
    <t>SUB-ARCTIC PACIFIC; ONCORHYNCHUS-NERKA; CLIMATE-CHANGE; FRASER-RIVER; BERING-SEA; OCEANOGRAPHIC CONDITIONS; GROWTH-RATE; BOTTOM-UP; OCEAN; TEMPERATURE</t>
  </si>
  <si>
    <t>The stock-specific distribution of maturing salmon in the North Pacific has been a persistent information gap that has prevented us from determining the ocean conditions experienced by individual stocks. This continues to impede understanding of the role of ocean conditions in stock-specific population dynamics. We assessed scale archives for 17 sockeye salmon (Oncorhynchus nerka) stocks covering the entire North Pacific, from the Columbia River (Washington State and British Columbia) to Kamchatka Peninsula (Russia), to infer salmon locations during their last growing season before returning to their spawning grounds. The approach used, first pioneered in salmon stocks in the Atlantic, relies on the relationship between temporal changes in delta C-13 in salmon scales and sea surface temperature to estimate salmon distribution based on correlation strength. An advantage of this approach is that it does not require fish sampling at sea, but relies on existing fishery agency collections of salmon scales. Significant correlations were found for 7 of the stocks allowing us to propose plausible feeding grounds. Complementary information from delta N-15, historical tagging studies, and connectivity analysis were used to further refine distribution estimates. This study is a first step toward estimating stock-specific distributions of salmon in the North Pacific and provides a basis for the application of the approach to other salmon scale archives. This information has the potential to improve our ability to relate stock dynamics to ocean conditions, ultimately enabling improved stock management. For example, our estimated distributions of Bristol Bay and NE Pacific stocks demonstrated that they occupy different areas with a number of the former being distributed in the high productivity shelf waters of the Aleutian Islands and Bering Sea. This may explain why these stocks seem to have responded differently to changes in ocean conditions, and the long-term trend of increased productivity of Bristol Bay sockeye.</t>
  </si>
  <si>
    <t>10.1002/ece3.7022</t>
  </si>
  <si>
    <t>Olden, JD; Hogan, ZS; Vander Zanden, MJ</t>
  </si>
  <si>
    <t>Small fish, big fish, red fish, blue fish: size-biased extinction risk of the world's freshwater and marine fishes</t>
  </si>
  <si>
    <t>biological traits; body size; fish; invasive species; life-history strategies; overfishing; Red List; threatened species</t>
  </si>
  <si>
    <t>LIFE-HISTORY STRATEGIES; BODY SIZES; HABITAT LOSS; VULNERABILITY; BIODIVERSITY; ESTUARINE; PREDATORS; BIOLOGY; THREATS</t>
  </si>
  <si>
    <t>Aim In light of the current biodiversity crisis, there is a need to identify and protect species at greatest risk of extinction. Ecological theory and global-scale analyses of bird and mammal faunas suggest that small-bodied species are less vulnerable to extinction, yet this hypothesis remains untested for the largest group of vertebrates, fish. Here, we compare body-size distributions of freshwater and marine fishes under different levels of global extinction risk (i.e. listed as vulnerable, endangered or critically endangered according to the IUCN Red List of Threatened Species) from different major sources of threat (habitat loss/degradation, human harvesting, invasive species and pollution). Location Global, freshwater and marine. Methods We collated maximum body length data for 22,800 freshwater and marine fishes and compared body-size frequency distributions after controlling for phylogeny. Results We found that large-bodied marine fishes are under greater threat of global extinction, whereas both small- and large-bodied freshwater species are more likely to be at risk. Our results support the notion that commercial fishing activities disproportionately threaten large-bodied marine and freshwater species, whereas habitat degradation and loss threaten smaller-bodied marine fishes. Main conclusions Our study provides compelling evidence that global fish extinction risk does not universally scale with body size. Given the central role of body size for trophic position and the functioning of food webs, human activities may have strikingly different effects on community organization and food web structure in freshwater and marine systems.</t>
  </si>
  <si>
    <t>10.1111/j.1466-8238.2007.00337.x</t>
  </si>
  <si>
    <t>Kaifu, K; Miyazaki, S; Aoyama, J; Kimura, S; Tsukamoto, K</t>
  </si>
  <si>
    <t>Diet of Japanese eels Anguilla japonica in the Kojima Bay-Asahi River system, Japan</t>
  </si>
  <si>
    <t>Anguilla japonica; Diet; Stable isotope; Procambarus clarkii; Stomach content; Upogebia major</t>
  </si>
  <si>
    <t>FRESH-WATER; EUROPEAN EEL; DIFFERENT HABITATS; TROPHIC POSITION; BEHAVIOR</t>
  </si>
  <si>
    <t>The diet of Japanese eels, Anguilla japonica, was investigated using stomach content and stable isotope analyses. Stable isotope enrichment of carbon and nitrogen (Delta delta C-13 and Delta delta N-15) was first estimated for A. japonica by comparing the isotopic signatures (delta C-13 and delta N-15) of reared eels to that of their food. The estimated isotope enrichment was then applied to the diet estimation of A. japonica in the Kojima Bay-Asahi River system, Japan, combined with conventional stomach content analysis. Stable isotope enrichment varied among tissues, from 0.2aEuro degrees to 0.8aEuro degrees for carbon and from 1.3aEuro degrees to 2.1aEuro degrees for nitrogen. Nitrogen isotope enrichment of A. japonica muscle estimated in this study was 2.1aEuro degrees, which was different from the previously reported mean delta N-15 enrichment of several animals of 3.4aEuro degrees. These results indicate that isotope-based diet estimations for A. japonica need to use species- and tissue-specific values of isotope enrichment. In the diet analysis, stomach contents and stable isotopes revealed that (1) A. japonica appear to usually feed on a single type of prey species in each feeding session, (2) principal prey species were mud shrimp, Upogebia major, in brackish Kojima Bay and crayfish, Procambarus clarkia, in the Asahi River, (3) A. japonica in Kojima Bay primarily depend on the pelagic food web as a carbon source due to mud shrimp being filter feeders and eels in the Asahi River primarily depend on the littoral food web. Based on these results and the recently reported eel movements between Kojima Bay and the Asahi River, it appears that A. japonica can adapt to various feeding environments as opportunists, but also utilize the food resources by targeting a single type of prey species during a single feeding session.</t>
  </si>
  <si>
    <t>10.1007/s10641-012-0027-0</t>
  </si>
  <si>
    <t>Grieb, TM; Fisher, NS; Karimi, R; Levin, L</t>
  </si>
  <si>
    <t>An assessment of temporal trends in mercury concentrations in fish</t>
  </si>
  <si>
    <t>Mercury; Fish; Temporal trends; Monitoring</t>
  </si>
  <si>
    <t>SOUTHERN BALTIC SEA; SPATIOTEMPORAL TRENDS; BIOACCUMULATION; EMISSIONS; EXPOSURE; SEAFOOD; WATERS; TUNA; LAKE; US</t>
  </si>
  <si>
    <t>The importance of fish consumption as the primary pathway of human exposure to mercury and the establishment of fish consumption advisories to protect human health have led to large fish tissue monitoring programs worldwide. Data on fish tissue mercury concentrations collected by state, tribal, and provincial governments via contaminant monitoring programs have been compiled into large data bases by the U.S. Environmental Protection Agency's Great Lakes National Monitoring Program Office (GLNPO), the Ontario Ministry of the Environment's Fish Contaminants Monitoring and Surveillance Program (FMSP), and many others. These data have been used by a wide range of governmental and academic investigators worldwide to examine long-term and recent trends in fish tissue mercury concentrations. The largest component of the trend literature is for North American freshwater species important in recreational fisheries. This review of temporal trends in fish tissue mercury concentrations focused on published results from freshwater fisheries of North America as well as marine fisheries worldwide. Trends in fish tissue mercury concentrations in North American lakes with marked overall decreases were reported over the period 1972-2016. These trends are consistent with reported mercury emission declines as well as trends in wet deposition across the U.S. and Canada. More recently, a leveling-off in the rate of decreases or increases in fish tissue mercury concentrations has been reported. Increased emissions of mercury from global sources beginning between 1990 and 1995, despite a decrease in North American emissions, have been advanced as an explanation for the observed changes in fish tissue trends. In addition to increased atmospheric deposition, the other factors identified to explain the observed mercury increases in the affected fish species include a systematic shift in the food-web structure with the introduction of non-native species, creating a new or expanding role for sediments as a net source for mercury. The influences of climate change have also been identified as contributing factors, including considerations such as increases in temperature (resulting in metabolic changes and higher uptake rates of methylmercury), increased rainfall intensity and runoff (hydrologic export of organic matter carrying Hg-II from watersheds to surface water), and water level fluctuations that alter either the methylation of mercury or the mobilization of monomethylmercury. The primary source of mercury exposure in the human diet in North America is from the commercial fish and seafood market which is dominated (&gt;90%) by marine species. However, very little information is available on mercury trends in marine fisheries. Most of the data used in the published marine trend studies are assembled from earlier reports. The data collection efforts are generally intermittent, and the spatial and fish-size distribution of the target species vary widely. As a result, convincing evidence for the existence of fish tissue mercury trends in marine fish is generally lacking. However, there is some evidence from sampling of large, long-lived commercially-important fish showing both lower mercury concentrations in the North Atlantic in response to reduced anthropogenic mercury emission rates in North America and increases in fish tissue mercury concentrations over time in the North Pacific in response to increased mercury loading.</t>
  </si>
  <si>
    <t>10.1007/s10646-019-02112-3</t>
  </si>
  <si>
    <t>Garagouni, M; Ganias, K</t>
  </si>
  <si>
    <t>Prey selection patterns of bottlenose dolphins depredating bottom-set gillnets in the northern Aegean Sea</t>
  </si>
  <si>
    <t>Bottlenose dolphins; Depredation; Gillnets; Trophic preferences; Gear damage</t>
  </si>
  <si>
    <t>TURSIOPS-TRUNCATUS; SARASOTA BAY; FISHERIES; HABITAT; DIET; ARCHIPELAGO; SARDINIA; INSIGHTS; WHALES; WATERS</t>
  </si>
  <si>
    <t>Understanding the foraging strategies of marine megafauna that interact with fisheries is key to conflict mitigation. Bottlenose dolphins Tursiops truncatus in the northern Aegean Sea frequently depredate bottom-set nets, but whether they exhibit prey selection within depredation events remains unknown. We conducted 80 fishing trials over 2 seasons (2020 and 2021) using gillnets in the Thermaikos Gulf, and investigated patterns in the catch and gear damage to determine whether bottlenose dolphins target certain genera over others. A high preference index was calculated for demersal fish like Mullus and Trachurus, as well as less frequently occurring pelagic fishes like Sphyraena. We also found a strong indication that dolphins target certain sizes of fish in certain genera, namely the shorter specimens of larger fishes and the larger specimens of shorter fishes. In conjunction with the patterns in the vertical position of holes torn in the nets, our findings suggest that bottlenose dolphins take advantage of whichever fish are seasonally prevalent.</t>
  </si>
  <si>
    <t>10.3354/meps14302</t>
  </si>
  <si>
    <t>Jia, GD; Liu, ZQ; Chen, LX; Yu, XX</t>
  </si>
  <si>
    <t>Distinguish water utilization strategies of trees growing on earth-rocky mountainous area with transpiration and water isotopes</t>
  </si>
  <si>
    <t>IsoSource mixing model; species comparison; stable isotope; transpiration; water use patterns</t>
  </si>
  <si>
    <t>SAP-FLOW; PINUS-CANARIENSIS; SOIL-WATER; CANOPY TRANSPIRATION; EUCALYPTUS-GLOBULUS; STABLE-ISOTOPES; UPTAKE PATTERNS; DROUGHT; FOREST; RESPONSES</t>
  </si>
  <si>
    <t>Water stress is regarded as a global challenge to forests. Unlike other water-limited areas, the water use strategies of rocky mountainous forests, which play an important ecohydrological role, have not received sufficient attention. To prove our hypothesis that species adopt different water use strategies to avoid competition of limited water resources, we used site abiotic monitoring, sap flow and stable isotope method to study the biophysiological responses and water use preferences of two commonly distributed forest species, Pinus tabuliformis (Pt) and Quercus variabilis (Qv). The results showed that Pt transpired higher than Qv. Pt was also prone to adopt isohydric water use strategy as it demonstrated sensitive stomatal control over water loss through transpiration. Qv developed cavitation which was reflected by the dropping E-c in response to high vapor pressure deficit, concentrated peak sap flux density (J(s)), and enlarged hysteresis loop. Considering the average soil depth of 52.8cm on the site, a common strategy shared by both species was the ability to tap water from deep soil layers (below 40cm) when soil water was limited, and this contributed to the whole growing season transpiration. The contribution of surface layer water to plant water use increased and became the main water source for transpiration after rainfall. Qv was more efficient at using water from surface layer than Pt due to the developed surface root system when soil water content was not stressed. Our study proves that different water-using strategies of co-occurring species may be conducive to avoid competition of limited water resources to guarantee their survival. Knowledge of water stress-coping strategies of trees has implications for the understanding and prediction of vegetation composition in similar areas and can facilitate forest management criteria for plantations.</t>
  </si>
  <si>
    <t>10.1002/ece3.3584</t>
  </si>
  <si>
    <t>Darnaude, AM; Hunter, E</t>
  </si>
  <si>
    <t>Validation of otolith delta O-18 values as effective natural tags for shelf-scale geolocation of migrating fish</t>
  </si>
  <si>
    <t>Fish migration; Oxygen; Stable isotopes; Natural tag; Site fidelity; Plaice; Pleuronectes platessa</t>
  </si>
  <si>
    <t>NORTH-SEA PLAICE; COD GADUS-MORHUA; OXYGEN-ISOTOPE FRACTIONATION; PLEURONECTES-PLATESSA L; CARBON STABLE-ISOTOPES; ATLANTIC BLUEFIN TUNA; LIFE-HISTORY; STOCK STRUCTURE; POPULATION REGULATION; WESTERN-AUSTRALIA</t>
  </si>
  <si>
    <t>The oxygen isotopic ratio of fish otoliths is increasingly used as a 'natural tag' to assess provenance in migratory species, with the assumption that variations in delta O-18 values closely reflect individual ambient experience of temperature and/or salinity. We employed archival tag data and otoliths collected from a shelf-scale study of the spatial dynamics of North Sea plaice Pleuronectes platessa L., to examine the limits of otolith delta O-18-based geolocation of fish during their annual migrations. Detailed intra-annual otolith delta O-18 measurements for 1997-1999 from individuals of 3 distinct sub-stocks with different spawning locations were compared with delta O-18 values predicted at the monthly, seasonal and annual scales, using predicted sub-stock specific temperatures and salinities over the same years. Spatio-temporal variation in expected delta O-18 values (-0.23 to 2.94%) mainly reflected variation in temperature, and among-zone discrimination potential using otolith delta O-18 varied greatly by temporal scale and by time of year. Measured otolith delta O-18 values (-0.71 to 3.09%) largely mirrored seasonally predicted values, but occasionally fell outside expected delta O-18 ranges. Where mismatches were observed, differences among sub-stocks were consistently greater than predicted, suggesting that in plaice, differential sub-stock growth rates and physiological effects during oxygen fractionation enhance geolocation potential using otolith delta O-18. Comparing intra-annual delta O-18 values over several consecutive years for individuals with contrasted migratory patterns corroborated a high degree of feeding and spawning site fidelity irrespective of the sub-stock. Informed interpretation of otolith delta O-18 values can therefore provide relatively detailed fisheries-relevant data not readily obtained by conventional means.</t>
  </si>
  <si>
    <t>10.3354/meps12302</t>
  </si>
  <si>
    <t>Lauteri, M; Pliura, A; Monteverdi, MC; Brugnoli, E; Villani, F; Eriksson, G</t>
  </si>
  <si>
    <t>Genetic variation in carbon isotope discrimination in six European populations of Castanea sativa Mill. originating from contrasting localities</t>
  </si>
  <si>
    <t>adaptive traits; additive variance; additive genetic coefficient of variation; drought adaptedness; mediterraneity; phenotypic plasticity; stable isotopes</t>
  </si>
  <si>
    <t>VARIABILITY; PROVENANCES; DELTA-C-13; EVOLUTION; DIOXIDE; GROWTH; TURKEY</t>
  </si>
  <si>
    <t>The objective of this study was to evaluate the variability of physiological performances of Castanea sativa Mill. in relation to drought tolerance, among and within European populations coming from contrasting environmental conditions. Forty-eight open-pollinated families from a stratified sample (temperature/precipitation) of six naturalized populations from Spain, Italy and Greece were grown for one growth period under two temperature regimes (25 and 32 degreesC), in combination with two watering regimes in growth chambers. Complementary to growth traits analysed in a previous study, carbon isotope discrimination (Delta), a complex physiological trait involved in acclimation and adaptive processes, was studied. ANOVA indicated significant Delta variability for C. sativa populations across Europe and, thereby, variation in adaptedness to drought. The European pattern of Delta variability matches the previously reported one for the centre of origin of C. sativa (Ponto-Caucasian region). This suggests that common mechanisms of drought adaptedness, involving both genetic and physiological determinants, give C. sativa the capacity to colonize a wide range of site conditions. The highest Delta values, indicating the lowest water-use efficiency (WUE), were found within each treatment for populations originating from Mediterranean drought-prone sites. These populations also had the highest phenotypic plasticity of Delta. Significant among-family genetic variation in Delta was found. The heritability based on the joint ANOVA was estimated at 0.31 +/- 0.07. The estimates of the coefficients for the additive variance varied in the range 2.6-4.0%, suggesting possibilities for selection on WUE and adaptedness to drought. The genetic correlations between Delta and growth traits were generally strong and negative, especially in the two high temperature treatments.</t>
  </si>
  <si>
    <t>10.1111/j.1420-9101.2004.00765.x</t>
  </si>
  <si>
    <t>Rosas-Luis, R; Navarro, J; Loor-Andrade, P; Forero, MG</t>
  </si>
  <si>
    <t>Feeding ecology and trophic relationships of pelagic sharks and billfishes coexisting in the central eastern Pacific Ocean</t>
  </si>
  <si>
    <t>Large pelagic predators; Ecuadorian Pacific Ocean; Trophic ecology; Stable isotopes; Sympatric species</t>
  </si>
  <si>
    <t>SQUID DOSIDICUS-GIGAS; PRIONACE-GLAUCA; STABLE-ISOTOPES; BLUE SHARK; NITROGEN-EXCRETION; DIET; CEPHALOPODS; SWORDFISH; PATTERNS; TRACKING</t>
  </si>
  <si>
    <t>Large pelagic fishes are top predators inhabiting the water column of the tropical and subtropical Pacific Ocean. They are highly migratory organisms, and for Ecuadorian fisheries, they also represent important economic resources. We sampled 4 shark species, Prionace glauca, Isurus oxyrinchus, Carcharhinus falciformis and Alopias pelagicus, and 3 billfish species, Xiphias gladius, Istiophorus platypterus and Makaira nigricans, in order to gain understanding of their feeding ecology and trophic interactions through the use and combination of stomach content and stable isotope analyses. Results showed that delta C-13 values were similar among the 7 pelagic predators (values ranged from -16.45% for M. nigricans to -16.73% for C. falciformis), suggesting that all of them exploit a similar marine area off the coast of Ecuador. delta N-15 stable isotope values differed among species (the lowest value was 13.83% for A. pelagicus and the highest value was 18.57% for P. glauca), suggesting segregation in the use of the water column and/or diet. The sharks I. oxyrinchus and P. glauca had high values of delta N-15 and preyed mainly on cephalopods in comparison with the other species, which preyed mainly on fish. In addition to the common use of cephalopods as prey for large pelagic fish, our results indicate that these shark species segregate their diet.</t>
  </si>
  <si>
    <t>10.3354/meps12186</t>
  </si>
  <si>
    <t>Ainley, DG; Hobson, KA; Crosta, X; Rau, GH; Wassenaar, LI; Augustinus, PC</t>
  </si>
  <si>
    <t>Holocene variation in the Antarctic coastal food web: linking delta D and delta C-13 in snow petrel diet and marine sediments</t>
  </si>
  <si>
    <t>Antarctica; Holocene climate change; food webs; isotopic analysis; mumiyo; Pagodroma nivea; sediment cores; snow petrel</t>
  </si>
  <si>
    <t>STOMACH OIL DEPOSITS; SOUTHERN-OCEAN; ORGANIC-MATTER; BUNGER HILLS; ROSS SEA; CARBON; PHYTOPLANKTON; RECORD; C-14; INSIGHTS</t>
  </si>
  <si>
    <t>Here we present first time evidence for concordant variation in the isotopic signature at both the base and the upper levels of the Antarctic coastal food web during the Holocene. Laminae in sub-fossil deposits of snow petrel Pagodroina nivea stomach oil, known as mumiyo, were collected from nest-sites in the Bunger Hills, East Antarctica. Mumiyo layers were sub-sampled, radiocarbondated, and analyzed for delta C-13 and delta D. The obtained values were compared to isotopic variability among layers of an ocean sediment core collected, and similarly dated, in nearby Dumont D'Urville Trough. Overlapping records extended from about 10 160 to 526 calendar years before present (cal yr BP). Mumiyo delta D values remained relatively constant throughout the sampled period, in accordance with data from nearby ice cores. For C-13, both mumiyo and sediment were enriched during the warmer midHolocene (ca. 7500 to 5500 cal yr BP). Isotopic concordance between the core and the mumiyo, and a significant correlation between mumiyo delta D and delta C-13, suggest that past delta C-13 variation in plankton was transferred through diet to higher trophic levels and ultimately recorded in stomach oil of snow petrels. Divergence in signals during cold periods may indicate a shift in foraging by the petrels from C-13-enriched neritic prey to normally C-13-depleted pelagic prey, except for those pelagic prey encountered at the productive pack-ice edge during cooler periods, a shift forced by presumed greater sea-ice concentration during those times. Other air-breathing predators would likely respond in the same way.</t>
  </si>
  <si>
    <t>10.3354/meps306031</t>
  </si>
  <si>
    <t>Fellman, JB; Hood, E; Spencer, RGM; Stubbins, A; Raymond, PA</t>
  </si>
  <si>
    <t>Watershed Glacier Coverage Influences Dissolved Organic Matter Biogeochemistry in Coastal Watersheds of Southeast Alaska</t>
  </si>
  <si>
    <t>glacier change; dissolved organic matter; stable isotopes; fluorescence characterization; fluvial systems; biogeochemistry</t>
  </si>
  <si>
    <t>FLUORESCENCE SPECTROSCOPY; STABLE-ISOTOPES; CARBON; SALMON; NUTRIENTS; RIVER; STREAMFLOW; DYNAMICS; VARIABILITY; ABUNDANCE</t>
  </si>
  <si>
    <t>The Coast Mountains of southeast Alaska are currently experiencing some of the highest rates of glacier volume loss on Earth, with unknown implications for proglacial stream biogeochemistry. We analyzed streamwater for delta O-18 and dissolved organic matter (DOM) biogeochemistry (concentration, delta C-13-dissolved organic carbon (DOC), and fluorescence characterization) during the 2012 glacial runoff season from three coastal watersheds in southeast Alaska that ranged in glacier coverage from 0 to 49% and a glacier outflow stream. Our goal was to assess how DOM biogeochemistry may change as receding glaciers are replaced by forests and glaciers contribute less meltwater to streamflow. Discharge and streamwater delta O-18 varied seasonally reflecting varying contributions of rainfall and snow/icemelt to streamflow over the runoff season. Mean DOC concentrations were lowest in the glacial outflow and highest in the non-glacial stream reflecting an increasing contribution of vascular plant-derived carbon with decreasing watershed glaciation. Fluorescence and delta C-13-DOC signatures indicated that DOM shifted from vascular plant-derived, humic-like material in the non-glacial stream toward more delta C-13-DOC enriched, glacier-derived DOM in the glacial outflow. Streamwater delta O-18 was significantly correlated to DOC concentration, delta C-13-DOC, and protein-like fluorescence of streamwater DOM (all P &lt; 0.05), demonstrating that changes in the source of streamwater across the glacial watershed continuum have important implications for the amount and quality of stream DOM export. Overall, our findings show that continued glacial recession and subsequent changes in glacial runoff could substantially influence the biogeochemistry of coastal temperature watersheds by altering the timing, magnitude, and chemical signature of DOM delivered to streams.</t>
  </si>
  <si>
    <t>10.1007/s10021-014-9777-1</t>
  </si>
  <si>
    <t>Kohzu, A; Tayasu, I; Yoshimizu, C; Maruyama, A; Kohmatsu, Y; Hyodo, F; Onoda, Y; Igeta, A; Matsui, K; Nakano, T; Wada, E; Nagata, T; Takemon, Y</t>
  </si>
  <si>
    <t>Nitrogen-stable isotopic signatures of basal food items, primary consumers and omnivores in rivers with different levels of human impact</t>
  </si>
  <si>
    <t>Food web; River; Human impact; Trophic level; Stable isotope</t>
  </si>
  <si>
    <t>TROPHIC POSITION; AMINO-ACIDS; RATIOS; WEBS; DELTA-N-15; LAKES; FLOW</t>
  </si>
  <si>
    <t>We examined how nitrogen-stable isotopic signatures of food web components (basal resources, primary and lower consumers, and omnivores) in rivers change with increasing levels of human population density (HPD) in their watersheds. Samples were collected from 22 rivers flowing in the Lake Biwa basin, Japan. Among three potential resources at the base of food webs (epilithon, benthic and suspended particulate organic matter), the mean isotopic values (delta(15)N) of the epilithon (4.5-7.8%) were consistently higher than those of other items (1.9-4.2%) and displayed the most pronounced elevation (by 3.3%) with increasing HPD. The mean delta(15)N values of the individual taxa of lower consumers (bivalve, snail and caddisfly) tended to increase with increasing HPD, although the pattern and the extent of the elevation were highly variable among the taxa. These results suggest a taxon-specific feature in the N source (or sources) of lower consumers. Our data suggested that human activities (e.g. nutrient loading) potentially induce changes in the N baselines of river food webs. The major N source of bivalves appeared to be shifted from suspended particulate organic matter to other items with increasing HPD. Trophic levels of goby fish (Rhinogobius sp. OR) and shrimp (Palaemon paucidens), being estimated to be at 2.4-3.8 and 2.1-3.4, respectively, did not differ significantly among rivers with different HPD levels.</t>
  </si>
  <si>
    <t>10.1007/s11284-008-0489-x</t>
  </si>
  <si>
    <t>Do Nearctic hover flies (Diptera: Syrphidae) engage in long-distance migration? An assessment of evidence and mechanisms</t>
  </si>
  <si>
    <t>cold tolerance; deuterium; hover fly; insect migration; morphometrics; stable isotopes; Syrphidae</t>
  </si>
  <si>
    <t>MONARCH BUTTERFLIES; SEASONAL MIGRATION; NATAL ORIGINS; EPISYRPHUS-BALTEATUS; STABLE-ISOTOPES; COLD TOLERANCE; NORTH-AMERICA; BODY-SIZE; DISPERSAL; APHID</t>
  </si>
  <si>
    <t>Long-distance insect migration is poorly understood despite its tremendous ecological and economic importance. As a group, Nearctic hover flies (Diptera: Syrphidae: Syrphinae), which are crucial pollinators as adults and biological control agents as larvae, are almost entirely unrecognized as migratory despite examples of highly migratory behavior among several Palearctic species. Here, we examined evidence and mechanisms of migration for four hover fly species (Allograpta obliqua, Eupeodes americanus, Syrphus rectus, and Syrphus ribesii) common throughout eastern North America using stable hydrogen isotope (delta H-2) measurements of chitinous tissue, morphological assessments, abundance estimations, and cold-tolerance assays. Although further studies are needed, nonlocal isotopic values obtained from hover fly specimens collected in central Illinois support the existence of long-distance fall migratory behavior in Eu. americanus, and to a lesser extent S. ribesii and S. rectus. Elevated abundance of Eu. americanus during the expected autumn migratory period further supports the existence of such behavior. Moreover, high phenotypic plasticity of morphology associated with dispersal coupled with significant differences between local and nonlocal specimens suggest that Eu. americanus exhibits a unique suite of morphological traits that decrease costs associated with long-distance flight. Finally, compared with the ostensibly nonmigratory A. obliqua, Eu. americanus was less cold tolerant, a factor that may be associated with migratory behavior. Collectively, our findings imply that fall migration occurs in Nearctic hover flies, but we consider the methodological limitations of our study in addition to potential ecological and economic consequences of these novel findings.</t>
  </si>
  <si>
    <t>e1542</t>
  </si>
  <si>
    <t>10.1002/ecm.1542</t>
  </si>
  <si>
    <t>Schram, JB; Sorensen, HL; Brodeur, RD; Galloway, AWE; Sutherland, KR</t>
  </si>
  <si>
    <t>Abundance, distribution, and feeding ecology of Pyrosoma atlanticum in the Northern California Current</t>
  </si>
  <si>
    <t>Pyrosoma; Pelagic tunicates; Biomarker; Fatty acids; Stable isotopes; C:N</t>
  </si>
  <si>
    <t>STABLE-ISOTOPES; SUBTROPICAL CONVERGENCE; TROPHIC ECOLOGY; JELLYFISH; PHYTOPLANKTON; ZOOPLANKTON; ECOSYSTEM; PLANKTON; CARBON; CONSEQUENCES</t>
  </si>
  <si>
    <t>During 2016-2018, unprecedented aggregations of the colonial pelagic tunicate Pyrosoma atlanticum were observed in the Northern California Current (NCC). Pyrosomes are common in tropical and sub-tropical ocean waters, but little is known about their abundance, distribution, and trophic ecology in mid-latitude systems. To assess these factors, pyrosomes were collected during cruises in the NCC in May and August 2017. A generalized additive model (GAM) was used to identify relationships between in situ environmental variables (temperature, salinity, fluorescence) and distribution and abundance patterns of pyrosomes in May 2017. Fatty acid (FA) profiles were then characterized as diet indicators, and bulk stable isotope analysis of carbon and nitrogen was used to examine spatial variations in potential food sources and trophic level. The GAM identified sea surface temperature and surface salinity as significant variables related to pyrosome densities. The most abundant FA in the pyrosomes was docosahexanoic acid (22:6 omega 3), which serves in pelagic systems as a biomarker for dinoflagellates. Common FA biomarkers for bacteria, carnivory, and dinoflagellates differed by latitude, suggesting that pyrosomes have different diets over a broad latitudinal range. The delta N-15 values of P. atlanticum indicate that pyrosomes may be feeding at a relatively low trophic level compared to other zooplankton groups in this region. Offshore pyrosomes had lower delta C-13 values than those collected on the shelf, suggesting incorporation of nearshore carbon in pyrosome tissues. Previously documented rapid reproduction and growth of pyrosomes coupled with efficient feeding behavior for common NCC plankters may support their continued presence in this mid-latitude region.</t>
  </si>
  <si>
    <t>10.3354/meps13465</t>
  </si>
  <si>
    <t>Belle, S; Millet, L; Lami, A; Verneaux, V; Musazzi, S; Hossann, C; Magny, M</t>
  </si>
  <si>
    <t>Increase in benthic trophic reliance on methane in 14 French lakes during the Anthropocene</t>
  </si>
  <si>
    <t>biogenic methane; carbon cycle; global change; lake; palaeolimnology</t>
  </si>
  <si>
    <t>STABLE-ISOTOPES; LAND-USE; CARBON-DIOXIDE; CYCLE; RESERVOIRS; BACTERIA; ENERGY; DEPTH; FRACTIONATION; PHOSPHORUS</t>
  </si>
  <si>
    <t>Lakes play a key role in the regulation of the global carbon cycle. However, their functioning can be strongly impacted by anthropogenic pressures and climate variability. Understanding the response of the carbon cycle to environmental changes remains a crucial, elusive goal for both ecosystem managers and aquatic ecologists. In particular, the relations among lake physical and chemical properties, landscape structure and lake carbon cycling must be studied to predict future trends in lake functioning. Sediment cores were collected from the deepest part of 14 small French lakes that differed in lake properties (elevation, conductivity, area, area of the watershed) and land-use class (forest, wetland, agricultural land and urban area). The sampling strategy employed the top-bottom approach (a comparison between present-day conditions and reference' conditions at Medieval period, c. AD 1000). For each sample, the following variables were analysed: isotopic carbon composition of sedimentary organic carbon (C-13(OM)), C-13 of chironomid remains (C-13(HC)), and sedimentary pigments (total carotenoids, TC). Stepwise multiple regression analysis showed that the size of the catchment area may affect C-13(OM) values for the Medieval samples (R-2=0.36, P&lt;0.05), such that the flux of terrestrial organic matter increases with the size of the watershed. However, this relation is not observed in the present-day samples, and the influence apparently becomes largely anthropogenic. For these present-day samples, the proportion of agricultural land in the watershed appears to be the primary driver of lake biogeochemical cycles through a direct effect on nutrient availability (R-2=0.24, P&lt;0.05) and through an indirect effect on the benthic carbon cycle. The results also confirm the widespread existence of a pathway for methane-derived carbon contribution to chironomid biomass (up to 61% of chironomid biomass) and suggest that high-conductivity lakes are highly sensitive to the presence of this pathway (more than 75% of the lakes in our dataset have benthic food webs apparently dependent on biogenic methane; CH4). The results may indicate that the high-conductivity lakes (from the Jura Mountains) are more vulnerable to anthropogenic activities than low-conductivity lakes because high-conductivity water provides an excellent nutritive medium for the development of photoautotrophic production. Studying within-lake CH4 dynamics and the response of the CH4 cycle in high-conductivity lakes appear to be crucial for understanding both regional carbon budgets and lake trophic functioning.</t>
  </si>
  <si>
    <t>10.1111/fwb.12771</t>
  </si>
  <si>
    <t>Kato, Y; Kondoh, M; Ishikawa, NF; Togashi, H; Kohmatsu, Y; Yoshimura, M; Yoshimizu, C; Haraguchi, TF; Osada, Y; Ohte, N; Tokuchi, N; Okuda, N; Miki, T; Tayasu, I</t>
  </si>
  <si>
    <t>Using food network unfolding to evaluate food-web complexity in terms of biodiversity: theory and applications</t>
  </si>
  <si>
    <t>Carbon and nitrogen stable isotope ratio; ecosystem functioning; food network unfolding; species diversity; trophic level; trophic position; trophic pyramid</t>
  </si>
  <si>
    <t>HEADWATER STREAMS; FUNCTIONAL DIVERSITY; PREDATOR DIVERSITY; REAL DIFFERENCES; STEEP TERRAIN; TERRESTRIAL; ECOLOGY; MACROINVERTEBRATES; PRODUCTIVITY; COMMUNITIES</t>
  </si>
  <si>
    <t>Food-web complexity often hinders disentangling functionally relevant aspects of food-web structure and its relationships to biodiversity. Here, we present a theoretical framework to evaluate food-web complexity in terms of biodiversity. Food network unfolding is a theoretical method to transform a complex food web into a linear food chain based on ecosystem processes. Based on this method, we can define three biodiversity indices, horizontal diversity (D-H), vertical diversity (D-V) and range diversity (D-R), which are associated with the species diversity within each trophic level, diversity of trophic levels, and diversity in resource use, respectively. These indices are related to Shannon's diversity index (H'), where H' = D-H + D-V - D-R. Application of the framework to three riverine macroinvertebrate communities revealed that D indices, calculated from biomass and stable isotope features, captured well the anthropogenic, seasonal, or other within-site changes in food-web structures that could not be captured with H' alone.</t>
  </si>
  <si>
    <t>10.1111/ele.12973</t>
  </si>
  <si>
    <t>Medeiros, ESF; Arthington, AH</t>
  </si>
  <si>
    <t>Fish diet composition in floodplain lagoons of an Australian dryland river in relation to an extended dry period following flooding</t>
  </si>
  <si>
    <t>Fish trophic position; Dietary variability; Invertebrate prey; Foraging strategy</t>
  </si>
  <si>
    <t>FRESH-WATER FISHES; ARID-ZONE RIVER; COOPER CREEK; MACROINVERTEBRATE FAUNA; MACINTYRE RIVER; FOOD RESOURCE; VARIABILITY; SEASON; CONNECTIVITY; ZOOPLANKTON</t>
  </si>
  <si>
    <t>Floodplain rivers worldwide are threatened by loss of connectivity to their floodplains and hence reduced benefits from floodplain energy subsidies. Dryland rivers with 'boom and bust' ecological responses to flooding and extended dry periods may be particularly vulnerable. This paper describes variations in dietary composition of three fish species of contrasting trophic position in dryland floodplain lagoons with variable flood inundation and drying histories. The study species were Ambassis agassizii - a microphagic carnivore, Leiopotherapon unicolor - a carnivore/omnivore, and Nematalosa erebi - an algivore/detritivor. Despite the range of food items recorded in fish guts, each species fed mostly on relatively few food categories and few food items within each category. Most of the spatial (i.e. among lagoons) and temporal dietary variation was associated with different proportional contributions of these food items. Given the absence or low magnitude of flooding during the study period, temporal changes in diets of the three species are probably the result of successional changes in composition of invertebrate prey as the dry season progressed. The focus of each fish species on relatively few food categories and a few reliable food items within each category may be the most profitable foraging strategy when food resources are limiting in progressively drying floodplain lagoons.</t>
  </si>
  <si>
    <t>10.1007/s10641-013-0180-0</t>
  </si>
  <si>
    <t>Priyadarshini, KVR; Prins, HHT; de Bie, S; Heitkonig, IMA; Woodborne, S; Gort, G; Kirkman, K; Ludwig, F; Dawson, TE; de Kroon, H</t>
  </si>
  <si>
    <t>Seasonality of hydraulic redistribution by trees to grasses and changes in their water-source use that change tree-grass interactions</t>
  </si>
  <si>
    <t>tree-grass interactions; water-source use; water stable isotopes; H-2 stable isotope tracer labelling; semi-arid savannas; hydraulic redistribution; Andover Game Reserve; savanna trees</t>
  </si>
  <si>
    <t>NEOTROPICAL SAVANNA TREES; EAST-AFRICAN SAVANNA; SOIL-WATER; PLANT-COMMUNITIES; SEMIARID SAVANNA; ROOT ACTIVITY; LIFT; COMPETITION; PATTERNS; FACILITATION</t>
  </si>
  <si>
    <t>Savanna vegetation is characterized by tree-grass co-existence that can experience intense water limitation, yet the water relations of these savanna plants are poorly understood. We examined the water sources for trees and grasses in different seasons and investigated the importance of hydraulic redistribution in three tree species inhabiting a semi-arid savanna in South Africa. We used natural variation in H and O stable isotope composition of source waters to identify the principal water sources for these plants. We conducted an experiment by labelling deep-soil (2.5-m depth) with a deuterium tracer. Seasonal differences in the stable isotope composition of water in trees and grasses indicated that there was water-source use partitioning as well as overlap. Trees and grasses used water from the topsoil after rainfall indicating overlap of water-source use. All tree species shifted to groundwater or subsoil water use when there was no water in the topsoil indicating partitioning of water use. Grasses always used water from the topsoil. The seasonal changes in water-source use by trees and grasses indicated possible shifts in tree-grass interactions during different periods of the year. The tracer experiment confirmed hydraulic redistribution in all the three tree species and water transfer to grasses via the topsoil. However, this occurred only in the dry season. Our observations and experimental results indicate the potential for facilitation effects by trees to their understory grasses and show that dry season hydraulic redistribution from trees to grasses could be an important facilitative mechanism maintaining tree-grass co-existence in savannas. Copyright (c) 2015 John Wiley &amp; Sons, Ltd.</t>
  </si>
  <si>
    <t>10.1002/eco.1624</t>
  </si>
  <si>
    <t>Kiyashko, SI; Kharlamenko, VI; Sanamyan, K; Alalykina, IL; Wurzberg, L</t>
  </si>
  <si>
    <t>Trophic structure of the abyssal benthic community in the Sea of Japan inferred from stable isotope and fatty acid analyses</t>
  </si>
  <si>
    <t>Abyssal zone; Sea of Japan; Benthic invertebrates; Feeding; Stable isotopes; Fatty acids</t>
  </si>
  <si>
    <t>NORTHEAST PACIFIC-OCEAN; FOOD-WEB IMPLICATIONS; DEEP-SEA; PERACARID CRUSTACEANS; SYMBIOTIC BACTERIA; CONTINENTAL-SLOPE; LIPID-COMPOSITION; BIVALVE MOLLUSKS; CLIMATE-CHANGE; TRINITY BAY</t>
  </si>
  <si>
    <t>The abyss of the Sea of Japan represents an example of an isolated deep-sea environment that contains mostly endemic fauna and has a complicated Quaternary history. To determine the trophic structure and sources supporting this abyssal benthic community, the carbon and nitrogen stable isotope ratios and fatty acid (FA) compositions of key invertebrate species and sedimentary organic matter (SOM) were analysed. Samples were collected at a range of depths from 2481 to 3666 m in the deep-water basin of the Sea of Japan in August 2010. Species of the most abundant invertebrates-including polychaetes, sea anemones, peracarid crustaceans, bivalves and brittle stars-showed similar delta N-15 values, corresponding to relatively high and similar trophic positions. Analysis of FA trophic markers showed that all of these equally N-15-enriched omnivores, carnivores and scavenger species in the Sea of Japan abyssal environment fed mostly on sinking zooplankton animals. The resulting FA profiles of these species showed a high 18:1 omega 9/18:1 omega 7 ratio, and the 22:6 omega 3 and 20:5 omega 3 polyunsaturated FAs were the most abundant FAs. Only one macrobenthic species, the filter-feeding Thyasira (Parathyasira) sp., had low 22:6 omega 3 and 20:5 omega 3 FA proportions, but it exhibited significant levels of 18:2 omega 6 and 16:1 omega 10 FAs characteristic of the SOM of the deep waters of the Sea of Japan. These data reveal the dominant role of descending zooplankton as a food resource for mega- and macrobenthos in this marginal deep-water environment. Despite the proximity of the productive shelf area, which exports plant residues to the deep-water basin of the Sea of Japan, we found no isotopic or FA indications of feeding on allochtonous detritus of seagrasses or macroalgae among abyssal consumers. Our data did not support cannibalism as a feeding mode of the abundant abyssal carnivorous polychaetes, as had previously been suggested. Different key invertebrate species of the Sea of Japan abyssal food web occupied similar trophic positions and fed predominantly on descended zooplankton. We suggest that the simple structure of the Sea of Japan abyssal food web, lacking abundant deposit-feeder food chains, is the result of the young evolutionary age of this community rather than the low availability of bottom detritus or the specific structure of the pelagic community that provides abundant downward flow of zooplankton.</t>
  </si>
  <si>
    <t>10.3354/meps10663</t>
  </si>
  <si>
    <t>Kowalczyk, ND; Reina, RD; Preston, TJ; Chiaradia, A</t>
  </si>
  <si>
    <t>Environmental variability drives shifts in the foraging behaviour and reproductive success of an inshore seabird</t>
  </si>
  <si>
    <t>River plumes; GPS; Salinity; Penguin; Stable isotopes</t>
  </si>
  <si>
    <t>PENGUINS EUDYPTULA-MINOR; ENERGY-EXPENDITURE; STABLE-ISOTOPES; SPATIAL-DISTRIBUTION; PHILLIP-ISLAND; CLIMATE-CHANGE; CHICK GROWTH; FISH; PREY; SPECIALIZATION</t>
  </si>
  <si>
    <t>Marine animals forage in areas that aggregate prey to maximize their energy intake. However, these foraging 'hot spots' experience environmental variability, which can substantially alter prey availability. To survive and reproduce animals need to modify their foraging in response to these prey shifts. By monitoring their inter-annual foraging behaviours, we can understand which environmental variables affect their foraging efficiency, and can assess how they respond to environmental variability. Here, we monitored the foraging behaviour and isotopic niche of little penguins (Eudyptula minor), over 3 years (2008, 2011, and 2012) of climatic and prey variability within Port Phillip Bay, Australia. During drought (2008), penguins foraged in close proximity to the Yarra River outlet on a predominantly anchovy-based diet. In periods of heavy rainfall, when water depth in the largest tributary into the bay (Yarra River) was high, the total distance travelled, maximum distance travelled, distance to core-range, and size of core- and home-ranges of penguins increased significantly. This larger foraging range was associated with broad dietary diversity and high reproductive success. These results suggest the increased foraging range and dietary diversity of penguins were a means to maximize resource acquisition rather than a strategy to overcome local depletions in prey. Our results demonstrate the significance of the Yarra River in structuring predator-prey interactions in this enclosed bay, as well as the flexible foraging strategies of penguins in response to environmental variability. This plasticity is central to the survival of this small-ranging, resident seabird species.</t>
  </si>
  <si>
    <t>10.1007/s00442-015-3294-6</t>
  </si>
  <si>
    <t>Lovvorn, JR; Anderson, EM; Rocha, AR; Larned, WW; Grebmeier, JM; Cooper, LW; Kolts, JM; North, CA</t>
  </si>
  <si>
    <t>Variable wind, pack ice, and prey dispersion affect the long-term adequacy of protected areas for an Arctic sea duck</t>
  </si>
  <si>
    <t>benthic prey dispersion; Bering Sea; energy balance; fatty acids; marine protected areas; sea ice; Spectacled Eider; stable isotopes</t>
  </si>
  <si>
    <t>EIDERS SOMATERIA-SPECTABILIS; NORTHEASTERN CHUKCHI SEA; BERING-SEA; SPECTACLED EIDERS; COMMON EIDERS; CLIMATE-CHANGE; POPULATION-CHANGE; STABLE-ISOTOPES; BODY CONDITION; BEARDED SEALS</t>
  </si>
  <si>
    <t>With changing climate, delineation of protected areas for sensitive species must account for long-term variability and geographic shifts of key habitat elements. Projecting the future adequacy of protected areas requires knowing major factors that drive such changes, and how readily the animals adjust to altered resources. In the Arctic, the viability of habitats for marine birds and mammals often depends on sea ice to dissipate storm waves and provide platforms for resting. However, some wind conditions (including weak winds during extreme cold) can consolidate pack ice into cover so dense that air-breathing divers are excluded from the better feeding areas. Spectacled Eiders (Somateria fischeri) winter among leads (openings) in pack ice in areas where densities of their bivalve prey are quite high. During winter 2009, however, prevailing winds created a large region of continuous ice with inadequate leads to allow access to areas of dense preferred prey. Stable isotope and fatty acid biomarkers indicated that, under these conditions, the eiders did not diversify their diet to include abundant non-bivalve taxa but did add a smaller, less preferred, bivalve species. Consistent with a computer model of eider energy balance, the body fat of adult eiders in 2009 was 33-35% lower than on the same date (19 March) in 2001 when ice conditions allowed access to higher bivalve densities. Ice cover data suggest that the eiders were mostly excluded from areas of high bivalve density from January to March in about 30% of 14 winters from 1998 to 2011. Thus, even without change in total extent of ice, shifts in prevailing winds can alter the areal density of ice to reduce access to important habitats. Because changes in wind-driven currents can also rearrange the dispersion of prey, the potential for altered wind patterns should be an important concern in projecting effects of climate change on the adequacy of marine protected areas for diving endotherms in the Arctic.</t>
  </si>
  <si>
    <t>10.1890/13-0411.1</t>
  </si>
  <si>
    <t>Howard, I; McLauchlan, KK</t>
  </si>
  <si>
    <t>Spatiotemporal analysis of nitrogen cycling in a mixed coniferous forest of the northern United States</t>
  </si>
  <si>
    <t>CLIMATE-CHANGE; TREE-RINGS; FIRE; MINERALIZATION; MINNESOTA; HOLOCENE; ISOTOPES; FOLIAR; TRENDS; REGIME</t>
  </si>
  <si>
    <t>Nitrogen (N) is the limiting nutrient to primary productivity in a variety of temperate forests, and N cycling is undergoing a variety of anthropogenic changes, notably a doubling of reactive N (Nr) on a global scale. Yet, the magnitude of these changes to N cycling has been difficult to document in terrestrial ecosystems, especially in old-growth forests. To determine the trajectory of N cycling and the potential impacts of anthropogenic influences at local scales, we measured the composition of stable nitrogen isotopes (delta N-15) in wood from living red pine trees (Pinus resinosa) at a single site in northern Minnesota, USA. A synchronous decline in wood delta N-15 values began approximately in the 1920s in 17 individual trees at different topographic positions, indicating a common driver. The decline in wood delta N-15 values corresponded with declines in sedimentary delta N-15 recorded in lacustrine sediments of the same catchment. Disturbance regime and species composition began to change at the turn of the 20th century with park establishment, providing a likely mechanism of decline in delta N-15 values toward present. While other mechanisms of this change are possible, we conclude that while there may be consequences of increased influxes of various forms of anthropogenic Nr into terrestrial ecosystems at the global level, these changes are not being expressed at a local level in this temperate forest ecosystem.</t>
  </si>
  <si>
    <t>10.5194/bg-12-3941-2015</t>
  </si>
  <si>
    <t>Nigro, KM; Hathaway, SA; Wegmann, AS; Miller-ter Kuile, A; Fisher, RN; Young, HS</t>
  </si>
  <si>
    <t>Stable isotope analysis as an early monitoring tool for community-scale effects of rat eradication</t>
  </si>
  <si>
    <t>ecological niche; island; land crabs; Rattus rattus; SIBER; trophic ecology</t>
  </si>
  <si>
    <t>INVASIVE SPECIES REMOVAL; FOOD-CHAIN LENGTH; LAND CRABS; ECOSYSTEM SIZE; RAIN-FOREST; IMPACTS; ISLAND; SEABIRDS; PREDATORS; NICHE</t>
  </si>
  <si>
    <t>Invasive rats have colonized most of the islands of the world, resulting in strong negative impacts on native biodiversity and on ecosystem functions. As prolific omnivores, invasive rats can cause local extirpation of a wide range of native species, with cascading consequences that can reshape communities and ecosystems. Eradication of rats on islands is now becoming a widespread approach to restore ecosystems, and many native island species show strong numerical responses to rat eradication. However, the effect of rat eradication on other consumers can extend beyond direct numerical effects, to changes in behavior, dietary composition, and other ecological parameters. These behavioral and trophic effects may have strong cascading impacts on the ecology of restored ecosystems, but they have rarely been examined. In this study, we explore how rat eradication has affected the trophic ecology of native land crab communities. Using stable isotope analysis of rats and crabs, we demonstrate that the diet or trophic position of most crabs changed subsequent to rat eradication. Combined with the numerical recovery of two carnivorous land crab species (Geograpsus spp.), this led to a dramatic widening of the crab trophic niche following rat eradication. Given the established importance of land crabs in structuring island communities, particularly plants, this suggests an unappreciated mechanism by which rat eradication may alter island ecology. This study also demonstrates the potential for stable isotope analysis as a complementary monitoring tool to traditional techniques, with the potential to provide more nuanced assessments of the community- and ecosystem-wide effects of restoration.</t>
  </si>
  <si>
    <t>10.1111/rec.12511</t>
  </si>
  <si>
    <t>Mendez-Fernandez, P; Taniguchi, S; Santos, MCO; Cascao, I; Querouil, S; Martin, V; Tejedor, M; Carrillo, M; Rinaldi, C; Rinaldi, R; Barragan-Barrera, DC; Farias-Curtidor, N; Caballero, S; Montone, RC</t>
  </si>
  <si>
    <t>Population structure of the Atlantic spotted dolphin (Stenella frontalis) inferred through ecological markers</t>
  </si>
  <si>
    <t>Ecological management units; Stable isotopes; Persistent organic pollutants; Stenella frontalis; Atlantic Ocean</t>
  </si>
  <si>
    <t>FINNED PILOT WHALES; NORTH-ATLANTIC; STABLE-ISOTOPES; FEEDING-HABITS; CETACEANS; WATERS; DIFFERENTIATION; MITOCHONDRIAL; DELPHINIDAE; TURNOVER</t>
  </si>
  <si>
    <t>Population structure studies play an increasingly integral role in conservation and management of marine mammal species. Genetic markers are commonly used; however, ecological markers (i.e. chemical compounds) are a fairly recent and useful tool to investigate ecological management units. The objective of this study is to investigate the population structure of the Atlantic spotted dolphin (Stenella frontalis) within its distribution in the Atlantic Ocean using data from stable isotopes of delta C-13 and delta N-15 and persistent organic pollutants as ecological markers. Based on previous studies that addressed distribution, morphometric analyses and molecular and ecological markers, we hypothesize that there are several ecological management units within the Atlantic Ocean. Our results confirmed population differentiation previously detected using genetic markers. Additionally, dolphins from the south-eastern coast of Brazil do not show complete ecological segregation from the Caribbean ones, while molecular analyses suggested genetic differentiation between the two regions. In the light of these results, we propose that at least two ecological management units should be considered, east and west of the Atlantic Ocean; however, the presence of one or two management units along the Atlantic coast of Central and South America needs further investigation.</t>
  </si>
  <si>
    <t>10.1007/s10452-019-09722-3</t>
  </si>
  <si>
    <t>Street, GT; Montagna, PA; Parker, PL</t>
  </si>
  <si>
    <t>Incorporation of brown tide into an estuarine food web</t>
  </si>
  <si>
    <t>benthos; brown tide; food webs; seagrass; stable carbon isotopes</t>
  </si>
  <si>
    <t>SEAGRASS BED; MARINE; TEXAS; CARBON; BAY; ASSEMBLAGES; IRRADIANCE; BIOMASS; GROWTH; ISLAND</t>
  </si>
  <si>
    <t>In Laguna Madre, Texas, USA, a monospecific brown tide bloom began in January 1990 and was still persisting at the time of this writing. Immediately following the start of the bloom, abundance, biomass and diversity of benthos declined, and have remained low for 6 yr. One explanation for the decline is that the brown tide organism is a poor food source. To determine whether the brown tide was incorporated into the estuarine food web, benthic invertebrates and fish were studied 14 mo after the bloom onset using stable carbon isotope ratios. Fish and benthos were collected from 2 areas, a seagrass habitat in Laguna Madre, and a muddy bottom habitat in the adjacent Alazan Bay. The muddy bottom fauna had a strong brown tide signature, indicating the incorporation of brown tide or brown tide detritus into the food web. The higher-biomass seagrass-fauna had heavier isotope values, reflecting incorporation of seagrass carbon in addition to brown tide. The top predators, Sciaenops ocellatus and Pogonias cromis, have different niches, but were able to switch food sources and thrive during the brown tide bloom. Brown tide appears to be able to support an estuarine food web, but at the expense of benthic diversity. The loss of benthic diversity could be due to allelopathy or the inability of some species to assimilate brown tide. Habitats with extensive seagrass beds maintain higher productivity and diversity than muddy habitats. However, seagrass habitats are endangered because brown tide reduces light levels, inhibits seagrass growth, and is causing seagrass decline.</t>
  </si>
  <si>
    <t>10.3354/meps152067</t>
  </si>
  <si>
    <t>Morales-Baquero, R; Carrillo, P; Barea-Arco, J; Perez-Martinez, C; Villar-Argaiz, M</t>
  </si>
  <si>
    <t>Climate-driven changes on phytoplankton-zooplankton coupling and nutrient availability in high mountain lakes of Southern Europe</t>
  </si>
  <si>
    <t>climate-driven changes; mountain lakes; nutrient availability; phytoplankton-zooplankton coupling; resource limitation</t>
  </si>
  <si>
    <t>PHOSPHORUS RELATIONSHIP; CHEMICAL RESPONSES; ALPINE LAKE; TEMPERATURE; PLANKTON; WATER; DYNAMICS; NITROGEN; PRODUCTIVITY; LIMITATION</t>
  </si>
  <si>
    <t>1. The effect of climate variability on phytoplankton and zooplankton dynamics and nutrient availability was studied in two high mountain fishless lakes (La Caldera and Rio Seco) of contrasting morphology, hydrology and dissolved inorganic nitrogen : soluble reactive phosphate (DIN : SRP) ratios during 1986 and after a 10-year-long drought in 1996 and 1997. 2. Thaw was delayed and water temperatures were lower in both lakes in 1996 than in 1986 and 1997. However, the lake-specific DIN : SRP ratio was maintained in the 3 years studied, reflecting its local control. 3. On other hand, the presumptive limiting nutrient in each lake, P in La Caldera and N in Rio Seco, showed higher concentrations in 1996 versus 1986 and 1997. Significant positive correlations between temperature and chlorophyll a were found in both lakes in 1996 but these relationships were negative or not significant in 1986 and 1997. Zooplankton biomass showed lower values in 1996 than in 1986 or 1997. 4. These findings can be explained by a decoupling of the phytoplankton-zooplankton interaction because of a constraint on zooplankton growth by low temperatures in the coldest year studied. This observation furnishes evidence that regional climatic control on the phytoplankton-zooplankton link can modulate the overall demand for nutrients.</t>
  </si>
  <si>
    <t>10.1111/j.1365-2427.2006.01545.x</t>
  </si>
  <si>
    <t>Rose, KL; Graham, RC; Parker, DR</t>
  </si>
  <si>
    <t>Water source utilization by Pinus jeffreyi and Arctostaphylos patula on thin soils over bedrock</t>
  </si>
  <si>
    <t>water source; delta O-18; stable isotopes; Jeffrey pine; Greenleaf manzanita</t>
  </si>
  <si>
    <t>WEATHERED GRANITIC BEDROCK; SUMMER PRECIPITATION; SOUTHWESTERN OREGON; ROOT DISTRIBUTION; DOUGLAS-FIR; FOREST; ROCK; MORPHOLOGY; PONDEROSA; PLANTS</t>
  </si>
  <si>
    <t>Stable isotopes were used to evaluate water sources for co-occurring Jeffrey pine (Pinus jeffreyi Grev &amp; Balf.) and greenleaf manzanita (Arctostaphylos patula Greene) in the southern Sierra Nevada, California, where soils averaged only 75 cm thick but were underlain by up to 5 in of weathered granitic bedrock. Soils and underlying weathered bedrock were sampled three times during both the 1997 and 1998 growing seasons, in 25 cm increments, from 0 to 400 cm or until hard bedrock was reached, and plant stem tissue was sampled simultaneously. Extracted water from the soil/bedrock substrate and plant tissue was analyzed for delta(18)O and/or deltaD, and depth of water source was determined by inference in conjunction with moisture status of the substrate. Water source utilization over the growing seasons for both plants generally followed a pattern similar to that observed for water depletion. Predominant water use was initially from the surface soils. Progressively deeper water sources, including weathered bedrock to a depth of several meters, were exploited as the season progressed and the overlying substrate was depleted of moisture. Early in the growing season, stable isotope values were slightly lower for pine than for manzanita (e.g., average deltaD in June 1997 was 81parts per thousand, for pine and -77parts per thousand for manzanita), and suggest that the functional rooting depth for pine may have been slightly greater than for manzanita. In September 1997, manzanita deltaD values averaged -57parts per thousand while pine values averaged -85parts per thousand, indicating that manzanita opportunistically utilized summer precipitation while pine used more dependable bedrock water. In 1998, soils remained moist through July due to a late snowfall. Unlike the previous year, pine and manzanita deltaD values were not significantly different in mid- and late-growing season, and both plants exploited bedrock-derived water as soil water was depleted. Water held within bedrock was essential for meeting plant transpirational requirements over the summer drought.</t>
  </si>
  <si>
    <t>10.1007/s00442-002-1084-4</t>
  </si>
  <si>
    <t>MOORE, JC</t>
  </si>
  <si>
    <t>IMPACT OF AGRICULTURAL PRACTICES ON SOIL FOOD-WEB STRUCTURE - THEORY AND APPLICATION</t>
  </si>
  <si>
    <t>ENERGY CHANNEL; FOOD WEB; NUTRIENT DYNAMICS; SOIL BIOTA</t>
  </si>
  <si>
    <t>CHAIN LENGTH; ECOLOGICAL COMMUNITIES; MODEL-ECOSYSTEMS; MOUNTAIN MEADOW; PINE FOREST; STABILITY; PRAIRIE; REAL; COMPARTMENTATION; HETEROGENEITY</t>
  </si>
  <si>
    <t>Studies on the effects of agricultural practices have increasingly taken a systems perspective. A comparison of five long-term (5-10 year) systems level studies on native and agricultural soils ranging from the North American Shortgrass Steppe to recent Polder soils in the Netherlands demonstrates that systems exhibit common responses to agricultural disturbances. For example, management practices that incorporate organic material (stubble-mulching and conventional practices) disrupt the temporal and spatial compartmentalization of the bacterial and fungal energy channels of soil food web. Under these practices, the bacterial energy channel tends to be more active than the fungal energy channel. However, management practices that minimize the disruption of top-soil (no-tillage and integrated farming) tend to maintain temporal and spatial compartmentalization of the bacterial and fungal energy, In these practices, the fungal energy channel is either dominant or is more active than in more disturbed sites in the same soils. Coincident with the change in structure are changes in nutrient dynamics. Having established patterns in the ways in which agricultural practices alter food web structure and function, the challenge will be to utilize this knowledge in the development of sustainable low-input agricultural systems.</t>
  </si>
  <si>
    <t>10.1016/0167-8809(94)90047-7</t>
  </si>
  <si>
    <t>Hyodo, F; Matsumoto, T; Takematsu, Y; Kamoi, T; Fukuda, D; Nakagawa, M; Itioka, T</t>
  </si>
  <si>
    <t>The structure of a food web in a tropical rain forest in Malaysia based on carbon and nitrogen stable isotope ratios</t>
  </si>
  <si>
    <t>above-ground; below-ground; Lambir National Park; stable isotopes; terrestrial food web; trophic group</t>
  </si>
  <si>
    <t>GENERALIST PREDATORS; DELTA C-13; ENRICHMENT; DIET; ECOSYSTEM; DYNAMICS; TERMITES; ECOLOGY; FUNGI; N-15</t>
  </si>
  <si>
    <t>Carbon and nitrogen stable isotope ratios (delta C-13 and delta N-15) have been used to study the structure of food webs. However, few studies have examined how a terrestrial food web can be depicted by this technique. We measured delta C-13 and delta N-15 in various consumers of four trophic groups (detritivores, herbivores. omnivores and predators), including vertebrates and invertebrates (14 orders, &gt;= 24 families). as well as canopy and understorey leaves in a tropical rain forest in Malaysia. We found that. delta C-13 and delta N-15 of the consumers differed significantly among the trophic groups. The predators had significantly, higher delta C-13 than the herbivores, and were similar in delta C-13 to the detritivores, suggesting that most. predators examined depend largely, on below-ground food webs. delta N-15 was higher in predators than detritivores by about, 3 parts per thousand. The comparison of delta C-13 in plant materials and herbivores suggests that most. herbivores are dependent on C fixed in the canopy, layers. The vertebrates had significantly higher delta N-15 and delta C-13 than the invertebrates of the same trophic group. likely reflecting differences in the physiological processes and/or feeding habits. This study indicates that stable isotope techniques can help better Understanding of the terrestrial food webs in terms of both trophic level and the linkage of above and below-ground systems.</t>
  </si>
  <si>
    <t>10.1017/S0266467409990502</t>
  </si>
  <si>
    <t>Munoz-Villers, LE; Holwerda, F; Alvarado-Barrientos, MS; Geissert, D; Marin-Castro, B; Gomez-Tagle, A; McDonnell, J; Asbjornsen, H; Dawson, T; Bruijnzeel, LA</t>
  </si>
  <si>
    <t>Hydrological effects of cloud forest conversion in central Veracruz, Mexico</t>
  </si>
  <si>
    <t>BOSQUE</t>
  </si>
  <si>
    <t>land use change; evapotranspiration; streamflow; hydrograph separation; stable isotopes</t>
  </si>
  <si>
    <t>RAINFALL INTERCEPTION; EASTERN; WATER; SOIL; TRANSPIRATION; CONSERVATION; VARIABILITY; FLOW</t>
  </si>
  <si>
    <t>The provision and regulation of water flows in catchments is probably the most important ecosystem service of cloud forests; however, its hydrological behavior and impacts associated with forest conversion remain very poorly understood. The present study aimed at evaluating the hydrological effects of land use change for a cloud forest region on volcanic soils in Veracruz, Mexico. For this, micrometeorological, ecophysiological and hydrological measurements combined with stable isotope data were used. The findings showed higher annual water yields in pasture, as well as young and mature Pinus patula pine plantations due to lower evapotranspiration rates as compared to mature and secondary cloud forests. Total annual and seasonal flows were found very similar in both cloud forests, suggesting catchment hydrological functioning can be restored within 20 years of natural regeneration. Conversely, the pasture catchment showed higher annual streamflow (10 %), however 50 % on average lower baseflow at the end of the dry season, associated probably with more gentle slopes in combination with lower soil infiltration capacity. Further, it was shown that the conversion of cloud forest to pasture can promote major increases in overland flow in response to maximum rainfall events, despite the high permeability of the volcanic soils characterizing this environment. The ultimate effect of P. patula reforestation at catchment scale is still unknown, though higher rainfall infiltration rates, compared to pasture, suggest a soil hydrological recovery in the short to medium term.</t>
  </si>
  <si>
    <t>10.4067/S0717-92002015000300007</t>
  </si>
  <si>
    <t>Choy, ES; Rosenberg, B; Roth, JD; Loseto, LL</t>
  </si>
  <si>
    <t>Inter-annual variation in environmental factors affect the prey and body condition of beluga whales in the eastern Beaufort Sea</t>
  </si>
  <si>
    <t>Fatty acid signatures; Delphinapterus leucas; Beaufort Sea; Arctic; Stable isotope ratios; Climate change; Dietary tracers; Body condition</t>
  </si>
  <si>
    <t>TISSUE-DIET DISCRIMINATION; ACID SIGNATURE ANALYSIS; STABLE CARBON ISOTOPES; DELPHINAPTERUS-LEUCAS; POLAR BEARS; FATTY-ACIDS; PHOCOENA-PHOCOENA; NITROGEN-ISOTOPE; TROPHIC ECOLOGY; ICE</t>
  </si>
  <si>
    <t>Declines in individual growth rates in eastern Beaufort Sea (EBS) beluga whales Delphinapterus leucas over the past 20 yr are hypothesized to be the result of changing environmental conditions. To better understand short-term variation in diet, we examined inter-annual variation in body condition indices, fatty acid composition, and stable isotope ratios in EBS beluga whales in relation to environmental conditions. We also examined if differences in dietary tracers in beluga whales reflect sex-and size-based habitat selection. During a warm year anomaly (2012), belugas demonstrated greater overlap in dietary tracers among sex and size classes, whereas greater differences occurred during years with greater sea ice extent over the Mackenzie Shelf (2013 and 2014). Body condition indices (maximum girth and blubber thickness) were highest in belugas in 2011 and 2012 and lowest in 2014. Total Calanus markers 20: 1n-9 and 22: 1n-11 contributed the most to annual variability and had the lowest proportions in females and small males in 2014, a year that coincided with low Arctic cod Boreogadus saida biomass. Age and year were the strongest predictors of fatty acid composition and delta C-13 values in beluga whales, whereas length influenced delta N-15 values, possibly a reflection of larger whales diving to greater depths to feed on Arctic cod. Annual variability in sea ice conditions and prey availability may be associated with inter-annual variation in dietary tracers and condition in beluga whales. As Arctic marine ecosystems are currently undergoing rapid change, understanding the factors causing interannual variation in diet should be a conservation priority for this beluga whale population.</t>
  </si>
  <si>
    <t>10.3354/meps12256</t>
  </si>
  <si>
    <t>Uemori, K; Mita, T; Hishi, T</t>
  </si>
  <si>
    <t>Differences in functional trait responses to elevation among feeding guilds of Aculeata community</t>
  </si>
  <si>
    <t>Boreal forest; climate change; elevational gradient; feeding guild; functional trait; hymenoptera</t>
  </si>
  <si>
    <t>MIXED STANDS; DIVERSITY; BEES; POLLINATORS; SPRUCE; RANGE; SCALE; PURE</t>
  </si>
  <si>
    <t>The response of communities to environmental change is expected to vary among feeding guilds. To evaluate the response of guilds to environmental factors without considering the taxonomic specificities, it is useful to examine Aculeata bees and wasps, which consist of closely related taxa including different guilds, pollinators, predators, and parasitoids. In this study, we evaluated changes in species diversity (SD) and functional traits of each feeding guild along an elevational gradient in a boreal forest in northern Japan. We used yellow pan traps to collect Aculeata bees and wasps at 200-1600 m above sea level. We investigated six functional traits (trophic level, seasonal duration, body size, elevational range, nesting position, and soil dependency) and the horizontal distribution of the species. The SD of all Aculeata, predators, and parasitoids decreased with an increase in elevation; however, the SD of pollinators did not show any specific trend. Although the functional trait composition of all Aculeata species did not show any trend, that of each feeding guild responded to elevation in different ways. Pollinators increased in body size and showed a decrease in seasonal duration with increasing elevation, suggesting that tolerance and seasonal escape from physical stress at high elevations are important for shaping pollinator communities. Predators increased their elevational range and the proportion of above-ground nesting species increased with increasing elevation, suggesting that the ability to live in a wider range of environments and avoid unsuitable soil environments at high elevations might be important. Parasitoids changed their hosts and displayed variable traits with increasing elevation, suggesting that brood parasitoids have difficulty in surviving at high elevation. The traits for each guild responded in different ways, even if they were dominated by the same environmental factors. Our findings imply that differences in the responses of functional traits would produce different community assembly patterns in different guilds during further climate change.</t>
  </si>
  <si>
    <t>e9171</t>
  </si>
  <si>
    <t>10.1002/ece3.9171</t>
  </si>
  <si>
    <t>Reuss, NS; Anderson, NJ; Fritz, SC; Simpson, GL</t>
  </si>
  <si>
    <t>Responses of microbial phototrophs to late-Holocene environmental forcing of lakes in south-west Greenland</t>
  </si>
  <si>
    <t>Arctic; biogenic silica; energy and mass; nitrogen; pigments</t>
  </si>
  <si>
    <t>ATMOSPHERIC NITROGEN DEPOSITION; FOSSIL PIGMENTS; CLIMATIC-CHANGE; ARCTIC LAKES; SALINE LAKE; CARBON; COMMUNITIES; RECORDS; PALEOHYDROLOGY; TEMPERATURE</t>
  </si>
  <si>
    <t>1.The biological structure of arctic lakes is changing rapidly, apparently in response to global change processes such as increasing air temperatures, although altered nutrient stoichiometry may also be an important driver. Equally important, however, are local factors (e.g. landscape setting, hydrological linkages and trophic interactions) that may mediate responses of individual lakes at the regional scale. Despite general acknowledgement of the importance of local factors, there has been little focus on among-lake variability in the response to environmental change. 2.Sedimentary pigments, organic carbon and nitrogen, and biogenic silica (BSi) in 210Pb and 14C-dated sediment cores from three contrasting lakes in the Kangerlussuaq area (c.67 degrees N, 51 degrees W) of south-west Greenland were used to reconstruct algal and phototrophic bacterial ecological change during the late-Holocene. Water chemistry for the individual lakes varies in terms of conductivity (range: 303000Scm1) and stratification regimes (cold monomictic, dimictic and meromictic), linked with their position along the regional climate gradient from the coast and to the present ice sheet margin. 3.Despite essentially similar regional climate forcing over the last c.1000years, marked differences among lake types were observed in the phototrophic communities and their temporal variability. Considerable short-term variability occurred in an oligosaline, meromictic lake (SS1371), dominated by purple sulphur bacterial pigments, most likely due to a tight coupling between the position of the chemocline and the phototrophic community. Communities in a lake (SS86) located on a nunatak, just beyond the edge of the present ice sheet shifted in a nonlinear pattern, approximately 1000cal.years BP, possibly due to lake-level lowering and loss of outflow during the Medieval Climate Anomaly. This regime shift was marked by a substantial expansion of green sulphur bacteria. 4.A dilute, freshwater coastal lake (SS49) dominated by benthic algae was relatively stable until ca.1900 AD when rates of community change began to increase. These changes in benthic algal pigments are correlated with substantial declines (1.30.44 parts per thousand) in 15N that are indicative of increased deposition of atmospheric inputs of industrially derived NOx into the atmosphere. 5.Climate control on lake ecosystem functioning has been assumed to be particularly important in the Arctic. This study, however, illustrates a complex spatial response to climate forcing at the regional scale and emphasises differences in the relative importance of changes in the mass (m, both precipitation and nutrients) and energy flux (E) to lakes for the phototrophic community structure of low-arctic Greenland lakes.</t>
  </si>
  <si>
    <t>10.1111/fwb.12073</t>
  </si>
  <si>
    <t>Tang, YY; Warren, RJ; Kramer, TD; Bradford, MA</t>
  </si>
  <si>
    <t>Plant invasion impacts on arthropod abundance, diversity and feeding consistent across environmental and geographic gradients</t>
  </si>
  <si>
    <t>Enemy release; Invertebrate; Japanese stiltgrass; Microstegium vimineum; Nepalese browntop; Food webs; Arthropods; Diversity</t>
  </si>
  <si>
    <t>MICROSTEGIUM-VIMINEUM; FOOD-WEB; STABLE-ISOTOPES; SHADE-TOLERANT; C-4 GRASS; ASSEMBLAGES; DYNAMICS; LANDSCAPE; RESPONSES; FORESTS</t>
  </si>
  <si>
    <t>Exotic plant invasion not only changes native plant communities, it also alters associated arthropod community diversity and structure. These impacts often are contradictory and context-specific by study location. M. vimineum is an Asian grass currently invading the eastern United States that generally escapes herbivory. The invasion impacts on arthropod communities are mixed, and the effects on arthropod food webs are largely unknown. Because M. vimineum has a unique delta C-13 value, its carbon flow can be resolved from native plants in recipient food webs. We investigate arthropod communities at M. vimineum-invaded sites along a 100-km geographic and environmental gradient in the southeastern U.S. We investigate M. vimineum impacts on arthropod abundance and diversity, how M. vimineum-derived carbon contributes to arthropod biomass and how environmental variation modifies invasion effects on arthropod communities. We find that M. vimineum invasion corresponds with increased arthropod diversity and abundance, but reduced evenness. Herbivore damage to leaves is equivalent between native species and M. vimineum, but the type of herbivore damage is not the same between the native and invader plants. We also find that herbivores derive 37 % of their biomass-carbon from the exotic plant but predators almost none (4 %). Detritivores derive exotic carbon (9 %) proportional to M. vimineum in the litter layer. Whereas exotic plant impacts on arthropod communities often seem idiosyncratic by site, we find no context-dependent invasion effects of M. vimineum by study location. The consistency suggests that the impacts may be broadly generalizable, at least within well-established parts of the invasion range.</t>
  </si>
  <si>
    <t>10.1007/s10530-012-0258-1</t>
  </si>
  <si>
    <t>Woodborne, S; Huchzermeyer, KDA; Govender, D; Pienaar, DJ; Hall, G; Myburgh, JG; Deacon, AR; Venter, J; Lubcker, N</t>
  </si>
  <si>
    <t>Ecosystem change and the Olifants River crocodile mass mortality events</t>
  </si>
  <si>
    <t>aquatic biodiversity; Clarias gariepinus; Crocodilus niloticus; Hydrocynus vittatus; lotic foodwebs; pansteatitis; stable isotopes</t>
  </si>
  <si>
    <t>KRUGER-NATIONAL-PARK; STABLE-ISOTOPES; CROCODYLUS-NILOTICUS; CLARIAS-GARIEPINUS; FOOD-CHAINS; STEATITIS; DELTA-N-15; FRACTIONATION; PANSTEATITIS; POPULATION</t>
  </si>
  <si>
    <t>Nile crocodile (Crocodilus niloticus) mass mortality events in the Olifants River between the Letaba River confluence in South Africa and Lake Massingir in Mozambique have been attributed to pansteatitis: a disease that affects fat depots of the animals. The disease is also found in sharptooth catfish (Clarias gariepinus) in the same area, and the cause of the disease is attributed to pollution. Although the Olifants River Valley is polluted, the impact of interventions such as dam construction on biodiversity receives little attention. We show that the onset of the pansteatitis epidemic in crocodiles and sharptooth catfish at the Olifants/Letaba confluence coincided with back-flooding of Lake Massingir that changed the Olifants River from a rock and sand substrate river to a clay substrate lake. Isotopic analysis shows that sharptooth catfish shifted from a predominantly vegetarian to a piscivorous diet that is highly correlated with pansteatitis prevalence, and crocodiles and tiger fish (Hydrocynus vittatus) show coincident trophic level increases. The evidence suggests that the ecosystem change altered the structure of the lotic foodweb and that an exotic or extralimital fish has invaded the confluence and is the vector of the pansteatitis epidemic. The invasive fish species is yet to be identified. The pansteatitis epidemic is an unintended ecological consequence of damming this river.</t>
  </si>
  <si>
    <t>10.1890/ES12-00170.1</t>
  </si>
  <si>
    <t>Bodelier, PLE; Bar-Gilissen, MJ; Meima-Franke, M; Hordijk, K</t>
  </si>
  <si>
    <t>Structural and functional response of methane-consuming microbial communities to different flooding regimes in riparian soils</t>
  </si>
  <si>
    <t>Flooding regime; floodplain; methane; methanotrophs; methane oxidation; PLFA; riparian; stable isotopes</t>
  </si>
  <si>
    <t>16S RIBOSOMAL-RNA; PHOSPHOLIPID FATTY-ACIDS; LANDFILL COVER SOIL; RICE FIELD; OXIDIZING BACTERIA; METHANOTROPHIC COMMUNITY; METHANOGENIC ARCHAEA; CLIMATE-CHANGE; CH4 OXIDATION; LAKE</t>
  </si>
  <si>
    <t>Climate change will lead to more extreme precipitation and associated increase of flooding events of soils. This can turn these soils from a sink into a source of atmospheric methane. The latter will depend on the balance of microbial methane production and oxidation. In the present study, the structural and functional response of methane oxidizing microbial communities was investigated in a riparian flooding gradient. Four sites differing in flooding frequency were sampled and soil-physico-chemistry as well as methane oxidizing activities, numbers and community composition were assessed. Next to this, the active community members were determined by stable isotope probing of lipids. Methane consumption as well as population size distinctly increased with flooding frequency. All methane consumption parameters (activity, numbers, lipids) correlated with soil moisture, organic matter content, and conductivity. Methane oxidizing bacteria were present and activated quickly even in seldom flooded soils. However, the active species comprised only a few representatives belonging to the genera Methylobacter, Methylosarcina, and Methylocystis, the latter being active only in permanently or regularly flooded soils. This study demonstrates that soils exposed to irregular flooding harbor a very responsive methane oxidizing community that has the potential to mitigate methane produced in these soils. The number of active species is limited and dominated by one methane oxidizing lineage. Knowledge on the characteristics of these microbes is necessary to assess the effects of flooding of soils and subsequent methane cycling therein.</t>
  </si>
  <si>
    <t>10.1002/ece3.34</t>
  </si>
  <si>
    <t>Hertz, E; Trudel, M; Brodeur, RD; Daly, EA; Eisner, L; Farley, EV; Harding, JA; MacFarlane, RB; Mazumder, S; Moss, JH; Murphy, JM; Mazumder, A</t>
  </si>
  <si>
    <t>Continental-scale variability in the feeding ecology of juvenile Chinook salmon along the coastal Northeast Pacific Ocean</t>
  </si>
  <si>
    <t>Diet; Stable isotope; Trophic level; Turnover; Diet dependent discrimination factor; Oncorhynchus tshawytscha; Carbon; Nitrogen; Niche width; Ontogeny</t>
  </si>
  <si>
    <t>STABLE-ISOTOPE RATIOS; FOOD-WEB STRUCTURE; COMMUNITY-WIDE MEASURES; ONTOGENIC DIET SHIFTS; ONCORHYNCHUS-TSHAWYTSCHA; CALIFORNIA CURRENT; TROPHIC STRUCTURE; MARINE WATERS; BERING-SEA; WEST-COAST</t>
  </si>
  <si>
    <t>Trophic interactions within and among species vary widely across spatial scales and species' ontogeny. However, the drivers and implications of this variability are not well understood. Juvenile Chinook salmon Oncorhynchus tshawytscha have a wide distribution, ranging from northern California to the eastern Bering Sea in North America, but it is largely unknown how their feeding ecology varies and changes with ontogeny across this range. We collected juvenile Chinook salmon and zooplankton using standardized protocols along the coastal Northeast Pacific Ocean. Using a combination of stomach contents and stable isotopes of nitrogen (delta N-15) and carbon (delta C-13) to characterize feeding ecology, we found regional differences in prey utilization by juvenile Chinook salmon. With growth and ontogeny, juvenile salmon in all regions became equilibrated with oceanic isotopic values. There were regional differences in the d13C values of juvenile Chinook salmon that may correspond to regional differences in sea surface temperature. There were also regional differences in stable isotope-derived trophic level, and these estimates differed from those derived from stomach contents, possibly due to the different periods over which these metrics integrate. Dietary niche width, as indicated by stable isotopes, corresponded to the expected dietary diversity from stomach contents, combined with the isotopic variability seen in baseline values. Our results indicate strong geographic and ontogenetic differences in feeding ecology of juvenile Chinook salmon. These differences are likely influenced by a combination of ocean-entry date, ocean-entry size, ontogeny, growth rates and regional conditions.</t>
  </si>
  <si>
    <t>10.3354/meps11440</t>
  </si>
  <si>
    <t>Bloom, TDS; O'Leary, DS; Riginos, C</t>
  </si>
  <si>
    <t>Flowering time advances since the 1970s in a sagebrush steppe community: Implications for management and restoration</t>
  </si>
  <si>
    <t>climate change; community ecology; flowering time; Grand Teton National Park; Greater Sage-grouse; Greater Yellowstone Ecosystem; phenological mismatch; phenology; restoration; snowmelt timing; spring temperature</t>
  </si>
  <si>
    <t>CLIMATE-CHANGE; HERBARIUM SPECIMENS; PLANT PHENOLOGY; BROWN BEARS; SHIFTS; RESPONSES; PATTERNS; POLLINATOR; VEGETATION; ASYNCHRONY</t>
  </si>
  <si>
    <t>Climate change is widely known to affect plant phenology, but little is known about how these impacts manifest in the widespread sagebrush ecosystem of the Western United States, which supports a number of wildlife species of concern. Shifts in plant phenology can trigger consequences for the plants themselves as well as the communities of consumers that depend upon them. We assembled historical observations of first-flowering dates for 51 species collected in the 1970s and 1980s in a montane sagebrush community in the Greater Yellowstone Ecosystem and compared these to contemporary phenological observations targeting the same species and locations (2016-2019). We also assembled regional climate data (average spring temperature, day of spring snowmelt, and growing degree days) and tested the relationship between first-flowering time and these variables for each species. We observed the largest change in phenology in early-spring flowers, which, as a group, bloomed on average 17 days earlier, and as much as 36 days earlier, in the contemporary data set. Mid-summer flowers bloomed on average 10 days earlier, nonnative species 15 days earlier, and berry-producing shrubs 5 days earlier, while late summer flowering plants did not shift. The greatest correlates of early-spring and mid-summer flowering were average spring temperature and day of snowmelt, which was 21 days earlier, on average, in 2016-2019 relative to the 1973-1978 observations. The shifts in flowering phenology that we observed could indicate developing asynchronies or novel synchronies of these plant resources and wildlife species of conservation concern, including Greater Sage-grouse, whose nesting success is tied to availability of spring forbs; grizzly bears, which rely heavily on berries for their fall diet; and pollinators. This underscores the importance of maintaining a diverse portfolio of native plants in terms of species composition, genetics, phenological responsiveness to climatic cues, and ecological importance to key wildlife and pollinator species. Redundancy within ecological niches may also be important considering that species roles in the community may shift as climate change affects them differently. These considerations are particularly relevant to restoration and habitat-enhancement projects in sagebrush communities across western North America.</t>
  </si>
  <si>
    <t>e2583</t>
  </si>
  <si>
    <t>10.1002/eap.2583</t>
  </si>
  <si>
    <t>Mancini, PL; Bond, AL; Hobson, KA; Duarte, LS; Bugoni, L</t>
  </si>
  <si>
    <t>Foraging segregation in tropical and polar seabirds: Testing the Intersexual Competition Hypothesis</t>
  </si>
  <si>
    <t>Carbon-13; Feeding ecology; Nitrogen-15; Sexual size dimorphism; Stable isotopes; Trophic level</t>
  </si>
  <si>
    <t>STABLE-ISOTOPE ANALYSIS; SEXUAL SIZE DIMORPHISM; TROPHIC RELATIONSHIPS; ALLE-ALLE; FOOD-WEB; NICHE; DELTA-N-15; DELTA-C-13; BEHAVIOR; DIETS</t>
  </si>
  <si>
    <t>The Intersexual Competition Hypothesis (ICH) predicts that sexual size dimorphism (SSD) in seabirds may reduce intraspecific food competition through the exploitation of different trophic niches by each sex. We tested the ICH using stable isotopes (delta N-15 and delta C-13) from whole blood and muscle from six tropical and five polar seabird species sampled at breeding sites. We expected that greater morphological differences between sexes would be related to larger differences in delta N-15 and delta C-13 values, reflecting potential diet and spatial segregation between males and females. We also compared trophic segregation in non-tropical and tropical seabirds to determine if there was more intense feeding competition during the generally shorter breeding season in nontropical areas, leading to more pronounced segregation mechanisms; alternatively, more abundant food resources during breeding at temperate and polar areas, in contrast to oligotrophic tropical areas, could lead to a relaxing of segregation. No significant differences in delta N-15 or delta C-13 were found between sexes in seabird species from tropical or polar regions. In addition, there was no correlation between total dimorphism index and differences in mean delta N-15 or delta C-13 values of females and males for each species. Analysis of data from the literature, accounting for phylogeny, indicated that size-dimorphic seabird species from temperate and polar regions tend to show trophic (delta N-15) or spatial (delta C-13) segregation (71%; 30 out of 42 study cases) more often than tropical dimorphic species ( 19%; 3 out of 16 study cases). Overall, SSD seems to facilitate trophic or spatial segregation in non-tropical seabirds, but not in tropical species. Further investigations are necessary to confirm the lack of this pattern in tropical seabirds. (c) 2013 Elsevier B.V. All rights reserved.</t>
  </si>
  <si>
    <t>10.1016/j.jembe.2013.09.011</t>
  </si>
  <si>
    <t>Gutgesell, M; McMeans, BC; Guzzo, MM; de Groot, V; Fisk, AT; Johnson, TB; McCann, KS</t>
  </si>
  <si>
    <t>Subsidy accessibility drives asymmetric food web responses</t>
  </si>
  <si>
    <t>anthropogenic subsidies; biotracers; fatty acids; food web structure; Great Lakes; net-pen aquaculture; stable isotopes; subsidy accessibility</t>
  </si>
  <si>
    <t>FISH COMMUNITIES; STABILITY; DYNAMICS; AQUACULTURE; CASCADES; PATTERNS; IMPACTS; MODELS</t>
  </si>
  <si>
    <t>Global change is fundamentally altering flows of natural and anthropogenic subsidies across space and time. After a pointed call for research on subsidies in the 1990s, an industry of empirical work has documented the ubiquitous role subsidies play in ecosystem structure, stability, and function. Here, we argue that physical constraints (e.g., water temperature) and species traits can govern a species' accessibility to resource subsidies, which has been largely overlooked in the subsidy literature. We examined the input of a high-quality, point-source anthropogenic subsidy (aquaculture feed) into a recipient freshwater lake food web. Using a combined bio-tracer approach, we detect a gradient in accessibility of the anthropogenic subsidy within the surrounding food web driven by the thermal preferences of three constituent species, effectively rewiring the recipient lake food web. Because aquaculture is predicted to increase significantly in coming decades to support growing human populations, and global change is altering temperature regimes, then this form of food web alteration may be expected to occur frequently. We argue that subsidy accessibility is a key characteristic of recipient food web interactions that must be considered when trying to understand the impacts of subsidies on ecosystem stability and function under continued global change.</t>
  </si>
  <si>
    <t>e3817</t>
  </si>
  <si>
    <t>10.1002/ecy.3817</t>
  </si>
  <si>
    <t>Barr, C; Tibby, J; Marshall, JC; McGregor, GB; Moss, PT; Halverson, GP; Fluin, J</t>
  </si>
  <si>
    <t>Combining monitoring, models and palaeolimnology to assess ecosystem response to environmental change at monthly to millennial timescales: the stability of Blue Lake, North Stradbroke Island, Australia</t>
  </si>
  <si>
    <t>ground water; lake resistance; palaeoecology; temporal scale; water resource planning</t>
  </si>
  <si>
    <t>EL-NINO/SOUTHERN-OSCILLATION; SOUTHEAST QUEENSLAND; LATE QUATERNARY; CLIMATE VARIABILITY; FRASER ISLAND; HUMAN IMPACT; WET TROPICS; RECORD; VEGETATION; PLEISTOCENE</t>
  </si>
  <si>
    <t>Human-induced environmental change threatens freshwater ecosystems, and knowing how these systems have responded to past variability can inform management decisions. Palaeoenvironmental reconstructions provide insight, although their low temporal resolution may mask short-term responses. Hence, a combination of short-term, high-resolution contemporary data and long-term, low-resolution palaeoenvironmental data can offer greater understanding of system behaviour. We demonstrate this approach by examining the response of a lake on North Stradbroke Island, Australia, to environmental change, by investigating hydrological and water quality variation at different temporal scales. The data include daily lake discharge, monthly water quality, modelled annual lake discharge over a 117-year period and comparisons of aerial photographs and lake bathymetry over the past 65years. A palaeoenvironmental reconstruction of the last c. 7500years used pollen, stable isotopes, macrofossils and diatoms to provide a long-term perspective. Despite variability in regional climate over recent decades, the depth and water chemistry of Blue Lake displayed little variation. At millennial timescales, there is clear evidence of catchment change in response to a marked shift in climate around 4500years ago. However, diatom analysis indicates that Blue Lake has exhibited exceptional stability and resistance to change, compared to other Australian Holocene lake records. This suggests that Blue Lake has been an important climate refuge for aquatic biota in the past and, with appropriate management, should continue in this capacity into the future. This study highlights the benefits of a combined, multi-temporal approach to inform understanding of the structure and function of freshwater ecosystems and their responses to environmental change. Such scientific understanding of system requirements is critical to achieving sustainable management objectives.</t>
  </si>
  <si>
    <t>10.1111/fwb.12154</t>
  </si>
  <si>
    <t>Feng, JX; Huang, Q; Chen, H; Guo, JM; Lin, GH</t>
  </si>
  <si>
    <t>Restoration of native mangrove wetlands can reverse diet shifts of benthic macrofauna caused by invasive cordgrass</t>
  </si>
  <si>
    <t>benthic macrofauna; coastal wetland; cordgrass; diet change; ecological restoration; food web; Kandelia obovata; mangrove; Spartina alterniflora; stable isotope analysis</t>
  </si>
  <si>
    <t>STABLE-ISOTOPE; SPARTINA-ALTERNIFLORA; SALT-MARSH; EXOTIC SPARTINA; FOOD WEBS; COMMUNITIES; PLANT; ECOSYSTEM; CARBON; ESTUARY</t>
  </si>
  <si>
    <t>1. Ecological replacement using native mangrove species combined with physical treatments has become an effective method in controlling the spread of invasive cordgrass Spartina alterniflora. To re-establish ecosystem functions, trophic interactions between macrofauna and their potential food resources must be considered during the restoration process. 2. Here, we examined the changes in the diets of macrofauna in three restored mangrove ecosystems with different invasion histories following the removal of S.alterniflora in southern China. Carbon and nitrogen stable isotope ratios for dominant macrofauna, as well as their potential food sources, were analysed. The relative contributions of the different carbon sources to the diets of benthic macrofauna and isotopic niche width, including convex hull areas and standard ellipse areas of the macrofaunal community, were then calculated and compared among sampling sites in each region. 3. Our results indicated that Spartina-derived detritus contributed to &gt;80% of the organic carbon sources of dominant macrofauna in the S.alterniflora communities in all three regions. Spartina alterniflora communities had lower convex hull areas and standard ellipse areas than natural mangrove forests, indicating significant resource competition among different consumer populations. Replacing S.alterniflora with the native mangrove species Kandelia obovata could reverse the diets of these macrofaunal species, resulting in a shift from homogeneous Spartina-dominated diets to more heterogeneous algae-based diets. It could take several decades to restore food web interactions to a pre-impacted state. Even the diets of macrofauna in mature mangrove (&gt;40years) remained affected by the Spartina-derived organic matter. 4. Synthesis and applications. Our study reveals that the ecological replacement of invasive Spartina alterniflora using native mangrove species could restore food web function gradually. However, this removal and replacement approach is a long process and requires significant manpower and resources. Furthermore, the native ecosystem will continue to be influenced by the cordgrass as long as large areas of wetland nearby are occupied by S.alterniflora. Consequently, preventing the colonization of S.alterniflora should be a priority for coastal ecosystem management in southern China.</t>
  </si>
  <si>
    <t>10.1111/1365-2664.12987</t>
  </si>
  <si>
    <t>Locke, SA; Bulte, G; Marcogliese, DJ; Forbes, MR</t>
  </si>
  <si>
    <t>Altered trophic pathway and parasitism in a native predator (Lepomis gibbosus) feeding on introduced prey (Dreissena polymorpha)</t>
  </si>
  <si>
    <t>Invasive/exotic species; Predator-prey; Parasite-release hypothesis; Food-web interactions; Trophically transmitted parasites</t>
  </si>
  <si>
    <t>ZEBRA MUSSELS; STABLE-ISOTOPES; NORTH-AMERICA; DIET; MOLLUSK; ECOLOGY; COMMUNITIES; SPILLBACK; IMPACTS; PALLAS</t>
  </si>
  <si>
    <t>Populations of invasive species tend to have fewer parasites in their introduced ranges than in their native ranges and are also thought to have fewer parasites than native prey. This 'release' from parasites has unstudied implications for native predators feeding on exotic prey. In particular, shifts from native to exotic prey should reduce levels of trophically transmitted parasites. We tested this hypothesis in native populations of pumpkinseed sunfish (Lepomis gibbosus) in Lake Opinicon, where fish stomach contents were studied intensively in the 1970s, prior to the appearance of exotic zebra mussels (Dreissena polymorpha) in the mid-1990s. Zebra mussels were common in stomachs of present-day pumpkinseeds, and stable isotopes of carbon and nitrogen confirmed their importance in long-term diets. Because historical parasite data were not available in Lake Opinicon, we also surveyed stomach contents and parasites in pumpkinseed in both Lake Opinicon and an ecologically similar, neighboring lake where zebra mussels were absent. Stomach contents of pumpkinseed in the companion lake did not differ from those of pre-invasion fish from Lake Opinicon. The companion lake, therefore, served as a surrogate pre-invasion reference to assess effects of zebra mussel consumption on parasites in pumpkinseed. Trophically transmitted parasites were less species-rich and abundant in Lake Opinicon, where fish fed on zebra mussels, although factors other than zebra mussel consumption may contribute to these differences. Predation on zebra mussels has clearly contributed to a novel trophic coupling between littoral and pelagic food webs in Lake Opinicon.</t>
  </si>
  <si>
    <t>10.1007/s00442-014-2898-6</t>
  </si>
  <si>
    <t>Sierszen, ME; Hrabik, TR; Stockwell, JD; Cotter, AM; Hoffman, JC; Yule, DL</t>
  </si>
  <si>
    <t>Depth gradients in food-web processes linking habitats in large lakes: Lake Superior as an exemplar ecosystem</t>
  </si>
  <si>
    <t>aquatic habitats; food web; Great Lakes; stable isotopes; trophic linkages</t>
  </si>
  <si>
    <t>HERRING COREGONUS-ARTEDI; STABLE-ISOTOPE ANALYSES; TROUT SALVELINUS-NAMAYCUSH; SMELT OSMERUS-MORDAX; DEEP-WATER; FISH COMMUNITY; CULTURAL EUTROPHICATION; VERTICAL-DISTRIBUTION; POPULATION-DYNAMICS; AMPHIPOD DIPOREIA</t>
  </si>
  <si>
    <t>In large lakes around the world, depth-based changes in the abundance and distribution of invertebrate and fish species suggest that there may be concomitant changes in patterns of resource allocation. Using Lake Superior of the Laurentian Great Lakes as an example, we explored this idea through stable isotope analyses of 13 major fish taxa. Patterns in carbon and nitrogen isotope ratios revealed use of both littoral and profundal benthos among populations of most taxa analysed regardless of the depth of their habitat, providing evidence of nearshore-offshore trophic linkages in the largest freshwater lake by area in the world. Isotope-mixing model results indicated that the overall importance of benthic food-web pathways to fish was highest in nearshore species, whereas the importance of planktonic pathways increased in offshore species. These characteristics, shared with the Great Lakes of Africa, Russia and Japan, appear to be governed by two key processes: high benthic production in nearshore waters and the prevalence of diel vertical migration (DVM) among offshore invertebrate and fish taxa. DVM facilitates use of pelagic food resources by deep-water biota and represents an important process of trophic linkage among habitats in large lakes. Support of whole-lake food webs through trophic linkages among pelagic, profundal and littoral habitats appears to be integral to the functioning of large lakes. These linkages can be disrupted though ecosystem disturbance such as eutrophication or the effects of invasive species and should be considered in native species restoration efforts.</t>
  </si>
  <si>
    <t>10.1111/fwb.12415</t>
  </si>
  <si>
    <t>LOCKE, A; SPRULES, WG</t>
  </si>
  <si>
    <t>EFFECTS OF LAKE ACIDIFICATION AND RECOVERY ON THE STABILITY OF ZOOPLANKTON FOOD WEBS</t>
  </si>
  <si>
    <t>ACID LAKES; ADJUSTMENT STABILITY; ENVIRONMENTAL STRESS; FOOD WEBS; ONTARIO, CANADA; PRECAMBRIAN SHIELD LAKES; RECOVERY; RESISTANCE STABILITY; SPECIES RICHNESS; ZOOPLANKTON</t>
  </si>
  <si>
    <t>COMMUNITY STRUCTURE; STOCHASTIC-THEORY; SPECIES RICHNESS; CHAIN LENGTH; DISTURBANCE; DIVERSITY; ONTARIO; SUDBURY; STRESS; SCALE</t>
  </si>
  <si>
    <t>The effect of food web structure on community stability and resilience has rarely been examined using empirical data. Yet there is a practical application for such studies insofar as resistance stability determines the ability of a system to ''absorb'' anthropogenic stress and adjustment stability determines the reversibility of resulting damage. The stability of zooplankton food webs in 46 Precambrian Shield lakes was examined using data collected in the 1970s, when pH ranged from 3.8 to 7.0, and in 1990, when pH had increased by up to two units in some lakes. Acidification overcame resistance stability at pH &lt; 5.0, as evidenced by decreases in species richness, numbers of predatory and competitive links, directed connectance, predator generalization, and linkage density, identified by analysis of variance. Adjustment stability was demonstrated by changes in food web attributes in lakes with higher pH in 1990 than in the 1970s. Species richness, numbers of predatory and competitive links, linkage density, and predator generalization all increased relative to the 1970s values. Food web attributes of ''recovering'' lakes were statistically indistinguishable from those of lakes of similar pH that had not been more acidic in the 1970s. Similar trajectories of food web change were followed during environmental degradation and recovery. Planktonic food webs of anthropogenically acidified lakes may eventually recover to resemble their pre-acidification condition, given sufficient time without acidic inputs. Whether adjustment stability is a general feature of anthropogenically stressed systems remains to be determined.</t>
  </si>
  <si>
    <t>10.2307/1939553</t>
  </si>
  <si>
    <t>Bu, HM; Song, XF; Zhang, Y; Meng, W</t>
  </si>
  <si>
    <t>Sources and fate of nitrate in the Haicheng River basin in Northeast China using stable isotopes of nitrate</t>
  </si>
  <si>
    <t>Nitrate nitrogen; Nitrogen isotope of nitrate; Oxygen isotope of nitrate; Nitrate sources; Nitrification; Denitrification</t>
  </si>
  <si>
    <t>CONTAMINATION SOURCES; SOURCE IDENTIFICATION; CHEMICAL INDICATORS; 2 WATERSHEDS; LAND-USE; NITROGEN; DENITRIFICATION; DELTA-O-18; DELTA-N-15; CATCHMENTS</t>
  </si>
  <si>
    <t>Due to the serious nitrate pollution in Northeast China, the in-stream nitrate and its isotopic composition (delta N-15-NO3 and delta O-18-NO3) were analyzed to explore the seasonal nitrate sources and its transformation processes combining with chemical indicators in the Haicheng River during the spring, early summer, late summer, and autumn seasons throughout the year of 2010. The nitrate nitrogen (NO3-N) concentrations in riverine water co-varied with the discharge data of the river, showing significant seasonal variations (p &lt; 0.001) based on the one-way ANOVA. The riverine delta N-15-NO3 values and chloride (Cl-) variations suggested that NO3-N was mainly contributed by sewage/manure in spring. The NO3-N sources in early summer were largely induced by nitrification process from synthetic fertilizers. The combined application of delta N-15-NO3 and delta O-18-NO3 explained that the NO3-N sources in late summer and autumn were derived largely from soil organic matter and sewage/manure. Denitrification process of soil organic matter and sewage/manure in autumn and their nitrification process in late summer mostly controlled the NO3-N concentrations in river water. The results will provide useful information on nitrate sources of seasonal variations in isotope compositions of river systems for controlling NO3-N concentrations and improving the ecological quality near the Liaodong Bay and Bohai Sea in the near future. (C) 2016 Elsevier B.V. All rights reserved.</t>
  </si>
  <si>
    <t>10.1016/j.ecoleng.2016.10.052</t>
  </si>
  <si>
    <t>Kivila, EH; Luoto, TP; Rantala, MV; Kiljunen, M; Rautio, M; Nevalainen, L</t>
  </si>
  <si>
    <t>Environmental controls on benthic food web functions and carbon resource use in subarctic lakes</t>
  </si>
  <si>
    <t>Chironomidae; functional ecology; organic carbon; paleolimnology; stable isotopes</t>
  </si>
  <si>
    <t>TERRESTRIAL ORGANIC-MATTER; STABLE-ISOTOPE RATIOS; FRESH-WATER; TROPHIC FRACTIONATION; NITROGEN; ENRICHMENT; DELTA-N-15; INVERTEBRATES; ZOOPLANKTON; DELTA-C-13</t>
  </si>
  <si>
    <t>Climate warming and consequent greening of subarctic landscapes increase the availability of organic carbon to the detrital food webs in aquatic ecosystems. This may cause important shifts in ecosystem functioning through the functional feeding patterns of benthic organisms that rely differently on climatically altered carbon resources. Twenty-five subarctic lakes in Finnish Lapland across a tree line ecotone were analysed for limnological and optical variables, carbon (delta C-13) and nitrogen (delta N-15) stable isotope (SI) composition of surface sediment organic matter (OM) and fossil Chironomidae (Diptera) remains to examine environmental controls behind chironomid functional feeding group (FFG) structure and their isotopic associations for assessing ecosystem functioning and carbon utilisation. We hypothesise that the chironomid SI signatures reflect increased allochthony with increasing allochthonous input, but the resource use may be altered by the functional characteristics of the assemblage. Multivariate analyses indicated that carbon geochemistry in the sediments (delta C-13, delta N-15, C/N), nutrients, indices of productivity (chlorophyll-a) and lake water optical properties, related to increasing presence of OM, played a key role in defining the chironomid FFG composition and isotopic signatures. Response modelling was used to examine how individual FFGs respond to environmental gradients. They showed divergent responses for OM quantity, dissolved organic carbon and nutrients between feeding strategies, suggesting that detritivores and filter feeders prefer contrasting carbon and nutrient conditions, and may thus hold paleoecological indicator potential to identify changes between different carbon fluxes. Benthic production was the primary carbon source for the chironomid assemblages according to a three-source SI mixing model, whereas pelagic and terrestrial components contributed less. Between-lake variability in source utilisation was high and controlled primarily by allochthonous OM inputs. Combination of biogeochemical modelling and functional classification is useful to widen our understanding of subarctic lake ecosystem functions and responses to climate-driven changes in limnology and catchment characteristics for long-term environmental change assessments and functional paleoecology.</t>
  </si>
  <si>
    <t>10.1111/fwb.13250</t>
  </si>
  <si>
    <t>Reisinger, AJ; Chaloner, DT; Ruegg, J; Tiegs, SD; Lamberti, GA</t>
  </si>
  <si>
    <t>Effects of spawning Pacific salmon on the isotopic composition of biota differ among southeast Alaska streams</t>
  </si>
  <si>
    <t>Oncorhynchus; periphyton; resource subsidy; southeast Alaska; stable isotopes</t>
  </si>
  <si>
    <t>MARINE-DERIVED NUTRIENTS; TIMBER HARVEST; COHO SALMON; ONCORHYNCHUS-KISUTCH; NITROGEN; RATIOS; CARBON; PERSISTENCE; DISTURBANCE; WASHINGTON</t>
  </si>
  <si>
    <t>1.Adult Pacific salmon (Oncorhynchus spp.) transport marine nutrients to fresh waters and disturb sediments during spawning. The relative importance of nutrient fertilisation and benthic disturbance by salmon spawners can be modulated by environmental conditions (e.g. biological, chemical and physical conditions in the catchment, including human land use). 2.To determine the importance of the environmental context in modifying the uptake and incorporation of salmon-derived material into stream biota, we measured the nitrogen (15N) and carbon (13C) isotopic composition of benthic algae (i.e. epilithon) and juvenile coho salmon (Oncorhynchus kisutch) in seven streams across a timber-harvest gradient (869% catchment area harvested), both before and during the salmon run. Conditional bootstrap modelling simulations were used to assess variability in the response of epilithon and juvenile coho salmon to spawning salmon. 3.In response to spawning salmon, epilithon exhibited enrichment in both 15N (mean: 1.5 parts per thousand) and 13C (2.3 parts per thousand). Juvenile coho were also enriched in both 15N (0.7 parts per thousand) and 13C (1.4 parts per thousand). Conditional bootstrap models indicate decreased variation in data as spatial replication increases, suggesting that the number of study sites can influence the results of Pacific salmon isotope studies. 4.Epilithon isotopic enrichment was predicted by environmental conditions, with 15N enrichment predicted by stream temperature and timber harvest (R2=0.87) and 13C enrichment by discharge, sediment size, timber harvest and spawner density (R2=0.96). Furthermore, we found evidence for a legacy effect of salmon spawners, with pre-spawner 15N and 13C of both epilithon and juvenile coho predicted by salmon run size in the previous year. 5.Our results show that the degree of incorporation of salmon-derived nitrogen and carbon differs among streams. Furthermore, the environmental context, including putative legacy effects of spawning salmon, can influence background isotopic concentrations and utilisation of salmon-derived materials in southeast Alaska salmon streams. Future studies should consider the variation in isotopic composition of stream biota when deciding on the number of study sites and samples needed to generate meaningful results.</t>
  </si>
  <si>
    <t>10.1111/fwb.12098</t>
  </si>
  <si>
    <t>Berini, JL; Runck, B; Vogeler, J; Fox, DL; Forester, JD</t>
  </si>
  <si>
    <t>Estimates of woody biomass and mixed effects improve isoscape predictions across a northern mixed forest</t>
  </si>
  <si>
    <t>boreal-temperate ecotone; moose; regression kriging; stable isotopes; stable isotopes of carbon; stable isotopes of nitrogen</t>
  </si>
  <si>
    <t>STABLE-ISOTOPES; MOOSE; PATTERNS; ECOLOGY; CLIMATE; BIRDS</t>
  </si>
  <si>
    <t>Contemporary methods used to predict isotopic variation at regional scales have yet to include underlying distributions of the abundance of isotopic substrates. Additionally, traditional kriging methods fail to account for the potential influences of environmental grouping factors (i.e., random effects) that may reduce prediction error. We aim to improve upon traditional isoscape modeling techniques by accounting for variation in the abundances of isotopic substrates and evaluating the efficacy of a mixed-effects, regression kriging approach. We analyzed common moose forage from northeast Minnesota for delta C-13 and delta N-15 and estimated the isotopic landscape using regression kriging, both with and without random effects. We then compared these predictions to isoscape estimates informed by spatial variation in above-ground biomass. Finally, we kriged the regression residuals of our best-fitting models, added them to our isoscape predictions, and compared model performance using spatial hold-one-out cross validation. Isoscape predictions driven by uninformed and biomass-informed models varied by as much as 10 parts per thousand. Compared to traditional methods, incorporating biomass estimates improved RMSE values by as much as 0.12 and 1.00% for delta C-13 and delta N-15, respectively, while random effects improved r(2) values by as much as 0.15 for delta C-13 and 0.87 for delta N-15. Our findings illustrate how field-collected data, ancillary geospatial data, and novel spatial interpolation techniques can be used to more accurately estimate the isotopic landscape. Regression kriging using mixed-effects models and the refinement of model predictions using measures of abundance, provides a flexible, yet mechanistically driven approach to modeling isotopic variation across space.</t>
  </si>
  <si>
    <t>10.3389/fevo.2023.1060689</t>
  </si>
  <si>
    <t>Garcia, D; Carlo, TA; Martinez, D</t>
  </si>
  <si>
    <t>Differential effect of landscape structure on the large-scale dispersal of co-occurring bird-dispersed trees</t>
  </si>
  <si>
    <t>Crataegus monogyna; Forest cover; Habitat loss; Ilex aquifolium; Large-scale seed dispersal; Northern Spain; Stable isotopes; Turdus sp.</t>
  </si>
  <si>
    <t>PLANT-SPECIES RICHNESS; AVIAN SEED DISPERSAL; HABITAT FRAGMENTATION; TEMPERATE FOREST; PATTERNS; DISTANCE; FRUGIVORES; MOVEMENT; DENSITY; COVER</t>
  </si>
  <si>
    <t>Seed dispersal enables plants to reach favorable sites for population renewal or expansion far from conspecifics. However, the ability of plants to respond to habitat heterogeneity at large spatial scale is strongly mediated by seed dispersal vectors, e.g. animals, which usually restrict seed deposition to sites with specific environmental conditions, and at short distances from source plants. This spatial constraint, together with the technical difficulties of following the movement of seeds in the wild, makes the estimation of plant response to large-scale heterogeneity a challenge. Here, we applied an isotope-based technique to track bird-mediated seed dispersal of two co-occurring tree species in eight replicated landscapes in the Cantabrian Range (N Spain): the hawthorn Crataegus monogyna and the holly Ilex aquifolium. These species bear very similar fruits, partially overlapin the timing of fruit production, and their seeds are dispersed by the same species of frugivorous birds. Thus we expected that landscape structure, as represented by the amount of forest cover in the landscape, would affect the large-scale seed dispersal of neighboring individuals of C. monogyna and I. aquifolium in a similar fashion. Contrary to our expectation though, the effects of forest cover on the dispersal patterns of co-occurring hawthorn and holly were opposite: high forest cover in the landscape decreased large-scale dispersal for hawthorn, but enhanced it for holly. Our results suggest that small differences in the traits of plant and frugivore species, such as phenology patterns, can interact with the distribution of adult plants to generate strong differences in the response to landscape structure through seed dispersal, even for neighboring trees belonging to different species.</t>
  </si>
  <si>
    <t>10.1016/j.baae.2016.01.003</t>
  </si>
  <si>
    <t>Mayengo, G; Armbruster, W; Treydte, AC</t>
  </si>
  <si>
    <t>Quantifying nutrient re-distribution from nutrient hotspots using camera traps, indirect observation and stable isotopes in a miombo ecosystem, Tanzania</t>
  </si>
  <si>
    <t>Urea; Mammalian herbivores; Roan antelope; Grazers; Miombo woodland; Nitrogen</t>
  </si>
  <si>
    <t>TERMITE MACROTERMES-MICHAELSENI; AFRICAN SAVANNA; HABITAT SELECTION; LARGE HERBIVORES; SOIL NUTRIENTS; N-2 FIXATION; VEGETATION; CATTLE; DYNAMICS; PATTERNS</t>
  </si>
  <si>
    <t>Nutrient hotspots strongly attract mammalian herbivores in nutrient-poor habitats such as savanna systems. However, little is known about their seasonal importance for mammalian herbivore species, particularly grazers. In addition, no study has fully quantified the potential re-distribution of nutrients into the surroundings of these hotspots. We assessed nutrient hotspot (i.e., grazing lawns and termite mounds) use by herbivores in a Miombo ecosystem of the Issa valley, Tanzania, using dung counts, camera traps and stable isotope analyses over a one year period, from May 2016 to October 2017. We conducted dung counts along four transects each radiating away from ten termite mounds and six grazing lawns as well as in 16 control sites 100 m away from each nutrient hotspot. In addition, we sprayed grasses around five termite mounds with urea and traced the isotopic signature back in grazing herbivore dung. Grazer dung deposition was twice as high in hotspot areas vs control sites. A total of 32 camera stations recorded 244 wildlife encounters, with mammalian herbivores using hotspot areas four times more frequently compared to control plots. Stable isotope analyses highlighted that dung deposited by mammalian grazers around hotspots likely originated from grasses within or close to hotspot areas, indicating that grazers are responsible for maintaining nutrient stability of these hotspots. We, therefore, emphasize the importance of grazing mammal species for the long-term persistence of hotspots and, thus, their contribution to the maintenance of a heterogeneous landscape within the Miombo ecosystem. (C) 2020 The Authors. Published by Elsevier B.V.</t>
  </si>
  <si>
    <t>e01073</t>
  </si>
  <si>
    <t>10.1016/j.gecco.2020.e01073</t>
  </si>
  <si>
    <t>Hatching date influences winter habitat occupancy: Examining seasonal interactions across the full annual cycle in a migratory songbird</t>
  </si>
  <si>
    <t>carry-over effects; life-history trade-off; parental effects; reproductive cost; stable isotopes</t>
  </si>
  <si>
    <t>CARBON-ISOTOPE DISCRIMINATION; NEOTROPICAL MIGRANT; AUTUMN MIGRATION; REPRODUCTIVE SUCCESS; AMERICAN REDSTARTS; HYDROGEN ISOTOPES; BREEDING GROUNDS; STABLE-ISOTOPES; NATAL DISPERSAL; SITE FIDELITY</t>
  </si>
  <si>
    <t>Birds experience a sequence of critical events during their life cycle, and past events can subsequently determine future performance via carry-over effects. Events during the non-breeding season may influence breeding season phenology or productivity. Less is understood about how events during the breeding season affect individuals subsequently in their life cycle. Using stable carbon isotopes, we examined carry-over effects throughout the annual cycle of prairie warblers (Setophaga discolor), a declining Nearctic-Neotropical migratory passerine bird. In drier winters, juvenile males that hatched earlier at our study site in Massachusetts, USA, occupied wetter, better-quality winter habitat in the Caribbean, as indicated by depleted carbon isotope signatures. For juveniles that were sampled again as adults, repeatability in isotope signatures indicated similar winter habitat occupancy across years. Thus, hatching date of juvenile males appears to influence lifetime winter habitat occupancy. For adult males, reproductive success did not carry over to influence winter habitat occupancy. We did not find temporally consecutive domino effects across the annual cycle (breeding to wintering to breeding) or interseasonal, intergenerational effects. Our finding that a male's hatching date can have a lasting effect on winter habitat occupancy represents an important contribution to our understanding of seasonal interactions in migratory birds.</t>
  </si>
  <si>
    <t>10.1002/ece3.7500</t>
  </si>
  <si>
    <t>Cross, WF; Baxter, CV; Rosi-Marshall, EJ; Hall, RO; Kennedy, TA; Donner, KC; Kelly, HAW; Seegert, SEZ; Behn, KE; Yard, MD</t>
  </si>
  <si>
    <t>Food-web dynamics in a large river discontinuum</t>
  </si>
  <si>
    <t>ecotrophic efficiencies; energetics; food-web stability; Glen Canyon Dam; Colorado River; interaction strengths; organic-matter flows; regulated river; secondary production; species interactions; trophic basis of production</t>
  </si>
  <si>
    <t>FRESH-WATER BIODIVERSITY; COLORADO-RIVER; GRAND-CANYON; INTERACTION STRENGTH; BODY-SIZE; TROPHIC INTERACTIONS; FLANNELMOUTH SUCKER; FLOW REGULATION; FISH INVASIONS; RAINBOW-TROUT</t>
  </si>
  <si>
    <t>Nearly all ecosystems have been altered by human activities, and most communities are now composed of interacting species that have not co-evolved. These changes may modify species interactions, energy and material flows, and food-web stability. Although structural changes to ecosystems have been widely reported, few studies have linked such changes to dynamic food-web attributes and patterns of energy flow. Moreover, there have been few tests of food-web stability theory in highly disturbed and intensely managed freshwater ecosystems. Such synthetic approaches are needed for predicting the future trajectory of ecosystems, including how they may respond to natural or anthropogenic perturbations. We constructed flow food webs at six locations along a 386-km segment of the Colorado River in Grand Canyon (Arizona, USA) for three years. We characterized food-web structure and production, trophic basis of production, energy efficiencies, and interaction-strength distributions across a spatial gradient of perturbation (i.e., distance from Glen Canyon Dam), as well as before and after an experimental flood. We found strong longitudinal patterns in food-web characteristics that strongly correlated with the spatial position of large tributaries. Above tributaries, food webs were dominated by nonnative New Zealand mudsnails (62% of production) and nonnative rainbow trout (100% of fish production). The simple structure of these food webs led to few dominant energy pathways (diatoms to few invertebrate taxa to rainbow trout), large energy inefficiencies (i.e., &lt;20% of invertebrate production consumed by fishes), and right-skewed interaction-strength distributions, consistent with theoretical instability. Below large tributaries, invertebrate production declined approximate to 18-fold, while fish production remained similar to upstream sites and comprised predominately native taxa (80-100% of production). Sites below large tributaries had increasingly reticulate and detritus-based food webs with a higher prevalence of omnivory, as well as interaction strength distributions more typical of theoretically stable food webs (i.e., nearly twofold higher proportion of weak interactions). Consistent with theory, downstream food webs were less responsive to the experimental flood than sites closest to the dam. We show how human-induced shifts to food-web structure can affect energy flow and interaction strengths, and we show that these changes have consequences for food-web function and response to perturbations.</t>
  </si>
  <si>
    <t>10.1890/12-1727.1</t>
  </si>
  <si>
    <t>Eloranta, AP; Finstad, AG; Sandlund, OT; Knudsen, R; Kuparinen, A; Amundsen, PA</t>
  </si>
  <si>
    <t>Species interactions, environmental gradients and body size shape population niche width</t>
  </si>
  <si>
    <t>diet selection; high-latitude lakes; individual specialization; niche expansion; ontogeny; resource competition; salmonid; trophic niche</t>
  </si>
  <si>
    <t>CHARR SALVELINUS-ALPINUS; STABLE-ISOTOPE RATIOS; COMMUNITY STRUCTURE; TROPHIC POSITION; ARCTIC CHARR; GENETIC-VARIATION; ONTOGENIC NICHE; FISH; WHITEFISH; PISCIVORY</t>
  </si>
  <si>
    <t>Competition for shared resources is commonly assumed to restrict population-level niche width of coexisting species. However, the identity and abundance of coexisting species, the prevailing environmental conditions, and the individual body size may shape the effects of interspecific interactions on species' niche width. Here we study the effects of interspecific and intraspecific interactions, lake area and altitude, and fish body size on the trophic niche width and resource use of a generalist predator, the littoral-dwelling large, sparsely rakered morph of European whitefish (Coregonus lavaretus; hereafter LSR whitefish). We use stable isotope, diet and survey fishing data from 14 subarctic lakes along an environmental gradient in northern Norway. The isotopic niche width of LSR whitefish showed a humped-shaped relationship with increasing relative abundance of sympatric competitors, suggesting widest population niche at intermediate intensity of interspecific interactions. The isotopic niche width of LSR whitefish tended to decrease with increasing altitude, suggesting reduced niche in colder, less productive lakes. LSR whitefish typically shifted to a higher trophic position and increased reliance on littoral food resources with increasing body size, although between-lake differences in ontogenetic niche shifts were evident. In most lakes, LSR whitefish relied less on littoral food resources than coexisting fishes and the niche overlap between sympatric competitors was most evident among relatively large individuals (&gt;250 mm). Individual niche variation was highest among &gt;200 mm long LSR whitefish, which likely have escaped the predation window of sympatric predators. We demonstrate that intermediate intensity of interspecific interactions may broaden species' niche width, whereas strong competition for limited resources and high predation risk may suppress niche width in less productive environments. Acknowledging potential humped-shaped relationships between population niche width and interspecific interactions can help us understand species' responses to environmental disturbance (e.g. climate change and species invasions) as well as the driving forces of niche specialization.</t>
  </si>
  <si>
    <t>10.1111/1365-2656.13611</t>
  </si>
  <si>
    <t>Neres-Lima, V; Machado-Silva, F; Baptista, DF; Oliveira, RBS; Andrade, PM; Oliveira, AF; Sasada-Sato, CY; Silva, EF; Feijo-Lima, R; Angelini, R; Camargo, PB; Moulton, TP</t>
  </si>
  <si>
    <t>Allochthonous and autochthonous carbon flows in food webs of tropical forest streams</t>
  </si>
  <si>
    <t>benthos; ecosystem; primary production; secondary production; stable isotopes</t>
  </si>
  <si>
    <t>STABLE-ISOTOPE RATIOS; FUNCTIONAL FEEDING GROUPS; BENTHIC MACROINVERTEBRATES; AUTOTROPHIC CARBON; EMPIRICAL-MODELS; ENERGY-FLOW; RESOURCE; RIVER; FLOODPLAIN; PATTERNS</t>
  </si>
  <si>
    <t>The River Continuum Concept (RCC) assumes that autochthonous primary production in forest streams is limited by light and is insufficient to sustain secondary production by consumers; they must therefore depend on allochthonous carbon from the surrounding forest. Recent studies have, however, questioned the importance of allochthonous carbon in stream food webs. There is a growing body of evidence using stable-isotope techniques that demonstrate the importance of algae (autochthonous production) in the food webs of tropical streams. The actual contributions of autochthonous and allochthonous resources are rarely evaluated accurately because few studies consider the diet and the trophic efficiencies of the components of the food web or measure primary and secondary production to estimate the energy flow. We estimated the annual net primary productivity of periphytic microalgae (NPP) and the secondary production of macroinvertebrates (SP) from empirical models and we used stable isotopes of carbon and nitrogen to quantify the flow of material in food webs of five forest streams in the Guapi-Macacu catchment, Rio de Janeiro, Brazil. NPP ranged from 46g to 173g dry mass (DM) m(-2), whereas SP ranged from 0.90gDMm(-2) to 2.58gDMm(-2). The contribution of allochthonous carbon to the SP was more important than autochthonous sources and varied from 56% to 74% of all basal energy flow assimilated by primary consumers. The annual ingestion rate of basal sources varied from 8.08gDMm(-2) to 26.57gDMm(-2), with the allochthonous material contributing 76% and 87% of this. The annual ingestion rate of autochthonous material varied from 1.2% to 5.5% of the NPP. The present work suggests that the principal energy source for macroinvertebrates in streams of the Guapi-Macacu catchment came from the riparian forest, as predicted by the RCC. However, this dependence appeared not to be driven by an absolute lack of autochthonous NPP, which seemed more than sufficient to sustain the entirety of macroinvertebrate SP.</t>
  </si>
  <si>
    <t>10.1111/fwb.12921</t>
  </si>
  <si>
    <t>Reis, CRG; Reed, SC; Oliveira, RS; Nardoto, GB</t>
  </si>
  <si>
    <t>Isotopic Evidence that Nitrogen Enrichment Intensifies Nitrogen Losses to the Atmosphere from Subtropical Mangroves</t>
  </si>
  <si>
    <t>biological nitrogen fixation; denitrification; nitrification; nitrous oxide; phosphorous; stable isotopes</t>
  </si>
  <si>
    <t>RHIZOPHORA-MANGLE L.; TERMINOS LAGOON; PHOSPHORUS LIMITATION; MICROBIAL COMMUNITY; NATURAL-ABUNDANCE; GLOBAL PATTERNS; N-2 FIXATION; WORLD MAP; FOREST; DENITRIFICATION</t>
  </si>
  <si>
    <t>Nitrogen (N) enrichment can have large effects on mangroves' capacity to provide critical ecosystem services by affecting fundamental functions such as N cycling and primary productivity. However, our understanding of excess N input effects on N cycling in mangroves remains quite limited. To advance our understanding of how N enrichment via water or air pollution affects mangroves, we evaluated whether increasing N inputs would decrease biological N fixation (BNF), but intensify N dynamics and N losses to the atmosphere in these systems. We measured N concentrations in sediment and vegetation, rates of BNF in sediment and litter, and net sediment ammonification and nitrification rates. We also evaluated long-term integrated N dynamics and N losses to the atmosphere using the natural abundance of N stable isotopes (delta N-15) in the sediment-plant system and in estuarine water. We performed these analyses at non-N-enriched and N-enriched (that is, polluted) fringe and basin mangroves in southeastern Brazil. The delta N-15 in the sediment-plant system was higher at N-enriched than non-N-enriched fringe sites, indicating increased N losses to the atmosphere from N-enriched sites. However, N concentrations in sediment and vegetation were similar or lower at N-enriched relative to non-N-enriched sites. BNF and net ammonification and nitrification rates were also similar between N-enriched and non-N-enriched sites. Excess N inputs intensified N losses to the atmosphere from mangroves, but N pools, BNF, and net ammonification and nitrification rates were not affected by N enrichment, likely because excess N was quickly lost from the system by direct denitrification and volatilization.</t>
  </si>
  <si>
    <t>10.1007/s10021-018-0327-0</t>
  </si>
  <si>
    <t>Pfisterer, AB; Diemer, M; Schmid, B</t>
  </si>
  <si>
    <t>Dietary shift and lowered biomass gain of a generalist herbivore in species-poor experimental plant communities</t>
  </si>
  <si>
    <t>plant diversityxherbivory experiment; BIODEPTH; complementary diet; diversity effect; generalist herbivores; legume effect</t>
  </si>
  <si>
    <t>DIVERSITY; PRODUCTIVITY; RICHNESS</t>
  </si>
  <si>
    <t>Species loss of primary producers is likely to affect processes on other trophic levels. We studied consumption and individual performance of the generalist herbivore Parapleurus alliaceus (Orthoptera) in relation to the species richness of primary producers. Adult grasshoppers were caged and left to feed for 2 weeks on experimental grassland communities ranging in plant species richness from one, two, four, eight to 32 species. Low plant diversity had a negative effect on both plant community biomass and on biomass gain of female grasshoppers, feeding to produce eggs (male grasshoppers did not gain biomass during the feeding period). This was surprising because plots with high plant diversity had a low proportion of grass biomass and grasshoppers preferentially selected grasses, leading to a greater exploitation of grasses in experimental communities of higher diversity. Thus, the concurrent increase in non-grass species in the diet from these high-diversity communities must have been beneficial to the generalist herbivore. In addition to the positive effects of plant diversity, the presence of legumes in a mixture with grasses further enhanced the biomass gain of grasshoppers at a given level of diversity. These findings suggest that plant species loss may lead to shifts in herbivore population sizes, reducing those of generalists and benefiting specialists of the remaining plant species. Our results further suggest that generalist herbivores, by having feeding preferences, can also change the relative abundances of plant species with different functional characteristics. This may feedback on both composition and diversity of plant communities.</t>
  </si>
  <si>
    <t>10.1007/s00442-002-1169-0</t>
  </si>
  <si>
    <t>De Deurwaerder, HPT; Visser, MDD; Meunier, F; Detto, M; Herve-Fernandez, P; Boeckx, P; Verbeeck, H</t>
  </si>
  <si>
    <t>Robust Estimation of Absorbing Root Surface Distributions From Xylem Water Isotope Compositions With an Inverse Plant Hydraulic Model</t>
  </si>
  <si>
    <t>absorbing root surfaces distribution; ecohydrology; lianas; stable water isotopes; tropical trees; water competition</t>
  </si>
  <si>
    <t>STABLE-ISOTOPES; SOIL-WATER; OSMOTIC PROPERTIES; VACUUM EXTRACTION; GLOBAL PATTERNS; CANOPY TREES; LIANA; HYDROGEN; PERSPECTIVES; EQUATIONS</t>
  </si>
  <si>
    <t>The vertical distribution of absorbing roots is one of the most influential plant traits determining plant strategy to access below ground resources. Yet little is known of natural variability in root distribution since collecting field data is challenging and labor-intensive. Studying stable water isotope compositions in plants could offer a cost-effective and practical solution to estimate the absorbing root surfaces distribution. However, such an approach requires developing realistic inverse modeling techniques that enable robust estimation of rooting distributions and associated uncertainty from xylem water isotopic composition observations. This study introduces an inverse modeling method that supports the assessment of the root allocation parameter (beta) that defines the exponential vertical decay of a plants' absorbing root surfaces distribution with soil depth. The method requires measurements obtained from xylem and soil water isotope composition, soil water potentials, and sap flow velocities when plants' xylem water is sampled at a certain height above the rooting point. In a simulation study, we show that the approach can provide unbiased estimates of beta and its associated uncertainty due to measuring errors and unmeasured environmental factors that can impact the xylem water isotopic data. We also recommend improving the accuracy and power of beta estimation, highlighting the need for considering accurate soil water potential and sap flow monitoring. Finally, we apply the inverse modeling method to xylem water isotope data of lianas and trees collected in French Guiana. Our work shows that the inverse modeling procedure provides a robust analytical and statistical framework to estimate beta. The method accounts for potential bias due to extraction errors and unmeasured environmental factors, which improves the viability of using stable water isotope compositions to estimate the distribution of absorbing root surfaces complementary to the assessment of relative root water uptake profiles.</t>
  </si>
  <si>
    <t>10.3389/ffgc.2021.689335</t>
  </si>
  <si>
    <t>Han, GL; Tang, Y; Liu, M; Van Zwieten, L; Yang, XM; Yu, CX; Wang, HL; Song, ZL</t>
  </si>
  <si>
    <t>Carbon-nitrogen isotope coupling of soil organic matter in a karst region under land use change, Southwest China</t>
  </si>
  <si>
    <t>Soil organic carbon and nitrogen; delta C-13; delta N-15; Land use change; SW China</t>
  </si>
  <si>
    <t>NATURAL N-15 ABUNDANCE; INORGANIC CARBON; DELTA-N-15; DELTA-C-13; STOICHIOMETRY; CLIMATE; IMPACT; POOLS; PLANT; AREA</t>
  </si>
  <si>
    <t>The soil stable carbon (C) and nitrogen (N) isotopes are widely used to indicate C-3/C-4 vegetation history, N sources and transformation processes, respectively. However, land use change, particularly converting forest into farm land, alters soil organic matter (SOM) sources and processes in soils, resulting in a hard understanding of soil C and N fate. In the present study, soil organic carbon (SOC) and soil organic nitrogen (SON) contents, and their stable isotope compositions (delta C-13 and delta N-15) were determined in the five soil profiles under land use change (i.e., conversion of native forest land into shrub land, grass land, maize field, and paddy land) in Lobo county, Guizhou province, Southwest China. A coupling of C-13 and N-15 isotope in SOM under land use change was verified whether it could provide more accurate indications of sources and transformation processes. The SOC and SON contents of native forest land at the 0 similar to 20 cm depth were significantly larger than these under other transformed lands. The SOC and SON contents decreased exponentially with increasing soil depth under all land use types, and showed opposite trends with soil pH. The C/N ratios of SOM in the soils under undisturbed native forest decreased from 10 to 7 with increasing soil depth, while an irregular fluctuation along soil profile was shown in other transformed lands. Similarly to the most study in the soils under C-3 forest, the delta C-13 and delta N-15 values of SOM in the soils under native forest at the 0 similar to 50 cm depth increased with increasing soil depth, with the range of -27.7 parts per thousand similar to-25.7 parts per thousand and 6.5 parts per thousand similar to 10.0 parts per thousand, respectively. While decreasing trends of them in the soils below 50 cm depth were attributed to the mixing of( 13)C and N-15-depleted organic matters from bedrocks. However, the delta C-13 and delta N-15 values of SOM along the soil profiles under other transformed lands were intensively irregularly fluctuated between -29.1 parts per thousand and -19.0 parts per thousand, 1.2 parts per thousand and 7.9 parts per thousand, respectively. The single delta C-13 and delta N-15 signals in the soil profiles of transformed lands indeed revealed the alterations of historical C-3/C-4 composition and N transformation processes after land use change, but these indications were not specific. The result of the coupling of C-13 and N-15 isotope under native forest land reveals a positive relationship between them, which associated with full plant-absorption against N-15-depleted inorganic nitrogen derived from SOM mineralization. This study suggests that the coupling of C-N isotope fractionation more likely occurs in the C-3 forest ecosystem with high N utilization efficiency. However, the replacement of native forest by farm land or grass land will reduce soil N utilization efficiency.</t>
  </si>
  <si>
    <t>10.1016/j.agee.2020.107027</t>
  </si>
  <si>
    <t>Hope, AG; Gragg, SF; Nippert, JB; Combe, FJ</t>
  </si>
  <si>
    <t>Consumer roles of small mammals within fragmented native tallgrass prairie</t>
  </si>
  <si>
    <t>climate change; community turnover; grassland; resource use; rodent diet; stable isotope ratio; wildfire; woody encroachment</t>
  </si>
  <si>
    <t>STABLE-ISOTOPES; GREAT-PLAINS; CARBON-ISOTOPE; DIETARY NICHE; DEER MICE; LONG-TERM; FIRE; GRASSLAND; NITROGEN; COMMUNITY</t>
  </si>
  <si>
    <t>Grassland ecosystems globally are being negatively impacted by changes in climate, disturbance regimes, nutrient flux, and consumer guilds. Changes in the trophic ecology of consumers can substantially influence local resources, contributing to shifting diversity, community turnover, and other processes of ecosystem change. Small mammals are diverse and abundant within grasslands and yet the impact of changing ecosystems on small mammals and the role of these mammals as consumers are still both under-studied. We assessed small mammal resource use within grassland and woodland vegetation types that have resulted from landscape-scale experimental disturbance through fire treatments within the tallgrass prairie ecoregion of the North American Great Plains. We predicted that resource use would vary significantly among grassland vs. woodland communities, in turn reducing the role of small mammals in contributing to future maintenance of native prairies. We sampled five dominant species of rodents across three years and multiple habitats. Using stable isotope analysis, we investigated isotopic niche area and overlap to infer variation in diet, both within and among species. Resource use shifted in bivariate isotopic space seasonally but not across years when combining all species and habitats. Inferred spring diet (based on fur samples) was highly diverse and overlapping. Summer isotopic values (based on liver tissue) in woody habitat treatments were narrower and overlapped less than within grassland habitats. Consumers generally shifted from C-4 herbivory to C-3 herbivory, or greater omnivory, when analyzing grassland, shrubland, and woodland habitats respectively. Within the tallgrass prairie ecosystem, small mammal populations in herbaceous-dominated habitats use a broader variety of resources than small mammals in proximate woody-dominated habitats. As native grasslands experience woody encroachment, small mammal assemblages experience turnover of dominant species and associated changes in diet. Ecosystem changes such as cessation of frequent fire resulting in more woody habitats may include reduced roles by native small mammals as consumers/dispersers/propagators of native grassland plants.</t>
  </si>
  <si>
    <t>e03441</t>
  </si>
  <si>
    <t>10.1002/ecs2.3441</t>
  </si>
  <si>
    <t>Brodeur, RD; Hunsicker, ME; Hann, A; Miller, TW</t>
  </si>
  <si>
    <t>Effects of warming ocean conditions on feeding ecology of small pelagic fishes in a coastal upwelling ecosystem: a shift to gelatinous food sources</t>
  </si>
  <si>
    <t>Warm anomaly; Forage fishes; Feeding ecology; Feeding intensity; Gelatinous zooplankton</t>
  </si>
  <si>
    <t>NORTHERN CALIFORNIA CURRENT; POLLOCK THERAGRA-CHALCOGRAMMA; FORAGE FISH; CLIMATE-CHANGE; WEB STRUCTURE; CONTINENTAL-SHELF; DIET OVERLAP; NINA EVENTS; IMPACTS; VARIABILITY</t>
  </si>
  <si>
    <t>Forage fish play a central role in the transfer of energy from lower to higher trophic levels. Ocean conditions may influence this energy pathway in the Northern California Current (NCC) ecosystem, and we may expect it to differ between warm and cold periods in the northeast Pacific Ocean. The recent unprecedented warming in the NCC provides a unique opportunity to better understand the connection between ocean conditions and forage fish feeding habits and the potential consequences for predators that depend on them for sustenance. Here we present findings from gut content analysis to examine food sources of multiple forage fishes (northern anchovy Engraulis mordax, Pacific sardine Sardinops sagax, jack mackerel Trachurus symmetricus, Pacific herring Clupea pallasii, surf smelt Hypomesus pretiosus, and whitebait smelt Allosmerus elongatus) off the Washington and Oregon coasts. Analyses were applied to fish collected in May and June during recent warm years (2015 and 2016) and compared to previous collections made during cool (2011, 2012) and average (2000, 2002) years. Results of the diet analysis indicate that fish feeding habits varied significantly between cold and both average and warm periods. Euphausiids, decapods, and copepods were the main prey items of the forage fishes for most years examined; however, gelatinous zooplankton were consumed in much higher quantities in warm years compared to cold years. This shift in prey availability was also seen in plankton and trawl surveys in recent years and suggests that changing ocean conditions are likely to affect the type and quality of prey available to forage fish. Although gelatinous zooplankton are generally not believed to be suitable prey for most fishes due to their low energy content, some forage fishes may utilize this prey in the absence of more preferred prey resources during anomalously warm ocean conditions.</t>
  </si>
  <si>
    <t>10.3354/meps12497</t>
  </si>
  <si>
    <t>Norris, DR; Arcese, P; Preikshot, D; Bertram, DF; Kyser, TK</t>
  </si>
  <si>
    <t>Diet reconstruction and historic population dynamics in a threatened seabird</t>
  </si>
  <si>
    <t>back-cast; brachyramphus marmoratus; pacific coast; population decline; seabirds; stable isotopes; trophic level</t>
  </si>
  <si>
    <t>MURRELETS BRACHYRAMPHUS-MARMORATUS; MARBLED MURRELET; STABLE-ISOTOPES; CLIMATE VARIABILITY; BRITISH-COLUMBIA; OCEAN CLIMATE; TROPHIC RELATIONSHIPS; INTERANNUAL VARIATION; ENDANGERED SEABIRD; BREEDING SUCCESS</t>
  </si>
  <si>
    <t>1. For the overwhelming majority of species, we lack long-term information on the dynamics of populations. As a consequence, we face considerable uncertainty about how to discriminate among competing hypotheses of population decline and design conservation plans. 2. The marbled murrelet Brachyramphus marmoratus is a small seabird that nests in coastal old-growth forest but feeds year-round in near-shore waters of the north-eastern Pacific. Although a decline in nesting habitat is the primary reason why marbled murrelets are listed as threatened in Canada, nest predation and food availability may also influence population abundance. To examine the hypothesis that murrelet populations are influenced by variation in diet quality, we analysed stable-carbon and -nitrogen isotopes in feathers of museum specimens collected in the Georgia Basin, British Columbia. 3. Between 1889 and 1996, we found a decline in stable isotopic signatures that was approximately equal to a 62% drop in trophic feeding level. We also found that the estimated proportion of fish in murrelet diet was related closely to murrelet abundance over the past 40 years, as estimated from volunteer surveys. Using these isotopic data, we modelled population size as a function of variation in reproductive rate due to changes in diet quality and found that our model matched closely the 40-year field estimates. We then applied our 107-year isotopic record to the model to back-cast estimates of population growth rate to 1889. 4. Our results suggest that, up to the 1950s, murrelet populations in the Georgia Basin were capable of growing and were probably limited by factors other than diet quality. After this period, however, our results imply that murrelets were often, but not solely, limited by diet quality. 5. Synthesis and applications. Protecting nesting habitat may not be sufficient to rebuild populations of this highly secretive and threatened seabird and recovery might also require the restoration of marine habitat quality, as well as a better understanding of how ocean climate affects prey abundance and reproductive rate. Combined with contemporary demographic data, stable isotope analysis of historic samples provides a unique opportunity to reconstruct population histories for species where we lack long-term information.</t>
  </si>
  <si>
    <t>10.1111/j.1365-2664.2007.01329.x</t>
  </si>
  <si>
    <t>Jardine, TD; Pusey, BJ; Hamilton, SK; Pettit, NE; Davies, PM; Douglas, MM; Sinnamon, V; Halliday, IA; Bunn, SE</t>
  </si>
  <si>
    <t>Fish mediate high food web connectivity in the lower reaches of a tropical floodplain river</t>
  </si>
  <si>
    <t>Stable sulfur isotopes; Flood pulse; Liver; Gonad; Income breeding</t>
  </si>
  <si>
    <t>BARRAMUNDI LATES-CALCARIFER; TROUT SALVELINUS-FONTINALIS; STABLE-ISOTOPES; NORTHERN AUSTRALIA; CARBON; NITROGEN; FLOW; BIODIVERSITY; FISHERIES; DYNAMICS</t>
  </si>
  <si>
    <t>High levels of hydrological connectivity during seasonal flooding provide significant opportunities for movements of fish between rivers and their floodplains, estuaries and the sea, possibly mediating food web subsidies among habitats. To determine the degree of utilisation of food sources from different habitats in a tropical river with a short floodplain inundation duration (similar to 2 months), stable isotope ratios in fishes and their available food were measured from three habitats (inundated floodplain, dry season freshwater, coastal marine) in the lower reaches of the Mitchell River, Queensland (Australia). Floodplain food sources constituted the majority of the diet of large-bodied fishes (barramundi Lates calcarifer, catfish Neoarius graeffei) captured on the floodplain in the wet season and for gonadal tissues of a common herbivorous fish (gizzard shad Nematalosa come), the latter suggesting that critical reproductive phases are fuelled by floodplain production. Floodplain food sources also subsidised barramundi from the recreational fishery in adjacent coastal and estuarine areas, and the broader fish community from a freshwater lagoon. These findings highlight the importance of the floodplain in supporting the production of large fishes in spite of the episodic nature and relatively short duration of inundation compared to large river floodplains of humid tropical regions. They also illustrate the high degree of food web connectivity mediated by mobile fish in this system in the absence of human modification, and point to the potential consequences of water resource development that may reduce or eliminate hydrological connectivity between the river and its floodplain.</t>
  </si>
  <si>
    <t>10.1007/s00442-011-2148-0</t>
  </si>
  <si>
    <t>Fogelman, KJ; Stoeckel, JA; Abdelrahman, HA; Helms, BS</t>
  </si>
  <si>
    <t>The relative importance of suspended versus benthic food resources to freshwater mussels in central Texas, USA</t>
  </si>
  <si>
    <t>allochthonous food resources; feeding ecology; freshwater food webs; stable isotopes; unionid mussels</t>
  </si>
  <si>
    <t>NITROGEN STABLE-ISOTOPES; JUVENILE RAINBOW MUSSELS; TROPHIC POSITION; NATURAL-ABUNDANCE; UNIONID MUSSELS; ORGANIC-CARBON; MIXING MODELS; SPECIES ROLES; STREAM; ECOLOGY</t>
  </si>
  <si>
    <t>As unionid mussels continue to decline in North America much remains unknown regarding their primary food resources and feeding relationships. Our objective was to investigate spatial, temporal, intra- and interspecific variation in food resource use. In this study, we quantified stable C (delta C-13) and stable N (delta N-15) isotopic signatures for five mussel species and their potential food resources across four catchments and three seasons in central Texas, U.S.A. Across all species and sites, Bayesian mixing models suggest C derived from coarse particulate organic matter (CPOM; bulk detrital leaf packs) contributed on average 51% to the mussel diet and C derived from suspended particulate organic matter contributed 41% on average to the mussel diet. Mussel stable isotope signatures exhibited minimal variation across species within a site, but significant differences across sites and seasons. Although significant differences in food source contributions were observed between sites and species, differences were relatively small and either CPOM or suspended particulate organic matter were consistently the primary food resource. Mussels were potentially consuming microbial biofilms associated with CPOM pools, but preferential assimilation of detrital biofilms remains to be quantified. Carbon:nitrogen ratios of mussel soft tissue varied seasonally with summer ratios approximately 3 times higher on average than spring and autumn ratios, which is suggestive of poor food quality and thermal stress during the summer. Some species had significant positive relationships between isotopic ratios and shell length, which indicates changes in food resource incorporation with increasing mussel size. Together these data suggest the C in mussel tissues was of benthic and suspended origin. These findings provide further evidence that mussels effectively exploit benthic in addition to planktonic food resources which emphasises the need to maintain riparian habitats and allochthonous inputs.</t>
  </si>
  <si>
    <t>10.1111/fwb.13901</t>
  </si>
  <si>
    <t>Chaguaceda, F; Scharnweber, K; Dalman, E; Tranvik, LJ; Eklov, P</t>
  </si>
  <si>
    <t>Short-term apparent mutualism drives responses of aquatic prey to increasing productivity</t>
  </si>
  <si>
    <t>apparent competition; crucian carp; eutrophication; food web; indirect interactions; mesocosm; resource coupling; top-down control</t>
  </si>
  <si>
    <t>CRUCIAN CARP; TROPHIC INTERACTIONS; PEG-MODEL; TOP-DOWN; FOOD; SIZE; COMPETITION; PREDATION; DYNAMICS; WATER</t>
  </si>
  <si>
    <t>According to apparent competition theory, sharing a predator should cause indirect interactions among prey that can affect the structure and the dynamics of natural communities. Though shifts in prey dominance and predator resource use along environmental gradients are rather common, empirical evidence on the role of indirect prey-prey interactions through shared predation particularly with increasing productivity, is still scarce. In an 8-week lake mesocosm experiment, we manipulated both the addition of inorganic nutrients and the presence of generalist fish predators (crucian carp, Carassius carassius L.), to test for the effects of indirect interactions through shared predation along a productivity gradient. We found that apparent mutualism (indirect positive interaction) between benthic and pelagic prey strongly affected short-term responses of aquatic food webs to increasing productivity in the presence of a generalist fish. Increasing productivity favoured the relative abundance of benthic prey, following trends in natural productive lake systems. This led to a shift in fish selectivity from pelagic to benthic prey driven by changes in fish behaviour, which resulted in apparent mutualism due to the lower and delayed top-down control of pelagic prey at increasing productivity. Our results show empirical evidence that the coupling of multiple production pathways can lead to strong indirect interactions through shared predation, whereby prey dynamics on short time-scales are highly dependent on the foraging behaviour of generalist predators. This mechanism may play an important role in short-term responses of food webs across environmental gradients.</t>
  </si>
  <si>
    <t>10.1111/1365-2656.13413</t>
  </si>
  <si>
    <t>Stavert, JR; Gaskett, AC; Scott, DJ; Beggs, JR</t>
  </si>
  <si>
    <t>Dung beetles in an avian-dominated island ecosystem: feeding and trophic ecology</t>
  </si>
  <si>
    <t>Stable isotope; Decomposition; Allochthonous input; Ecosystem function; Island restoration; Feeding behaviour</t>
  </si>
  <si>
    <t>STABLE-ISOTOPE ANALYSIS; NEW-ZEALAND; ALLOCHTHONOUS INPUT; FOOD; COLEOPTERA; NITROGEN; MARINE; RATIOS; CARBON; SCARABAEINAE</t>
  </si>
  <si>
    <t>Globally, dung beetles (Scarabaeidae: Scarabaeinae) are linked to many critical ecosystem processes involving the consumption and breakdown of mammal dung. Endemic New Zealand dung beetles (Canthonini) are an anomaly, occurring at high abundance and low diversity on an island archipelago historically lacking terrestrial mammals, except bats, and instead dominated by birds. Have New Zealand's dung beetles evolved to specialise on bird dung or carrion, or have they become broad generalist feeders? We test dietary preferences by analysing nitrogen isotope ratios of wild dung beetles and by performing feeding behaviour observations of captive specimens. We also use nitrogen and carbon stable isotopes to determine if the dung beetle Saphobius edwardsi will consume marine-derived carrion. Nitrogen isotope ratios indicated trophic generalism in Saphobius dung beetles and this was supported by behavioural observations where a broad range of food resources were utilised. Alternative food resource use was further illustrated experimentally by nitrogen and carbon stable isotope signatures of S. edwardsi, where individuals provided with decomposed squid had delta N-15 and delta C-13 values that had shifted toward values associated with marine diet. Our findings suggest that, in the absence of native mammal dung resources, New Zealand dung beetles have evolved a generalist diet of dung and carrion. This may include marine-derived resources, as provided by the seabird colonies present in New Zealand forests before the arrival of humans. This has probably enabled New Zealand dung beetles to persist in indigenous ecosystems despite the decline of native birds and the introduction of many mammal species.</t>
  </si>
  <si>
    <t>10.1007/s00442-014-3001-z</t>
  </si>
  <si>
    <t>Taneva, L; Pippen, JS; Schlesinger, WH; Gonzalez-Meler, MA</t>
  </si>
  <si>
    <t>The turnover of carbon pools contributing to soil CO2 and soil respiration in a temperate forest exposed to elevated CO2 concentration</t>
  </si>
  <si>
    <t>carbon cycle; carbon sequestration; elevated CO2; FACE; Pinus taeda; soil C; soil CO2; soil organic matter; soil respiration; stable carbon isotopes</t>
  </si>
  <si>
    <t>DISSOLVED ORGANIC-MATTER; ATMOSPHERIC CO2; PHYSICAL FRACTIONATION; MICROBIAL BIOMASS; PLANT LITTER; PINE FOREST; DYNAMICS; C-13; SEQUESTRATION; ENRICHMENT</t>
  </si>
  <si>
    <t>Soil carbon is returned to the atmosphere through the process of soil respiration, which represents one of the largest fluxes in the terrestrial C cycle. The effects of climate change on the components of soil respiration can affect the sink or source capacity of ecosystems for atmospheric carbon, but no current techniques can unambiguously separate soil respiration into its components. Long-term free air CO2 enrichment (FACE) experiments provide a unique opportunity to study soil C dynamics because the CO2 used for fumigation has a distinct isotopic signature and serves as a continuous label at the ecosystem level. We used the C-13 tracer at the Duke Forest FACE site to follow the disappearance of C fixed before fumigation began in 1996 (pretreatment C) from soil CO2 and soil-respired CO2, as an index of belowground C dynamics during the first 8 years of the experiment. The decay of pretreatment C as detected in the isotopic composition of soil-respired CO2 and soil CO2 at 15, 30, 70, and 200 cm soil depth was best described by a model having one to three exponential pools within the soil system. The majority of soil-respired CO2 (71%) originated in soil C pools with a turnover time of about 35 days. About 55%, 50%, and 68% of soil CO2 at 15, 30, and 70 cm, respectively, originated in soil pools with turnover times of less than 1 year. The rest of soil CO2 and soil-respired CO2 originated in soil pools that turn over at decadal time scales. Our results suggest that a large fraction of the C returned to the atmosphere through soil respiration results from dynamic soil C pools that cannot be easily detected in traditionally defined soil organic matter standing stocks. Fast oxidation of labile C substrates may prevent increases in soil C accumulation in forests exposed to elevated [CO2] and may consequently result in shorter ecosystem C residence times.</t>
  </si>
  <si>
    <t>10.1111/j.1365-2486.2006.01147.x</t>
  </si>
  <si>
    <t>Cheeseman, AE; Tanis, BP; Finck, EJ</t>
  </si>
  <si>
    <t>Quantifying temporal variation in dietary niche to reveal drivers of past population declines</t>
  </si>
  <si>
    <t>agriculture; historical ecology; land use; Mephitis; mesocarnivore; skunk; Spilogale; stable isotope</t>
  </si>
  <si>
    <t>SHIFTING BASE-LINE; STABLE-ISOTOPES; TROPHIC ECOLOGY; LONG-TERM; CARBON; CARNIVORE; DYNAMICS; CLIMATE; WIDTH; DISCRIMINATION</t>
  </si>
  <si>
    <t>1. Given the long and dynamic history of anthropogenic disturbances to ecosystems, it is difficult to determine the drivers of past population declines. These uncertainties dilute the efficacy of conservation efforts and might hinder species and ecosystem recovery. 2. Niche quantification can be a useful tool for understanding drivers of past population declines. Niche parameters reflect key resources used, providing insight into the conditions needed to achieve population stability. By reconstructing a population's niche position and space over a period of decline and comparing to historic baselines, shifts in the realized niche of a species can be assessed. Comparing shifts to historic information on resource availability and timing of declines can allow practitioners to identify probable drivers of species decline. 3. We demonstrated the utility of this technique by reconstructing parameters of isotopic dietary niche over a 130-year period and comparing isotopic niche reconstructions to land use and crop harvests during this same period via regression and Bayesian standard ellipsoid (SIBER) analyses. We use a formerly widespread but now endangered species, the eastern spotted skunk Spilogale putorius, addressing the hypothesis that land use change and agricultural intensification led to a historical collapse of key dietary resources which correlates with population declines in this species. To help control for isotopic variability unrelated to population decline, we compare trends to those of a secure, but ecologically similar generalist mesocarnivore, the striped skunk Mephitis mephitis, across the same spatiotemporal scale. 4. We present evidence that historic dietary changes occurred in spotted skunks in the early 1900s but not to the same degree in striped skunks. Changes in isotopic composition correspond with the temporal period of decline and are explained by concurrent changes in land use. These results support the hypothesis that loss of key dietary resources as a result of land use change and agricultural intensification played a significant role in population declines of spotted skunks in this region.</t>
  </si>
  <si>
    <t>10.1111/1365-2435.13765</t>
  </si>
  <si>
    <t>Ramirez, F; Afan, I; Hobson, KA; Bertellotti, M; Blanco, G; Forero, MG</t>
  </si>
  <si>
    <t>Natural and anthropogenic factors affecting the feeding ecology of a top marine predator, the Magellanic penguin</t>
  </si>
  <si>
    <t>Argentinean Patagonia; breeding performance; carbon-13; competition; feeding ecology; fisheries; foraging distribution; indicator species; nitrogen-15; Magellanic penguin; Spheniscus magellanicus; stable isotopes</t>
  </si>
  <si>
    <t>STABLE-ISOTOPE ANALYSIS; MULTISCALE APPROACH; SEABIRD; CONSERVATION; ARGENTINA; FOOD; SEGREGATION; VARIABILITY; PATAGONIA; MODELS</t>
  </si>
  <si>
    <t>Understanding how top predators respond to natural and anthropogenically induced changes in their environment is a major conservation challenge especially in marine environments. We used a multidisciplinary approach to explore the mechanisms through which a typical central-place forager, the Magellanic penguin (Spheniscus magellanicus) from the Chubut province of Argentina, responds to variations in oceanic conditions and prey resources. We combined habitat and species distribution modeling with isotopic dietary reconstructions based on blood delta 13C and delta 15N values to quantify the role of bathymetry, sea-surface temperature and chlorophyll-a concentration, abundance of conspecifics, and extent of fisheries activities in explaining the foraging and feeding ecology of individuals breeding at different colonies. The at-sea distribution of penguins was tightly coupled with the spatial distribution of their staple prey species, anchovies (Engraulis anchoita), especially in areas over the continental shelf (&gt;200 m depth), with relatively warm water (from 16 degrees to 21 degrees C), and moderate abundances of conspecifics (from 50 to 250 individuals). Competition with conspecifics and human fisheries were also identified as important factors explaining penguin diet with decreasing relative contributions of anchovies with increasing abundance of conspecifics and fishing activity. Our multifactorial approach allowed us to simultaneously explore different physical, biological and anthropogenic features likely affecting marine resource availability, and, consequently, driving the feeding and foraging ecology of this central-place forager. Our approach can be extended to a large suite of central-place foragers, thus providing important advances in the way we investigate how to effectively conserve and manage these species.</t>
  </si>
  <si>
    <t>10.1890/ES13-00297.1</t>
  </si>
  <si>
    <t>Evans, RD; Belnap, J</t>
  </si>
  <si>
    <t>Long-term consequences of disturbance on nitrogen dynamics in an arid ecosystem</t>
  </si>
  <si>
    <t>Canyonlands National Park, Utah, USA; cryptogamic crusts; land-use change; microbiotic crusts; microphytic crusts; mineralization; nitrification; nitrogen; stable isotopes</t>
  </si>
  <si>
    <t>CARBON-ISOTOPE DISCRIMINATION; CANYONLANDS-NATIONAL-PARK; FERTILE-SOIL MICROSITES; PICEA-ABIES FOREST; CHIHUAHUAN DESERT; SURFACE DISTURBANCES; NATURAL ABUNDANCE; MICROBIAL BIOMASS; LARREA-TRIDENTATA; GLOBAL CHANGE</t>
  </si>
  <si>
    <t>Anthropogenic activity is causing dramatic changes in the nitrogen (N) cycle in many ecosystems. Most research has focused on the increase in N input caused by atmospheric deposition and invasion of N-fixing species, and on their effects on resource availability and species composition. However, in contrast to many ecosystems experiencing large increases in N input, many arid ecosystems are experiencing loss of nutrients due to land-use change. An important component of many arid ecosystems on a worldwide basis is the microbiotic crust, a biological soil crust composed of lichens, cyanobacteria, mosses, and algae. Nitrogen fixation by lichens and cyanobacteria comprising the crust is the primary source of N input in many of these ecosystems. We quantified the long-term consequences of surface disturbance in an arid ecosystem on the Colorado Plateau by comparing pristine sites with those of known disturbance history. Disturbance caused an increase in the abundance of cyanobacteria and a decrease in lichens within the microbiotic crust. Carbon isotope composition (delta(13)C) of the crust reflects this shift in species composition; values for disturbed sites were 4.5 parts per thousand higher than undisturbed sites. Nitrogen isotope composition (delta(15)N) of the microbiotic crust was 1.5-2.2 parts per thousand higher for disturbed sites, probably resulting from relatively greater gaseous N loss from the crust. Historic disturbance has caused a long-term decrease in rates of N fixation by the microbiotic crust; nitrogenase activity in pristine sites was 250% greater than sites intermittently disturbed 30 yr ago. The decrease in N input from fixation and continued gaseous N loss has caused a 25-75% decrease in soil N content. Altering relative rates of N input and loss, coupled with input of N from microbiotic crusts with relatively higher delta(15)N, has caused an increase in soil and plant delta(15)N at disturbed sites. This decrease in soil N caused by disturbance will likely cause changes in species composition similar to those observed in ecosystems that have been disrupted by excess N input from atmospheric deposition.</t>
  </si>
  <si>
    <t>10.2307/176986</t>
  </si>
  <si>
    <t>Whitcraft, CR; Levin, LA; Talley, D; Crooks, JA</t>
  </si>
  <si>
    <t>Utilization of invasive tamarisk by salt marsh consumers</t>
  </si>
  <si>
    <t>Isotope enrichment; Salt cedar; Exotic species; Trophic; Tamarix</t>
  </si>
  <si>
    <t>SOUTHERN CALIFORNIA; SPARTINA-ALTERNIFLORA; BIOLOGICAL INVASIONS; COMMUNITY STRUCTURE; STABLE-ISOTOPES; LITTER DYNAMICS; ORGANIC-MATTER; MARINE; CARBON; CONSEQUENCES</t>
  </si>
  <si>
    <t>Plant invasions of coastal wetlands are rapidly changing the structure and function of these systems globally. Alteration of litter dynamics represents one of the fundamental impacts of an invasive plant on salt marsh ecosystems. Tamarisk species (Tamarix spp.), which extensively invade terrestrial and riparian habitats, have been demonstrated to enter food webs in these ecosystems. However, the trophic impacts of the relatively new invasion of tamarisk into marine ecosystem have not been assessed. We evaluated the trophic consequences of invasion by tamarisk for detrital food chains in the Tijuana River National Estuarine Research Reserve salt marsh using litter dynamics techniques and stable isotope enrichment experiments. The observations of a short residence time for tamarisk combined with relatively low C:N values indicate that tamarisk is a relatively available and labile food source. With an isotopic (N-15) enrichment of tamarisk, we demonstrated that numerous macroinvertebrate taxonomic and trophic groups, both within and on the sediment, utilized N-15 derived from labeled tamarisk detritus. Infaunal invertebrate species that took up no or limited N-15 from labeled tamarisk (A. californica, enchytraeid oligochaetes, coleoptera larvae) occurred in lower abundance in the tamarisk-invaded environment. In contrast, species that utilized significant N-15 from the labeled tamarisk, such as psychodid insects, an exotic amphipod, and an oniscid isopod, either did not change or occurred in higher abundance. Our research supports the hypothesis that invasive species can alter the trophic structure of an environment through addition of detritus and can also potentially impact higher trophic levels by shifting dominance within the invertebrate community to species not widely consumed.</t>
  </si>
  <si>
    <t>10.1007/s00442-008-1144-5</t>
  </si>
  <si>
    <t>Jackson, D; Allen, D; Perfecto, I; Vandermeer, J</t>
  </si>
  <si>
    <t>Self-organization of background habitat determines the nature of population spatial structure</t>
  </si>
  <si>
    <t>AGRICULTURAL LANDSCAPES; TROPICAL AGROECOSYSTEM; AGROECOLOGICAL MATRIX; SIZE DISTRIBUTIONS; PATTERNS; VEGETATION; DYNAMICS; ECOSYSTEMS; ECOLOGY; MODEL</t>
  </si>
  <si>
    <t>A substantial literature treats the dynamics of populations in response to spatial patterning of underlying habitats, the most common formulations being source/sink populations and metapopulations living in a patchwork of habitats. A separate and growing literature on the self-organization of spatial pattern focuses on how local interactions give rise to regional patterns that can be described with scale-free distributions. Motivated by the potential ubiquity of the coupling of these processes (spatial self organization and the dynamics of organisms in spatially structured habitats), we link these two lines of thought into a theory of populations in fragmented habitats. Using a combined analytical and computational approach, we show that self organization can generate a background into which an independent population fits, and that the scale-free nature of such habitat creates conditions that influence both the persistence versus extinction properties of the embedded population and where it lies on the continuum between source/sink populations and metapopulations. Both the analytical framework and the computer simulations demonstrate the potential for populations to persist on either end of the metapopulation-source/sink continuum while failing to persist under intermediate conditions. These results provide a new perspective on ecological theory related to habitat fragmentation and population persistence, suggesting that under some conditions intermediate states between these two extremes may maximize risk of extinction of the population. These implications could be of particular importance for managing self-organized systems of conservation concern.</t>
  </si>
  <si>
    <t>10.1111/j.1600-0706.2013.00827.x</t>
  </si>
  <si>
    <t>Calvo-Cases, A; Arnau-Rosalen, E; Boix-Fayos, C; Estrany, J; Roxo, MJ; Symeonakis, E</t>
  </si>
  <si>
    <t>Eco-geomorphological connectivity and coupling interactions at hillslope scale in drylands: Concepts and critical examples</t>
  </si>
  <si>
    <t>Runoff connectivity; Process-pattern; Hillslope-channel coupling; Soil surface armouring; Feedback; Scale</t>
  </si>
  <si>
    <t>VEGETATION PATTERNS; SEDIMENT CONNECTIVITY; HYDROLOGICAL CONNECTIVITY; LANDSCAPE SENSITIVITY; SEMIARID LANDSCAPES; SOIL PROPERTIES; ROCK FRAGMENTS; CLIMATE-CHANGE; RUNOFF; EROSION</t>
  </si>
  <si>
    <t>The diagnosis of land degradation requires a deep understanding of ecosystem functioning and evolution. In dryland systems, in particular, research efforts must address the redistribution of scarce resources for vegetation, in a context of high spatial heterogeneity and non-linear response. This fact explains the prevalence of ecohydrological perspectives interested in runoff processes and, the more recent, focused on connectivity as an indicator of system resource optimisation. From a geomorphological perspective and reviewing the concepts of eco-hydro-geomorphological interactions operating in ecosystems, this paper explores the effects of erosion on vegetation configuration through two case studies at different spatio-temporal scales. We focus on the structure function linkage, specifically on how morphological traits relate with different stages in the erosional sequence, both in the abiotic and the biotic domain. Results suggest that vegetation dynamics are affected by structural boundary conditions at both scales, i.e. by surface armouring related with rock fragments at the patch scale, and by the degree of hillslope-channel coupling at the hillslope scale. Our preliminary results can serve as new working hypotheses about the structure-function interplay on hillslopes. All this, taking advantage of the recent technological achievements for acquiring very high-resolution geospatial data that offer new analytical possibilities in a range of scales.</t>
  </si>
  <si>
    <t>10.1016/j.jaridenv.2020.104418</t>
  </si>
  <si>
    <t>Camus, PA; Daroch, K; Opazo, LF</t>
  </si>
  <si>
    <t>Potential for omnivory and apparent intraguild predation in rocky intertidal herbivore assemblages from northern Chile</t>
  </si>
  <si>
    <t>herbivory; diet; niche breadth; polyphagy; connectivity; food web</t>
  </si>
  <si>
    <t>COMPLEX TROPHIC INTERACTIONS; FOOD-WEB THEORY; SPATIOTEMPORAL VARIATION; STABLE-ISOTOPES; GUILD STRUCTURE; KEYHOLE LIMPET; COMMUNITY; PREY; PERSPECTIVE; RECRUITMENT</t>
  </si>
  <si>
    <t>We assessed the ingestion of animal items by 29 herbivore species of the most common invertebrates on rocky intertidal shores of northern Chile (21 to 30 degrees S). Data were obtained from 4 communities sampled seasonally from winter 2004 to spring 2005. Gastric contents of 2671 individuals were categorized into 143 food items, 42.7% of them corresponding to animal prey. All herbivores were polyphagous generalists, showing a moderate to high dietary overlap and suggesting the potential for exploitation competition. Diet width and the proportion of animal items ingested per species were positively related with body mass, revealing a high potential for true omnivory among larger herbivores. Barnacles were the dominant prey item, followed by a suite of common intertidal animals, including herbivore species. The consumption of herbivores was defined as apparent intraguild (IG) predation, a framework that we used by analogy to describe pairwise interactions at a regional and community level. We recorded 29 IG predator-IG prey interactions, all of them asymmetrical (no reciprocal predation), and directed exclusively towards heterospecific IG prey, which in most cases were juvenile individuals that were taxonomically unrelated. All IG predators were large herbivore species, and they appeared to avoid consuming conspecifics. The high incidence of polyphagy and apparent IG predation may not be simply an epiphenomenon of grazing, nor a response to limited algal resources, and we discuss the nature of herbivores as consumers and the implications of potential omnivory for the connectedness, looping, and chain length of intertidal food webs.</t>
  </si>
  <si>
    <t>10.3354/meps07421</t>
  </si>
  <si>
    <t>Sprenger, M; Erhardt, M; Riedel, M; Weiler, M</t>
  </si>
  <si>
    <t>Historical tracking of nitrate in contrasting vineyards using water isotopes and nitrate depth profiles</t>
  </si>
  <si>
    <t>Soil hydrology; Isotope hydrology; Nitrate leaching; Groundwater protection; Viniculture</t>
  </si>
  <si>
    <t>PARAMETERS; FLOW</t>
  </si>
  <si>
    <t>The European Water Framework Directive (EWFD) aims to achieve a good chemical status for the groundwater bodies in Europe by the year 2015. Despite the effort to reduce the nitrate pollution from agriculture within the last two decades, there are still many groundwater aquifers that exceed nitrate concentrations above the EWFD threshold of 50 mg L-1. Viticulture is seen as a major contributor of nitrate leaching and sowing of a green cover was shown to have a positive effect on lowering the nitrate loads in the upper 90 cm of the soil. However, the consequences for nitrate leaching into the subsoil were not yet tested. We analyzed the nitrate concentrations and pore water stable isotope composition (delta H-2) to a depth of 380 cm in soil profiles under an old vineyard and a young vineyard with either soil tillage or permanent green cover in between the grapevines. The pore water delta H-2 data was used to calibrate a soil physical model, which was then used to infer the age of the soil water at different depths. This way, we could relate elevated nitrate concentrations below an old vineyard to tillage processes that took place during the winter two years before the sampling. We further showed that the elevated nitrate concentration in the subsoil of a young vineyard can be related to the soil tillage prior to the planting of the new vineyard. If the soil was kept bare due to tillage, a nitrate concentration of 200 kg NO3--N ha(-1) was found in 290-380 cm depth 2.5 years after the set-up of the vineyard. The amount of nitrate leaching was considerably reduced due to a seeded green cover between the grapevines that took up a high share of the mineralized nitrate reducing a potential contamination of the groundwater. (C) 2016 Elsevier B.V. All rights reserved.</t>
  </si>
  <si>
    <t>10.1016/j.agee.2016.02.014</t>
  </si>
  <si>
    <t>de la Vega, C; Jeffreys, RM; Tuerena, R; Ganeshram, R; Mahaffey, C</t>
  </si>
  <si>
    <t>Temporal and spatial trends in marine carbon isotopes in the Arctic Ocean and implications for food web studies</t>
  </si>
  <si>
    <t>base of the food web; dissolved inorganic carbon; isoscape; marine mammals; particulate organic matter; sea ice decline; Suess effect; delta C-13</t>
  </si>
  <si>
    <t>PARTICULATE ORGANIC-MATTER; BERING-SEA; FATTY-ACID; TROPHIC RELATIONSHIPS; STABLE CARBON; PRIMARY PRODUCTIVITY; COASTAL EROSION; MACKENZIE RIVER; CANADA BASIN; WATER</t>
  </si>
  <si>
    <t>The Arctic is undergoing unprecedented environmental change. Rapid warming, decline in sea ice extent, increase in riverine input, ocean acidification and changes in primary productivity are creating a crucible for multiple concurrent environmental stressors, with unknown consequences for the entire arctic ecosystem. Here, we synthesized 30 years of data on the stable carbon isotope (delta C-13) signatures in dissolved inorganic carbon (delta C-13-DIC; 1977-2014), marine and riverine particulate organic carbon (delta C-13-POC; 1986-2013) and tissues of marine mammals in the Arctic. delta C-13 values in consumers can change as a result of environmentally driven variation in the delta C-13 values at the base of the food web or alteration in the trophic structure, thus providing a method to assess the sensitivity of food webs to environmental change. Our synthesis reveals a spatially heterogeneous and temporally evolving delta C-13 baseline, with spatial gradients in the delta C-13-POC values between arctic shelves and arctic basins likely driven by differences in productivity and riverine and coastal influence. We report a decline in delta C-13-DIC values (-0.011 parts per thousand per year) in the Arctic, reflecting increasing anthropogenic carbon dioxide (CO2) in the Arctic Ocean (i.e. Suess effect), which is larger than predicted. The larger decline in delta C-13-POC values and delta C-13 in arctic marine mammals reflects the anthropogenic CO2 signal as well as the influence of a changing arctic environment. Combining the influence of changing sea ice conditions and isotopic fractionation by phytoplankton, we explain the decadal decline in delta C-13-POC values in the Arctic Ocean and partially explain the delta C-13 values in marine mammals with consideration of time-varying integration of delta C-13 values. The response of the arctic ecosystem to ongoing environmental change is stronger than we would predict theoretically, which has tremendous implications for the study of food webs in the rapidly changing Arctic Ocean.</t>
  </si>
  <si>
    <t>10.1111/gcb.14832</t>
  </si>
  <si>
    <t>Yi, XF; Yang, YQ; Zhang, X</t>
  </si>
  <si>
    <t>Modeling trophic positions of the alpine meadow ecosystem combining stable carbon and nitrogen isotope ratios</t>
  </si>
  <si>
    <t>stable carbon and nitrogen isotopes; alpha and vector model; trophic relationships; Alpine meadow ecosystem; Tibetan Plateau</t>
  </si>
  <si>
    <t>SEASONAL-CHANGES; MARINE; DIETS; C-13</t>
  </si>
  <si>
    <t>Stable carbon and nitrogen isotope ratios of single tissues or whole bodies were analyzed to establish trophic positions of main consumers living at the alpine meadow ecosystem in the Tibetan Plateau. The results demonstrated that delta C-13 and delta N-15 values of vertebrates showed great variations and ranged from -26.83 to -22.51 parts per thousand and from 2.33 to 8.44 parts per thousand, respectively. Plateau pika, root vole, plateau hare, infants of rodents and hatchlings of passerine bird species had the lowest delta C-13 and delta N-15 values. delta C-13 and delta N-15 values of omnivorous and insectivorous birds and amphibians showed intermediate. Carnivorous species, steppe polecat and Upland buzzard, and omnivorous Robin accentor and White wagtail possessed extremely higher VC and delta N-15 values. Omnivorous birds captured in earlier year had significantly less negative delta C-13 and greater delta N-15 values than those captured later. Based on steady angular enrichment between trophic levels, an alpha and vector model combing delta C-13 and delta N-15 values was introduced to reveal trophic positions, the results indicated that Tibetan sheep, Tibetan yak, plateau pika, root vole, plateau hare, infants of small rodents showed the lowest trophic positions (TP 1.81-2.38). While omnivorous and insectivorous birds, their hatchlings and amphibians showed intermediate trophic positions (TP 2.06-2.89), carnivorous species steppe polecat and Upland buzzard, migrant birds possessed extremely higher trophic positions (TP 2.89-3.05). The isotopic investigation of organisms and the introduced alpha and vector model successfully demonstrated the same trophic positions and diet prediction of consumers as nitrogen enrichment model at the alpine meadow ecosystem. Besides of this information, the alpha and vector model can also be incorporated into multiple isotope signatures to infer trophic relationships. This angular enrichment model has the potential to address basic ecological questions, such as trophic structure, trophic dynamics, and energy flow in other terrestrial ecosystems of properly handled. (C) 2005 Elsevier B.V. All rights reserved.</t>
  </si>
  <si>
    <t>10.1016/j.ecolmodel.2005.08.006</t>
  </si>
  <si>
    <t>Finlay, JC; Sterner, RW; Kumar, S</t>
  </si>
  <si>
    <t>Isotopic evidence for in-lake production of accumulating nitrate in lake superior</t>
  </si>
  <si>
    <t>atmospheric deposition; eutrophication; lakes; nitrate stable isotopes; nitrification; nitrogen saturation</t>
  </si>
  <si>
    <t>LONG-TERM CHANGES; WATER CHEMISTRY; NITROGEN-RETENTION; CENTRAL ONTARIO; OXYGEN; FRACTIONATION; DELTA-O-18; DELTA-N-15; TRENDS; CANADA</t>
  </si>
  <si>
    <t>A century-long increase in nitrate (NO3-) in the water column of Lake Superior is a classic example of recent nitrogen accumulation in ecosystems, but its cause and relationship to historical NO3- deposition is unknown. We used stable isotope ratios of oxygen and nitrogen in nitrate (delta O-18-NO3 and delta N-15-NO3) to examine its sources in this large lake, which represents 10% of the world's surficial liquid freshwater. The most parsimonious hypothesis to explain the rise in NO3- is that the lake is accruing NO3- deposited directly on the lake surface because it is too unproductive to completely assimilate all of it. Data for delta O-18-NO3 in external sources and the water column, however, are inconsistent with this hypothesis. Instead, the isotopic evidence indicates strongly that the accumulating NO3- is almost entirely derived from nitrification occurring within the lake. While increases in atmospheric deposition of NO3- may have played a role in its buildup in the lake, other factors such as increases in NH4+ and dissolved organic nitrogen inputs from precipitation or rivers, increases in nitrogen fluxes from the sediments, and decreases in burial rates must also be considered as potential drivers of rising NO3-. The sustained accumulation of nitrogen in Lake Superior is thus more complex and incompletely understood than previously assumed.</t>
  </si>
  <si>
    <t>10.1890/07-0245.1</t>
  </si>
  <si>
    <t>Shiralipour, A; McConnell, DB; Smith, WH</t>
  </si>
  <si>
    <t>Phytotoxic effects of a short-chain fatty acid on seed germination and root length of Cucumis sativus cv. 'poinset'</t>
  </si>
  <si>
    <t>COMPOST SCIENCE &amp; UTILIZATION</t>
  </si>
  <si>
    <t>EXTRACTS</t>
  </si>
  <si>
    <t>Many studies indicate short-chain volatile fatty acids, especially acetic acid, are produced during the composting process of organic material. If a compost has not gone through a curing process and matured, its application can result in delay, inhibition or suppression of seed germination and plant growth. The mechanism of these phytotoxic effects has not been well investigated. Some studies have attributed phytotoxic effects to high ionic strength or pH imbalance. Our investigation indicated the inhibitory effect of acetic acid on seed germination and root elongation gave results suggesting a metabolic phenomenon. Further research on specific action of this acid is recommended.</t>
  </si>
  <si>
    <t>Nitzsche, KN; Verch, G; Premke, K; Gessler, A; Kayler, ZE</t>
  </si>
  <si>
    <t>Visualizing land-use and management complexity within biogeochemical cycles of an agricultural landscape</t>
  </si>
  <si>
    <t>agricultural landscape; isoscape; land management; land-use change and impacts; spatial visualization; stable isotopes</t>
  </si>
  <si>
    <t>WATER-USE EFFICIENCY; SOIL ORGANIC-CARBON; ISOTOPIC COMPOSITION; NATURAL-ABUNDANCE; PLANT CARBON; NITROGEN; N-15; ECOSYSTEMS; CROPS; FOOD</t>
  </si>
  <si>
    <t>Crop fields are cultivated across continuities of soil, topography, and local climate that drive biological processes and nutrient cycling at the landscape scale; yet land management and agricultural research are often performed at the field scale, potentially neglecting the context of the surrounding landscape. Adding to this complexity is the overlap of ecosystems and their biogeochemical legacies, as a patchwork of crops fields, natural grasslands, and forests develops across the landscape. Furthermore, as new technologies and policies are introduced, management practices change, including fertilization strategies, which further alter biological productivity and nutrient cycling. All of these environmental, biological, and historical legacies are potentially recorded in the isotopic signal of plant, soil, and sediment organic matter across the landscape. We mapped over 1500 plant, soil, and sediment isotopic values and generated an isotopic landscape (isoscape) over a 40-km(2) agricultural site in NE Germany. We observed distinct patterns in the isotopic composition of organic matter sampled from the landscape that clearly reflect the landscape complexity. C-3 crop intrinsic water-use efficiency reflected a precipitation gradient, while native forest and grassland plant species did not, suggesting that native plants are more adapted to predominant climatic conditions. delta C-13(soil) patterns reflected both the long-term input of plant organic matter, which was affected by the local climate conditions, and the repeated cultivation of corn. Soil organic matter N-15 isotopic values also revealed spatial differences in fertilization regimes. Forest fragments, in which the nitrogen cycle was relatively open, were more water-use efficient. Sediments from small water bodies received substantial inputs from surrounding field vegetation but were also affected by seasonal drying. These isotopic maps can be used to visualize large spatial heterogeneity and complexity, and they are a powerful means to interpret past and current trends in agricultural landscapes.</t>
  </si>
  <si>
    <t>e01282</t>
  </si>
  <si>
    <t>10.1002/ecs2.1282</t>
  </si>
  <si>
    <t>Bowling, DR; Tans, PP; Monson, RK</t>
  </si>
  <si>
    <t>Partitioning net ecosystem carbon exchange with isotopic fluxes of CO2</t>
  </si>
  <si>
    <t>canopy conductance; carbon dioxide; eddy covariance; forest micrometeorology; net ecosystem exchange; stable isotopes</t>
  </si>
  <si>
    <t>WATER-VAPOR EXCHANGE; BOREAL FOREST; DECIDUOUS FOREST; ATMOSPHERIC CO2; RESPIRED CO2; SOIL RESPIRATION; TEMPERATE FOREST; DARK RESPIRATION; DIOXIDE EXCHANGE; EDDY COVARIANCE</t>
  </si>
  <si>
    <t>Because biological and physical processes alter the stable isotopic composition of atmospheric CO2, variations in isotopic content can be used to investigate those processes. Isotopic flux measurements of (CO2)-C-13 above terrestrial ecosystems can potentially be used to separate net ecosystenm CO2 exchange (NEE) into its component fluxes, net photosynthetic assimilation (F-A) and ecosystem respiration (F-R) In this paper theory is developed to partition measured NEE into F-A and F-R, using measurements of fluxes of CO2 and (CO2)-C-13, and isotopic composition of respired CO2 and forest air. The theory is then applied to fluxes measured (or estimated, for (CO2)-C-13) in a temperate deciduous forest in eastern Tennessee (Walker Branch Watershed). It appears that there is indeed enough additional information in (CO2)-C-13 fluxes to partition NEE into its photosynthetic and respiratory components. Diurnal patterns in F-A and F-R were obtained, which are consistent in magnitude and shape with patterns obtained from NEE measurements and an exponential regression between night-time NEE and temperature (a standard technique which provides alternate estimates of F-R and F-A) The light response curve for photosynthesis (F-A VS. PAR) was weakly nonlinear, indicating potential for saturation at high light intensities. Assimilation-weighted discrimination against (CO2)-C-13 for this forest during July 1999 was 16.8-17.1 parts per thousand, depending on canopy conductance. The greatest uncertainties in this approach lie in the evaluation of canopy conductance and its effect on whole-canopy photosynthetic discrimination, and thus the indirect methods used to estimate isotopic fluxes. Direct eddy covariance measurements of (CO2)-C-13 flux are needed to assess the validity of the assumptions used and provide defensible isotope-based estimates of the component fluxes of net ecosystem exchange.</t>
  </si>
  <si>
    <t>10.1046/j.1365-2486.2001.00400.x</t>
  </si>
  <si>
    <t>Montana, CG; Ou, C; Keppeler, FW; Winemiller, KO</t>
  </si>
  <si>
    <t>Functional and trophic diversity of fishes in the Mekong-3S river system: comparison of morphological and isotopic patterns</t>
  </si>
  <si>
    <t>Cambodia; Fish assemblage; Functional trait; Isotopic niche; Stable isotope analysis</t>
  </si>
  <si>
    <t>DAMS; ASSEMBLAGES; BIODIVERSITY; COMMUNITIES; IMPACTS; HYDROPOWER; SECURITY; DYNAMICS; POSITION; FORM</t>
  </si>
  <si>
    <t>The Lower Mekong River and its three major tributaries, the Sekong, Sesan, and Srepok rivers, are systems with high aquatic biodiversity that now face impacts from new hydroelectric dams. Despite the ecological, economic, and cultural importance of the freshwater biota, knowledge about aquatic ecology in this region remains poor. We used morphological and stable isotope data to explore how fish functional and trophic diversity vary between the four rivers that comprise the Mekong-3S river system. During our field surveys, the Sesan had experienced greatest flow alteration from dams and had lowest taxonomic and functional diversity, with species less packed and less evenly dispersed within morphological space compared to the other rivers. The Sekong had greatest functional diversity, with species less packed in morphological space. Species in the Mekong and Srepok were more evenly distributed in morphological space and had intermediate levels of functional diversity. Isotopic niche diversity in the Sesan did not appear to be significantly different from the Srepok and Sekong rivers. Conversely, the more species-rich Mekong fish assemblage encompassed a greater isotopic space with species less packed and evenly distributed. Greater trophic redundancy was observed amongst fishes of the 3S rivers than the Mekong. Species functional redundancy could buffer river food webs against species loss caused by dams; however, additional traits and niche dimensions should be evaluated to test this hypothesis. Overall, morphological and isotopic evidence from the Mekong and 3S rivers indicate that river impoundment and flow regulation function as an environmental filter that reduces fish functional diversity.</t>
  </si>
  <si>
    <t>10.1007/s10641-020-00947-y</t>
  </si>
  <si>
    <t>Chanam, J; Sheshshayee, MS; Kasinathan, S; Jagdeesh, A; Joshi, KA; Borges, RM</t>
  </si>
  <si>
    <t>Nutritional benefits from domatia inhabitants in an ant-plant interaction: interlopers do pay the rent</t>
  </si>
  <si>
    <t>arboreal earthworm; myrmecophyte; myrmecotrophy; nutritional ecology; stable isotopes; trophic interaction</t>
  </si>
  <si>
    <t>STABLE-ISOTOPES; EVOLUTIONARY ECOLOGY; HOST-PLANT; NITROGEN; DIVERSITY; MUTUALISM; CONSEQUENCES; ABSORPTION; LIMITATION; TRAITS</t>
  </si>
  <si>
    <t>1. How a symbiosis originates and is maintained are important evolutionary questions. Symbioses in myrmecophytes (plants providing nesting for ants) are believed to be maintained by protection and nutrients provided by specialist plant-ants in exchange for nesting spaces (called domatia) and nourishment offered by ant-plants. However, besides the benefits accrued from housing protective ants, the mechanisms contributing to the fitness advantages of bearing domatia have rarely been examined, especially because the domatia trait is usually constitutively expressed, and many myrmecophytes have obligate mutualisms with single ant species resulting in invariant conditions. 2. In the unspecialized ant-plant Humboldtia brunonis (Fabaceae) that offers extrafloral nectar to ants, only some plants produce domatia in the form of hollow internodes. These domatia have a self-opening slit making them more prone to interlopers and are occupied mostly by non-protective ants and other invertebrates, especially arboreal earthworms. The protection mutualism with ants is restricted in geographical extent, occurring only at a few sites in the southernmost part of this plant's range in the Western Ghats of India. 3. We examined nutrient flux from domatia residents to the plant using stable isotopes. We found that between 9% (earthworms) and 17% (protective or non-protective ants) of nitrogen of plant tissues nearest the domatium came from domatia inhabitants. Therefore, interlopers such as earthworms and non-protective ants contributed positively to the nitrogen budget of localized plant modules of this understorey tree. N-15-enriched feeding experiments with protective ants demonstrated that nutrients flowed from domatia inhabitants to nearby plant modules. Fruit set did not differ between paired hand-pollinated inflorescences on domatia and non-domatia bearing branches. This was possibly due to the nutrient flux from domatia to adjacent branches without domatia within localized modules. 4. This study has demonstrated the nutritive role of non-protective ants and non-ant invertebrates, hitherto referred to as interlopers, in an unspecialized myrmecophyte. Our study suggests that even before the establishment of a specialized ant-plant protection mutualism, nutritional benefits conferred by domatia inhabitants can explain the fitness benefits of bearing domatia, and thus the maintenance of a trait that facilitates the establishment of a specialized ant-plant symbiosis.</t>
  </si>
  <si>
    <t>10.1111/1365-2435.12251</t>
  </si>
  <si>
    <t>Ellsworth, PZ; Sternberg, LSL</t>
  </si>
  <si>
    <t>Seasonal water use by deciduous and evergreen woody species in a scrub community is based on water availability and root distribution</t>
  </si>
  <si>
    <t>stable isotopes; dry seasonal plant community; Florida sandhill; deciduous; evergreen; water source use; rooting depth</t>
  </si>
  <si>
    <t>LAKE WALES RIDGE; TROPICAL TREE; ORGANIC-MATTER; SOIL-MOISTURE; FLORIDA; VEGETATION; PHENOLOGY; DROUGHT; FOREST; MORPHOLOGY</t>
  </si>
  <si>
    <t>In a seasonally dry plant community of central Florida, USA, that experiences water limitation in the dry season and high water availability in the wet season, we first tested whether evergreen woody species shift from shallow water in the wet season to deep water in the dry season. Second, we tested whether deciduous woody species restrict water uptake to the shallow soil during the wet season and cease water uptake during the dry season. To address these questions, we measured water source use of two deciduous and three evergreen species over 13months using stable isotopes. As hypothesized in previous studies, we showed that leaflessness in deciduous plants is an important source of stem water isotopic fractionation. Therefore, we compared stable isotope ratios of stem water only when deciduous species had leaves and found that all species, except the evergreen Lyonia ferruginea, used proportionally the same water sources. Early dry season water use was based on water availability for all species except L. ferruginea, and deep soil (50-150cm) was the most important water source. During the late dry and wet seasons, water uptake from each soil layer was based on its respective proportion of fine roots. Nevertheless, deep water remained an important water source throughout the year. This study clearly demonstrates the limitations of using stable isotopes of stem water when comparing deciduous versus evergreen species. Further, this study is the first to directly quantify depth of water uptake via isotope analysis and couple these findings with root distribution. Copyright (c) 2014 John Wiley &amp; Sons, Ltd.</t>
  </si>
  <si>
    <t>10.1002/eco.1523</t>
  </si>
  <si>
    <t>Lau, DCP; Sundh, I; Vrede, T; Pickova, J; Goedkoop, W</t>
  </si>
  <si>
    <t>Autochthonous resources are the main driver of consumer production in dystrophic boreal lakes</t>
  </si>
  <si>
    <t>algae; aquatic food webs; fatty acids; fish; invertebrates; IsoSource; SIAR; stable isotopes; trophic transfer</t>
  </si>
  <si>
    <t>FATTY-ACIDS; STABLE-ISOTOPES; FOOD WEBS; TERRESTRIAL SUPPORT; CULTURAL EUTROPHICATION; BENTHIC INVERTEBRATES; PRIMARY PRODUCERS; BIOGENIC METHANE; CARBON; ZOOPLANKTON</t>
  </si>
  <si>
    <t>Dystrophic lakes are widespread in temperate regions and intimately interact with surrounding terrestrial ecosystems in energy and nutrient dynamics, yet the relative importance of autochthonous and allochthonous resources to consumer production in dystrophic lakes remains controversial. We argue that allochthonous organic matter quantitatively dominates over photosynthetic autotrophs in dystrophic lakes, but that autotrophs are higher in diet quality and more important for consumers as they contain essential polyunsaturated fatty acids (PUFA). In a field study, we tested the hypotheses that (1) autochthonous primary production is the main driver for consumer production, despite being limited by light availability and low nutrient supplies, and greater supply of allochthonous carbon, (2) the relative contribution of autotrophs to consumers is directly related to their tissue PUFA concentrations, and (3) methane-oxidizing bacteria (MOB) provide an energy alternative for consumers. Pelagic and benthic consumer taxa representing different trophic levels were sampled from five dystrophic lakes: isopod Asellus aquaticus, megalopteran Sialis lutaria, dipteran Chaoborus flavicans, and perch Perca fluviatilis. Based on carbon and nitrogen stable isotopes, the relative contributions of autochthonous (biofilms and seston) and allochthonous (coarse particulate and dissolved organic matter) resources and MOB to these taxa were 47-79%, 9-44% and 7-12% respectively. Results from fatty acid (FA) analyses show that the relative omega 3-FA and PUFA concentrations increased with trophic level (Asellus &lt; Sialis and Chaoborus &lt; Perca). Also, eicosapentaenoic-acid (EPA), omega 3-FA and PUFA concentrations increased with the autochthonous contribution in consumers, i.e., a 47-79% biofilm and/or seston diet resulted in tissue EPA of 4.2-18.4, omega 3 FAs of 11.6-37.0 and PUFA of 21.6-61.0 mg/g dry mass. The results indicate that consumers in dystrophic lakes predominantly rely on energy from autotrophs and that their PUFA concentrations are dependent on the relative contribution of these autochthonous resources. The limited energy support from MOB suggests they are not negligible and are potentially an integral part of the food webs. Our findings show that autochthonous resources are the main driver of secondary production even in dystrophic lakes and offer new insights into the functioning of these ecosystems.</t>
  </si>
  <si>
    <t>10.1890/13-1141.1</t>
  </si>
  <si>
    <t>Brantley, ST; Young, DR</t>
  </si>
  <si>
    <t>Shifts in litterfall and dominant nitrogen sources after expansion of shrub thickets</t>
  </si>
  <si>
    <t>barrier islands; stable isotopes; woody encroachment</t>
  </si>
  <si>
    <t>COASTAL BARRIER-ISLAND; MYRICA-CERIFERA; BIOLOGICAL INVASION; FIXATION; ECOSYSTEM; VIRGINIA; CARBON; ENCROACHMENT; DYNAMICS; BIOMASS</t>
  </si>
  <si>
    <t>Woody encroachment into herbaceous ecosystems is emerging as an important ecological response to global change. A primary concern is alterations in C and N cycling and associated variations across a variety of ecosystems. We quantified seasonal variation in litterfall and litter N concentration in Morella cerifera shrub thickets to assess changes in litterfall and associated N input after shrub expansion on an Atlantic coast barrier island. We also used the natural abundance of N-15 to estimate the proportion of litterfall N originating from symbiotic N fixation. Litterfall for shrub thickets ranged from 8,991 +/- 247 to 3,810 +/- 399 kg ha(-1) year(-1) and generally declined with increasing thicket age. Litterfall in three of the four thickets exceeded previous estimates of aboveground annual net primary production in adjacent grasslands by 300-400%. Leaf N concentration was also higher after shrub expansion and, coupled with low N resorption efficiency and high litterfall, resulted in a return of as much as 169 kg N ha(-1) year(-1) to the soil. We estimated that similar to 70% of N returned to the soil was from symbiotic N fixation resulting in an ecosystem input of between 37 and 118 kg ha(-1) year(-1) of atmospheric N depending on site. Considering the extensive cover of shrub thickets on Virginia barrier islands, N fixation by shrubs is likely the largest single source of N to the system. The shift from grassland to shrub thicket on barrier islands results in a substantial increase in litterfall and foliar N concentration that will likely have a major impact on the size and cycling of ecosystem C and N pools. Increasing C and N availability in these nutrient-poor soils is likely to permanently reduce cover of native grasses and alter community structure by favoring species with greater N requirements.</t>
  </si>
  <si>
    <t>10.1007/s00442-007-0916-7</t>
  </si>
  <si>
    <t>Hunt, HW; Wall, DH</t>
  </si>
  <si>
    <t>Modelling the effects of loss of soil biodiversity on ecosystem function</t>
  </si>
  <si>
    <t>ecosystem function; elevated atmospheric CO2; functional groups; grassland; redundant groups; simulation model; soil food web</t>
  </si>
  <si>
    <t>PASCOPYRUM-SMITHII; FOOD-WEB; NITROGEN LIMITATION; BOUTELOUA-GRACILIS; MICROBIAL BIOMASS; SIMULATION-MODEL; CARBON-DIOXIDE; CLIMATE-CHANGE; ELEVATED CO2; GROWTH</t>
  </si>
  <si>
    <t>There are concerns about whether accelerating worldwide loss of biodiversity will adversely affect ecosystem functioning and services such as forage production. Theoretically, the loss of some species or functional groups might be compensated for by changes in abundance of other species or functional groups such that ecosystem processes are unaffected. A simulation model was constructed for carbon and nitrogen transfers among plants and functional groups of microbes and soil fauna. The model was based on extensive information from shortgrass prairie, and employed stabilizing features such as prey refuges and predator switching in the trophic equations. Model parameters were derived either from the literature or were estimated to achieve a good fit between model predictions and data. The model correctly represented M the major effects of elevated atmospheric CO2 and plant species on root and shoot biomass, residue pools, microbial biomass and soil inorganic nitrogen, and (ii) the effects on plant growth of manipulating the composition of the microbial and faunal community. The model was evaluated by comparing predictions to data not used in model development. The 15 functional groups of microbes and soil fauna were deleted one at a time and the model was run to steady state. Only six of the 15 deletions led to as much as a 15% change in abundance of a remaining group, and only two deletions (bacteria and saprophytic fungi) led to extinctions of other groups. Functional groups with greater effect on abundance of other groups were those with greater biomass or greater number of consumers, regardless of trophic position. Of the six deletions affecting the abundance of other groups, only three (bacteria, saprophytic fungi, and root-feeding nematodes) caused as much as 10% changes in indices of ecosystem function (nitrogen mineralization and primary production). While the soil fauna as a whole were important for maintenance of plant production, no single faunal group had a significant effect. These results suggest that ecosystems could sustain the loss of some functional groups with little decline in ecosystem services, because of compensatory changes in the abundance of surviving groups. However, this prediction probably depends on the nature of stabilizing mechanisms in the system, and these mechanisms are not fully understood.</t>
  </si>
  <si>
    <t>10.1046/j.1365-2486.2002.00425.x</t>
  </si>
  <si>
    <t>Zenteno, L; Borella, F; Otero, JG; Piana, E; Belardi, JB; Borrero, LA; Saporiti, F; Cardona, L; Crespo, E</t>
  </si>
  <si>
    <t>Shifting niches of marine predators due to human exploitation: the diet of the South American sea lion (Otaria flavescens) since the late Holocene as a case study</t>
  </si>
  <si>
    <t>SAN MATIAS GULF; NITROGEN ISOTOPIC FRACTIONATION; STABLE-ISOTOPES; FORAGING STRATEGIES; RIO NEGRO; PATAGONIA; POPULATION; NORTHERN; CALIFORNIA; ECOLOGY</t>
  </si>
  <si>
    <t>Stable isotope ratios of carbon and nitrogen in archaeological and modern bone samples have been used to reconstruct the dietary changes of the South American sea lion Otaria flavescens from the late Holocene to the present in the southwestern Atlantic. We sampled bones from archaeological sites in northern-central and southern Patagonia, Argentina, and bones housed in modern scientific collections. Additionally, we analyzed the stable isotope ratios in ancient and modern shells of intertidal molluscs to explore changes in the isotope baseline and allow comparison between bone samples from different periods after correction for baseline shifts. Results confirmed the trophic plasticity of the South American sea lion, demonstrated the much larger impact of modern exploitation of marine resources as compared with that of hunter-gatherers, and underscored the dissimilarity between the past and modern niches of exploited species. These conclusions are supported by the rather stable diet of South American sea lions during several millennia of aboriginal exploitation, in both northern-central and southern Patagonia, and the dramatic increase in trophic level observed during the twentieth century. The recent increase in trophic level might be related to the smaller population size resulting from modern sealing and the resulting reduced intraspecific competition. These results demonstrate how much can be learned about the ecology of modern species thanks to retrospective studies beyond the current, anthropogenically modified setting where ecosystem structure is totally different from that in the pristine environments where current species evolved.</t>
  </si>
  <si>
    <t>10.1017/pab.2015.9</t>
  </si>
  <si>
    <t>Godbout, L; Trudel, M; Irvine, JR; Wood, CC; Grove, MJ; Schmitt, AK; McKeegan, KD</t>
  </si>
  <si>
    <t>Sulfur isotopes in otoliths allow discrimination of anadromous and non-anadromous ecotypes of sockeye salmon (Oncorhynchus nerka)</t>
  </si>
  <si>
    <t>Oncorhynchus nerka; Ecotypes; Sockeye salmon; Kokanee; Otolith microchemistry; delta(34)S</t>
  </si>
  <si>
    <t>MACKENZIE RIVER-BASIN; STABLE-ISOTOPES; LIFE-HISTORY; PACIFIC SALMON; NORTHERN GULF; FRESH-WATER; RATIOS; CARBON; TROUT; MICROCHEMISTRY</t>
  </si>
  <si>
    <t>Oncorhynchus nerka occur both as anadromous sockeye salmon that spend most of their life in the ocean, and as non-anadromous kokanee salmon that remain in fresh water their entire lives. We assessed whether stable isotopes of sulfur (delta(34)S) in otoliths could be used to distinguish sockeye salmon and kokanee ecotypes that are otherwise difficult to identify when they share a common freshwater rearing environment. We also investigated the chemical link between salmon and their diet by measuring delta(34)S in various fish tissues (eggs, muscle, scales) and zoo-plankton. delta(34)S (mean +/- SE) in sockeye salmon eggs (1 8.7 +/- 0.4%o) and marine zooplanlcton (20.5 +/- 0.1 parts per thousand) were enriched by 10-14 parts per thousand compared with kokanee eggs and freshwater zooplankton. delta(34)S in the otolith cores of sockeye salmon (19.2 +/- 0.7 parts per thousand) and kokanee salmon (5.3 +/- 1.1 parts per thousand) were similar to delta(34)S in marine and freshwater zooplankton, respectively, indicating that the core is derived from maternal yolk tissue and reflects the maternal diet. delta(34)S in the freshwater growth zone of otoliths did not differ significantly between sockeye (5.9 +/- 1.1 parts per thousand) and kokanee salmon (4.4 +/- 1.2 parts per thousand), and was similar to freshwater zooplankton. The mean difference between delta(34)S in the otolith core and first year of growth was 13.3 +/- 1.4 parts per thousand for sockeye and 0.65 +/- 1.3 parts per thousand for kokanee salmon. A quadratic discriminant function developed from measurements of delta(34)S in otoliths of known maternal origin provided perfect classification rates in cross-validation tests. Thus, sulfur isotope ratios in otoliths are effective in discriminating between anadromous and non-anadromous ecotypes of O. nerka.</t>
  </si>
  <si>
    <t>10.1007/s10641-010-9689-7</t>
  </si>
  <si>
    <t>Zeng, CS; Abello, P; Naylor, E</t>
  </si>
  <si>
    <t>Endogenous tidal and semilunar moulting rhythms in early juvenile shore crabs Carcinus maenas: implications for adaptation to a high intertidal habitat</t>
  </si>
  <si>
    <t>tidal and semilunar moulting rhythms endogenous; Carcinus maenas early juvenile; high intertidal habitat; adaptation</t>
  </si>
  <si>
    <t>VERTICAL MIGRATION RHYTHMS; LOCOMOTOR-ACTIVITY; MOLT CYCLE; GREEN CRAB; CRUSTACEANS; MEGALOPAE; BEHAVIOR; CALCIUM; REPRODUCTION; ENTRAINMENT</t>
  </si>
  <si>
    <t>Newly recruited early juveniles of the shore crab Carcinus maenas in North Wales are most abundant on the high intertidal of gravelly shores and, unlike adults, they do not undertake up-and-down shore migration with tides. Freshly collected first and second instar juvenile crabs showed persistent circatidal rhythms of moulting when maintained in constant laboratory conditions. Peaks of moulting occurred around expected times of high tides, with few crabs moulting at other times. The circatidal moulting patterns were similar in crabs collected at different stages of the neap-spring cycle. Daily monitoring of moulting in the laboratory of 23 batches of early crabs, collected from the high intertidal at 1 to 3 d intervals over 2 spring-neap cycles, further showed a marked circasemilunar moulting pattern superimposed on the tidal moulting rhythms. Significantly more crabs moulted within 24 h after collection when collected during spring tides than when collected at neaps. Moreover, the daily percentage moulting of the crabs on consecutive days after collection clearly followed the trend of predicted tidal height changes. Crabs collected on days of increasing tidal amplitude showed increasing moulting rates on the days after collection, whilst a decreasing trend of daily moulting rate was found if they were collected on days of decreasing tidal amplitude. For crabs collected at minimum neaps, when water did not reach the high intertidal even at high tides, virtually no moulting took place on the following days. Moulting at high tide, particularly during spring high tides, appears to be an adaptation to a high intertidal habitat which is only inundated at certain times during semilunar and tidal cycles. For C. maenas early juveniles, which remain in the high intertidal even when tides recede, anticipation of the rising and falling of tides through endogenous physiological programming to avoid ecdysis at the time exposed to air has clear adaptive value. The coupling of circatidal and circasemilunar moulting rhythms, and their endogenous control, reported in the present study appears to be the first demonstration of such a phenomenon in a crustacean.</t>
  </si>
  <si>
    <t>10.3354/meps191257</t>
  </si>
  <si>
    <t>Stasko, AD; Swanson, H; Majewski, A; Atchison, S; Reist, J; Power, M</t>
  </si>
  <si>
    <t>Influences of depth and pelagic subsidies on the size-based trophic structure of Beaufort Sea fish communities</t>
  </si>
  <si>
    <t>Benthic-pelagic coupling; Biomass; Size distribution; Demersal fishes; Arctic marine ecology; Pelagic subsidies</t>
  </si>
  <si>
    <t>FOOD-WEB STRUCTURE; BODY-SIZE; MARINE FISH; CARBON; BIOMASS; ABUNDANCE; ECOLOGY; EXTRACTION; DELTA-N-15; ISOTOPES</t>
  </si>
  <si>
    <t>The quality and quantity of food reaching the seafloor is negatively related to water column depth. Lower food availability at depth may in turn affect trophic structure and result in depth-related patterns in biomass and body size (size spectra) in demersal fish communities. Here, we used demersal fishes collected from 4 habitat depths in the Beaufort Sea, spanning 18 to 1000 m, to investigate depth-related changes in the slopes of biomass size-spectra relationships and whether they are related to benthic resource use. Significant positive relationships between biomass-weighted trophic level (estimated from delta N-15) and log(2) body mass classes demonstrated strongly size-structured fish food webs at all habitat depths, with larger individuals occupying higher trophic levels. Total fish community biomass peaked between 350 and 500 m. The decline in biomass production beyond 500 m was greater for smaller size classes, resulting in significantly shallower (less negative) size-spectra slopes with increasing habitat depth. Large size classes in deep habitats were dominated by species known to obtain pelagic subsidies. Lower isotopic distinction between benthic and benthopelagic fish species, based on C-13 measurements, suggested lower dietary differentiation between feeding guilds in deeper habitats. We suggest pelagic subsidies allow high relative biomass production in larger size classes of fishes in deeper habitats, whereas decreasing availability of benthic resources limit biomass production in smaller size classes. Size spectra of demersal fish communities may provide an important indicator of structure in both pelagic and benthic Arctic environments, and be a useful parameter to include in longterm monitoring programs.</t>
  </si>
  <si>
    <t>10.3354/meps11709</t>
  </si>
  <si>
    <t>Zhang, Q; Shen, JQ; Sun, FH</t>
  </si>
  <si>
    <t>Spatiotemporal differentiation of coupling coordination degree between economic development and water environment and its influencing factors using GWR in China's province</t>
  </si>
  <si>
    <t>Economic development; Spatial autocorrelation; Driving factors; Water environment; Coupling coordination degree</t>
  </si>
  <si>
    <t>ECO-ENVIRONMENT; INTEGRATED APPROACH; CARRYING-CAPACITY; SOCIAL ECONOMY; URBANIZATION; MODEL; RIVER; RESOURCES; QUALITY; OPTIMIZATION</t>
  </si>
  <si>
    <t>Rapid economic growth and social development in China have led to serious water pollution problems and water resource shortages, limiting the sustainable and coordinated development that could support both the socio-economy and water environment (WE). However, the spatial heterogeneity and evolutionary characteristics of the coordination between economic development (ED) and WE have not been adequately explored in China's provinces. In this study, we use the spatial global (local) autocorrelation and geographically weighted regression (GWR) model to explore the relationship between ED and WE subsystems and its influencing factors in China's provinces from 2010 to 2019. The main results are as follows, (a) The coupling coordination degree (CCD) between the two subsystems in southern China is higher than that of northern China. Transitional development areas have gradually spread to the middle of China, and there has been an increase trend in the number of moderate and high coordination provinces. (b) The ED-led (WE lags behind ED) type is mainly concentrated in central and eastern China, and the WE-led (ED lags behind WE) type is concentrated in the northeastern and western regions. The areas with synchronous development are relatively small in number and are mainly concentrated in east coastal China. (c) There is an obvious spatial dependence of the coordination between ED and WE from the perspective of global correlation, but this dependence is weakened with increasing geographical distance. The local mode of agglomeration shows a trend towards the evolution of high-high clustering in the eastern region. (d) The GWR analysis indicates that the factors of population density, energy consumption, fixed investment, and research and development (R&amp;D) expenditure significantly influence the coordination between ED and WE. Fixed investment and R&amp;D expenditure are mainly positive driving factors, while the impacts of population density and energy consumption vary among different regions as time evolves. Changes in driving force in a region can extend spatial effects to adjacent regions through the spatial transmission mechanism. Finally, we close the paper by recommending the different policy implications according to the GWR results.</t>
  </si>
  <si>
    <t>10.1016/j.ecolmodel.2021.109794</t>
  </si>
  <si>
    <t>Tank, JL; Marti, E; Riis, T; von Schiller, D; Reisinger, AJ; Dodds, WK; Whiles, MR; Ashkenas, LR; Bowden, WB; Collins, SM; Crenshaw, CL; Crowl, TA; Griffiths, NA; Grimm, NB; Hamilton, SK; Johnson, SL; McDowell, WH; Norman, BM; Rosi, EJ; Simon, KS; Thomas, SA; Webster, JR</t>
  </si>
  <si>
    <t>Partitioning assimilatory nitrogen uptake in streams: an analysis of stable isotope tracer additions across continents</t>
  </si>
  <si>
    <t>ammonium; assimilation; N-15; nitrogen; riparian canopy cover; stable isotopes; storage; stream; uptake</t>
  </si>
  <si>
    <t>OXYGEN CHANGE TECHNIQUE; N UPTAKE; RIPARIAN VEGETATION; AMMONIUM UPTAKE; FOREST STREAM; MEDITERRANEAN STREAMS; NUTRIENT LIMITATION; ECOSYSTEM STRUCTURE; TEMPORAL VARIATION; LEAF BREAKDOWN</t>
  </si>
  <si>
    <t>Headwater streams remove, transform, and store inorganic nitrogen (N) delivered from surrounding watersheds, but excessive N inputs from human activity can saturate removal capacity. Most research has focused on quantifying N removal from the water column over short periods and in individual reaches, and these ecosystem-scale measurements suggest that assimilatory N uptake accounts for most N removal. However, cross-system comparisons addressing the relative role of particular biota responsible for incorporating inorganic N into biomass are lacking. Here we assess the importance of different primary uptake compartments on reach-scale ammonium (NH4+-N) uptake and storage across a wide range of streams varying in abundance of biota and local environmental factors. We analyzed data from 17 N-15-NH4+ tracer addition experiments globally, and found that assimilatory N uptake by autotrophic compartments (i.e., epilithic biofilm, filamentous algae, bryophytes/macrophytes) was higher but more variable than for heterotrophic microorganisms colonizing detrital organic matter (i.e., leaves, small wood, and fine particles). Autotrophic compartments played a disproportionate role in N uptake relative to their biomass, although uptake rates were similar when we rescaled heterotrophic assimilatory N uptake associated only with live microbial biomass. Assimilatory NH4+-N uptake, either estimated as removal from the water column or from the sum uptake of all individual compartments, was four times higher in open- than in closed-canopy streams. Using Bayesian Model Averaging, we found that canopy cover and gross primary production (GPP) controlled autotrophic assimilatory N uptake while ecosystem respiration (ER) was more important for the heterotrophic contribution. The ratio of autotrophic to heterotrophic N storage was positively correlated with metabolism (GPP:ER), which was also higher in open- than in closed-canopy streams. Our analysis shows riparian canopy cover influences the relative abundance of different biotic uptake compartments and thus GPP:ER. As such, the simple categorical variable of canopy cover explained differences in assimilatory N uptake among streams at the reach scale, as well as the relative roles of autotrophs and heterotrophs in N storage. Finally, this synthesis links cumulative N uptake by stream biota to reach-scale N demand and provides a mechanistic and predictive framework for estimating and modeling N cycling in other streams.</t>
  </si>
  <si>
    <t>10.1002/ecm.1280</t>
  </si>
  <si>
    <t>Galicia, MP; Thiemann, GW; Dyck, MG; Ferguson, SH; Higdon, JW</t>
  </si>
  <si>
    <t>Dietary habits of polar bears in Foxe Basin, Canada: possible evidence of a trophic regime shift mediated by a new top predator</t>
  </si>
  <si>
    <t>Bowhead whales (Balaena mysticetus); Canadian Arctic; climate change; feeding ecology; killer whales (Orcinus orca); marine food web; marine mammals; polar bear (Ursus maritimus); quantitative fatty acid signature analysis</t>
  </si>
  <si>
    <t>SOUTHERN BEAUFORT SEA; WHALES BALAENA-MYSTICETUS; ACID SIGNATURE ANALYSIS; WESTERN HUDSON-BAY; OPEN-WATER PERIOD; URSUS-MARITIMUS; BOWHEAD WHALES; MARINE MAMMALS; ORCINUS-ORCA; MULTIVARIATE-ANALYSIS</t>
  </si>
  <si>
    <t>Polar bear (Ursus maritimus) subpopulations in several areas with seasonal sea ice regimes have shown declines in body condition, reproductive rates, or abundance as a result of declining sea ice habitat. In the Foxe Basin region of Nunavut, Canada, the size of the polar bear subpopulation has remained largely stable over the past 20 years, despite concurrent declines in sea ice habitat. We used fatty acid analysis to examine polar bear feeding habits in Foxe Basin and thus potentially identify ecological factors contributing to population stability. Adipose tissue samples were collected from 103 polar bears harvested during 2010-2012. Polar bear diet composition varied spatially within the region with ringed seal (Pusa hispida) comprising the primary prey in northern and southern Foxe Basin, whereas polar bears in Hudson Strait consumed equal proportions of ringed seal and harp seal (Pagophilus groenlandicus). Walrus (Odobenus rosmarus) consumption was highest in northern Foxe Basin, a trend driven by the ability of adult male bears to capture large-bodied prey. Importantly, bow-head whale (Balaena mysticetus) contributed to polar bear diets in all areas and all age and sex classes. Bowhead carcasses resulting from killer whale (Orcinus orca) predation and subsistence harvest potentially provide an important supplementary food source for polar bears during the ice-free period. Our results suggest that the increasing abundance of killer whales and bowhead whales in the region could be indirectly contributing to improved polar bear foraging success despite declining sea ice habitat. However, this indirect interaction between top predators may be temporary if continued sea ice declines eventually severely limit on-ice feeding opportunities for polar bears.</t>
  </si>
  <si>
    <t>10.1002/ece3.2173</t>
  </si>
  <si>
    <t>Trueman, RJ; Gonzalez-Meler, MA</t>
  </si>
  <si>
    <t>Accelerated belowground C cycling in a managed agriforest ecosystem exposed to elevated carbon dioxide concentrations</t>
  </si>
  <si>
    <t>carbon; carbon sequestration; elevated CO2; Populus deltoides; priming effect; root C turnover; soil respiration; stable isotopes</t>
  </si>
  <si>
    <t>ATMOSPHERIC CO2 CONCENTRATION; FINE-ROOT PRODUCTION; SOIL ORGANIC-MATTER; TEMPERATE FOREST; EARTHWORM CASTS; ENRICHMENT; PLANT; SEQUESTRATION; DECOMPOSITION; RESPIRATION</t>
  </si>
  <si>
    <t>We investigated the effects of three elevated atmospheric CO2 levels on a Populus deltoides plantation at Biosphere 2 Laboratory in Oracle Arizona. Stable isotopes of carbon have been used as tracers to separate the carbon present before the CO2 treatments started (old C), from that fixed after CO2 treatments began (new C). Tree growth at elevated [CO2] increased inputs to soil organic matter (SOM) by increasing the production of fine roots and accelerating the rate of root C turnover. However, soil carbon content decreased as [CO2] in the atmosphere increased and inputs of new C were not found in SOM. Consequently, the rates of soil respiration increased by 141% and 176% in the 800 and 1200 mu L L-1 plantations, respectively, when compared with ambient [CO2] after 4 years of exposure. However, the increase in decomposition of old SOM (i.e. already present when CO2 treatments began) accounted for 72% and 69% of the increase in soil respiration seen under elevated [CO2]. This resulted in a net loss of soil C at a rate that was between 10 and 20 times faster at elevated [CO2] than at ambient conditions. The inability to retain new and old C in the soil may stem from the lack of stabilization of SOM, allowing for its rapid decomposition by soil heterotrophs.</t>
  </si>
  <si>
    <t>10.1111/j.1365-2486.2005.00984.x</t>
  </si>
  <si>
    <t>Boman, EM; Bervoets, T; de Graaf, M; Dewenter, J; Maitz, A; Zu Schlochtern, MPM; Stapel, J; Smaal, AC; Nagelkerke, LAJ</t>
  </si>
  <si>
    <t>Diet and growth of juvenile queen conch Lobatus gigas (Gastropoda: Strombidae) in native, mixed and invasive seagrass habitats</t>
  </si>
  <si>
    <t>Halophila stipulacea; Invasive species; Stable isotope; Mollusca; Caribbean</t>
  </si>
  <si>
    <t>HALOPHILA-STIPULACEA; POPULATION-STRUCTURE; NUTRIENT ENRICHMENT; STABLE-ISOTOPES; ABUNDANCE; WATER; FISH; MANAGEMENT; FISHERIES; BIOLOGY</t>
  </si>
  <si>
    <t>Juvenile queen conch are primarily associated with native seagrass such as Thalassia testudinum in large parts of their range in the Caribbean and the southern Gulf of Mexico. Here, a number of non-native seagrass species have been introduced including Halophila stipulacea, which is natural to the Red Sea and the Indo-Pacific. In the Caribbean, H. stipulacea often creates dense continuous mats with little or no sediment exposed, compared to native seagrass, which grows much less dense. We examined the diet and growth of juvenile conch in both native, mixed, and invasive seagrass beds using stable isotope analysis and an in situ growth enclosure experiment. Organic material in the sediment (i.e. benthic diatoms and particulate organic matter) was found to be the most important source of carbon and nitrogen for juvenile queen conch in all 3 habitats investigated, and there was a significantly higher probability of positive growth in the native seagrass compared to the invasive seagrass. Due to the importance of the organic material in the sediment as a source of nutrition for juvenile conch, limited access to the sediment in the invasive seagrass can potentially cause inadequate nutritional conditions to sustain high growth rates. Thus, it is likely that there is a negative effect on juvenile queen conch growth currently inhabiting invasive seagrass beds, compared to native seagrass beds, when other potential sources of nutrition are not available.</t>
  </si>
  <si>
    <t>10.3354/meps12990</t>
  </si>
  <si>
    <t>Tamburin, E; Kim, SL; Elorriaga-Verplancken, FR; Madigan, DJ; Hoyos-Padilla, M; Sanchez-Gonzalez, A; Hernandez-Herrera, A; Castillo-Geniz, JL; Godinez-Padilla, CJ; Galvan-Magana, F</t>
  </si>
  <si>
    <t>Isotopic niche and resource sharing among young sharks (Carcharodon carcharias and Isurus oxyrinchus) in Baja California, Mexico</t>
  </si>
  <si>
    <t>Juvenile sharks; Stable isotopes; Turnover rate estimation; Nursery; White shark; Mako shark</t>
  </si>
  <si>
    <t>SHORTFIN MAKO SHARK; BAHIA-SEBASTIAN-VIZCAINO; STABLE-ISOTOPES; NURSERY AREAS; WHITE SHARK; TRANSOCEANIC MIGRATION; EMBRYONIC-DEVELOPMENT; REPRODUCTIVE-BIOLOGY; DELTA-N-15 VALUES; ONTOGENIC SHIFTS</t>
  </si>
  <si>
    <t>White sharks Carcharodon carcharias and shortfin mako sharks Isurus oxyrinchus are globally distributed apex predators and keystone species. However, regional information regarding juvenile biology, such as habitat preferences and trophic ecology, is lacking. This study investigates habitat use and feeding ecology of juvenile shortfin mako and white sharks in an aggregation site with high catch of these species by artisanal fisheries in Sebastian Vizcaino Bay (SVB; Baja California, Mexico) using stable isotope analysis (SIA) of carbon (delta C-13) and nitrogen (delta N-15). During 2015 and 2016, we collected muscle samples from newborn, young of the year, and juvenile shortfin mako and white sharks from individuals with similar body size, as well as local prey, to develop a conceptual foraging framework based on SIA. We found a positive relationship between shortfin mako length and delta N-15 values, indicating ontogenetic changes in diet based on prey or locality. Bayesian isotopic mixing models (MixSIR) using prey from different regions in the North Eastern Pacific suggested diet shifts in shortfin makos from offshore, northern habitats to inshore habitats of southern Baja (e.g. SVB), while analysis of white sharks reflected use of inshore habitats of both southern California, northern Baja, and SVB. Our results suggest shared resource use between these shark species and potentially high consumption of prey from SVB and other similar coastal regions in southern Baja. This study characterizes high use of inshore regions for juvenile shortfin mako and white sharks, which has important implications for management and conservation practices.</t>
  </si>
  <si>
    <t>10.3354/meps12884</t>
  </si>
  <si>
    <t>Wright, AN; Yang, LH; Piovia-Scott, J; Spiller, DA; Schoener, TW</t>
  </si>
  <si>
    <t>Consumer Responses to Experimental Pulsed Subsidies in Isolated versus Connected Habitats</t>
  </si>
  <si>
    <t>numerical response; diet shift; resource pulse; marine wrack; lizards; islands</t>
  </si>
  <si>
    <t>MARINE SUBSIDIES; STABLE-ISOTOPES; FIELD EXPERIMENT; ANOLIS-SAGREI; DYNAMICS; LIZARD; CARBON; COMMUNITY; SPIDER; AVAILABILITY</t>
  </si>
  <si>
    <t>Increases in consumer abundance following a resource pulse can be driven by diet shifts, aggregation, and reproductive responses, with combined responses expected to result in faster response times and larger numerical increases. Previous work in plots on large Bahamian islands has shown that lizards (Anolis sagrei) increased in abundance following pulses of seaweed deposition, which provide additional prey (i.e., seaweed detritivores). Numerical responses were associated with rapid diet shifts and aggregation, followed by increased reproduction. These dynamics are likely different on isolated small islands, where lizards cannot readily immigrate or emigrate. To test this, we manipulated the frequency and magnitude of seaweed resource pulses on whole small islands and in plots within large islands, and we monitored lizard diet and numerical responses over 4 years. We found that seaweed addition caused persistent increases in lizard abundance on small islands regardless of pulse frequency or magnitude. Increased abundance may have occurred because the initial pulse facilitated population establishment, possibly via enhanced overwinter survival. In contrast with a previous experiment, we did not detect numerical responses in plots on large islands, despite lizards consuming more marine resources in subsidized plots. This lack of a numerical response may be due to rapid aggregation followed by disaggregation or to stronger suppression ofA. sagreiby their predators on the large islands in this study. Our results highlight the importance of habitat connectivity in governing ecological responses to resource pulses and suggest that disaggregation and changes in survivorship may be underappreciated drivers of pulse-associated dynamics.</t>
  </si>
  <si>
    <t>10.1086/710040</t>
  </si>
  <si>
    <t>Szymczak, R</t>
  </si>
  <si>
    <t>Tools based on nuclear and isotopic techniques for the management of threatened coastal ecosystems</t>
  </si>
  <si>
    <t>radionuclides; stable isotopes; estuaries; contaminants</t>
  </si>
  <si>
    <t>Elucidation of in situ environmental processes is the key to effective ecosystem management. However, due to the complexity of coastal ecosystems, few tools are available to determine the inter-relationships and rates of these events. It is only when all of the important variables are understood and computationally described that effective ecological risk analysis can be accomplished. Model packages already exist which describe and predict specific coastal processes and further refinement of subroutines and user-interfaces has some value; however the truly significant advances lie in synergistic integration of different codes. Predictive ecological risk analysis requires transport models predicting contaminant concentrations under a range of environmental scenarios and bioaccumulation and trophic-transfer models using keystone species (or critical groups) identified by models elucidating trophic structure. In an attempt to elucidate natural processes, or solve environmental problems, stable and radioisotope tracers have a number of advantages over conventional techniques. Stable isotope studies replace visual observations of prey-predator interactions with statistically interpretable chemical data. Radiotracers provide real time kinetic data on uptake and transfer of specific contaminants and environmental transport processes. The unique assemblage and application of these nuclear and isotopic environmental probes will greatly assist in effective ecological risk assessment of present situations and the resource-economic evaluation of proposed management options. The nuclear-based technologies developed from studies undertaken in the Sydney (Australia) environs are transferred to developing countries via the IAEA/Regional Cooperative Agreement (RCA) Project: Improving Regional Capacity for Assessment, Planning and Responding to Aquatic Environmental Emergencies (RAS/8/095). The IAEA Project objectives were to improve the regional capacity for the management of aquatic radiological and environmental risks and to develop capabilities in the RCA countries to assess, plan and respond to pollution events in aquatic environments. Expert missions supported national projects in individual Member States, further developing and transferring skills and technologies.</t>
  </si>
  <si>
    <t>10.1080/14634980903354767</t>
  </si>
  <si>
    <t>Agasild, H; Zingel, P; Tuvikene, L; Tuvikene, A; Timm, H; Feldmann, T; Salujoe, J; Toming, K; Jones, RI; Noges, T</t>
  </si>
  <si>
    <t>Biogenic methane contributes to the food web of a large, shallow lake</t>
  </si>
  <si>
    <t>chironomids; crustacean zooplankton; fish; microbial loop; stable isotopes</t>
  </si>
  <si>
    <t>STABLE-ISOTOPE ANALYSIS; METHANOTROPHIC BACTERIA; CYCLOPOID COPEPODS; SEASONAL-CHANGES; ORGANIC-MATTER; WATER-QUALITY; ZOOPLANKTON; CARBON; FISH; MACROPHYTES</t>
  </si>
  <si>
    <t>1. Biogenic methane as an alternative carbon and energy source for freshwater organisms has been receiving increasing attention, but the phenomenon is still poorly understood for shallow lakes. We measured the carbon and nitrogen stable isotope signatures (C-13, N-15) for key groups of pelagic and benthic organisms, including crustacean zooplankton, chironomid larvae, young-of-the-year and adult fish, to assess whether biogenic methane contributes to pelagic and benthic food webs in a large, shallow lake, Lake Vortsjarv, Estonia. 2. In the southern part of the lake, covered by macrophytes, crustacean zooplankton showed strong seasonal variation of C-13, with the lowest values occurring in the period of oxygen depletion. Chironomid (Chironomus plumosus) larvae showed high isotopic variability within the lake, with strongly C-13-depleted and N-15-depleted signatures (down to C-13 -64.0 and N-15 -2.6) in the macrophyte-covered area. 3. Our results indicate that carbon derived from biogenic methane can contribute seasonally to the benthic food web and, to some extent, also to the pelagic food web, where the lake is covered by macrophytes. Moreover, C-13 values for roach (Rutilus rutilus), perch (Perca fluviatilis) and pike (Esox lucius) from the macrophyte-dominated area were on average 3.5 parts per thousand lower than those for the same fish from the plankton-dominated lake area, suggesting some carbon derived from methane is transferred up through the food web. 4. Although no direct evidence is available, our results, together with previous studies of the lake, suggest that protozoans could be a potentially important link from methane-oxidising bacteria to animals higher in the web.</t>
  </si>
  <si>
    <t>10.1111/fwb.12263</t>
  </si>
  <si>
    <t>Marley, G; Lawrence, AJ; Phillip, DAT; Hayden, B</t>
  </si>
  <si>
    <t>Mangrove and mudflat food webs are segregated across four trophic levels, yet connected by highly mobile top predators</t>
  </si>
  <si>
    <t>Estuary; Stable isotope; Seascape; Connectivity; Food web; Mixing model</t>
  </si>
  <si>
    <t>SEAGRASS BEDS; ORGANIC-MATTER; FISH ASSEMBLAGES; BIOLOGICAL CONNECTIVITY; RELATIVE IMPORTANCE; RHIZOPHORA-MANGLE; CARBON DYNAMICS; TIDAL MOVEMENTS; FEEDING AREAS; RED MANGROVE</t>
  </si>
  <si>
    <t>Seascape connectivity is crucial for healthy, resilient ecosystems and fisheries. Yet, our understanding of connectivity in turbid mangrove-lined estuaries-some of the world's most productive ecosystems-is limited to macrotidal systems, and rarely incorporates highly mobile top predators. We analysed delta C-13 and delta N-15 isotope values of 7 primary producers, 24 invertebrate taxa, 13 fishes, 4 birds and 1 reptile to reveal trophic interactions within and between a mangrove and adjacent mudflat in a microtidal system of the Gulf of Paria, Orinoco River estuary. Primary producers, invertebrates and fishes collected within the mangrove were significantly depleted in C-13 and N-15 compared to those collected on the mudflat. Stable isotope mixing models showed that mangrove-derived carbon was predominantly assimilated by invertebrates (78 +/- 5% SE) and fishes (88 +/- 11%) sampled in the mangrove. In contrast, invertebrates and fishes sampled in the mudflat derived &lt; 21% of their carbon from mangrove sources. Instead, microphytobenthos and phytoplankton underpinned the mudflat food web. Scarlet ibis Eudocimus ruber and yellow-crowned night heron Nyctanassa violacea were also highly associated with mangrove carbon sources. However, osprey Pandion haliaetus, snowy egret Egretta thula and spectacled caiman Caiman crocodilus obtained carbon from both mangrove and mudflat sources, effectively integrating the food webs. The present study demonstrates simultaneous aspects of food web segregation and connectivity, as well as the importance of surveying the entire food web across a range of tidal systems when investigating seascape connectivity.</t>
  </si>
  <si>
    <t>10.3354/meps13131</t>
  </si>
  <si>
    <t>Stockton, DG; Loeb, GM</t>
  </si>
  <si>
    <t>Diet Hierarchies Guide Temporal-Spatial Variation in Drosophila suzukii Resource Use</t>
  </si>
  <si>
    <t>Drosophila suzukii (Diptera; Drosophilidae); SWD; preference and performance; host choice; plasticity; insects; invasive; entomology</t>
  </si>
  <si>
    <t>SPOTTED-WING DROSOPHILA; OVIPOSITION BEHAVIOR; HOST PREFERENCE; DIPTERA DROSOPHILIDAE; GENETIC-VARIATION; INVASION; ADAPTATION; EVOLUTION; MATSUMURA; SPECIALIZATION</t>
  </si>
  <si>
    <t>Among insects, female oviposition preferences are critical to understanding the evolutionary dynamics between herbivores and hosts. Previous studies have shown Drosophila resource use has a strong genetic basis, although there is evidence that preferences are adaptable given isolation from ancestral hosts. Given the high degree of adaptability and behavioral plasticity of invasive species, we were interested in the mechanisms affecting host preferences of the invasive fruit fly, Drosophila suzukii, which in recent years has developed a nearly global range infesting small fruit crops. We studied the diet hierarchies of D. suzukii using a combination of laboratory and field assays designed to assess how female oviposition host choice differs given the availability of, and experience with, different fruit and non-fruit hosts. We found that host preferences did not shift over time and flies reared on two differential isolated diets up to F5 behaved and performed similarly regardless of diet lineage. Rather, female host choice appeared guided by a fixed hierarchical system of host preferences. Raspberry was more preferred to mushroom, which was more preferred to goose manure. However, if preferred resources were absent, the use of less-preferred resources was compensatory. We suggest that among niche specialists, such as D. suzukii, these hierarchies may support a bet-hedging strategy, rather than multiple-niche polymorphism, allowing for niche separation during periods of increased competition, while maintaining more diverse, ancestral feeding behaviors when preferred resources are scarce.</t>
  </si>
  <si>
    <t>10.3389/fevo.2021.816557</t>
  </si>
  <si>
    <t>Chi, YG; Zhou, L; Yang, QP; Li, SP; Zheng, SX</t>
  </si>
  <si>
    <t>Increased snowfall weakens complementarity of summer water use by different plant functional groups</t>
  </si>
  <si>
    <t>hydrogen stable isotope signature (delta D); Inner Mongolia grassland; oxygen stable isotope signature (delta O-18); rainfall; snowfall; water use partitioning</t>
  </si>
  <si>
    <t>STABLE-ISOTOPES; TYPICAL STEPPE; INNER-MONGOLIA; PRECIPITATION; BIODIVERSITY; ECOSYSTEM; NITROGEN; DYNAMICS; CLIMATE; PERSPECTIVES</t>
  </si>
  <si>
    <t>Winter snowfall is an important water source for plants during summer in semiarid regions. Snow, rain, soil water, and plant water were sampled for hydrogen and oxygen stable isotopes analyses under control and increased snowfall conditions in the temperate steppe of Inner Mongolia, China. Our study showed that the snowfall contribution to plant water uptake continued throughout the growing season and was detectable even in the late growing season. Snowfall versus rainfall accounted for 30% and 70%, respectively, of the water source for plants, on the basis of hydrogen stable isotope signature (delta D) analysis, and accounted for 12% and 88%, respectively, on the basis of oxygen stable isotope signature (delta O-18) analysis. Water use partitioning between topsoil and subsoil was found among species with different rooting depths. Increased snowfall weakened complementarity of plant water use during summer. Our study provides insights into the relationships between precipitation regimes and species interactions in semiarid regions.</t>
  </si>
  <si>
    <t>10.1002/ece3.5058</t>
  </si>
  <si>
    <t>Schneiberg, I; Boscolo, D; Devoto, M; Marcilio-Silva, V; Dalmaso, CA; Ribeiro, JW; Ribeiro, MC; Guaraldo, AD; Niebuhr, BB; Varassin, IG</t>
  </si>
  <si>
    <t>Urbanization homogenizes the interactions of plant-frugivore bird networks</t>
  </si>
  <si>
    <t>Landscape ecology; Mutualistic network; Urban environmental</t>
  </si>
  <si>
    <t>FRAGMENTED LANDSCAPES; SEED-DISPERSAL; MUTUALISTIC NETWORKS; ECOLOGICAL NETWORKS; HABITAT FRAGMENTS; URBAN; BIODIVERSITY; PATTERNS; FOREST; RESTORATION</t>
  </si>
  <si>
    <t>Anthropogenic activities are the main cause of habitat loss and fragmentation, which directly affects biodiversity. Disruption in landscape connectivity among populations may affect complex interactions between species and ecosystem functions, such as pollination and seed dispersal, and ultimately result in secondary extinctions. Urbanization, one of the most intense forms of landscapes changes, has been reported to negatively affect bird and plant diversity. Still, little is known about the effects of urban landscapes on interaction networks. We investigated the relationship between urban landscape structure and plant-frugivore networks at different spatial scales. Coupling interaction data from urban areas and a model selection approach, we evaluated which landscape factors best explained the variation in urban networks properties. Our results indicate that urbanization decreases bird richness, mainly through the loss of habitat specialist species, which results in networks being composed mainly of birds well adapted to urban dwelling. We found that interaction evenness, a measure of homogeneity of interaction distribution between species, increases with urbanization. This is due to the strong dominance that generalist birds had in network composition because they foraged on all available fruits, including exotic plants. The ensuing homogenization of interactions can reduce the resilience of networks and affect the efficiency of ecosystems functions. Thus, urbanization plans should consider the proportion and distribution of green areas within cities, coupling human and ecosystem wellbeing.</t>
  </si>
  <si>
    <t>10.1007/s11252-020-00927-1</t>
  </si>
  <si>
    <t>Moraes, B; Razgour, O; Souza-Alves, JP; Boubli, JP; Bezerra, B</t>
  </si>
  <si>
    <t>Habitat suitability for primate conservation in north-east Brazil</t>
  </si>
  <si>
    <t>ORYX</t>
  </si>
  <si>
    <t>Brazil; climate change; future range shift; gap analysis; primates; priority areas; protected areas; species distribution models</t>
  </si>
  <si>
    <t>PROTECTED AREAS; BIODIVERSITY CONSERVATION; SAPAJUS-FLAVIUS; CERRADO; AMAZON; MODEL; DEFORESTATION; PREDICTION; BEHAVIOR; DIET</t>
  </si>
  <si>
    <t>Brazil has a high diversity of primates, but increasing anthropogenic pressures and climate change could influence forest cover in the country and cause future changes in the distribution of primate populations. Here we aim to assess the long-term suitability of habitats for the conservation of three threatened Brazilian primates (Alouatta belzebul, Sapajus flavius and Sapajus libidinosus) through (1) estimating their current and future distributions using species distribution models, (2) evaluating how much of the areas projected to be suitable is represented within protected areas and priority areas for biodiversity conservation, and (3) assessing the extent of remaining forest cover in areas predicted to be suitable for these species. We found that 88% of the suitable areas are outside protected areas and only 24% are located in areas with forest cover. Although not within protected areas, 27% of the climatically suitable areas are considered priority areas for conservation. Future projections, considering a severe climate change scenario, indicate that A. belzebul, S. flavius and S. libidinosus may lose up to 94, 98 and 54% of their suitable range, respectively. The establishment of primate populations and their long-term survival in these areas are at risk. Mitigation actions such as the implementation of new protected areas, forest restoration and reduction of greenhouse gas emissions will be essential for the conservation of Brazilian primates.</t>
  </si>
  <si>
    <t>PII S0030605319001388</t>
  </si>
  <si>
    <t>10.1017/S0030605319001388</t>
  </si>
  <si>
    <t>BLABER, SJM; BREWER, DT; SALINI, JP</t>
  </si>
  <si>
    <t>DIET AND DENTITION IN TROPICAL ARID CATFISHES FROM AUSTRALIA</t>
  </si>
  <si>
    <t>GULF-OF-CARPENTARIA; ESTUARY; FEEDING GUILDS; ECOLOGY; COEXISTENCE; MOLLUSKS; POLYCHAETES; ARIIDAE</t>
  </si>
  <si>
    <t>SPECIES COMPOSITION; PENAEID PRAWNS; FISHES; BIOMASSES; BAY; CARPENTARIA; PREDATION; HABITATS; ESTUARY; RIVER</t>
  </si>
  <si>
    <t>The diets of 13 species of ariid catfishes from the tropical waters of the Gulf of Carpentaria are described and compared. Fishes were collected from two estuaries and inshore and offshore marine areas. Up to 10 species have been recorded from a single estuary. Although all are carnivorous and consume a variety of prey, diet analyses and statistical ordination reveal three feeding guilds - piscivores, polychaete-eaters and molluscivores. The diets of most species are similar between sites. There are strong relationships between dietary guild and the size and arrangement of the palatine teeth. The piscivorous group of catfish (guild 1) have large mouths with relatively large multiple palatine tooth plates, either in a band or in a triangular pattern and armed with sharp recurved teeth. The primarily polychaete-feeding group (guild 2) have a variable mouth size but it is usually smaller than that of guild 1 fish; their palatine teeth plates are fewer and smaller, and they have small, sharp recurved teeth. Guild 3 eat mainly molluscs, and have a small mouth and large posteriorly situated palatine plates with globular, truncated teeth. Overlaps in diet between species are probably reduced by differential distribution patterns within estuaries and different habitat preferences. The mouth-width and tooth-plate arrangements of ariids in tropical Australia are suitable for dealing with broad classes of prey rather than specific items, conferring dietary flexibility. This probably optimizes the trade-off for most species between occupation of broad feeding niches and the ability to shift diet easily.</t>
  </si>
  <si>
    <t>10.1007/BF00002543</t>
  </si>
  <si>
    <t>Awiti, AO; Walsh, MG; Kinyamario, J</t>
  </si>
  <si>
    <t>Dynamics of topsoil carbon and nitrogen along a tropical forest-cropland chronosequence: Evidence from stable isotope analysis and spectroscopy</t>
  </si>
  <si>
    <t>stable isotopes; near infrared reflectance spectroscopy; forest-cropland chronosequence; soil organic carbon; mean residence time</t>
  </si>
  <si>
    <t>SOIL ORGANIC-MATTER; N-15 NATURAL-ABUNDANCE; LAND-USE; C-13; TURNOVER; DEFORESTATION; DELTA-C-13; HIGHLANDS; SEQUESTRATION; FRACTIONATION</t>
  </si>
  <si>
    <t>Analyses of delta C-13 and delta N-15 abundances and near infrared reflectance spectroscopy (NIRS) were used to evaluate the changes in SOC and total nitrogen (TN) content along a forest-cropland chronosequence in the margins of Kakamega forest in Kenya. 300 topsoil samples were collected from 50 paired forest-cropland plots cultivated between 17 and 60 years. Changes in delta C-13 values between forest and cropland soils were used to model the dynamics of forest-derived and maize-derived C. Mean residence times (MRTs) of forest-derived C in bulk topsoil samples was calculated based on changes in delta C-13 with time since cultivation. An ordinal soil fertility classification developed using MRS was evaluated against SOC and TN concentrations and delta C-13 and delta N-15 abundances in the topsoil. Mean delta C-13 isotopic ratios increased from 24.3 +/- 0.2 parts per thousand in forest to -16.3 +/- 0.4 parts per thousand under cropland. Similarly, mean 815 N isotopic ratios increased from 5.9 +/- 0.1 parts per thousand in the forest sites to 6.8 +/- 0.1 parts per thousand in soils cultivated sites. delta C-13 and delta N-15 enrichment, low levels SOC and TN concentrations were observed in soils that were designated as low fertility based on ordinal fertility classes defined by NIRS. SOC content declined from 7.27 kg C m(-2) in forest soils to 2.67 kg C m(-2) in soils cultivated for 60 years. A nonlinear regression model predicted there was an accretion of maize-derived C-4 carbon, attaining equilibrium at circa 4 kg C m(-2) after circa 70 years. The model also predicted that after about 38 years, maize-derived C-4 carbon was the predominant input-source of bulk topsoil SOC. The minimum, maximum and mean MRTs values for forest-derived SOC were 19,149 and 60 years, respectively. The results of this study demonstrates that delta N-15 and delta C-13 values offer a robust and direct technique for stable isotope techniques for understanding the dynamics of SOC and TN after conversion of forest soils to cropland. (C) 2008 Elsevier B.V. All rights reserved.</t>
  </si>
  <si>
    <t>10.1016/j.agee.2008.04.012</t>
  </si>
  <si>
    <t>Zambrano, J; Howe, HF; Gonzalez-Meler, M</t>
  </si>
  <si>
    <t>Combined effects of seed and soil quality drive seedling performance of a late-successional canopy tree in a tropical forest</t>
  </si>
  <si>
    <t>common-garden experiment; late-successional tree; parental investment; reproductive success; seed germination; stable isotopes</t>
  </si>
  <si>
    <t>PLANT-SPECIES DIVERSITY; LOS-TUXTLAS; RAIN-FOREST; CLIMATE-CHANGE; SIZE; FRAGMENTATION; GROWTH; NITROGEN; GERMINATION; RECRUITMENT</t>
  </si>
  <si>
    <t>Habitat loss and fragmentation affect the structure and functioning of forested ecosystems worldwide, yet we lack an understanding of how species respond to environmental changes. Here, we examined reproductive success and seedling performance of Poulsenia armata (Moraceae) in continuous and fragmented forests of Los Tuxtlas, southern Mexico. We further investigated how maternal habitat and soil conditions manifested in the seedling stage. We determined seed quality and seedling performance by combining isotopic analyses in seed quality with field observations of P. armata fruit production and a common-garden experiment. Soil conditions in forest fragments negatively impacted P. armata reproductive success. Trees of P. armata in forest fragments were smaller in size and produced fewer fruits and smaller seeds with lower quality compared with trees from the continuous forest. The combined effects of maternal habitat and soil conditions determined seedling survival and growth of this tropical tree. Notably, seedlings had restricted plasticity for biomass allocation to roots, limiting the capacity of fragmented populations to compensate for the initial low N content in seeds. Trees in forest fragments at Los Tuxtlas produced offspring competitively inferior and potentially less resilient than counterparts in continuous forest, jeopardizing future persistence of this late-successional tree species. Abstract in Spanish is available with online material.</t>
  </si>
  <si>
    <t>10.1111/btp.12466</t>
  </si>
  <si>
    <t>Banerji, A; Duncan, AB; Griffin, JS; Humphries, S; Petchey, OL; Kaltz, O</t>
  </si>
  <si>
    <t>Density- and trait-mediated effects of a parasite and a predator in a tri-trophic food web</t>
  </si>
  <si>
    <t>density-mediated indirect interaction; Didinium; Holospora; Paramecium; trait-mediated indirect interaction</t>
  </si>
  <si>
    <t>PARAMECIUM-CAUDATUM; LUCKINBILLS EXPERIMENT; HOLOSPORA-UNDULATA; DIDINIUM-NASUTUM; PREY MODELS; INFECTION; SIZE; MICRONUCLEUS; BIODIVERSITY; PLASTICITY</t>
  </si>
  <si>
    <t>Despite growing interest in ecological consequences of parasitism in food webs, relatively little is known about effects of parasites on long-term population dynamics of non-host species or about whether such effects are density or trait mediated. We studied a tri-trophic food chain comprised of (i) a bacterial basal resource (Serratia fonticola), (ii) an intermediate consumer (Paramecium caudatum), (iii) a top predator (Didinium nasutum) and (iv) a parasite of the intermediate consumer (Holospora undulata). A fully factorial experimental manipulation of predator and parasite presence/absence was combined with analyses of population dynamics, modelling and analyses of host (Paramecium) morphology and behaviour. Predation and parasitism each reduced the abundance of the intermediate consumer (Paramecium), and parasitism indirectly reduced the abundance of the basal resource (Serratia). However, in combination, predation and parasitism had non-additive effects on the abundance of the intermediate consumer, as well as on that of the basal resource. In both cases, the negative effect of parasitism seemed to be effaced by predation. Infection of the intermediate consumer reduced predator abundance. Modelling and additional experimentation revealed that this was most likely due to parasite reduction of intermediate host abundance (a density-mediated effect), as opposed to changes in predator functional or numerical response. Parasitism altered morphological and behavioural traits, by reducing host cell length and increasing the swimming speed of cells with moderate parasite loads. Additional tests showed no significant difference in Didinium feeding rate on infected and uninfected hosts, suggesting that the combination of these modifications does not affect host vulnerability to predation. However, estimated rates of encounter with Serratia based on these modifications were higher for infected Paramecium than for uninfected Paramecium. A mixture of density-mediated and trait-mediated indirect effects of parasitism on non-host species creates rich and complex possibilities for effects of parasites in food webs that should be included in assessments of possible impacts of parasite eradication or introduction.</t>
  </si>
  <si>
    <t>10.1111/1365-2656.12317</t>
  </si>
  <si>
    <t>Zhang, Z; Ullah, I; Wang, Z; Ma, P; Zhao, Y; Xia, X; Li, Y</t>
  </si>
  <si>
    <t>RECONSTRUCTION OF TEMPERATURE FOR THE PAST 400 YEARS IN THE SOUTHERN MARGIN OF THE TAKLIMAKAN DESERT BASED ON CARBON ISOTOPE FRACTIONATION OF TAMARIX LEAVES</t>
  </si>
  <si>
    <t>climate change; environment; key growth-limiting factor</t>
  </si>
  <si>
    <t>WATER-USE EFFICIENCY; TREE-RINGS; STABLE-ISOTOPES; PLANT CARBON; DISCRIMINATION; RATIOS; DELTA-C-13; RESPONSES; PATTERNS; GRADIENT</t>
  </si>
  <si>
    <t>Carbon isotope fractionation is sensitive to the environment factors associated with plant growth; thus, it can be used as a proxy to reconstruct past climate and environmental conditions. We investigated the relationship between carbon isotope signatures (delta C-13) and its fractionation (Delta delta C-13) of Tamarix leaves and a set of climate and environmental factors in the Southern Margin of the Taklimakan Desert (SMTD). A principal component analysis was used to condense these factors as the temperature-, wind-, precipitation-, and humidity-related index, explaining 51.0%, 18.0%, 5.1%, and 4.7% of the total variance, respectively. Combined with the correlation results, temperature is identified as the key growth-limiting factor for Tamarix in the SMTD. Specifically, 6 13 C has a statistically significant correlation with the lowest temperature in June (LTJun)(r = 0.717, p = 0.000), and Delta delta C-13 has a statistically significant correlation with the annual mean of the highest temperature (AMHT) = 0.700, p = 0.000). Based on these high correlations, we reconstructed the LTJun AMHT records in the past 400 years using delta C-13 and Delta delta C-13 of Tamarix leaves deposited in the Tamarix cone. These records revealed a long-term fluctuation in temperature that can be divided into four sub-periods, including the history cold period (1600-1685), history warm period (1686 - 1913), modern cold period (1914-1993), and modern warm period (1994-2010). These records provide useful insight into the paleoclimate and environmental change in this arid region.</t>
  </si>
  <si>
    <t>10.15666/aeer/1701_271284</t>
  </si>
  <si>
    <t>Hyodo, F; Takebayashi, Y; Makabe, A; Wardle, DA; Koba, K</t>
  </si>
  <si>
    <t>Changes in stable nitrogen isotopes of plants, bulk soil and soil dissolved N during ecosystem retrogression in boreal forest</t>
  </si>
  <si>
    <t>boreal forests; mycorrhizal fungi; soil dissolved N; succession; &amp;#948; N-15</t>
  </si>
  <si>
    <t>Stable nitrogen isotope ratios (delta N-15) of plants and soil have been used to study changes in the N cycle during ecosystem succession and retrogression. However, little is known about how delta N-15 of soil mineral N and dissolved organic N (DON) change during retrogression, despite their potential to inform on processes contributing to N loss. Here, we examined the delta N-15 of NH4+ and DON together with delta N-15 of the dominant plant species and bulk soil across a 5,000-year-old retrogressive chronosequence of forested islands in northern Sweden. The delta N-15 of bulk soil N, NH4+ and DON did not change greatly during retrogression, suggesting that there are no major losses of N from the system. The delta N-15 of NH4+ and DON was significantly correlated with that of bulk soil N across islands, indicating that bulk soil N is an important determinant of the delta N-15 of dissolved soil N. The delta N-15 of DON was significantly higher than those of NH4+ and bulk soil N, probably because of the inclusion of microbial N to the DON fraction. Despite the lack of changes in delta N-15 of soil N as retrogression proceeded, the delta N-15 of most plant species increased. These results suggest that despite the relative importance of the three underlying mechanisms involved is unclear, the N resources of plants change in response to retrogression: they have an increasing reliance on DON, a decreasing dependence on N transferred from the mycorrhizal fungi and reduced reliance on N from surface soil layers as retrogression proceeds.</t>
  </si>
  <si>
    <t>10.1111/1440-1703.12208</t>
  </si>
  <si>
    <t>Pauli, JN; Manlick, PJ; Dharampal, PS; Takizawa, Y; Chikaraishi, Y; Niccolai, LJ; Grauer, JA; Black, KL; Restrepo, MG; Perrig, PL; Wilson, EC; Martin, ME; Curras, MR; Bougie, TA; Thompson, KL; Smith, MM; Steffan, SA</t>
  </si>
  <si>
    <t>Quantifying niche partitioning and multichannel feeding among tree squirrels</t>
  </si>
  <si>
    <t>Autotroph; Carbon; Detritus; Isotopic fingerprinting; Nitrogen; Sciuridae</t>
  </si>
  <si>
    <t>NORTHERN FLYING SQUIRRELS; STABLE-ISOTOPES; RED SQUIRRELS; TROPHIC POSITION; GRAY SQUIRRELS; FOOD; FOREST; CONSUMPTION; RESPONSES; FUNGI</t>
  </si>
  <si>
    <t>Quantifying resource partitioning is central to community and food web ecology and of increasing interest in an era of rapid global change disrupting biotic interactions. Multichannel feeding - consuming resources from both green and brown food webs - can be a stabilizing force in communities. While multichannel feeding has been well-documented in invertebrate and aquatic systems, it has been relatively under-studied in terrestrial vertebrate populations. Applied ecologists are seeking approaches to assess niche partitioning and cryptic trophic pathways, like multichannel feeding, which have been difficult to quantify, especially among vertebrates. Using both bulk (delta C-13 and delta(15) N) and compound specific stable isotope ratios (delta N-15 glutamic acid and phenylalanine), we tested how three common and competing tree squirrel partition resources. Our complementary analyses revealed that squirrels partitioned niche space and, because of differences in multichannel foraging, possessed different trophic identities. While all squirrels consumed food items from green and brown food webs, their dependence on each differed, revealing an important, yet cryptic, mechanism behind apparent stable co-occurrence of these competitors. Our work supports multichannel feeding as a potential mechanism promoting coexistence in this guild of terrestrial vertebrates, and provides a framework to quantify resource partitioning in other ecological communities. (C) 2019 Elsevier Inc. All rights reserved.</t>
  </si>
  <si>
    <t>e00124</t>
  </si>
  <si>
    <t>10.1016/j.fooweb.2019.e00124</t>
  </si>
  <si>
    <t>Andreu-Hayles, L; Planells, O; Gutierrez, E; Muntan, E; Helle, G; Anchukaitis, KJ; Schleser, GH</t>
  </si>
  <si>
    <t>Long tree-ring chronologies reveal 20th century increases in water-use efficiency but no enhancement of tree growth at five Iberian pine forests</t>
  </si>
  <si>
    <t>delta 13C ratios; global warming; intrinsic water-use efficiency (iWUE); Mediterranean region; ring width; rise of atmospheric CO2 concentration; tree rings</t>
  </si>
  <si>
    <t>CARBON-ISOTOPE DISCRIMINATION; CLIMATE-CHANGE IMPACTS; ATMOSPHERIC CO2; FAGUS-SYLVATICA; STABLE-ISOTOPES; GAS-EXCHANGE; DELTA-C-13; POPULATIONS; RESPONSES; PHOTOSYNTHESIS</t>
  </si>
  <si>
    <t>We investigated the tree growth and physiological response of five pine forest stands in relation to changes in atmospheric CO2 concentration (c(a)) and climate in the Iberian Peninsula using annually resolved width and delta 13C tree-ring chronologies since ad 1600. 13C discrimination (delta approximate to c(i)/c(a)), leaf intercellular CO2 concentration (c(i)) and intrinsic water-use efficiency (iWUE) were inferred from delta 13C values. The most pronounced changes were observed during the second half of the 20th century, and differed between stands. Three sites kept a constant c(i)/c(a) ratio, leading to significant c(i) and iWUE increases (active response to c(a)); whereas a significant increase in c(i)/c(a) resulted in the lowest iWUE increase of all stands at a relict Pinus uncinata forest site (passive response to c(a)). A significant decrease in c(i)/c(a) led to the greatest iWUE improvement at the northwestern site. We tested the climatic signal strength registered in the delta 13C series after removing the low-frequency trends due to the physiological responses to increasing c(a). We found stronger correlations with temperature during the growing season, demonstrating that the physiological response to c(a) changes modulated delta 13C and masked the climate signal. Since 1970 higher delta 13C values revealed iWUE improvements at all the sites exceeding values expected by an active response to the c(a) increase alone. These patterns were related to upward trends in temperatures, indicating that other factors are reinforcing stomatal closure in these forests. Narrower rings during the second half of the 20th century than in previous centuries were observed at four sites and after 1970 at all sites, providing no evidence for a possible CO2 'fertilization' effect on growth. The iWUE improvements found for all the forests, reflecting both a c(a) rise and warmer conditions, seem to be insufficient to compensate for the negative effects of the increasing water limitation on growth.</t>
  </si>
  <si>
    <t>10.1111/j.1365-2486.2010.02373.x</t>
  </si>
  <si>
    <t>Inter-annual variability in the proportional contribution of higher trophic levels to the diet of Pacific walruses</t>
  </si>
  <si>
    <t>Walrus; Seal; Sea ice; Arctic; Whisker; Stable isotopes; SIAR mixing model</t>
  </si>
  <si>
    <t>ODOBENUS-ROSMARUS-ROSMARUS; STABLE-ISOTOPE RATIOS; NITROGEN-ISOTOPE; CARBON-ISOTOPE; PHOCA-VITULINA; BERING-SEA; FOOD-WEB; PATTERNS; GROWTH; PREY</t>
  </si>
  <si>
    <t>Pacific walruses (Odobenus rosmarus divergens) depend on Arctic sea ice as a resting and foraging platform; however, recent years have seen unprecedented seasonal reductions in ice extent. Previous researchers proposed that during unfavorable ice conditions, walruses might prey on other pinnipeds. To examine this hypothesis, we analyzed carbon and nitrogen stable isotope ratios of muscle from walruses (n = 155) sampled from the Bering and Chukchi seas during 2001-2010. We used a Bayesian stable isotope mixing model to examine the proportional contribution of higher trophic level prey (HTLP) (e.g., seals, seabirds) to walrus diets and extrapolated a tissue-specific turnover rate to compare diet of individuals over time. Mode HTLP across years was 19 % +/- 8. Results indicate a significant decrease (P &lt; 0.05) in the reliance on HTLP during 2008-2009 (mode HTLP 13 %), one of two sampling periods that experienced great seasonal loss of pan-Arctic sea ice (the other being 2007-2008 with mode HTLP of 23 %). We also reveal intra-annual fluctuations in the contribution of HTLP to the diet of a walrus sampled in 2011 with seal remains in its stomach through high-resolution sectioning along a whisker length. Our findings suggest that walruses forage opportunistically as a result of multiple environmental factors and that sea ice extent alone does not drive consumption of HTLP.</t>
  </si>
  <si>
    <t>10.1007/s00300-014-1460-7</t>
  </si>
  <si>
    <t>Sidorovich, VE; Tikhomirova, LL; Jedrzejewska, B</t>
  </si>
  <si>
    <t>Wolf Canis lupus numbers, diet and damage to livestock in relation to hunting and ungulate abundance in northeastern Belarus during 1990-2000</t>
  </si>
  <si>
    <t>WILDLIFE BIOLOGY</t>
  </si>
  <si>
    <t>Canis lupus; feeding habits; livestock depredation; moose; roe deer; wild boar; wolf-human interaction</t>
  </si>
  <si>
    <t>PRIMEVAL FOREST POLAND; WOLVES; HABITS; PREY</t>
  </si>
  <si>
    <t>Wolf Canis lupus relationships with wild ungulates, domestic animals and humans were studied in an area of ca 800 km(2) at the head of the Lovat River in northeastern Belarus during 1990-2000. The region was dominated by natural habitats (78%) consisting mainly of forests and bogs, but also lakes and rivers. The abundance of wild ungulates, such as moose Alces alces, wild boar Sus scrofa, and roe deer Capreolus capreolus, as censused by snow tracking and assessed by game wardens, declined 5 to 6-fold between 1990 and 1996, most probably due to uncontrolled exploitation and poaching. During 1997-2000, the numbers of ungulates began to recover. Wolves responded to the shortage of wild ungulates by a strong shift in feeding habits. When wild ungulates were numerous, wolf diet as studied by scat analysis was composed of wild ungulates (80-88% of consumed biomass), with small additions of medium- and small-sized wild animals (7-13%), mainly beaver Castor fiber and hare Lepus sp., and domestic animals (4-6%), mainly cattle. In the years when the recorded numbers of wild ungulates were at their lowest, wolves preyed on domestic animals (38% of biomass consumed), wild ungulates (32%), and medium- and small-sized wild prey (29%). Wolf damage to domestic animals (28 head of cattle and 247 dogs killed) and wolf-human interaction (100 observations of wolves in and near villages, including one attack by a rabid wolf on I I people) were recorded in 14 villages. The rate of wolf predation on domestic animals and their appearances in villages increased exponentially with the declining biomass of wild ungulates and ceased again when wild ungulates began to recover; a one-year time lag in wolf response to changes in ungulate abundance was observed. The numbers of wolves as estimated by snow tracking and assessed by game wardens played a weaker role in shaping wolf-livestock and wolf-human interaction. The wolf population was strongly affected by hunting during the study. Wolves responded numerically with a 1 to 2-year time lag to the varying intensity of harvest by humans. Our study showed the role of the human factor in shaping wolf numbers and wolf-livestock interaction in eastern Europe. The three major components of this relationship were: 1) the manifold decline in wild ungulate abundance, which was most probably caused by uncontrolled exploitation by humans in the years of political transformation and economic regress, made wolves shift to predation on domestic animals; inevitably, wolves were frequently seen in the rural areas; 2) people interpreted the growing rates of wolf damage and appearances near the settlements as an effect of greatly increasing numbers of wolves, and demanded that authorities and hunters fight the 'wolf plague'; 3) hunting impact on wolves increased and led to a marked reduction in wolf numbers and a decline in wolf-human conflicts. This scenario was most probably repeated in many areas of eastern Europe during 19902000, which was a decade of political and economical transformation. From a management perspective, we suggested that predation levels and wolf-human conflicts could be reduced not only by increased wolf harvest but also by enhancing the density and diversity of wild ungulates.</t>
  </si>
  <si>
    <t>10.2981/wlb.2003.032</t>
  </si>
  <si>
    <t>Mestre, J; Authier, M; Cherel, Y; Harcourt, R; McMahon, CR; Hindell, MA; Charrassin, JB; Guinet, C</t>
  </si>
  <si>
    <t>Decadal changes in blood delta C-13 values, at-sea distribution, and weaning mass of southern elephant seals from Kerguelen Islands</t>
  </si>
  <si>
    <t>foraging habitat; stable isotopes; bio-logging; population strategies; decadal change; Indian sector of the Southern Ocean</t>
  </si>
  <si>
    <t>CARBON ISOTOPIC COMPOSITION; SINKING ORGANIC-MATTER; MIROUNGA-LEONINA; STABLE-ISOTOPES; CLIMATE-CHANGE; ENVIRONMENTAL-CHANGE; DIETARY SHIFTS; FORAGING AREAS; GROWTH-RATE; POPULATION</t>
  </si>
  <si>
    <t>Changes in the foraging environment and at-sea distribution of southern elephant seals from Kerguelen Islands were investigated over a decade (2004-2018) using tracking, weaning mass, and blood delta C-13 values. Females showed either a sub-Antarctic or an Antarctic foraging strategy, and no significant shift in their at-sea distribution was detected between 2004 and 2017. The proportion of females foraging in sub-Antarctic versus Antarctic habitats did not change over the 2006-2018 period. Pup weaning mass varied according to the foraging habitat of their mothers. The weaning mass of sub-Antarctic foraging mothers' pups decreased by 11.7 kg over the study period, but they were on average 5.8 kg heavier than pups from Antarctic foraging mothers. Pup blood delta C-13 values decreased by 1.1 parts per thousand over the study period regardless of their sex and the presumed foraging habitat of their mothers. Together, these results suggest an ecological change is occurring within the Indian sector of the Southern Ocean with possible consequences on the foraging performance of southern elephant seals. We hypothesize that this shift in delta C-13 is related to a change in primary production and/or in the composition of phytoplankton communities, but this requires further multidisciplinary investigations.</t>
  </si>
  <si>
    <t>10.1098/rspb.2020.1544</t>
  </si>
  <si>
    <t>Scopel, L; Diamond, A; Kress, S; Shannon, P</t>
  </si>
  <si>
    <t>Varied breeding responses of seabirds to a regime shift in prey base in the Gulf of Maine</t>
  </si>
  <si>
    <t>Nutritional stress hypothesis; Forage fish; Energy density; Alcids; Seabirds; Breeding success; Ocean warming; Indicators</t>
  </si>
  <si>
    <t>PUFFINS FRATERCULA-ARCTICA; HERRING CLUPEA-HARENGUS; STELLER SEA LIONS; CLIMATE-CHANGE; FORAGE FISH; ATLANTIC; FOOD; CHICKS; GROWTH; SURVIVAL</t>
  </si>
  <si>
    <t>Seabirds consume forage fish, which are keystone species in many marine ecosystems. The Junk Food Hypothesis proposes that high-lipid prey should produce better reproductive performance by seabirds. In the Gulf of Maine, changes in the forage fish community followed rapid warming post-2005 and included a decline in high-lipid Atlantic herring Clupea harengus. We studied 3 species of alcid (Atlantic puffin Fratercula arctica, razorbill Alca torda, common murre Uria aalge) over 23 yr at 3 colonies to assess changes in chick diet and its relationships with reproductive success. Puffin and razorbill chick diet changed over time; puffin diet was highly variable taxonomically, whereas razorbill diets were more consistent, showing proportional changes within fewer taxa. For puffins and razorbills, herring was replaced by sand lance Ammodytes spp. and other taxa with lower energy density. Puffins did not require high-lipid fish to breed successfully, but diet-reproduction relationships became unpredictable following extremely warm winters (2013 and 2016). Razorbills and murres provisioning with low-lipid fish showed reduced chick condition and breeding success. We concluded that razorbills and murres need higher-quality diets than puffins, which more frequently exploited lower-lipid food during food shortages. However, puffin reproductive output was much more vulnerable to ocean warming owing to their longer breeding season and more varied diet. Different responses of closely-related species to changes in prey are driven by differences in chick-development strategies with clear implications for using seabirds as environmental indicators.</t>
  </si>
  <si>
    <t>10.3354/meps13048</t>
  </si>
  <si>
    <t>Chavarie, L; Harford, WJ; Howland, KL; Fitzsimons, J; Muir, AM; Krueger, CC; Tonn, WM</t>
  </si>
  <si>
    <t>Multiple generalist morphs of Lake Trout: Avoiding constraints on the evolution of intraspecific divergence?</t>
  </si>
  <si>
    <t>arctic; mixSIAR; niche partitioning; polymorphism</t>
  </si>
  <si>
    <t>GREAT-BEAR-LAKE; SHALLOW-WATER MORPHOTYPES; CHARR SALVELINUS-NAMAYCUSH; NICHE VARIATION HYPOTHESIS; LIFE-HISTORY VARIATION; ISOTOPE MIXING MODELS; STABLE-ISOTOPES; ECOLOGICAL SPECIATION; NORTHWEST-TERRITORIES; TROPHIC POSITION</t>
  </si>
  <si>
    <t>A generalist strategy, as an adaptation to environmental heterogeneity, is common in Arctic freshwater systems, often accompanied, however, by intraspecific divergence that promotes specialization in niche use. To better understand how resources may be partitioned in a northern system that supports intraspecific diversity of Lake Trout, trophic niches were compared among four shallow-water morphotypes in Great Bear Lake (N65(degrees) 56 39, W120(degrees) 50 59). Bayesian mixing model analyses of stable isotopes of carbon and nitrogen were conducted on adult Lake Trout. Major niche overlap in resource use among four Lake Trout morphotypes was found within littoral and pelagic zones, which raises the question of how such polymorphism can be sustained among opportunistic generalist morphotypes. Covariances of our morphological datasets were tested against C-13 and N-15 values. Patterns among morphotypes were mainly observed for N-15. This link between ecological and morphological differentiation suggested that selection pressure(s) operate at the trophic level (N-15), independent of habitat, rather than along the habitat-foraging opportunity axis (C-13). The spatial and temporal variability of resources in Arctic lakes, such as Great Bear Lake, may have favored the presence of multiple generalists showing different degrees of omnivory along a weak benthic-pelagic gradient. Morphs 1-3 had more generalist feeding habits using both benthic and pelagic habitats than Morph 4, which was a top-predator specialist in the pelagic habitat. Evidence for frequent cannibalism in Great Bear Lake was found across all four morphotypes and may also contribute to polymorphism. We suggest that the multiple generalist morphs described here from Great Bear Lake are a unique expression of diversity due to the presumed constraints on the evolution of generalists and contrast with the development of multiple specialists, the standard response to intraspecific divergence.</t>
  </si>
  <si>
    <t>10.1002/ece3.2506</t>
  </si>
  <si>
    <t>Haile, SG; Nair, VD; Nair, PKR</t>
  </si>
  <si>
    <t>Contribution of trees to carbon storage in soils of silvopastoral systems in Florida, USA</t>
  </si>
  <si>
    <t>agroforestry; bahiagrass pasture; carbon sequestration; slash pine; stable carbon isotope</t>
  </si>
  <si>
    <t>ORGANIC-MATTER TURNOVER; VEGETATION CHANGE; STABLE ISOTOPES; PLANT DIVERSITY; SIZE FRACTIONS; GRASSLAND; C-13; SEQUESTRATION; CONSEQUENCES; RESPIRATION</t>
  </si>
  <si>
    <t>Silvopastoral systems that integrate trees in pasture production systems are likely to enhance soil carbon (C) storage in lower soil layers due to the presence of deep tree roots. To quantify the relative soil C contribution from trees (C3 plants) and warm season grasses (C4 plants) in silvopastoral systems, soil samples were collected and analyzed from silvopastures of slash pine (Pinus elliottii) + bahiagrass (Paspalum notatum), and adjacent open pasture (OP), at six depths down to 125 cm, at four sites representing two major soil orders (Spodosols and Ultisols) of Florida. The plant sources of C in whole (nonfractionated) and three soil fraction sizes (250-2000, 53-250, and &lt;53 mu m) were traced using stable C isotope signatures. The silvopasture sites contained higher amounts of C3-derived soil organic carbon (SOC) compared with OP sites, at all soil depths. Slash pine trees (C3 plants) seemed to have contributed more C in the silt + clay-sized (&lt;53 mu m) fractions than bahiagrass (C4 plants), particularly deeper in the soil profile. Spodosols sites contained more C in the &lt;53 mu m fraction at and below the spodic horizon (occurring between 15 and 50 cm) in silvopasture compared with OP. The results indicate that most of SOC in deeper soil profiles and the relatively stable &lt;53 mu m C fraction were derived from tree components (C3 plants) in all the sites, suggesting that the tree-based pasture system has greater potential to store more stable C in the soil compared with the treeless system.</t>
  </si>
  <si>
    <t>10.1111/j.1365-2486.2009.01981.x</t>
  </si>
  <si>
    <t>De Almeida, T; Forey, E; Chauvat, M</t>
  </si>
  <si>
    <t>Alien Invasive Plant Effect on Soil Fauna Is Habitat Dependent</t>
  </si>
  <si>
    <t>Reynoutria ssp; Collembola; Nematodes; habitat type; novel ecosystems</t>
  </si>
  <si>
    <t>COLLEMBOLAN ASSEMBLAGES; FOOD WEBS; IMPACTS; DECOMPOSITION; COMMUNITIES; ECOSYSTEMS; TRAITS; LITTER; BIODIVERSITY; EVOLUTION</t>
  </si>
  <si>
    <t>Invasive alien plants often modify the structure of native plant communities, but their potential impact on soil communities is far less studied. In this study, we looked at the impact of invasive Asian knotweed (Reynoutria spp.) on two major soil mesofauna (Collembola) and microfauna (Nematodes) communities. We expected ingress of knotweed to differentially affect faunal groups depending on their trophic position, with the lower trophic levels being more impacted than the higher trophic groups according to the closer relationship to plants for basal trophic groups. Furthermore, we expected the knotweed impact to depend on habitat type (forest vs. meadow) with more pronounced changes in abundances of soil invertebrate in invaded meadows. Plant and soil invertebrates were sampled in six sites (three forest and three meadows) in northern France in both control and invaded plots. Our results showed that the presence of knotweed strongly reduced native plant species' diversity and abundance. Soil fauna also responded to the invasion by Asian knotweed with different responses, as hypothesized, according to trophic position or life-forms. Furthermore, abundances of several collembolan life-forms were influenced by the interaction between the factors Habitat and Knotweed. This may explain the difficulty to easily generalize and predict the consequences of plant invasion on belowground diversity, although this is of crucial importance for alleviating negative consequences and costs of biological invasion.</t>
  </si>
  <si>
    <t>10.3390/d14020061</t>
  </si>
  <si>
    <t>D'Amen, M; Azzurro, E</t>
  </si>
  <si>
    <t>Integrating univariate niche dynamics in species distribution models: A step forward for marine research on biological invasions</t>
  </si>
  <si>
    <t>dusky spinefoot; ensemble models; Lessepsian migration; Mediterranean Sea; niche pioneering; niche stability; niche unfilling; non-analogue climate; variable selection</t>
  </si>
  <si>
    <t>HABITAT SUITABILITY MODELS; SHIFTS; DIVERGENCE; PATTERNS; ABILITY; RARE</t>
  </si>
  <si>
    <t>Aim The development of approaches to predict the distribution and potential expansion of invasive species is still an open challenge. Here our goal is to improve the modelling procedure for marine invaders by coupling Species Distribution Models (SDMs) with an analysis of their univariate niche dynamics. In particular, we tested for the first time whether choosing model predictors among the stable niche dimensions was effective in improving predictions of invasive species expansion. Location Mediterranean Sea. Taxon Dusky spinefoot, Siganus luridus. Methods We analysed the univariate niche dynamics for S. luridus across its native and invaded ranges, by applying a standardized framework that allowed the identification of cases of niche stability or shift. We compared inter-range transferability of SDMs fitted with different combinations of labile or stable predictors. Finally, we evaluated interactions in SDM settings (calibration area, model technique and predictors set) on models' predictive ability, using independent data from the most recent phase of invasion. Results We detected a pattern of niche stability for several variables, especially salinity and bathymetry, which positively influenced model inter-ranges transferability: when the models calibrated in the native range include only stable niche axes, predictive ability is improved. We also identified a shift towards lower surface temperatures in the introduced range, which were almost never experienced by the species before invasion. The model calibrated within the combined ranges was the most ecologically congruent. Also, models calibrated in the invaded range allowed a correct prediction of range expansion, with the predicted suitable areas only slightly underestimated. Main conclusions We provide the first evidence that using conserved predictors in SDMs improves inter-range projections of expanding invasive species. Variable selection, calibration area and modelling technique all matter when modelling invasive species, with important interaction effects. We provide guidelines on how to improve SDMs applications in biological invasion research.</t>
  </si>
  <si>
    <t>10.1111/jbi.13761</t>
  </si>
  <si>
    <t>Liu, G; Shafer, ABA; Hu, XL; Li, LH; Ning, Y; Gong, MH; Cui, LJ; Li, HX; Hu, DF; Qi, L; Tian, HJ; Wang, BJ</t>
  </si>
  <si>
    <t>Meta-barcoding insights into the spatial and temporal dietary patterns of the threatened Asian Great Bustard (Otis tarda dybowskii) with potential implications for diverging migratory strategies</t>
  </si>
  <si>
    <t>Great Bustard; molecular diet analysis; partial migration; spatiotemporal changes; wintering food</t>
  </si>
  <si>
    <t>LONG-DISTANCE MIGRATION; FORAGING BEHAVIOR; LAND-USE; HABITAT; WINTER; BIRDS; FOOD; CLIMATE; DNA; POPULATIONS</t>
  </si>
  <si>
    <t>Food resources are often not sufficient to satisfy the nutritional and energetic requirements during winter conditions at high latitudes. Dietary analysis is a prerequisite to fully understanding the feeding ecology of a species and the nature of trophic interactions. Previous dietary studies of Asian Great Bustard (Otis tarda dybowskii) relied on behavioral observations, resulting in categorization of diet limited to broad taxonomic groupings. Here, we applied a high-throughput sequencing meta-barcoding approach to quantify the diet of resident and migratory Asian Great Bustard in three wintering sites during early winter and late winter. We detected 57 unique plant taxa in the bustard diet, among which 15 species were confirmed by a local plant database we generated. Both agricultural and natural foods were detected, indicating a relatively broad dietary niche. Spatiotemporal dietary changes were discovered, revealing diet differences among wintering sites and a general shift toward lower plant diversity later in winter. For the nonmigratory population, we detected a significantly more diverse array of plant species in their diet. We hypothesize that dietary variation between resident and migratory populations could be involved in the recent transition to partial migration in this species, although climate change can not be excluded. Collectively, these results support protecting unharvested grain fields and naturally unplowed lands to help conserve and promote population growth of Asian Great Bustard.</t>
  </si>
  <si>
    <t>10.1002/ece3.3791</t>
  </si>
  <si>
    <t>Perkins, DM; Durance, I; Edwards, FK; Grey, J; Hildrew, AG; Jackson, M; Jones, JI; Lauridsen, RB; Layer-Dobra, K; Thompson, MSA; Woodward, G</t>
  </si>
  <si>
    <t>Bending the rules: exploitation of allochthonous resources by a top-predator modifies size-abundance scaling in stream food webs</t>
  </si>
  <si>
    <t>Allometric scaling; body size; brown trout; energetic subsidies; food webs; metabolic theory; stable isotopes; streams</t>
  </si>
  <si>
    <t>BODY MASS RELATIONSHIPS; SALMO-TRUTTA; BROWN TROUT; TERRESTRIAL; POPULATION; UNIVERSAL</t>
  </si>
  <si>
    <t>Body mass-abundance (M-N) allometries provide a key measure of community structure, and deviations from scaling predictions could reveal how cross-ecosystem subsidies alter food webs. For 31 streams across the UK, we tested the hypothesis that linear log-log M-N scaling is shallower than that predicted by allometric scaling theory when top predators have access to allochthonous prey. These streams all contained a common and widespread top predator (brown trout) that regularly feeds on terrestrial prey and, as hypothesised, deviations from predicted scaling increased with its dominance of the fish assemblage. Our study identifies a key beneficiary of cross-ecosystem subsidies at the top of stream food webs and elucidates how these inputs can reshape the size-structure of these 'open' systems.</t>
  </si>
  <si>
    <t>10.1111/ele.13147</t>
  </si>
  <si>
    <t>Almqvist, G; Strandmark, AK; Appelberg, M</t>
  </si>
  <si>
    <t>Has the invasive round goby caused new links in Baltic food webs?</t>
  </si>
  <si>
    <t>Neogobius melanostomus; Gadus morhua; Perca fluviatilis; Diet; Trophic levels; Stable isotopes</t>
  </si>
  <si>
    <t>GOBIES NEOGOBIUS-MELANOSTOMUS; PERCH PERCA-FLUVIATILIS; STABLE-ISOTOPES; TROPHIC CASCADES; SMALLMOUTH BASS; GADUS-MORHUA; LAKE-ERIE; FISH; GDANSK; GULF</t>
  </si>
  <si>
    <t>The Ponto-Caspian round goby (Neogobius melanostomus, Pallas 1814) most probably was established in the Gulf of GdaAsk, Baltic Sea, in the late 1980's and has since become one of the dominant species in the region. In this study we assess the role of round gobies as prey for two important fish species in the Gulf of GdaAsk, cod (Gadus morhua) and perch (Perca fluviatilis). We compared their present diet with stomach analyses from the area prior the round goby establishment, as well as with diet analysis from Baltic regions where round gobies are absent. There were large differences in the diet between cods from the Gulf of GdaAsk 2003-2006 compared to cods in earlier studies (1977-1981) from the Southern Baltic Sea. There were also large differences in cod and perch diets from areas with and without round goby. Presently, round goby constitutes the most important prey for medium sized cods in Gulf of GdaAsk, and perch from the same area almost exclusively feed on gobiids. Stomach analysis, trophic level estimates, and stable isotope analyses all indicated that cod and perch in Gulf of GdaAsk after the round goby establishment belonged to a similar trophic level. Beside round goby, no mussel feeding fish contributed much to the diet of cod or at all to the diet of perch. Thus, it is likely that round gobies constitute a new energetic pathway from mussels to top predators. However, due to the short time elapsed after round goby establishment, we can only speculate on the species future impacts on Baltic food webs.</t>
  </si>
  <si>
    <t>10.1007/s10641-010-9692-z</t>
  </si>
  <si>
    <t>Talhelm, AF; Pregitzer, KS; Burton, AJ</t>
  </si>
  <si>
    <t>No evidence that chronic nitrogen additions increase photosynthesis in mature sugar maple forests</t>
  </si>
  <si>
    <t>Acer saccharum; atmospheric deposition; canopy tower measurements; global change; long-term experiment; nitrogen; northern hardwoods; stable isotopes; sugar maple</t>
  </si>
  <si>
    <t>CARBON-ISOTOPE DISCRIMINATION; ARBUSCULAR MYCORRHIZAL FUNGI; WATER-USE EFFICIENCY; FOLIAR CHEMISTRY; BIOCHEMICAL-COMPOSITION; STOMATAL CONDUCTANCE; DEPOSITION GRADIENT; ORGANIC-MATTER; STABLE OXYGEN; GAS-EXCHANGE</t>
  </si>
  <si>
    <t>Atmospheric nitrogen (N) deposition can increase forest growth. Because N deposition commonly increases foliar N concentrations, it is thought that this increase in forest growth is a consequence of enhanced leaf-level photosynthesis. However, tests of this mechanism have been infrequent, and increases in photosynthesis have not been consistently observed in mature forests subject to chronic N deposition. In four mature northern hardwood forests in the north-central United States, chronic N additions (30 kg N.ha(-1).yr(-1) as NaNO3 for 14 years) have increased aboveground growth but have not affected canopy leaf biomass or leaf area index. In order to understand the mechanism behind the increases in growth, we hypothesized that the NO3- additions increased foliar N concentrations and leaf-level photosynthesis in the dominant species in these forests (sugar maple, Acer saccharum). The NO3- additions significantly increased foliar N. However, there was no significant difference between the ambient and +NO3- treatments in two seasons (2006-2007) of instantaneous measurements of photosynthesis from either canopy towers or excised branches. In measurements on excised branches, photosynthetic nitrogen use efficiency (mu mol CO2.s(-1).g(-1) N) was significantly decreased (-13%) by NO3- additions. Furthermore, we found no consistent NO3- effect across all sites in either current foliage or leaf litter collected annually throughout the study (1993-2007) and analyzed for delta C-13 and delta O-18, isotopes that can be used together to integrate changes in photosynthesis over time. We observed a small but significant NO3- effect on the average area and mass of individual leaves from the excised branches, but these differences varied by site and were countered by changes in leaf number. These photosynthesis and leaf area data together suggest that NO3- additions have not stimulated photosynthesis. There is no evidence that nutrient deficiencies have developed at these sites, so unlike other studies of photosynthesis in N-saturated forests, we cannot attribute the lack of a stimulation of photosynthesis to nutrient limitations. Rather than increases in C assimilation, the observed increases in aboveground growth at our study sites are more likely due to shifts in C allocation.</t>
  </si>
  <si>
    <t>10.1890/10-2076.1</t>
  </si>
  <si>
    <t>Holker, F; Haertel, SS; Steiner, S; Mehner, T</t>
  </si>
  <si>
    <t>Effects of piscivore-mediated habitat use on growth, diet and zooplankton consumption of roach: an individual-based modelling approach</t>
  </si>
  <si>
    <t>biomanipulation; food uptake; habitat shift; IBM; Rutilus rutilus; trait-mediated indirect interactions</t>
  </si>
  <si>
    <t>RUTILUS-RUTILUS L; SCARDINIUS-ERYTHROPHTHALMUS; PREDATION RISK; PREY REFUGES; PERCH; FISH; FOOD; COMPETITION; MACROPHYTES; CYPRINIDAE</t>
  </si>
  <si>
    <t>1. We used an individual based modelling approach for roach to (i) simulate observed diel habitat shifts between the pelagic and littoral zone of a mesotrophic lake; (ii) analyse the relevance of these habitat shifts for the diet, activity costs and growth of roach; and (iii) quantify the effects of a hypothetical piscivore-mediated (presence of pikeperch) confinement of roach to the littoral zone on roach diet, activity costs and growth. 2. The model suggests that in the presence of pikeperch, roach shifts from zooplankton as the primary diet to increased consumption of less nutritious food items such as macrophytes, filamentous algae and detritus. 3. The growth of roach between May and October was predicted to be significantly higher in the absence of pikeperch, although the net activity costs were about 60 higher compared with the scenario where pikeperch were present. 4. These modelling results provide quantitative information for interpreting diel horizontal migrations of roach as a result from a trade-off between food availability and predation risk in different habitats of a lake. 5. Altering the habitat selection mode of planktivorous roach by piscivore stocking has the potential to reduce zooplankton consumption by fish substantially, and could therefore be used as a biomanipulation technique complementing the reduction of zooplanktivorous fish.</t>
  </si>
  <si>
    <t>10.1046/j.1365-2427.2002.01002.x</t>
  </si>
  <si>
    <t>Asshoff, R; Zotz, G; Korner, C</t>
  </si>
  <si>
    <t>Growth and phenology of mature temperate forest trees in elevated CO2</t>
  </si>
  <si>
    <t>basal area increment; branching; FACE; leaf duration; stable carbon isotopes; Swiss canopy crane; tree rings</t>
  </si>
  <si>
    <t>SPRUCE MODEL-ECOSYSTEMS; ATMOSPHERIC CO2; DECIDUOUS FOREST; RISING CO2; CARBON SEQUESTRATION; LEAF PHENOLOGY; QUERCUS-ALBA; RESPONSES; ENRICHMENT; PHOTOSYNTHESIS</t>
  </si>
  <si>
    <t>Are mature forest trees carbon limited at current CO2 concentrations? Will 'mid-life', 35 m tall deciduous trees grow faster in a CO2-enriched atmosphere? To answer these questions we exposed ca. 100-year-old temperate forest trees at the Swiss Canopy Crane site near Basel, Switzerland to a ca. 540 ppm CO2 atmosphere using web-FACE technology. Here, we report growth responses to elevated CO2 for 11 tall trees (compared with 32 controls) of five species during the initial four treatment years. Tested across all trees, there was no CO2 effect on stem basal area (BA) increment (neither when tested per year nor cumulatively for 4 years). In fact, the 4th year means were almost identical for the two groups. Stem growth data were standardized by pretreatment growth (5 years) in order to account for a priori individual differences in vigor. Although this experiment was not designed to test species specific effects, one species, the common European beech, Fagus sylvatica, showed a significant growth enhancement in the first year, which reoccurred during a centennial drought in the third year. None of the other dominant species (Quercus petraea, Carpinus betulus) showed a growth response to CO2 in any of the 4 years or for all years together. The inclusion or exclusion of single individuals of Prunus avium and Tilia platyphyllos did not change the picture. In elevated CO2, lateral branching in terminal shoots was higher in Fagus in 2002, when shoots developed from buds that were formed during the first season of CO2 enrichment (2001), but there was no effect in later years and no change in lateral branching in any of the other species. In Quercus, there was a steady stimulation of leading shoot length in high-CO2 trees. Phenological variables (bud break, leaf fall, leaf duration) were highly species specific and were not affected by elevated CO2 in any consistent way. Our 4-year data set reflects a very dynamic and species-specific response of tree growth to a step change in CO2 supply. Stem growth after 4 years of exposure does not support the notion that mature forest trees will accrete wood biomass at faster rates in a future CO2-enriched atmosphere.</t>
  </si>
  <si>
    <t>10.1111/j.1365-2486.2006.01133.x</t>
  </si>
  <si>
    <t>Linhart, RC; Hamilton, DJ; Paquet, J; Bellefontaine, SC; Davis, S; Doiron, PB; Gratto-Trevor, CL</t>
  </si>
  <si>
    <t>Variation in resource use between adult and juvenile Semipalmated Sandpipers (Calidris pusilla) and use of physiological indicators for movement decisions highlights the importance of small staging sites during southbound migration in Atlantic Canada</t>
  </si>
  <si>
    <t>Semipalmated Sandpiper; Calidris pusilla; migratory physiology; habitat selection; shorebird conservation; automated radio-telemetry; dietary niche; stable isotopes</t>
  </si>
  <si>
    <t>PLASMA METABOLITE PROFILES; LONG-DISTANCE MIGRANT; UPPER BAY; LIPID METABOLITES; COROPHIUM-VOLUTATOR; MASS CHANGE; DIET; SHOREBIRDS; STOPOVER; FUNDY</t>
  </si>
  <si>
    <t>Semipalmated Sandpipers (Calidris pusilla) are Arctic-breeding shorebirds that use staging sites in Atlantic Canada during their annual migration to South America. The Bay of Fundy has long been recognized as a critical staging site for migrating Semipalmated Sandpipers and supports a large prey base. The diet of adult sandpipers in the Bay is flexible but the diet of juveniles, which arrive later, is not well documented. Comparatively little is known about the prey base and how it is utilized by sandpipers at sites in Atlantic Canada outside the Bay. Plasma metabolite measures can provide useful insight to assess habitat quality for sandpipers and have not yet been measured in Semipalmated Sandpipers in Atlantic Canada. To address these knowledge gaps we sampled shorebird habitat to estimate invertebrate availability in the Bay of Fundy and the Northumberland Strait. Concurrently, we collected blood samples from adult and juvenile sandpipers for analysis of plasma metabolite levels and isotopic estimates of dietary niche in both regions. We found that sites on the Northumberland Strait hosted a more diverse and variable prey base than sites within the Bay of Fundy, and that sandpipers were selective when foraging there, appearing to prefer bivalves. Juveniles may occupy a broader dietary niche than adults along the Northumberland Strait, though appear to gain weight as efficiently. Sandpipers sampled along the Northumberland Strait had higher plasma triglyceride concentrations than those within the Bay of Fundy, which may suggest differences in fattening rate or dietary fat intake. Sandpipers that had lower triglyceride concentrations on the Northumberland Strait were more likely to move into the Bay of Fundy, while sandpipers with high triglyceride values tended to remain on the Strait. These data suggest that sandpipers made movement decisions within the region depending on their physiological state. Our results suggest adult and juvenile Semipalmated Sandpipers successfully use a variety of staging habitats in Atlantic Canada. This is an encouraging finding for sandpiper conservation in the region, but also indicates that maintaining access to a broad variety of staging habitats is critical, supporting calls for stronger conservation measures throughout the region.</t>
  </si>
  <si>
    <t>10.3389/fevo.2022.1059005</t>
  </si>
  <si>
    <t>Tomaszewicz, CNT; Seminoff, JA; Avens, L; Goshe, LR; Rguez-Baron, JM; Peckham, SH; Kurle, CM</t>
  </si>
  <si>
    <t>Expanding the coastal forager paradigm: long-term pelagic habitat use by green turtles Chelonia mydas in the eastern Pacific Ocean</t>
  </si>
  <si>
    <t>C-13; N-15; Sea turtle; Foraging ecology; Habitat use; Age</t>
  </si>
  <si>
    <t>LOGGERHEAD SEA-TURTLES; SKELETAL GROWTH MARKS; BAJA-CALIFORNIA-SUR; GULF-OF-CALIFORNIA; STABLE-ISOTOPES; CARETTA-CARETTA; BAHIA MAGDALENA; AGE; RATES; POPULATION</t>
  </si>
  <si>
    <t>The East Pacific green turtle Chelonia mydas population is gradually recovering, yet much remains unknown about their long-term demographics and habitat use due to their inaccessibility for study. We present the first detailed characterization of age-at-settlement (similar to 3-5 yr), age-at-maturity (similar to 17-30 yr), and long-term resource use patterns for these turtles by combining skeletochronology with stable carbon (delta C-13) and nitrogen (delta N-15) isotope analysis of annual bone growth layers. We studied dead green turtles stranding along the Baja California Peninsula at Playa San Lazaro in Mexico, where their deaths are presumed to be a result of regional fisheries bycatch. Our stable isotope results indicate that these turtles utilize resources differently than other regional, lagoon-foraging green turtle aggregations. Based on stable isotope values from multiple years for individual turtles, we propose these green turtles are long-term pelagic foragers in the coastal shelf habitat of the Gulf of Ulloa and consume a more carnivorous diet from the epipelagic zone, likely including fishery discards, similar to a sympatric group of foraging North Pacific loggerhead turtles. Thus, green turtles use the Gulf of Ulloa as more than a transit area between benthic lagoon foraging and/or breeding locations. This unexpected and prolonged use of a pelagic foraging area could benefit the turtles by facilitating increased somatic growth, but may be of conservation concern as this area also experiences high fisheries turtle bycatch rates. Our findings expand the current paradigm of green turtle life history and habitat use by demonstrating an unexpected exploitation of habitat and prey for post-oceanic stage turtles.</t>
  </si>
  <si>
    <t>10.3354/meps12372</t>
  </si>
  <si>
    <t>Rossi, L; di Lascio, A; Carlino, P; Calizza, E; Costantini, ML</t>
  </si>
  <si>
    <t>Predator and detritivore niche width helps to explain biocomplexity of experimental detritus-based food webs in four aquatic and terrestrial ecosystems</t>
  </si>
  <si>
    <t>Community ecology; Linkage density; delta C-13 and delta N-15; Community-wide metrics; Bayesian mixing models; Predator-prey ratios</t>
  </si>
  <si>
    <t>STABLE-ISOTOPE ANALYSIS; REAL DIFFERENCES; LEAF DETRITUS; PATTERNS; DIVERSITY; SCALE; DECOMPOSITION; COMPLEXITY; COMMUNITY; NITROGEN</t>
  </si>
  <si>
    <t>In the study of food webs, the existence and explanation of recurring patterns, such as the scale invariance of linkage density, predator-prey ratios and mean chain length, constitute long-standing issues. Our study focused on litter-associated food webs and explored the influence of detritivore and predator niche width (as delta C-13 range) on web topological structure. To compare patterns within and between aquatic and terrestrial ecosystems and take account of intra-habitat variability, we constructed 42 macroinvertebrate patch-scale webs in four different habitats (lake, lagoon, beech forest and cornfield), using an experimental approach with litterbags. The results suggest that although web differences exist between ecosystems, patterns are more similar within than between aquatic and terrestrial web types. In accordance with optimal foraging theory, we found that the niche width of predators and prey increased with the number of predators and prey taxa as a proportion of total taxa in the community. The tendency was more marked in terrestrial ecosystems and can be explained by a lower per capita food level than in aquatic ecosystems, particularly evident for predators. In accordance with these results, the number of links increased with the number of species but with a significantly sharper regression slope for terrestrial ecosystems. As a consequence, linkage density, which was found to be directly correlated to niche width, increased with the total number of species in terrestrial webs, whereas it did not change significantly in aquatic ones, where connectance scaled negatively with the total number of species. In both types of ecosystem, web robustness to rare species removal increased with connectance and the niche width of predators. In conclusion, although limited to litter-associated macroinvertebrate assemblages, this study highlights structural differences and similarities between aquatic and terrestrial detrital webs, providing field evidence of the central role of niche width in determining the structure of detritus-based food webs and posing foraging optimisation constraints as a general mechanistic explanation of food web complexity differences within and between ecosystem types. (C) 2015 The Authors. Published by Elsevier B.V.</t>
  </si>
  <si>
    <t>10.1016/j.ecocom.2015.04.005</t>
  </si>
  <si>
    <t>Gorman, D; Pucci, M; Soares, LSH; Turra, A; Schlacher, TA</t>
  </si>
  <si>
    <t>Land-Ocean Connectivity Through Subsidies of Terrestrially Derived Organic Matter to a Nearshore Marine Consumer</t>
  </si>
  <si>
    <t>terrestrial input; C-13; N-15; hermit crabs; spatial variability; Brazil</t>
  </si>
  <si>
    <t>HERMIT-CRABS; FOOD WEBS; COASTAL; NITROGEN; CARBON; PRODUCTIVITY; HABITAT; PLUMES; GROWTH; WATER</t>
  </si>
  <si>
    <t>Land-ocean coupling in the form of riverine inputs of terrestrial matter can constitute an energetic subsidy to food webs in nearshore coastal areas. In regions with distinctly seasonal rainfall patterns, the strength and spatial footprint of any terrestrial signal in receiving marine food webs is predicted to mirror seasonal changes in fluvial forcing. Here, we test this prediction in a subtropical bay by isotopically (C-13 and N-15) characterizing the main primary producers and reconstructing (using a Bayesian stable isotope mixing model) their contributions to the diet of thinstripe hermit crabs (Clibanarius vittatus). Seasonal rainfall flushed terrestrial carbon out of coastal watersheds, and this material made a sizable (up to 28%) contribution to the diet of marine consumers, in addition to mangroves, seagrass and algae. Our isotope model indicates that inputs of terrestrial grasses and other littoral vegetation were 15% greater as a result of increased fluvial forcing. In addition, the spatial footprint of the terrestrial signal in marine consumers propagated more widely throughout the bay during high-rainfall periods. Given the widespread conversion of natural watershed habitats for agriculture and urban development, understanding the nature, temporal dynamics and strength of such land-ocean coupling will become increasingly important.</t>
  </si>
  <si>
    <t>10.1007/s10021-018-0303-8</t>
  </si>
  <si>
    <t>Tome, CP; Smith, EAE; Lyons, SK; Newsome, SD; Smith, FA</t>
  </si>
  <si>
    <t>Changes in the diet and body size of a small herbivorous mammal (hispid cotton rat, Sigmodon hispidus) following the late Pleistocene megafauna extinction</t>
  </si>
  <si>
    <t>biodiversity loss; climate change; late Quaternary</t>
  </si>
  <si>
    <t>CLIMATE-CHANGE; STABLE-ISOTOPES; BERGMANNS RULE; NUTRITIONAL ECOLOGY; SYMPATRIC RODENTS; WOODRATS NEOTOMA; AFRICAN SAVANNA; CENTRAL TEXAS; GREAT-PLAINS; HALLS CAVE</t>
  </si>
  <si>
    <t>The catastrophic loss of large-bodied mammals during the terminal Pleistocene likely led to cascading effects within communities. While the extinction of the top consumers probably expanded the resources available to survivors of all body sizes, little work has focused on the responses of the smallest mammals. Here, we use a detailed fossil record from the southwestern United States to examine the response of the hispid cotton rat Sigmodon hispidus to biodiversity loss and climatic change over the late Quaternary. In particular, we focus on changes in diet and body size. We characterize diet through carbon (delta C-13) and nitrogen (delta N-15) isotope analysis of bone collagen in fossil jaws and body size through measurement of fossil teeth; the abundance of material allows us to examine population level responses at millennial scale for the past 16 ka. Sigmodon was not present at the cave during the full glacial, first appearing at ~16 ka after ice sheets were in retreat. It remained relatively rare until ~12 ka when warming temperatures allowed it to expand its species range northward. We find variation in both diet and body size of Sigmodon hispidus over time: the average body size of the population varied by ~20% (90-110 g) and mean delta C-13 and delta N-15 values ranged between -13.5 to -16.5 parts per thousand and 5.5 to 7.4 parts per thousand respectively. A state-space model suggested changes in mass were influenced by diet, maximum temperature and community structure, while the modest changes in diet were most influenced by community structure. Sigmodon maintained a fairly similar dietary niche over time despite contemporaneous changes in climate and herbivore community composition that followed the megafauna extinction. Broadly, our results suggest that small mammals may be as sensitive to shifts in local biotic interactions within their ecosystem as they are to changes in climate and large-scale biodiversity loss.</t>
  </si>
  <si>
    <t>10.1111/ecog.04596</t>
  </si>
  <si>
    <t>Ruiz-Cooley, RI; Villa, EC; Gould, WR</t>
  </si>
  <si>
    <t>Ontogenetic variation of delta C-13 and delta N-15 recorded in the gladius of the jumbo squid Dosidicus gigas: geographic differences</t>
  </si>
  <si>
    <t>Gladius; Squid; Stable isotopes; Trophic variation; Geographic variation</t>
  </si>
  <si>
    <t>GULF-OF-CALIFORNIA; STABLE-ISOTOPE RATIOS; TROPHIC RELATIONSHIPS; CARBON ISOTOPES; RANGE EXPANSION; NITROGEN ARGON; SPERM-WHALES; FOOD; FRACTIONATION; GROWTH</t>
  </si>
  <si>
    <t>Cephalopods play an important role in marine food webs, but their feeding ecology has been mostly examined by traditional methods. In this study, delta C-13 and delta N-15 values were measured along the proostracum (a morphological part of the gladius) to reconstruct squid feeding variations. Gladii or the internal shell of jumbo squid Dosidicus gigas was collected at 6 sites from the eastern Pacific Ocean to evaluate trophic shifts as a function of size. The results showed that C- and N-isotopic values varied throughout proostracum length for all squid; changes that could be determined by temporal variation in prey consumption. Both delta C-13 and delta N-15 significantly increased with length and supported ontogenic shifts in diet. Detectable differences in delta N-15 values were found at all sites. This delta N-15-oceanic variation may be associated with variations in squid assimilated diet, but may also be due to differences in the biochemical cycle among areas. Isotopic values only overlapped among the nearest sites. These results suggest that D. gigas did not migrate over large geographic areas, but rather moved within narrower latitudinal ranges. We recommend the use of stable isotopic analyses along the gladius as an effective approach to tracing foraging variations and also in geographically differentiating subpopulations.</t>
  </si>
  <si>
    <t>10.3354/meps08383</t>
  </si>
  <si>
    <t>Locke, A</t>
  </si>
  <si>
    <t>Applications of the Menge-Sutherland model to acid-stressed lake communities</t>
  </si>
  <si>
    <t>acidification; cladoceran; community structure; copepod; crustacean; diversity; fish; food web; Menge-Sutherland model; stress; zooplankton</t>
  </si>
  <si>
    <t>FOOD-WEB STRUCTURE; CRUSTACEAN ZOOPLANKTON COMMUNITIES; ADIRONDACK MOUNTAIN; VARYING ACIDITY; ACIDIFICATION; ONTARIO; SUDBURY; PH; ASSEMBLAGES; DISTURBANCE</t>
  </si>
  <si>
    <t>The predictions of the Menge-Sutherland model with respect to the effects of environmental stress on species richness, food web complexity, food chain length, and the relative importance of predation, competition, and disturbance in structuring communities were examined using midsummer zooplankton communities of 46 lakes near Sudbury, Ontario with pHs of 3.8-7.2. The lakes were sampled in the 1970s and in 1990 yielding a total of 92 food webs. Species richness increased linearly with pH rather than peaking at intermediate levels of stress as predicted by the model. Food web complexity and food chain length increased with pH, as predicted. The importance of competition in food web structure was variable at low pH and consistently high at moderate pH, a result that does not support model predictions that disturbance, competition, and predation should sequentially predominate with increasing pH. High variability in the relative importance of competition in acidic lakes was explained by fish presence or absence; in lakes without fish, a larger proportion of links in the zooplankton food web was due to predation by invertebrates. Persistence of predators (fish) in some acidic lakes reduces the applicability of the Menge-Sutherland model.</t>
  </si>
  <si>
    <t>10.2307/2269485</t>
  </si>
  <si>
    <t>Bellard, C; Bernery, C; Leclerc, C</t>
  </si>
  <si>
    <t>Looming extinctions due to invasive species: Irreversible loss of ecological strategy and evolutionary history</t>
  </si>
  <si>
    <t>extinction risk; invasive species; phylogenetic diversity; scenarios; trait diversity</t>
  </si>
  <si>
    <t>FUNCTIONAL DIVERSITY; MAMMAL EXTINCTIONS; CLIMATE-CHANGE; RANGE SHIFTS; CONSERVATION; BIODIVERSITY; TRAITS; TREE; HOMOGENIZATION; ASSEMBLAGES</t>
  </si>
  <si>
    <t>Biological invasions are one of the main drivers of biodiversity decline worldwide. However, many associated extinctions are yet to occur, meaning that the ecological debt caused by invasive species could be considerable for biodiversity. We explore extinction scenarios due to invasive species and investigate whether paying off the current extinction debt will shift the global composition of mammals and birds in terms of ecological strategy and evolutionary history. Current studies mostly focus on the number of species potentially at risk due to invasions without taking into account species characteristics in terms of ecological or phylogenetic properties. We found that 11% of phylogenetic diversity worldwide is represented by invasive-threatened species. Furthermore, 14% of worldwide trait diversity is hosted by invasive-threatened mammals and 40% by invasive-threatened birds, with Neotropical and Oceanian realms being primary risk hotspots. Projected extinctions of invasive-threatened species result in a smaller reduction in ecological strategy space and evolutionary history than expected under randomized extinction scenarios. This can be explained by the strong pattern in the clustering of ecological profiles and families impacted by invasive alien species (IAS). However, our results confirm that IAS are likely to cause the selective loss of species with unique evolutionary and ecological profiles. Our results also suggest a global shift in species composition away from those with large body mass, which mostly feed in the lower foraging strata and have an herbivorous diet (mammals). Our findings demonstrate the potential impact of biological invasions on phylogenetic and trait dimensions of diversity, especially in the Oceanian realm. We therefore call for a more systematic integration of all facets of diversity when investigating the consequences of biological invasions in future studies. This would help to establish spatial prioritizations regarding IAS threats worldwide and anticipate the consequences of losing specific ecological profiles in the invaded community.</t>
  </si>
  <si>
    <t>10.1111/gcb.15771</t>
  </si>
  <si>
    <t>Ruffino, L; Russell, JC; Pisanu, B; Caut, S; Vidal, E</t>
  </si>
  <si>
    <t>Low individual-level dietary plasticity in an island-invasive generalist forager</t>
  </si>
  <si>
    <t>POPULATION ECOLOGY</t>
  </si>
  <si>
    <t>Alien invasive rodents; Capture-mark-recapture; Dietary shift; Invasion success; Resource use</t>
  </si>
  <si>
    <t>BEHAVIORAL FLEXIBILITY; FOOD SUPPLEMENTATION; POPULATION-DYNAMICS; RATTUS-RATTUS; SMALL MAMMALS; SHIP RATS; ECOLOGY; SEABIRDS; SUCCESS; PREDATOR</t>
  </si>
  <si>
    <t>The ability of invasive mammals to adjust their diet in response to new or variable resources is often proposed to explain their invasion success on islands with differing environmental conditions, especially islands with strong spatiotemporal changes in the nature and abundance of their resources. In this study, we investigated how habitat heterogeneity and seasonal fluctuation in resource quality affect dietary breadth and plasticity in an island-invasive rodent, the black rat Rattus rattus, on a small Mediterranean island. We tested for dietary plasticity of rats at both the individual and population levels by using traditional dietary and stable isotope analyses at successively increasing time scales, coupled with a long-term study of individual rats in three habitats of close proximity. Dietary and movement analyses both indicated that R. rattus is able to exploit a wide range of resources and habitats. However, dietary plasticity and habitat breadth were far narrower at the individual level. Results revealed that rats exclusively used resources found in their local habitat, and very few individuals moved among adjacent habitats in pursuit of higher-quality resources, despite those resources being abundant in their immediate environment. This counterintuitive finding suggests that intraspecific interactions must restrict rat mobility. Our results suggest that even on small islands, accessibility of patchy and high-quality resources to individuals from the entire population is not systematic. This result has important implications when quantifying invasive rodent impacts on patchily distributed species, especially when studies use indirect methods such as dietary analyses as a substitute for direct observations of predatory behavior.</t>
  </si>
  <si>
    <t>10.1007/s10144-011-0265-6</t>
  </si>
  <si>
    <t>Schlacher, TA; Liddell, B; Gaston, TF; Schlacher-Hoenlinger, M</t>
  </si>
  <si>
    <t>Fish track wastewater pollution to estuaries</t>
  </si>
  <si>
    <t>fish; sewage; nitrogen isotopes; bio-indicators; estuaries</t>
  </si>
  <si>
    <t>ANTHROPOGENIC NITROGEN INPUTS; REEF PLANKTIVOROUS FISH; ASSESS HABITAT QUALITY; FLOUNDER GROWTH-RATES; SPATIAL VARIATION; ISOTOPE SIGNATURES; TROPHIC POSITION; ORGANIC-MATTER; SEWAGE; DELTA-N-15</t>
  </si>
  <si>
    <t>Excess nitrogen is a forceful agent of ecological change in coastal waters, and wastewater is a prominent source of nitrogen. In catchments where multiple sources of nitrogen pollution co-exist, biological indicators are needed to gauge the degree to which wastewater-N can propagate through the receiving food webs. The purpose of this study was to test whether estuarine fish are suitable as indicators of sewage-N pollution. Fish were analysed from three estuaries within a 100-km strip on the Australian East Coast. The estuaries differ substantially in wastewater loading: (1) the Maroochy Estuary receives a large fraction of the local shire's treated sewage, (2) the Mooloolah Estuary has no licensed treated wastewater outfalls but marinas/harbours and stormwater may contribute nitrogen, and (3) the Noosa Estuary which neither receives licensed discharges nor has suspected wastewater loads. Sampling for fish included both high rainfall ('wet' season) and low rainfall ('dry' season) periods. Muscle-delta(15)N was the variable predicted to respond to treated wastewater loading, reflecting the relative enrichment in N-15 resulting from the treatment process and distinguishing it from alternative N sources such as fertiliser and natural nitrogen inputs (both N-15-depleted). Of the 19 fish species occurring in all three estuaries, those from the Maroochy Estuary had significantly elevated delta(15)N values (up to 9.9 parts per thousand), and inter-estuarine differences in fish-delta(15)N were consistent across seasons. Furthermore, not only did all fish from the estuary receiving treated wastewater carry a very distinctive sewage-N tissue signal, but enriched muscle-delta(15)N was also evident in all species sampled from the one estuary in which sewage contamination was previously only suspected (i.e. the Mooloolah Estuary: 0.2-4.8 parts per thousand enrichment over fish from reference system). Thus, fish-delta(15)N is a suitable indicator of wastewater-N not only in systems that receive large loads, but also for the detection of more subtle nitrogen inputs. Arguably, fish may be preferred indicators of sewage-N contamination because they: (1) integrate nitrogen inputs over long time periods, (2) have an element of 'ecological relevance' because fish muscle-delta(15)N reflect movement of sewage-N through the food chain, and (3) pollution assessments can usually be based on evidence from multiple species.</t>
  </si>
  <si>
    <t>10.1007/s00442-005-0041-4</t>
  </si>
  <si>
    <t>Muller, R; Maier, A; Inselsbacher, E; Peticzka, R; Wang, G; Glatzel, S</t>
  </si>
  <si>
    <t>C-13-Labeled Artificial Root Exudates Are Immediately Respired in a Peat Mesocosm Study</t>
  </si>
  <si>
    <t>root exudates; priming effect; peat; CO (2); CH (4); stable carbon isotopes; climate change; decomposition</t>
  </si>
  <si>
    <t>METHANE PRODUCTION; SOIL; CARBON; RESPIRATION; CO2</t>
  </si>
  <si>
    <t>Globally, peatlands have been recognized as important carbon sinks while only covering approximately 3% of the earth's land surface. Root exudates are known key drivers of C cycling in soils and rhizosphere priming effects have been studied extensively in terrestrial ecosystems. Their role for decomposition of peat still remains unclear, as little research about their fate and potential priming effects in peat exists. In this study, we aimed to evaluate pathways of root exudates and their short-term priming effects by daily determination of stable carbon isotope fluxes of CO2 and CH4. As the drainage of peatlands strongly alters processes of decomposition, we included measurements after drainage as well. Results revealed the immediate respiration of root exudates in peat, mainly as CO2, while CH4 release was associated with a lag time of several days. However, the largest proportion of added root exudates remained in the solid and liquid phase of peat. In conclusion, our findings suggest that no priming occurred as added substrates remained immobile in peat.</t>
  </si>
  <si>
    <t>10.3390/d14090735</t>
  </si>
  <si>
    <t>Calhoun-Grosch, S; Foster, EM; James, WR; Santos, RO; Rehage, JS; Nelson, JA</t>
  </si>
  <si>
    <t>Trophic Niche Metrics Reveal Long-Term Shift in Florida Bay Food Webs</t>
  </si>
  <si>
    <t>Stable isotopes; Hypervolumes; Seagrass; Coastal ecosystems; Resource use; Seagrass die-off</t>
  </si>
  <si>
    <t>NUTRIENT AVAILABILITY GRADIENT; STABLE-ISOTOPE RATIOS; SEAGRASS DIE-OFF; THALASSIA-TESTUDINUM; SHARK-BAY; PRODUCTIVITY; ENRICHMENT; DYNAMICS; USA</t>
  </si>
  <si>
    <t>Seagrass beds in Florida Bay are home to many ecologically and economically important species. Anthropogenic press perturbation via alterations in hydrology and pulse perturbations such as drought can lead to hypersalinity, hypoxia, and sulfide toxicity, ultimately causing seagrass die-offs. Florida Bay has undergone two large-scale seagrass die-offs, the first in the late 1980s and early 1990s and the second in 2015. Post-die-off events, samples were collected for stable isotope analysis. Using historical (1998-1999) and contemporary (2018) stable isotope data, we examine how food webs in Florida Bay have changed in response to seagrass die-off over time by measuring contributions of basal sources to energy usage and using trophic niche analysis to compare niche size and overlap. We examined three consumer species sampled in both time periods (Orthopristis chrysoptera, Lagodon rhomboides, and Eucinostomus gula) in our study. Seagrass production comprised the majority of source usage in both datasets. However, contemporary consumers had a mean increase of 18% seagrass usage and a mean decrease in epiphyte usage of 7%. The shift in trophic niche from epiphyte usage (green pathway) toward seagrass usage (brown pathway) may indicate that food web browning is occurring in Florida Bay.</t>
  </si>
  <si>
    <t>10.1007/s10021-023-00825-5</t>
  </si>
  <si>
    <t>Atkinson, PW; Maclean, IM; Clark, NA</t>
  </si>
  <si>
    <t>Impacts of shellfisheries and nutrient inputs on waterbird communities in the Wash, England</t>
  </si>
  <si>
    <t>cockling; dredging; eutrophication; sediment disturbance; shell-fishing; shorebird; Special Protection Area; species assemblage; wader</t>
  </si>
  <si>
    <t>LONG-TERM CHANGES; INTERTIDAL FLATS; WADDEN SEA; NORTH-SEA; POPULATIONS; SHOREBIRDS; SURVIVAL; BIVALVE; FISHERY; STOCKS</t>
  </si>
  <si>
    <t>1. Overexploited fisheries threaten many species that depend on the exploited resource. Shorebird populations are in decline globally and here we describe how changing shellfishery management and nutrient inputs have had dramatic influence on waterbird communities on an internationally important wetland. 2. Cockle Cerastoderma edule and mussel Mytilus edulis fisheries conflict with shorebirds by removing prey and increasing mortality amongst non-target benthic invertebrates. Under intense dredging pressure, evidence suggests that benthic invertebrates such as worms, with rapid growth and short-generation times, should predominate over species such as bivalves, with slower growth and longer generation times. 3. We investigated the change in the waterbird assemblage in the Wash, eastern England, between 1981-1982 and 2002-2003. This period was characterized by heavy fishing pressure on mussels and cockles, ultimately leading to a crash in the mussel stocks. 4. During the study period, the waterbird assemblage underwent a gradual change from one dominated by those species with a high proportion of bivalves or 'other' prey (e.g. crustaceans, fish) in their diet to those with a higher proportion of worms. This gradual change was punctuated by major shifts, corresponding to three winters when oystercatcher Haemotopus ostralegus mortality was 5-13 times normal winter levels. 5. Oystercatcher, knot Calidris canutus and shelduck Tadorna tadorna showed the highest levels of decline. Since the last major oystercatcher mortality event in 1996-1997, the assemblage has not shifted back to that observed prior to the major crash in the mussel stock in 1992. 6. Changes in the waterbird assemblage were significantly related to mussel and cockle stock levels and, to a lesser extent, nutrient levels. Although correlative, evidence from this study indicates that fisheries caused shifts towards a waterbird community dominated by species with a high proportion of worms in their diet. 7.Synthesis and applications. Mechanical shellfisheries directly conflict with the nature conservation interest of sites holding internationally important waterbird populations. Removal of the mussel beds in the Wash led to major shifts in the waterbird assemblage, with a shift towards worm-feeders. Setting annual quotas that provide sufficient food for shellfish-eating birds is essential to maintain the favourable status of this and other internationally important wetlands where shellfish are exploited.</t>
  </si>
  <si>
    <t>10.1111/j.1365-2664.2009.01760.x</t>
  </si>
  <si>
    <t>Ngupula, GW; Mlaponi, E</t>
  </si>
  <si>
    <t>Changes in abundance of Nile shrimp, Caridina nilotica (Roux) following the decline of Nile perch and recovery of native haplochromine fishes, Lake Victoria, Tanzanian waters</t>
  </si>
  <si>
    <t>catch rates; fishing pressure; selectivity of fishery; Rastrineobola argentea fishery; bottom trawls</t>
  </si>
  <si>
    <t>CICHLIDS</t>
  </si>
  <si>
    <t>The abundance of Nile shrimp, Caridina nilotica (Roux) in Lake Victoria has fluctuated significantly over time, from the periods of 1900-1950s, 1980s-1990s and from 2000s to present day. To elucidate its current abundance, its contribution to the Rastrineobola argentea fishery catches, and its importance to the composition of the diet of Nile perch (Lates niloticus L.), and to the bottom trawl catches, were investigated. From August 2006 to January 2007, the mean C. nilotica CPUE was 1.68 +/- 1.20 kg boat(-1) day(-1) at Kijiweni and Igombe, and its 0.37% contribution to the R. argentea total catches was insignificant. Of the 230 Nile perch stomachs containing prey items, C. nilotica comprised 54% by volume of the diet of fish &lt; 50 cm TL; while haplochromines contributed 41% to the diet of fish &gt; 50 cm TL. Mean catch rates of C. nilotica in bottom trawls in 8 months between 2005 and 2008 ranged between 0 and 2.45 +/- 2.50 kg hr(-1). Low catches of the C. nilotica in the R. argentea fishery, and the dietary shift of Nile perch of &gt; 50 cm TL to once again include haplochromines, may indicate a decrease in C. nilotica's abundance in the lake, and vice versa. Overfishing and the selectivity of the fishery to take only large Nile perch for fish filleting factories, have resulted in reduced stocks and dominance of juveniles in the perch's populations. The highly reduced Nile perch stocks are currently leading to an apparent reversal of the 1980s regime with a shift to a new cichlid-dominated and C. nilotica low abundance state. Increase in predation on juvenile C. nilotica by the recovering haplochromines, and juvenile perches, as well as environmental degradation, especially eutrophication and pollution, along with the effects of global warming impacts, account for the observed decline in C. nilotica.</t>
  </si>
  <si>
    <t>10.1080/14634988.2010.483188</t>
  </si>
  <si>
    <t>Nishimura, K; Kishida, O</t>
  </si>
  <si>
    <t>Coupling of two competitive systems via density dependent migration</t>
  </si>
  <si>
    <t>bi-stability; migration; mixing equilibrium; monopolizing equilibria; mono-stability; self- and cross-population pressures; tri-stability</t>
  </si>
  <si>
    <t>SOUTHERN APPALACHIAN MOUNTAINS; RAINBOW-TROUT; SPATIAL SEGREGATION; DIFFUSION SYSTEM; BROOK TROUT; COEXISTENCE; DISPERSAL; STREAMS; FLOW</t>
  </si>
  <si>
    <t>Coupling of two Lotka-Volterra type competition systems with density-dependent migration was surveyed. We assumed that species x and y are each exclusively superior in subhabitat 1 and subhabitat 2, respectively, and that population densities that exert intra-and interspecific competitive effects also impose pressures for migration of individuals from a subhabitat. If the two species are, respectively, abundant in the subhabitats in which either species is competitively superior, and the migration has a mixing effect, then, it would be intuitively expected that, as potential migration rates increase, the two species are mixed well and coexist in the whole habitat. An analysis of this competitive situation using our model under the assumption of linear diffusion predicted that, even though weak mixing maintains coexistence in the whole habitat, strong mixing collapses coexistence and leads to the exclusion of one species. The assumption that migrations occur due to self- and cross-population pressures provides different predictions: (i) weak dominance and strong mixing destabilize the coexistence state and lead to a monopolizing equilibrium of either species (bistability of monopolizing equiliblia); (ii) conspicuous weakness of the inferior species makes the mixing equilibrium stable, regardless of the potential migration rate; and (iii) tri-stability exists in between situations (i) and (ii). In the third case, the attainable state is the mixing equilibrium or either of the monopolizing equilibria, depending on the initial state. Migration mechanisms with self- and cross-population pressures tends to mediate spatial segregation and makes coexistence possible, even with strong mixing.</t>
  </si>
  <si>
    <t>10.1046/j.1440-1703.2001.00401.x</t>
  </si>
  <si>
    <t>Melero, Y; Palazon, S; Lambin, X</t>
  </si>
  <si>
    <t>Invasive crayfish reduce food limitation of alien American mink and increase their resilience to control</t>
  </si>
  <si>
    <t>Trophic subsidy; Positive interactions; Introduced species; Management cost; Invasibility</t>
  </si>
  <si>
    <t>HORN BIOSPHERE RESERVE; MUSTELA-VISON; POPULATION-DYNAMICS; SPECIES REMOVAL; EUROPE; COMMUNITY; PREDATORS; DIVERSITY; PARADOX; IMPACTS</t>
  </si>
  <si>
    <t>Trophic relationships between invasive species in multiply invaded ecosystems may reduce food limitation relative to more pristine ecosystems and increase resilience to control. Here, we consider whether invasive predatory American mink Neovison vison are trophically subsidized by invasive crayfish. We collated data from the literature on density and home range size of mink populations in relation to the prevalence of crayfish in the diet of mink. We then tested the hypothesis that populations of an invasive predator reach higher densities and are more resilient to lethal control when they have access to super-abundant non-native prey, even in the absence of changes in density dependence, hence compensatory capacity. We found a strong positive relationship between the proportion of crayfish in mink diet and mink population density, and a negative relationship between the proportion of crayfish in mink diet and mink home range size, with crayfish contribution to mink diet reflecting their abundance in the ecosystem. We then explored the consequence of elevated mink density by simulating a hypothetical eradication program with a constant harvest in a Ricker model. We found that mink populations were more resilient to harvest in the presence of crayfish. As a result, the simulated number of mink harvested to achieve eradication increased by 500 % in the presence of abundant crayfish if carrying capacity increased by 630 %. This led to a threefold increase in time to eradication under a constant harvest and an approximately 20-fold increase in the cumulative management cost. Our results add to evidence of inter-specific positive interactions involving invasive species, and our simple model illustrates how this increases management cost.</t>
  </si>
  <si>
    <t>10.1007/s00442-013-2774-9</t>
  </si>
  <si>
    <t>Stien, A; Ims, RA; Albon, SD; Fuglei, E; Irvine, RJ; Ropstad, E; Halvorsen, O; Langvatn, R; Loe, LE; Veiberg, V; Yoccoz, NG</t>
  </si>
  <si>
    <t>Congruent responses to weather variability in high arctic herbivores</t>
  </si>
  <si>
    <t>arvicolinae; caribou; ungulate</t>
  </si>
  <si>
    <t>CLIMATE-CHANGE; POPULATION-DYNAMICS; REINDEER POPULATION; SNOW; DENSITY; CARIBOU; CYCLES; DECLINES; SVALBARD; CRASHES</t>
  </si>
  <si>
    <t>Assessing the role of weather in the dynamics of wildlife populations is a pressing task in the face of rapid environmental change. Rodents and ruminants are abundant herbivore species in most Arctic ecosystems, many of which are experiencing particularly rapid climate change. Their different life-history characteristics, with the exception of their trophic position, suggest that they should show different responses to environmental variation. Here we show that the only mammalian herbivores on the Arctic islands of Svalbard, reindeer (Rangifer tarandus) and sibling voles (Microtus levis), exhibit strong synchrony in population parameters. This synchrony is due to rain-on-snow events that cause ground ice and demonstrates that climate impacts can be similarly integrated and expressed in species with highly contrasting life histories. The finding suggests that responses of wildlife populations to climate variability and change might be more consistent in Polar regions than elsewhere owing to the strength of the climate impact and the simplicity of the ecosystem.</t>
  </si>
  <si>
    <t>10.1098/rsbl.2012.0764</t>
  </si>
  <si>
    <t>Battipaglia, G; Awada, T; Der Au, RA; Innangi, M; Saurer, M; Cherubini, P</t>
  </si>
  <si>
    <t>Increasing atmospheric CO2 concentrations outweighs effects of stand density in determining growth and water use efficiency in Pinus ponderosa of the semi-arid grasslands of Nebraska (USA)</t>
  </si>
  <si>
    <t>Radial growth; Ponderosa pine</t>
  </si>
  <si>
    <t>PARTIAL LEAST-SQUARES; CARBON-ISOTOPE DISCRIMINATION; TREE-RINGS; OXYGEN ISOTOPES; STABLE-ISOTOPES; CLIMATE; SOIL; DELTA-O-18; CELLULOSE; DROUGHT</t>
  </si>
  <si>
    <t>This study investigated the impacts of environmental (e.g., climate and CO2 level) and ecological (e.g., stand density) factors on the long-term growth and physiology of ponderosa pine (Pinus ponderosa) in a semi-arid north American grassland. We hypothesized that ponderosa pine long-term growth patterns were positively influenced by an increase in atmospheric CO2 concentrations and a decrease in stand density. To test this hypothesis, comparison of long-term trends in tree-ring width and carbon and oxygen stable isotopic composition of trees growing in dense and sparse forest stands were carried out at two sites located in the Nebraska National Forest. Results indicated that tree-ring growth increased over time, more at the sparse than at the dense stands. In addition, the carbon and oxygen isotopic ratios showed long-term increases in intrinsic water use efficiency (WUEi), with little difference between dense and sparse stands. We found a clear trend over time in ponderosa pine tree growth and WUEi, mechanistically linked to long-term changes in global CO2 concentration. The study also highlighted that global factors tend to outweigh local effects of stand density in determining long-term trends in ponderosa pine growth. Finally, we discuss the implications of these results for woody encroachment into grasslands of Nebraska and we underlined how the use of long-term time series is crucial for understanding those ecosystems and to guarantee their conservation. (C) 2020 The Authors. Published by Elsevier B.V.</t>
  </si>
  <si>
    <t>e01274</t>
  </si>
  <si>
    <t>10.1016/j.gecco.2020.e01274</t>
  </si>
  <si>
    <t>Nystrom, P</t>
  </si>
  <si>
    <t>Non-lethal predator effects on the performance of a native and an exotic crayfish species</t>
  </si>
  <si>
    <t>fish; invertebrates; omnivory; stable isotopes</t>
  </si>
  <si>
    <t>JUVENILE SIGNAL CRAYFISH; MEDIATED INDIRECT INTERACTIONS; PACIFASTACUS-LENIUSCULUS; ASTACUS-ASTACUS; CHEMICAL CUES; BEHAVIORAL-RESPONSES; ORCONECTES-RUSTICUS; RISK; VULNERABILITY; REPLACEMENT</t>
  </si>
  <si>
    <t>1. I tested the hypothesis that the potential for non-lethal effects of predators are more important for overall performance of the fast-growing exotic signal crayfish (Pacifastacus leniusculus Dana) than for the slower growing native noble crayfish (Astacus astacus L.). I further tested if omnivorous crayfish switched to feed on less risky food sources in the presence of predators, a behaviour that could reduce the feeding costs associated with predator avoidance. 2. In a 2 month long outdoor pool experiment, I measured behaviour, survival, cheliped loss, growth, and food consumption in juvenile noble or signal crayfish in pools with either a caged predatory dragonfly larvae (Aeshna sp.), a planktivorous fish that do not feed on crayfish (sunbleak, Leucaspius delineatus Heckel), or predator-free controls. Crayfish had access to multiple food sources: live zooplankton, detritus and periphyton. Frozen chironomid larvae were also supplied ad libitum outside crayfish refuges, simulating food in a risky habitat. 3. Crayfish were mainly active during hours of darkness, with signal crayfish spending significantly more time outside refuges than noble crayfish. The proportion of crayfish outside refuges varied between crayfish species, time and predator treatment, with signal crayfish spending more time in refuges at night in the presence of fish. 4. Survival in noble crayfish was higher than in signal crayfish, and signal crayfish had a higher frequency of lost chelipeds, indicating a high level of intraspecific interactions. Crayfish survival was not affected by the presence of predators. 5. Gut-contents analysis and stable isotope values of carbon (delta C-13) and nitrogen (delta N-15) indicated that the two crayfish species had similar food preferences, and that crayfish received most of their energy from feeding on invertebrates (e.g. chironomid larvae), although detritus was the most frequent food item in their guts. Signal crayfish guts were more full than those of noble crayfish, but signal crayfish in pools with fish contained significantly less food and fewer had consumed chironomids compared with predator-free controls. Length increase of signal crayfish (35%) was significantly higher than of noble crayfish (20%), but signal crayfish in pools with fish grew less than in control pools. 6. This short-term study indicates that fish species that do not pose a lethal threat to an organism may indirectly cause reductions in growth by affecting behaviour and feeding. This may occur even though prey are omnivorous and have access to and consume multiple food sources. These non-lethal effects of predators are expected to be particularly important in exotic crayfish species that show a general response to fish, have high individual growth rates, and when their feeding on the most profitable food source is reduced.</t>
  </si>
  <si>
    <t>10.1111/j.1365-2427.2005.01438.x</t>
  </si>
  <si>
    <t>Haberyan, KA</t>
  </si>
  <si>
    <t>Two Trophic Upsurges With Differing Responses During the Filling of a Mid-Continental Reservoir (Mozingo Studies III)</t>
  </si>
  <si>
    <t>AMERICAN MIDLAND NATURALIST</t>
  </si>
  <si>
    <t>CONSEQUENCES; MICROCYSTIS; PHOSPHORUS; DAPHNIA</t>
  </si>
  <si>
    <t>Mozingo Lake was sampled monthly for 4 y following its impoundment in order to further understand trophic upsiirges and to refine the classic model of upsurges. Upsurge 1 occurred in Month 8, when lake area increased by 184% and inundated only floodplain with comparable coverages of forest, cropland, and grassland (30%-33% each). At this time nitrate increased dramatically and was related to both precipitation and lake area increase, likely due to ammonia-based fertilizers from the flooded cropland. Phytoplankiof biovolume remained low, however, likely due to the abundance of Daphnia and other zooplankton grazers. After recovery, the lake expanded dramatically again in Month 21 (Upsurge 2); lake area increased by 36%, but this expansion flooded land with less floodplain (23%) and with different proportions of land use (45% grassland, 31% forest, 14% cropland). Upsurge 2 experienced initial increases in nitrate and zooplankton, but these were minor compared to Upsurge 1, and phytoplankton remained low. These initial responses were followed by substantial increases in phosphate, which related to lake area increase; cyanobacteria biovolume expanded, but zooplankton abundance declined. Therefore the two upsurges were driven by different factors: nitrate in Upsurge 1, but phosphate in Upsurge 2. These drivers, in turn, may reflect differences in the newly-flooded land, including differences in land use and in landscape position (i.e., slope). In addition to seasonal succession, the phytoplankton of Mozingo Lake exhibited longer-term primary succession that related first to nitrate, then to grazing, then to multiple factors, suggesting increases in food web complexity. In contrast to the classic model of upsurges, the biotic responses in Mozingo Lake were quite transitory, and the nature of the upsurges varied with the characteristics of the newly-inundated land. Therefore, it appears that trophic upsurge is more variable than the classic model suggests.</t>
  </si>
  <si>
    <t>10.1637/0003-0031-184.2.248</t>
  </si>
  <si>
    <t>Goldberg, SD; Knorr, KH; Blodau, C; Lischeid, G; Gebauer, G</t>
  </si>
  <si>
    <t>Impact of altering the water table height of an acidic fen on N2O and NO fluxes and soil concentrations</t>
  </si>
  <si>
    <t>delta N-15; delta O-18; fen; NO; N2O; summer drought</t>
  </si>
  <si>
    <t>EXTENSIVELY MANAGED GRASSLAND; GASEOUS NITROGEN-OXIDES; NATURAL-ABUNDANCE; STABLE-ISOTOPES; ONLINE ANALYSIS; CARBON-DIOXIDE; NITRIC-OXIDE; FOREST SOIL; NE BAVARIA; EMISSIONS</t>
  </si>
  <si>
    <t>The impact of experimentally intensified summer drought and precipitation on N2O and NO turnover and fluxes was investigated in a minerotrophic fen over a 2-year period. On three treatment plots, drought was induced for 6 and 10 weeks by means of roofs and drainage and decreased water table levels by 0.1-0.3 m compared with three nonmanipulated control plots. When averaged over the three treatment plots, both N2O and NO emission showed only little response to the drought. On the single plot scale, however, a clear impact of the treatment on N2O and NO fluxes could be identified. On the plot with the weakest water table reduction hardly any response could be observed, while on the plot with the greatest drainage effect, N2O and NO fluxes increased by 530% and 270%, respectively. Rewetting reduced NO emissions to background levels (0.05-0.15 mu mol m(-2) h(-1)), but heavily enhanced N2O emission (18-36 mu mol m(-2) h(-1)) for several days in the plots with largest water table reduction. These peaks contributed up to 40% to the cumulative N2O fluxes and were caused by rapid N2O production according to isotope abundance data. According to N2O concentrations and isotope abundance analysis N2O was mostly produced at depths between 0.3 and 0.5 m. During water table reduction net N2O production in 0.1 m depth steadily increased in the most effectively dried plot from 2 up to 44 pmol cm(-3) day(-1). Rewetting immediately increased net N2O production in the topsoil of the drought plots, showing rates of 18-174 pmol cm(-3) day(-1). This study demonstrates that drought and rewetting can temporarily increase N2O emission to levels that have to date only been reported from nutrient rich and degraded fens that have been drained for agricultural purposes.</t>
  </si>
  <si>
    <t>10.1111/j.1365-2486.2009.02015.x</t>
  </si>
  <si>
    <t>Ohte, N; Koba, K; Yoshikawa, K; Sugimoto, A; Matsuo, N; Kabeya, N; Wang, LH</t>
  </si>
  <si>
    <t>Water utilization of natural and planted trees in the semiarid desert of Inner Mongolia, China</t>
  </si>
  <si>
    <t>delta C-13; delta D; delta O-18; groundwater; Inner Mongolia (China); intrinsic water-use efficiency; natural and planted trees; reforestation; semiarid desert; soil water; stable isotopes; water source; water utilization</t>
  </si>
  <si>
    <t>CARBON ISOTOPE DISCRIMINATION; SUMMER PRECIPITATION; STABLE ISOTOPES; USE EFFICIENCY; RESOURCE-USE; GREAT-BASIN; SOIL-WATER; SAVANNA; WHEAT; WOODY</t>
  </si>
  <si>
    <t>We used stable isotope techniques to investigate water utilization of two native trees, Sabina vulgaris Ant. and Artemisia ordosica Krasch., and one introduced tree, Salix matsudana Koidz., in the semiarid Mu-Us desert, Inner Mongolia, China. The study site was in a region where there has been a decline in agricultural productivity, caused by severe desertification over the past several decades. S. matsudana is used extensively for reforestation to protect farms and cultivated lands from shifting sand dunes. We identified water sources for each tree species by comparing the stable isotopes deltaD and delta(18)O in water in stems, soil, and groundwater. We also measured delta(13)C levels in leaves to evaluate the intrinsic water-use efficiency (WUE) of each plant. Comparison of isotopes showed that S. vulgaris and S. matsudana consume relatively deep soil water as well as groundwater, whereas A. ordosica uses only shallow soil water. The delta(13)C measurements indicated that S. vulgaris has exclusively high WUE, whereas that of the other species was typical of temperate-region C, plants. The water source data plus WUE data suggest that planted S. matsudana uses groundwater freely, whereas native plants conserve water. Thus, reforestation with S. matsudana might cause irreversible groundwater shortages.</t>
  </si>
  <si>
    <t>10.1890/1051-0761(2003)013[0337:WUONAP]2.0.CO;2</t>
  </si>
  <si>
    <t>Guest, MA; Frusher, SD; Nichols, PD; Johnson, CR; Wheatley, KE</t>
  </si>
  <si>
    <t>Trophic effects of fishing southern rock lobster Jasus edwardsii shown by combined fatty acid and stable isotope analyses</t>
  </si>
  <si>
    <t>Effects of fishing; Food webs; Marine protected areas; Stable isotopes; Fatty acids</t>
  </si>
  <si>
    <t>TASMANIAN MARINE RESERVES; SQUID MOROTEUTHIS-INGENS; LIPID-COMPOSITION; STOMACH CONTENTS; NUTRITIONAL CONDITION; EUPHAUSIA-SUPERBA; PANULIRUS-CYGNUS; ANTARCTIC KRILL; PROTECTED-AREA; SPINY LOBSTER</t>
  </si>
  <si>
    <t>The southern rock lobster Jasus edwardsii is a commercial species that has benefited from the complete protection offered by no-take reserves, with higher abundances and larger animals recorded in reserves than in adjacent fished areas. What remains unclear is whether there is any change in the diet of lobsters in reserves, for example, as a result of increased intraspecific competition for food. We used combined chemical tracers to examine the diet of lobsters in fished and reserve areas in 2 bioregions in eastern Tasmania. delta N-15 values of lobsters were richer in fished than in reserve areas, indicating that lobsters eat a greater proportion of food items from higher trophic levels in fished areas. Mixing models suggest that ascidians, sea urchins and the turbinid gastropod were all important food sources for lobsters, but the importance of these food items differed between bioregions. This spatial variability may suggest that the small size of the reserve in one bioregion is inadequate at ensuring the diet of lobsters is protected from fishing pressure, Fatty acid profiles of lobsters supported the importance of these food sources to lobsters. Differences between bioregions, or inside and outside of reserves, were not apparent using fatty acids. The present study highlights that lobster fishing has the capacity to alter the trophic status of prey for generalist predators and suggests that fatty acid analyses may be limited in detecting changes in the dietary composition of such generalist feeders.</t>
  </si>
  <si>
    <t>10.3354/meps08096</t>
  </si>
  <si>
    <t>Clyde, N; Hargan, KE; Forbes, MR; Iverson, SA; Blais, JM; Smol, JP; Bump, JK; Gilchrist, HG</t>
  </si>
  <si>
    <t>Seaduck engineers in the Arctic Archipelago: nesting eiders deliver marine nutrients and transform the chemistry of island soils, plants, and ponds</t>
  </si>
  <si>
    <t>Bio-vectors; Nutrient subsidies; Stable isotopes; Arctic; Islands; Seaduck</t>
  </si>
  <si>
    <t>Seabirds are thought to provide ecological services such as the movement of nutrients between marine and terrestrial ecosystems, which may be especially critical to productivity and diversity in nutrient-poor environments. Most Arctic ecosystems are unaffected by local human impacts and are naturally nutrient poor and especially sensitive to warming. Here, we assessed the effects of nesting common eider ducks (Somateria mollissima) on soil, vegetation, and pond sediments on island archipelagoes in Hudson Strait between Nunavut and Quebec, Canada. Soil, moss, and pond sediments were significantly higher in nitrogen on islands with large numbers of nesting eiders compared to sites with no nesting birds. The highest concentrations of nitrogen in soils and moss occurred at the margins of ponds on eider islands, which correspond to the areas of highest eider use. delta N-15 and delta S-34 values in soils, moss, and sediments indicated substantial marine-derived organic matter inputs at the higher nutrient sites. We propose that by foraging on coastal marine benthic invertebrates and returning to islands to nest, eider ducks bio-transport and concentrate marine-derived nutrients to their colony islands, fertilizing Arctic island ecosystems in the process. As common eiders nest on thousands of low to mid-latitude islands throughout the circumpolar Arctic, these nutrient inputs likely dramatically affect biota and ecosystem functioning throughout the tundra biome.</t>
  </si>
  <si>
    <t>10.1007/s00442-021-04889-9</t>
  </si>
  <si>
    <t>Remien, CH; Adler, FR; Chesson, LA; Valenzuela, LO; Ehleringer, JR; Cerling, TE</t>
  </si>
  <si>
    <t>Deconvolution of isotope signals from bundles of multiple hairs</t>
  </si>
  <si>
    <t>Stable isotope; Mathematical model; Inverse methods</t>
  </si>
  <si>
    <t>STABLE-ISOTOPES; CARBON ISOTOPES; HISTORY; TURNOVER; HYDROGEN; ECOLOGY; GROWTH; OXYGEN</t>
  </si>
  <si>
    <t>Segmental analysis of hair has been used in diverse fields ranging from forensics to ecology to measure the concentration of substances such as drugs and isotopes. Multiple hairs are typically combined into a bundle for segmental analysis to obtain a high-resolution series of measurements. Individual hair strands cycle through multiple phases of growth and grow at different rates when in the growth phase. Variation in growth of hair strands in a bundle can cause misalignment of substance concentration between hairs, attenuating the primary body signal. We developed a mathematical model based on the known physiology of hair growth to describe the signal averaging caused by bundling multiple hairs for segmental analysis. The model was used to form an inverse method to estimate the primary body signal from measurements of a hair bundle. The inverse method was applied to a previously described stable oxygen isotope chronology from the hair of a murder victim and provides a refined interpretation of the data. Aspects of the reconstruction were confirmed when the victim was later identified.</t>
  </si>
  <si>
    <t>10.1007/s00442-014-2945-3</t>
  </si>
  <si>
    <t>Ford, AGP; Ruber, L; Newton, J; Dasmahapatra, KK; Balarin, JD; Bruun, K; Day, JJ</t>
  </si>
  <si>
    <t>Niche divergence facilitated by fine-scale ecological partitioning in a recent cichlid fish adaptive radiation</t>
  </si>
  <si>
    <t>EVOLUTION</t>
  </si>
  <si>
    <t>Alcolapia; ecomorphology; geometric morphometrics; herbivorous diversification; soda lakes; stable isotopes</t>
  </si>
  <si>
    <t>STABLE-ISOTOPE RATIOS; LAKE MAGADI TILAPIA; R-PACKAGE; INTESTINE LENGTH; GENE FLOW; SPECIATION; DIVERSIFICATION; PRESERVATION; OPPORTUNITY; POPULATION</t>
  </si>
  <si>
    <t>Ecomorphological differentiation is a key feature of adaptive radiations, with a general trend for specialization and niche expansion following divergence. Ecological opportunity afforded by invasion of a new habitat is thought to act as an ecological release, facilitating divergence, and speciation. Here, we investigate trophic adaptive morphology and ecology of an endemic clade of oreochromine cichlid fishes (Alcolapia) that radiated along a herbivorous trophic axis following colonization of an isolated lacustrine environment, and demonstrate phenotype-environment correlation. Ecological and morphological divergence of the Alcolapia species flock are examined in a phylogenomic context, to infer ecological niche occupation within the radiation. Species divergence is observed in both ecology and morphology, supporting the importance of ecological speciation within the radiation. Comparison with an outgroup taxon reveals large-scale ecomorphological divergence but shallow genomic differentiation within the Alcolapia adaptive radiation. Ancestral morphological reconstruction suggests lake colonization by a generalist oreochromine phenotype that diverged in Lake Natron to varied herbivorous morphologies akin to specialist herbivores in Lakes Tanganyika and Malawi.</t>
  </si>
  <si>
    <t>10.1111/evo.13072</t>
  </si>
  <si>
    <t>Kuwae, T; Hosoya, J; Ichimi, K; Watanabe, K; Drever, MC; Moriya, T; Elner, RW; Hobson, KA</t>
  </si>
  <si>
    <t>Using stable isotope (delta C-13, delta N-15) values from feces and breath to infer shorebird diets</t>
  </si>
  <si>
    <t>Discrimination factors; Droppings; Blood; Feathers; Tissues</t>
  </si>
  <si>
    <t>DISCRIMINATION FACTORS DELTA-N-15; CARBON ISOTOPES; EXHALED BREATH; NITROGEN; ECOLOGY; CO2; ADVANTAGES; CONSUMER; RATIOS; BIRDS</t>
  </si>
  <si>
    <t>The use of stable isotopes of carbon (delta C-13) and nitrogen (delta N-15) from feces and breath offers potential as non-destructive tools to assess diets and nutrition. How stable isotope values derived from breath and feces compare with those from commonly used tissues, such as blood fractions and liver, remains uncertain, including understanding the metabolic routing of dietary nutrients. Here, we measured delta C-13 and delta N-15 from feces and delta C-13 of breath from captive Red-necked Stints (Calidris ruficollis) and 26 species of wild-caught migratory shorebirds (n = 259 individuals) and compared them against isotopic values from blood and feathers. For captive birds fed either cereal- or fish-based diets, differences in delta C-13 between feces and lipid-free diet were small, - 0.2 +/- 0.5 parts per thousand and 0.1 +/- 0.3 parts per thousand, respectively, and differences in delta N-15, - 0.7 +/- 0.5 parts per thousand and - 0.5 +/- 0.5 parts per thousand, respectively. Hence, delta C-13 and delta N-15 values from feces can serve as proxies for ingested proteinaceous tissues and non-soluble carbohydrates because isotopic discrimination can be considered negligible. Stable isotope values in plasma and feces were strongly correlated in wild-caught shorebirds, indicating feces can be used to infer assimilated macronutrients. Breath delta C-13 was 1.6 +/- 0.8 parts per thousand to 5.6 +/- 1.2 parts per thousand lower than bulk food sources, and breath C derived from lipids was estimated at 47.5% (cereal) to 96.1% (fish), likely underlining the importance of dietary lipids for metabolism. The findings validate the use of stable isotope values of feces and breath in isotopic assays to better understand the dietary needs of shorebirds.</t>
  </si>
  <si>
    <t>10.1007/s00442-022-05257-x</t>
  </si>
  <si>
    <t>Steenweg, RJ; Crossin, GT; Hennin, HL; Gilchrist, HG; Love, OP</t>
  </si>
  <si>
    <t>Favorable spring conditions can buffer the impact of winter carryover effects on a key breeding decision in an Arctic-breeding seabird</t>
  </si>
  <si>
    <t>common eider; corticosterone; foraging; migration; reproduction; stable isotopes; temperature; trade-offs</t>
  </si>
  <si>
    <t>BASE-LINE GLUCOCORTICOIDS; CONDITION-DEPENDENT MODEL; BODY CONDITION; COMMON EIDERS; INDIVIDUAL OPTIMIZATION; SOMATERIA-MOLLISSIMA; REPRODUCTIVE SUCCESS; ENERGETIC CONSTRAINTS; FORAGING BEHAVIOR; MIGRATORY BIRD</t>
  </si>
  <si>
    <t>The availability and investment of energy among successive life-history stages is a key feature of carryover effects. In migratory organisms, examining how both winter and spring experiences carryover to affect breeding activity is difficult due to the challenges in tracking individuals through these periods without impacting their behavior, thereby biasing results. Using common eiders Somateria mollissima, we examined whether spring conditions at an Arctic breeding colony (East Bay Island, Nunavut, Canada) can buffer the impacts of winter temperatures on body mass and breeding decisions in birds that winter at different locations (Nuuk and Disko Bay, Greenland, and Newfoundland, Canada; assessed by analyzing stable isotopes of 13-carbon in winter-grown claw samples). Specifically, we used path analysis to examine how wintering and spring environmental conditions interact to affect breeding propensity (a key reproductive decision influencing lifetime fitness in female eiders) within the contexts of the timing of colony arrival, pre-breeding body mass (body condition), and a physiological proxy for foraging effort (baseline corticosterone). We demonstrate that warmer winter temperatures predicted lower body mass at arrival to the nesting colony, whereas warmer spring temperatures predicted earlier arrival dates and higher arrival body mass. Both higher body mass and earlier arrival dates of eider hens increased the probability that birds would initiate laying (i.e., higher breeding propensity). However, variation in baseline corticosterone was not linked to either winter or spring temperatures, and it had no additional downstream effects on breeding propensity. Overall, we demonstrate that favorable pre-breeding conditions in Arctic-breeding common eiders can compensate for the impact that unfavorable wintering conditions can have on breeding investment, perhaps due to greater access to foraging areas prior to laying.</t>
  </si>
  <si>
    <t>e8588</t>
  </si>
  <si>
    <t>10.1002/ece3.8588</t>
  </si>
  <si>
    <t>Orben, RA; Paredes, R; Roby, DD; Irons, DB; Shaffer, SA</t>
  </si>
  <si>
    <t>Body size affects individual winter foraging strategies of thick-billed murres in the Bering Sea</t>
  </si>
  <si>
    <t>Bering Sea; body size; foraging strategies; geolocation; local adaptation; marine habitats; stable isotopes; Uria lomvia; winter migration</t>
  </si>
  <si>
    <t>PRIBILOF ISLANDS; MARINE PREDATOR; SEXUAL-DIMORPHISM; ISOTOPE RATIOS; URIA-LOMVIA; HABITAT USE; PATTERNS; BEHAVIOR; SEABIRDS; PENGUINS</t>
  </si>
  <si>
    <t>Foraging and migration often require different energetic and movement strategies. Though not readily apparent, constraints during one phase might influence the foraging strategies observed in another. For marine birds that fly and dive, body size constraints likely present a trade-off between foraging ability and migration as smaller bodies reduce flight costs, whereas larger bodies are advantageous for diving deeper. This study examines individual wintering strategies of deep diving thick-billed murres (Uria lomvia) breeding at three colonies in the south-eastern Bering Sea: St Paul, St George and Bogoslof. These colonies, arranged north to south, are located such that breeding birds forage in a gradient from shelf to deep-water habitats. We used geolocation time-depth recorders and stable isotopes from feathers to determine differences in foraging behaviour and diet of murres during three non-breeding periods, 2008-2011. Body size was quantified by a principal component analysis (wing, culmen, head+bill and tarsus length). A hierarchical cluster analysis identified winter foraging strategies based on individual movement, diving behaviour and diet (inferred from stable isotopes). Structural body size differed by breeding island. Larger birds from St Paul had higher wing loading than smaller birds from St George. Larger birds, mainly from St Paul, dove to deeper depths, spent more time in the Bering Sea, and likely consumed higher trophic-level prey in late winter. Three winter foraging strategies were identified. The main strategy, employed by small birds from all three breeding colonies in the first 2years, was characterized by high residency areas in the North Pacific south of the Aleutians and nocturnal diving. In contrast, 31% of birds from St Paul remained in the Bering Sea and foraged mainly during the day, apparently feeding on higher trophic-level prey. Throat feather stable isotopes indicated that individuals exhibited flexibility in the use of this colony-specific foraging strategy. The third strategy only occurred in 2010/2011, when birds dove more and deeper, suggesting limited prey resources. Foraging strategies partitioned with respect to annual differences, presumably in response to shifts in distribution of prey, and were linked to body size. The presence of a colony-specific wintering strategy suggests the potential for overwinter survival differences between these populations.</t>
  </si>
  <si>
    <t>10.1111/1365-2656.12410</t>
  </si>
  <si>
    <t>Querejeta, JI; Estrada-Medina, H; Allen, MF; Jimenez-Osornio, JJ</t>
  </si>
  <si>
    <t>Water source partitioning among trees growing on shallow karst soils in a seasonally dry tropical climate</t>
  </si>
  <si>
    <t>Yucatan; isotopes; resource partitioning; groundwater; rooting depth</t>
  </si>
  <si>
    <t>SUMMER PRECIPITATION; ARCTOSTAPHYLOS-PATULA; ISOTOPE COMPOSITION; STABLE-ISOTOPES; PINUS-JEFFREYI; DEEP ROOTS; FOREST; CARBON; GROUNDWATER; TRANSPIRATION</t>
  </si>
  <si>
    <t>The sources of water used by woody vegetation growing on karst soils in seasonally dry tropical regions are little known. In northern Yucatan ( Mexico), trees withstand 4-6 months of annual drought in spite of the small water storage capacity of the shallow karst soil. We hypothesized that adult evergreen trees in Yucatan tap the aquifer for a reliable supply of water during the prolonged dry season. The naturally occurring concentration gradients in oxygen and hydrogen stable isotopes in soil, bedrock, groundwater and plant stem water were used to determine the sources of water used by native evergreen and drought-deciduous tree species. While the trees studied grew over a permanent water table (9-20 m depth), pit excavation showed that roots were largely restricted to the upper 2 m of the soil/bedrock profile. At the peak of the dry season, the delta O-18 signatures of potential water sources for the vegetation ranged from 4.1 +/- 1.1 parts per thousand in topsoil to -4.3 +/- 0.1 parts per thousand in groundwater. The delta O-18 values of tree stem water ranged from -2.8 +/- 0.3 parts per thousand in Talisia olivae-formis to 0.8 +/- 1 parts per thousand in Ficus cotinifolia, demonstrating vertical partitioning of soil/bedrock water among tree species. Stem water delta O-18 values were significantly different from that of groundwater for all the tree species investigated. Stem water samples plotted to the right of the meteoric water line, indicating utilization of water sources subject to evaporative isotopic enrichment. Foliar delta C-13 in adult trees varied widely among species, ranging from -25.3 +/- 0.3 parts per thousand in Enterolobium cyclocarpum to -28.7 +/- 0.4 parts per thousand in T. olivaeformis. Contrary to initial expectations, data indicate that native trees growing on shallow karst soils in northern Yucatan use little or no groundwater and depend mostly on water stored within the upper 2-3 m of the soil/bedrock profile. Water storage in subsurface soil-filled cavities and in the porous limestone bedrock is apparently sufficient to sustain adult evergreen trees throughout the pronounced dry season.</t>
  </si>
  <si>
    <t>10.1007/s00442-006-0629-3</t>
  </si>
  <si>
    <t>Tue, NT; Nguyen, PT; Quan, DM; Dung, LV; Quy, TD; Nhuan, MT; Thai, ND</t>
  </si>
  <si>
    <t>Sedimentary composition and organic carbon sources in mangrove forests along the coast of northeast Vietnam</t>
  </si>
  <si>
    <t>Stable isotopes; Sedimentation; Sediment texture; Mangroves; Vietnam</t>
  </si>
  <si>
    <t>ACCUMULATION; PROTECTION; GROUNDWATER; CHINA; LAND; PARK</t>
  </si>
  <si>
    <t>The objective of this research was to examine the patterns of sedimentation and sedimentary organic carbon content in mangrove forests along the coast of northeast Vietnam. Stable isotope ratios (delta C-13), C/N ratios, and sediment texture (sediment grain size, sorting, skewness and sediment facies) were analyzed in three sediment cores from different mangrove forests. Results showed that sediments were mainly composed of fine sand, silt, and clay. Mud content decreased from estuarine islets through to the fringe, and to riverine mangrove forests. Total organic carbon (TOC) content, delta C-13 values, and C/N ratios ranged from 0.3 to 6.8%, -30.1 to -24.9 h, and 12 to 42, respectively. Results from bivariate analysis of sedimentary parameters clearly indicated that hydrological energy in the riverine mangrove forest was relatively lower than that observed from the fringe and estuarine islet mangrove forests. Co-variation between delta(13)Cand C/N ratios showed that sedimentary organic carbon in riverine mangrove forests mainly originated from mangrove organic matter, while fringe and estuarine islet mangrove forests tended to accumulate higher proportions of marine phytoplankton. Results underscored the significance of mangrove stands and geomorphological settings in influencing sedimentation and organic carbon burial processes in mangrove sediments. (c) 2017 Elsevier B.V. All rights reserved.</t>
  </si>
  <si>
    <t>10.1016/j.rsma.2017.12.001</t>
  </si>
  <si>
    <t>Novella-Fernandez, R; Ibanez, C; Juste, J; Clare, EL; Doncaster, CP; Razgour, O</t>
  </si>
  <si>
    <t>Trophic resource partitioning drives fine-scale coexistence in cryptic bat species</t>
  </si>
  <si>
    <t>bats; cryptic species; DNA metabarcoding; interspecific competition; molecular diet analysis; Myotis nattereri species complex; species coexistence; trophic partitioning</t>
  </si>
  <si>
    <t>MYOTIS-NATTERERI; PREY SELECTION; FORAGING BEHAVIOR; POPULATION-STRUCTURE; INSECTIVOROUS BATS; SPATIAL SCALES; NICHE; DIET; COMPETITION; CHIROPTERA</t>
  </si>
  <si>
    <t>Understanding the processes that enable species coexistence has important implications for assessing how ecological systems will respond to global change. Morphology and functional similarity increase the potential for competition, and therefore, co-occurring morphologically similar but genetically unique species are a good model system for testing coexistence mechanisms. We used DNA metabarcoding and high-throughput sequencing to characterize for the first time the trophic ecology of two recently described cryptic bat species with parapatric ranges, Myotis escalerai and Myotis crypticus. We collected fecal samples from allopatric and sympatric regions and from syntopic and allotopic locations within the sympatric region to describe the diets both taxonomically and functionally and compare prey consumption with prey availability. The two bat species had highly similar diets characterized by high arthropod diversity, particularly Lepidoptera, Diptera and Araneae, and a high proportion of prey that is not volant at night, which points to extensive use of gleaning. Diet overlap at the prey item level was lower in syntopic populations, supporting trophic shift under fine-scale co-occurrence. Furthermore, the diet of M. escalerai had a marginally lower proportion of not nocturnally volant prey in syntopic populations, suggesting that the shift in diet may be driven by a change in foraging mode. Our findings suggest that fine-scale coexistence mechanisms can have implications for maintaining broad-scale diversity patterns. This study highlights the importance of including both allopatric and sympatric populations and choosing meaningful spatial scales for detecting ecological patterns. We conclude that a combination of high taxonomic resolution with a functional approach helps identify patterns of niche shift.</t>
  </si>
  <si>
    <t>10.1002/ece3.7004</t>
  </si>
  <si>
    <t>Holladay, BA; Norcross, BL</t>
  </si>
  <si>
    <t>August diet of age-0 Pacific halibut in nearshore waters of Kodiak Island, Alaska</t>
  </si>
  <si>
    <t>Hippoglossus stenolepis; flatfish; feeding; abundance; distribution; juvenile</t>
  </si>
  <si>
    <t>CLYDE SEA AREA; PAROPHRYS-VETULUS; NURSERY GROUNDS; ENGLISH SOLE; GROWTH; RECRUITMENT; DYNAMICS; FLATFISH</t>
  </si>
  <si>
    <t>The objective of this study was to describe the diet of age-0 Pacific halibut, Hippoglossus stenolepis, for the inshore waters of Kodiak Island, Alaska during August 1991. Stomach contents were identified from 170 age-0 halibut captured inshore of the eastern and southern coasts of Kodiak Island, and were analyzed in relation to halibut size, location, depth and substrate of capture. One hundred sixty-eight of 170 fish had eaten crustaceans, of which the predominant prey taxa were Mysidacea (34.3%), Cumacea (33.1%), Gammaridea (26.6%) and Caridea (3.9%). In five of six capture locations, mysids and amphipods were predominant prey. In the remaining area, Sitkinak Strait, cumaceans were the primary food source. At depths less than 10 m, mysids were the predominant prey taxa. Gammarid amphipods were of primary importance at depths of 10-30 m. Halibut captured from 30-70 m fed mainly on cumaceans. Cumaceans and gammarid amphipods were consumed by halibut caught on gravel substrate. Fish caught on substrates of sand and mud fed mainly on mysids and amphipods. Cumaceans were also consumed on sandy substrates. Fish less than or equal to 45 mm fed on cumaceans. An ontogenetically related shift in diet occurred at 46-55 mm TL, at which size the halibut's primary prey began to shift from cumaceans to mysids. Fish of 46-75 mm consumed increasingly greater proportions of mysids, amphipods and shrimps. The diet of age-0 Pacific halibut along the Kodiak coast during August was related to predator size, and location, depth, and substrate type of capture.</t>
  </si>
  <si>
    <t>10.1007/BF00008255</t>
  </si>
  <si>
    <t>Sandoval, LA; Mancera-Pineda, JE; Leal-Florez, J; Blanco-Libreros, JF; Delgado-Huertas, A</t>
  </si>
  <si>
    <t>Mangrove carbon sustains artisanal fish and other estuarine consumers in a major mangrove area of the southern Caribbean Sea</t>
  </si>
  <si>
    <t>Colombia; Gulf of Uraba; Atrato River Delta; Carbon; Nitrogen; Stable isotope analysis; Pathway; MixSIAR</t>
  </si>
  <si>
    <t>FOOD-WEB STRUCTURE; STABLE-ISOTOPE ANALYSIS; JUVENILE REEF FISH; RESOURCE UTILIZATION; PRIMARY PRODUCERS; ORGANIC-MATTER; TROPHIC LEVELS; PUERTO-RICO; NITROGEN; HABITATS</t>
  </si>
  <si>
    <t>Estuaries are highly productive habitats that support fisheries production. However, the importance of mangrove carbon to estuarine consumers can differ considerably among systems. In this study, we used stable isotopes (delta C-13, delta N-15) to investigate the importance of mangrove carbon as an energy source to estuarine consumers in the Atrato River Delta, Colombia, an area where fringing mangroves dominate the coastline and where other productive coastal habitats that may otherwise support the food web are absent. Basal resources and consumers were collected from mangrove and nearshore habitats during the rainy season. Results revealed a food web with a maximum length of 4.6 trophic positions. Bayesian mixing models indicated that most consumers used a mixture of basal sources, which suggests intertwined energetic pathways. However, mixing models also indicated that some species relied more heavily on some basal sources than others and revealed trophic pathways (food chains). Mangrove carbon directly supported herbivorous crabs (Sesarmidae) and indirectly supported planktivorous fish (Engraulidae) and piscivorous fish. Mangrove carbon also contributed significantly to the diet of 2 of the most common fish species in the local artisanal fishery: Centropomus undecimalis (mean: 46 %; credibility interval [CI]: 1-80%) and C. pectinatus (mean: 33 %; CI: 1-78 %). Our findings highlight that mangrove carbon can be an important food source in areas without other productive coastal habitats and can play an important role in sustaining the production of fisheries.</t>
  </si>
  <si>
    <t>10.3354/meps13910</t>
  </si>
  <si>
    <t>Kurle, CM; McWhorter, JK</t>
  </si>
  <si>
    <t>Spatial and temporal variability within marine isoscapes: implications for interpreting stable isotope data from marine systems</t>
  </si>
  <si>
    <t>delta C-13; delta N-15; Stable isotope analysis; Ecogeochemistry; Foraging ecology; Southern California Bight; California Current; Pacific Ocean</t>
  </si>
  <si>
    <t>PARTICULATE ORGANIC-MATTER; SOUTHERN CALIFORNIA BIGHT; SEASONAL VARIABILITY; CALLORHINUS-URSINUS; PLANKTON DELTA-C-13; SINKING PARTICLES; BERING-SEA; NITROGEN; CARBON; PATTERNS</t>
  </si>
  <si>
    <t>Analyses of intrinsic biogeochemical markers, such as stable carbon (delta C-13) and nitrogen (delta N-15) isotopes, in animal tissues are used to investigate multiple ecological parameters for marine species. Their successful application relies on a mechanistic understanding of isotopic variations at the base of the food web because those variations influence isotope values in higher trophic level species. To better determine the potential for and mechanisms driving spatial and temporal changes in isotope values from an oceanographically complex nearshore marine system, we (1) constructed fine-scale delta C-13 and delta N-15 isoscapes of the Southern California Bight (SCB) using isotope values from particulate organic matter (POM) collected over 5 seasons from +/- 30 stations and (2) related the isotope data to geographic, seasonal, and oceanographic parameters collected from the same stations via a multimodel procedure and regression analyses. Important variables for predicting the delta C-13 and delta N-15 values from the POM included chlorophyll a, latitude, and season, and longitude, season, nitrate, and oxygen, respectively. We related these variables to seasonal shifts in nutrients most pronounced around localized eddies that concentrate upwelling. The potential for such variability should be considered when interpreting small-scale geographic and/or seasonal patterns in isotope data from species in the SCB and other dynamic coastal waters. However, the overall isotopic variability for the SCB was relatively low, with mean (+/- SD) delta C-13 and delta N-15 values of-22.7 +/- 2.0% and 8.0 +/- 1.5%, respectively, allowing for isotopic categorization of the SCB and comparison with other Eastern Pacific coastal areas to better understand larger-scale animal migration patterns, foraging ecology, and habitat use.</t>
  </si>
  <si>
    <t>10.3354/meps12045</t>
  </si>
  <si>
    <t>Herring, G; Eagles-Smith, C; Buck, JA; Shiel, AE; Vennum, CR; Emery, C; Johnson, B; Leal, D; Heath, JA; Dudek, B; Preston, C; Woodbridge, B</t>
  </si>
  <si>
    <t>The lead (Pb) lining of agriculture-related subsidies: enhanced Golden Eagle growth rates tempered by Pb exposure</t>
  </si>
  <si>
    <t>agricultural pest management; Aquila chrysaetos; bullet fragments; delta-aminolevulinic acid dehydratase; ecotoxicology; lead exposure; lead isotopes; recreational shooting; western United States</t>
  </si>
  <si>
    <t>ACID DEHYDRATASE ACTIVITY; AQUILA-CHRYSAETOS; GROUND-SQUIRRELS; BREEDING SUCCESS; PREY ABUNDANCE; TOP PREDATORS; LAND-USE; AMMUNITION; CALIFORNIA; BLOOD</t>
  </si>
  <si>
    <t>Supplementary food resources (e.g., subsidies) associated with agriculture can benefit wildlife species, increasing predictability and availability of food. Avian scavengers including raptors often utilize subsidies associated with both recreational hunting and pest shooting on agricultural lands. However, these subsidies can contain lead (Pb) fragments if they are culled with Pb-based ammunition, potentially leading to Pb poisoning and physiological impairment in wildlife. Nesting Golden Eagles (Aquila chrysaetos) commonly forage in agricultural lands during the breeding season, and therefore, both adults and their nestlings are susceptible to Pb exposure from scavenging shot wildlife. We assessed drivers of Pb exposure in 258 nestling Golden Eagles (401 total blood samples), along with physiological and growth responses, in agricultural lands across four western states in the United States. We also evaluated the birds' Pb stable isotope signatures to inform exposure sources. Twenty-six percent of Golden Eagle nestlings contained Pb concentrations associated with subclinical poisoning for sensitive species (0.03-0.2 mu g/g ww), 4% had Pb concentrations that exceeded subclinical poisoning benchmarks (0.2-0.5 mu g/g ww), and &lt;1% exceeded either concentrations associated with clinical poisoning (0.5-1.0 mu g/g ww) and or those deemed to cause severe clinical poisoning (&gt;1.0 mu g/g ww). Lead concentrations were highest in nestlings with close proximity to fields that potentially provided subsidies and declined exponentially as distance to subsidies increased. However, close proximity to agriculture, and presumably subsidies, positively influenced nestling growth rates. Across the range of Pb exposure, nestlings experienced a 67% reduction in delta-aminolevulinic acid dehydratase (delta-ALAD) activity, suggesting nestlings may have been anemic or experiencing cellular damage. Isotopic ratios of Pb-206/Pb-207 increased non-linearly with increasing blood Pb in Golden Eagle nestlings, and 45% of the birds were consistent with those of ammunition. However, above 0.10 mu g/g ww, the proportion associated with ammunition increased to 89% of the nestlings. An improved understanding of how these positive (growth) and negative (physiology) effects associated with proximity to subsidies interact would be beneficial to managers when considering management scenarios and potentially evaluating any measures taken to reduce Pb exposure across the landscape.</t>
  </si>
  <si>
    <t>10.1002/ecs2.3006</t>
  </si>
  <si>
    <t>Morimoto, J; Pietras, Z</t>
  </si>
  <si>
    <t>Strong foraging preferences for Ribes alpinum (Saxifragales: Grossulariaceae) in the polyphagous caterpillars of Buff-tip moth Phalera bucephala (Lepidoptera: Notodontidae)</t>
  </si>
  <si>
    <t>diet breadth; ecological specialization; niche; polyphagy; range shift</t>
  </si>
  <si>
    <t>INSECT HERBIVORES; GENERALIST; SPECIALIST; CONSERVATION; EVOLUTION; PLANTS</t>
  </si>
  <si>
    <t>Herbivorous insects such as butterflies and moths are essential to natural and agricultural systems due to pollination and pest outbreaks. However, our knowledge of butterflies' and moths' nutrition is fragmented and limited to few common, charismatic, or problematic species. This gap precludes our complete understanding of herbivorous insects' natural history, physiological and behavioral adaptations that drive how species interact with their environment, the consequences of habitat fragmentation and climate change to invertebrate biodiversity, and pest outbreak dynamics. Here, we first report a population of the Buff-tip moth Phalera bucephala (Lepidoptera: Notodontidae) feeding on a previously unknown family of host plants, the mountain currant Ribes alpinum (Saxifragales: Grossulariaceae). This is the first report of a Notodontid moth feeding on Grossulariaceae hosts. Using no-choice and choice assays, we showed that P. bucephala has strong foraging preferences for a previously unknown hosts, the R. alpinum but also, although to a smaller extent, R. uva-crispa compared with a previously known host (the Norway maple Acer sp.). These findings demonstrate that P. bucephala feed on-and show strong preference for Grossulariaceae host plants, indicating flexible physiological mechanisms to accommodate hosts plants from various families. This makes this species a potential model organism to study the behavioral and physiological mechanisms underpinning insect-plant interactions and diet breadth evolution. We discuss the broad ecological implications of these observations to the biology of the species, the potential negative effects of interspecific competition with endemic specialist moths, and highlight questions for future research.</t>
  </si>
  <si>
    <t>10.1002/ece3.6981</t>
  </si>
  <si>
    <t>Reynolds, SJ; Hughes, BJ; Wearn, CP; Dickey, RC; Brown, J; Weber, NL; Weber, SB; Paiva, VH; Ramos, JA</t>
  </si>
  <si>
    <t>Long-term dietary shift and population decline of a pelagic seabird-A health check on the tropical Atlantic?</t>
  </si>
  <si>
    <t>Ascension Island; bio-indicators; carbon-13; marine ecosystem function; nitrogen-15; Onychoprion fuscatus; sooty tern; South Atlantic; stable isotope</t>
  </si>
  <si>
    <t>ASCENSION-ISLAND; ONYCHOPRION-FUSCATUS; STABLE-ISOTOPES; DELTA-C-13; FISH; FOOD; DELTA-N-15; VALUES; OCEAN; TUNA</t>
  </si>
  <si>
    <t>In the face of accelerating ecological change to the world's oceans, seabirds are some of the best bio-indicators of marine ecosystem function. However, unravelling ecological changes that pre-date modern monitoring programmes remains challenging. Using stable isotope analysis of feathers and regurgitants collected from sooty terns (Onychoprion fuscatus) nesting at a major Atlantic colony, we reconstructed a long-term dietary time series from 1890 to the present day and show that a significant dietary shift occurred during the second half of the twentieth century coinciding with an apparent population collapse of approximately 84%. After correcting for the Suess Effect, delta C-13 in feathers declined by similar to 1.5 parts per thousand and delta N-15 by similar to 2 parts per thousand between the 1890s and the present day, indicating that birds changed their diets markedly over the period of population decline. Isotopic niches were equally wide before and after the population collapse but isotopic mixing models suggest that birds have grown ever more reliant on nutrient-poor squid and invertebrates as teleost fish have declined in availability. Given that sooty terns rely heavily on associations with sub-surface predators such as tuna to catch fish prey, the rapid expansion of industrialized fisheries for these species over the same period seems a plausible mechanism. Our results suggest that changes to marine ecosystems over the past 60 years have had a dramatic impact on the ecology of the most abundant seabird of tropical oceans, and highlight the potentially pervasive consequences of large predatory fish depletion on marine ecosystem function.</t>
  </si>
  <si>
    <t>10.1111/gcb.14560</t>
  </si>
  <si>
    <t>Beltran, RS; Kilpatrick, AM; Breed, GA; Adachi, T; Takahashi, A; Naito, Y; Robinson, PW; Smith, WO; Kirkham, AL; Burns, JM</t>
  </si>
  <si>
    <t>Seasonal resource pulses and the foraging depth of a Southern Ocean top predator</t>
  </si>
  <si>
    <t>phenology; seasonality; predation; consumption; trade-off; climate change</t>
  </si>
  <si>
    <t>DIVING BEHAVIOR; MARINE PREDATOR; MCMURDO SOUND; SEA-ICE; CLIMATE-CHANGE; WEDDELL SEALS; BOTTOM-UP; PACK ICE; ROSS SEA; KRILL</t>
  </si>
  <si>
    <t>Seasonal resource pulses can have enormous impacts on species interactions. In marine ecosystems, air-breathing predators often drive their prey to deeper waters. However, it is unclear how ephemeral resource pulses such as near-surface phytoplankton blooms alter the vertical trade-off between predation avoidance and resource availability in consumers, and how these changes cascade to the diving behaviour of top predators. We integrated data on Weddell seal diving behaviour, diet stable isotopes, feeding success and mass gain to examine shifts in vertical foraging throughout ice break-out and the resulting phytoplankton bloom each year. We also tested hypotheses about the likely location of phytoplankton bloom origination (advected or produced in situ where seals foraged) based on sea ice break-out phenology and advection rates from several locations within 150 km of the seal colony. In early summer, seals foraged at deeper depths resulting in lower feeding rates and mass gain. As sea ice extent decreased throughout the summer, seals foraged at shallower depths and benefited from more efficient energy intake. Changes in diving depth were not due to seasonal shifts in seal diets or horizontal space use and instead may reflect a change in the vertical distribution of prey. Correspondence between the timing of seal shallowing and the resource pulse was variable from year to year and could not be readily explained by our existing understanding of the ocean and ice dynamics. Phytoplankton advection occurred faster than ice break-out, and seal dive shallowing occurred substantially earlier than local break-out. While there remains much to be learned about the marine ecosystem, it appears that an increase in prey abundance and accessibility via shallower distributions during the resource pulse could synchronize life-history phenology across trophic levels in this high-latitude ecosystem.</t>
  </si>
  <si>
    <t>10.1098/rspb.2020.2817</t>
  </si>
  <si>
    <t>Dawson, JP; Claridge, AW; Triggs, B; Paull, DJ</t>
  </si>
  <si>
    <t>Diet of a native carnivore, the spotted-tailed quoll (Dasyurus maculatus), before and after an intense wildfire</t>
  </si>
  <si>
    <t>GROUND-DWELLING MAMMALS; PSEUDOCHEIRUS-PEREGRINUS; FIRE; TIME; ABUNDANCE; POSSUMS; SEASON; SEX</t>
  </si>
  <si>
    <t>The relationship between the diet of the spotted-tailed quoll ( Dasyurus maculatus) and the abundance of its prey was investigated in rain-shadow woodland habitat in southern New South Wales for one year before and two years after a high-intensity, broad-scale wildfire. Scats were variously collected from quoll latrines and live-trapped animals during winter for each of the three years and analysed to determine prey items. Estimates of abundance of key grounddwelling and arboreal medium- sized mammals were simultaneously obtained using plot-based survey techniques and spotlighting. Over the duration of the study, quoll diet was dominated by medium- sized mammals, particularly brushtail possums ( Trichosurus spp.) and lagomorphs ( rabbit and hare), followed by small and large-sized mammals. After the fire there was a shift in utilisation of food resources in response to significant changes in prey availability. Monitoring revealed that brushtail possums, lagomorphs and bandicoots were all significantly less abundant in the winter following the fire, and populations of lagomorphs, but not possums, then increased in the second winter after the fire. Quolls adapted to this by taking significantly more lagomorphs in each of the two years after the fire and by taking advantage of a short-term increase in the availability of carrion. The results of this study reaffirm that the spotted-tailed quoll is adaptable in its utilisation of available food, and that fires are not necessarily detrimental to the species and its prey base.</t>
  </si>
  <si>
    <t>10.1071/WR05101</t>
  </si>
  <si>
    <t>Matsuzaki, SS; Mabuchi, K; Takamura, N; Hicks, BJ; Nishida, M; Washitani, I</t>
  </si>
  <si>
    <t>Stable isotope and molecular analyses indicate that hybridization with non-native domesticated common carp influence habitat use of native carp</t>
  </si>
  <si>
    <t>CYPRINUS-CARPIO; FOOD WEBS; TROPHIC POSITION; LAKE; DELTA-N-15; CARBON; L.; BIODIVERSITY; CONSEQUENCES; POLYMORPHISM</t>
  </si>
  <si>
    <t>Hybridization between native and non-native species has consequences for survival and growth rates of hybrid offspring, but the influences on their functional roles such as habitat use are little studied and poorly understood. The Japanese native common carp Cyprinus carpio coexist and hybridize with non-native domesticated carp in natural Japanese lakes. We have combined stable isotope and molecular information to examine whether habitat use of carp varies depending on the degree of hybridization between native and non-native carp. We sampled 69 carp from Lake Kasumigaura where hybrid swarms between native and non-native carp are advancing, evaluated the degree of hybridization for each individual by genotyping five single nucleotide polymorphism (SNP) markers, and analyzed their carbon and nitrogen stable isotopes. Although we did not find any genetically pure native carp in the lake, the results showed that carp delta 13C increased with increasing frequency of non-native alleles but that delta 15N did not change. This indicates that non-native carp use the littoral zone more frequently than native carp. This difference in habitat use was supported by a multisource mixing model, showing that the contribution of limnetic primary consumers to the diets of non-native carp was lower than that of individuals with the highest frequency of native alleles. By combining two very different methods, our results thus suggest that multiple-generation hybridization can influence habitat and resource use. Habitat partitioning should be considered when evaluating the genetic impacts of invasive species and races on native species and ecosystem processes.</t>
  </si>
  <si>
    <t>10.1111/j.1600-0706.2009.18076.x</t>
  </si>
  <si>
    <t>Isbell, F; Loreau, M</t>
  </si>
  <si>
    <t>Sustainability of Human Ecological Niche Construction</t>
  </si>
  <si>
    <t>agriculture; human health; niche theory</t>
  </si>
  <si>
    <t>HUMAN APPROPRIATION; PATTERNS; MODELS</t>
  </si>
  <si>
    <t>Humans influence and depend on natural systems worldwide, creating complex societal-ecological feedbacks that make it difficult to assess the long-term sustainability of contemporary human activities. We use ecological niche theory to consider the short-term (transient) and long-term (equilibrium) effects of improvements in health, agriculture, or efficiency on the abundances of humans, our plant and animal resources, and our natural enemies. We also consider special cases of our model where humans shift to a completely vegetarian diet, or completely eradicate natural enemies. We find that although combinations of health, agriculture, and efficiency improvements tend to support more people and plant resources, they also result in more natural enemies and fewer animal resources. Considering each of these improvements separately reveals that they lead to different, and sometimes opposing, long-term effects. For example, health improvements can reduce pathogen abundances and make it difficult to sustain livestock production, whereas agricultural improvements tend to counterbalance these effects. Our exploratory analysis of a deliberately simple model elucidates trade-offs and feedbacks that could arise from the cascading effects of human activities.</t>
  </si>
  <si>
    <t>10.5751/ES-06395-190145</t>
  </si>
  <si>
    <t>Schweiger, JMI; Kemnade, C; Bidartondo, MI; Gebauer, G</t>
  </si>
  <si>
    <t>Light limitation and partial mycoheterotrophy in rhizoctonia-associated orchids</t>
  </si>
  <si>
    <t>Neottia ovata; Ophrys insectifera; Orchidaceae; Stable isotopes; Mycoheterotrophy; Mycorrhiza</t>
  </si>
  <si>
    <t>STABLE-ISOTOPE SIGNATURES; NATURAL-ABUNDANCE; CARBON GAINS; NITROGEN; PLANT; ERICACEAE; PATTERNS; RATIOS; FUNGI; GREEN</t>
  </si>
  <si>
    <t>Partially mycoheterotrophic (PMH) plants obtain organic molecules from their mycorrhizal fungi in addition to carbon (C) fixed by photosynthesis. Some PMH orchids associated with ectomycorrhizal fungi have been shown to flexibly adjust the proportion of organic molecules obtained from fungi according to the habitat's light level. We hypothesise that Neottia ovata and Ophrys insectifera, two orchids associated with saprotrophic rhizoctonia fungi, are also able to increase uptake of organic molecules from fungi as irradiance levels decrease. We continuously measured light availability for individuals of N. ovata and O. insectifera at a grassland and a forest during orchid flowering and fruiting. We repeatedly sampled leaves of N. ovata, O. insectifera and autotrophic reference species for stable isotope natural abundances (C-13, N-15, H-2, O-18) and C and N concentrations. We found significant C-13 enrichment in both orchids relative to autotrophic references at the forest but not the grassland, and significant H-2 enrichment at both sites. The C-13 enrichment in O. insectifera was linearly correlated with the habitat's irradiance levels. We conclude that both species can be considered as PMH and at least in O. insectifera, the degree of partial mycoheterotrophy can be fine-tuned according to light availability. However, exploitation of mycorrhizal fungi appears less flexible in saprotroph-associated orchids than in orchids associated with ectomycorrhizal fungi.</t>
  </si>
  <si>
    <t>10.1007/s00442-019-04340-0</t>
  </si>
  <si>
    <t>Wu, LB; Liu, XD; Fu, PQ; Xu, LQ; Wang, XY; Sun, Y; Li, YL</t>
  </si>
  <si>
    <t>Identification and stable isotope analyses of flying fish scales from ornithogenic sediments at three islands in the South China Sea</t>
  </si>
  <si>
    <t>delta C-13; delta N-15; Spawning behavior; Historical data; Suess effect</t>
  </si>
  <si>
    <t>GREAT-BARRIER-REEF; TROPHIC POSITION; CARBON ISOTOPES; DELTA-N-15 ANALYSIS; TROPICAL SEABIRDS; FOOD-WEB; DELTA-C-13; TEMPERATURE; OCEAN; DYNAMICS</t>
  </si>
  <si>
    <t>Flying fish scales were recovered from ornithogenic sediments at 3 coral islands in Qilian Yu, Xisha Islands, South China Sea, and identified based on species-specific morphological structures. Stable isotope analyses indicated insignificant changes in the ratio of C-13 to C-12 (delta C-13) and the ratio of N-15 to N-14 (delta N-15) in scales dating from the period similar to 1000 to 1850 AD, reflecting the stability of avian community structures and feeding habits of tropical seabirds on Qilian Yu where they have consistently preyed on flying fish. Compared with data from modern flying fish samples, we found d15N did not change, while d13C declined by about 1.9% from historical times to the present, but this change can be associated with the Suess effect (decrease of atmospheric delta C-13 caused by fossil-fuel burning). A strong negative correlation was found between delta C-13 and delta N-15 in the historical flying fish scales, which was attributed to the natural spawning behavior of the fish, i.e. adult fish move to inshore areas to spawn; the weak positive correlation previously observed in modern samples is a result of larger sampling areas and possible human disturbances.</t>
  </si>
  <si>
    <t>10.3354/meps12382</t>
  </si>
  <si>
    <t>Mounier, F; Loizeau, V; Pecquerie, L; Drouineau, H; Labadie, P; Budzinski, H; Lobry, J</t>
  </si>
  <si>
    <t>Dietary bioaccumulation of persistent organic pollutants in the common sole Solea solea in the context of global change. Part 2: Sensitivity of juvenile growth and contamination to toxicokinetic parameters uncertainty and environmental conditions variability in estuaries</t>
  </si>
  <si>
    <t>Gironde estuary; Solea solea; DEB model; TK model; CB153; PFOS; sensitivity analysis</t>
  </si>
  <si>
    <t>PERFLUOROOCTANE SULFONATE PFOS; PERFLUOROALKYL SUBSTANCES; POLYCHLORINATED-BIPHENYLS; TISSUE DISTRIBUTION; CONDITION INDEXES; TROPHIC TRANSFER; RISK-ASSESSMENT; NURSERY AREAS; TAGUS ESTUARY; FISH</t>
  </si>
  <si>
    <t>The amount of potentially toxic chemicals in a fish depends on various environmental factors, such as temperature and feeding ecology, which can be affected by Global Changes (GC). The main objective of the present work was to study the relative influence of temperature, food quality and food availability on the growth and contamination of juveniles of common sole (Solea solea), a marine flatfish species known to be a relevant indicator of the nursery quality. It focuses on two Persistent Organic Pollutants (CB153 and L-PFOS) of legacy and emerging concern, respectively. To achieve this, we used a toxicokinetic (TK) model in which toxicant flows are mechanistically predicted using a bioenergetic model based on the Dynamic Energy Budget (DEB) theory. This modelling framework was applied to juvenile sole from the Gironde estuary (SW France) and allows accounting for the influence of environmental conditions on fish biological processes involved in toxicant fluxes. To compare their respective influence on model predictions of age, length, and contamination at puberty, we included in a global sensitivity analysis: (1) environmental variability gathered from literature for this particular estuary and (2) TK parameters (i.e. assimilation efficiency AE and elimination rate (k) over dot(e)) variability and uncertainty gathered from literature about each contaminant but for different fish species and experimental conditions. Then, model predictions were confronted to fish contamination measurements from the Gironde Estuary with different combinations of TK parameter values from literature. Results highlighted a key role of diet composition on fish contamination and growth while water temperature only affected growth. It stressed the need to focus on GC impact on benthic communities and their consequences on juvenile fish diet for future work on GC scenarios. Furthermore, for both chemical, the range of variability of TK parameters from experiments led to underestimated fish contaminations. The best model fits were obtained using TK parameter values from model applications: from Mounier et al. for CB153 (Solea solea, experiment, AE= 0.8 and =0 d(-1)) and from de Vos et al. (2008) for PFOS (food chain of the Western Scheldt estuary, The Netherlands, AE = 0.8 and (k) over dot(e)=0.8 10(-2) d(-1)).</t>
  </si>
  <si>
    <t>10.1016/j.ecolmodel.2020.109196</t>
  </si>
  <si>
    <t>Kiffney, PM; Naman, SM; Cram, JM; Liermann, M; Burrows, DG</t>
  </si>
  <si>
    <t>Multiple pathways of C and N incorporation by consumers across an experimental gradient of salmon carcasses</t>
  </si>
  <si>
    <t>assimilation; decomposition; feeding guild; fish; invertebrates; N and C stable isotopes; Pacific salmon carcasses; resource subsidy; salmon organic matter; streams; trophic level</t>
  </si>
  <si>
    <t>MARINE-DERIVED NUTRIENTS; JUVENILE COHO SALMON; STABLE-ISOTOPE RATIOS; PACIFIC SALMON; BODY-SIZE; FOOD WEBS; ONCORHYNCHUS SPP.; TROPHIC ECOLOGY; HABITAT QUALITY; SOCKEYE-SALMON</t>
  </si>
  <si>
    <t>Numerous studies link resource subsidies to consumers, yet manipulations of subsidy gradients are rare, limiting our ability to predict their effects. We measured natural abundance levels of the stable isotopes of carbon (delta C-13) and nitrogen (delta N-15) in consumers representing two taxonomic (invertebrates, fish) and multiple trophic groups (primary, secondary, and tertiary consumers) exposed to a gradient of Pacific salmon carcasses (0-4 kg/m(2), eight treatment levels) in 16 experimental streams from September to December. We hypothesized (1) that consumer delta C-13 and delta N-15 values would increase with carcass loading and (2) that these relationships would vary among consumers and trophic levels. Within taxonomic groups, both delta C-13 and delta N-15 values increased with carcass loading indicating direct consumption of salmon organic matter (delta C-13 increase) and indirectly by consumption of salmon-enriched prey (delta N-15 increase). The relative importance of these two pathways for invertebrates primary consumers varied with carcass loading, with an abrupt increase in direct consumption above similar to 0.5 kg/m(2) salmon carcass wet mass. Both the rates of delta C-13 and delta N-15 increase and the shape of the response to the carcass gradient varied among invertebrates. The only fish that responded positively to carcasses was a small benthic, secondary consumer, and only for delta C-13. Overall, benthic invertebrate primary consumers were the dominant pathway by which salmon organic matter entered the trophic system, followed by benthic secondary consumers, and then tertiary consumers (juvenile coho salmon and cutthroat trout) that occupy the water column. The attenuating response to subsidies at higher trophic levels was possibly due to a combination of low decomposition and metabolic rates during fall and winter, composition of the subsidy, and habitat use. Our results demonstrate that decomposing salmon carcasses provide variable but potentially important sources of C (range: similar to 0-60%) and N (range: similar to 0-35%) supporting benthic consumers during fall and winter, when environmental conditions constrain primary productivity, with some evidence of saturation at carcass loadings &gt;0.1-0.6 kg/m(2). Furthermore, stable isotope analysis showed that consumers exploited salmon organic matter in different ways, potentially alleviating competition and allowing for a more efficient processing of this resource subsidy.</t>
  </si>
  <si>
    <t>e02197</t>
  </si>
  <si>
    <t>10.1002/ecs2.2197</t>
  </si>
  <si>
    <t>Loeuille, N</t>
  </si>
  <si>
    <t>Consequences of adaptive foraging in diverse communities</t>
  </si>
  <si>
    <t>adaptative foraging; complex adaptive systems; diffuse co-evolution; food web structure; metacommunity; optimal foraging</t>
  </si>
  <si>
    <t>FOOD-WEB STRUCTURE; MEDIATED INDIRECT INTERACTIONS; PREY BODY-SIZE; RAPID EVOLUTION; SPECIES INTERACTIONS; TROPHIC INTERACTIONS; GENETIC-VARIATION; POPULATION-SIZE; CLIMATE-CHANGE; GLOBAL CHANGE</t>
  </si>
  <si>
    <t>P&gt;1. Selective pressures acting on foraging activities constrain the strength of interaction, hence the stability and energetic availability in food webs. 2. Because such selective pressures are usually measured at the individual level and because most experimental and theoretical works focus on simple settings, linking adaptive foraging with community scale patterns is still a far stretch. 3. Some recent models incorporate foraging adaptation in diverse communities. The models vary in the way they incorporate adaptation, via evolutionary or behavioural changes, and define individual fitness in various ways. 4. In spite of these differences, some general results linking adaptation to community structure and functioning emerge. In the present article, I introduce these different models and highlight their common results. 5. Adaptive foraging provides stability to large food web models and predicts successfully interaction patterns within food webs as well as other topological features such as food chain length. 6. The relationships between adaptive foraging and other structuring factors particularly depend on how well connected the local community is with surrounding communities (metacommunity aspect).</t>
  </si>
  <si>
    <t>10.1111/j.1365-2435.2009.01617.x</t>
  </si>
  <si>
    <t>Prasad, MBK; Kumar, A; Ramanathan, AL; Datta, DK</t>
  </si>
  <si>
    <t>Sources and dynamics of sedimentary organic matter in Sundarban mangrove estuary from Indo-Gangetic delta</t>
  </si>
  <si>
    <t>Sundarban mangrove; Organic carbon; Stable isotopes; Lignin phenols; Three end-member mixing model</t>
  </si>
  <si>
    <t>Introduction: Mangrove forests are highly productive ecosystems distributed along the tropical coast line. Nutrient biogeochemistry of mangroves are primarly driven by both allochthonous and autochthonous sources. Characterization of organic matter in coastal ecosystems enables to understand the biogeochemical transformation of organic matter and its influence on ecosystem productivity in response to various changing environmental conditions. Therefore, the elemental and stable carbon and nitrogen levels were employed to understand the organic matter (OM) dynamics in the Sundarban mangrove ecosystem (India-Bangladesh). Results: Differences in stable isotope values indicate that variable sources influence the OM dynamics in Sundarban sediments. The progressive enrichment in delta 13C levels along the land-coastal continuum indicates that the terrestrial and marine inputs are dominant at the landward and seaward ends, respectively. The CuO oxidation-derived lignin phenol monomers describe significant levels of total lignin are preserved in Sundarban mangrove sediments during diagenesis. The phenol monomer ratios are lower than the plant litter explaining that aromatic ring cleavage is the dominant mechanism for the lignin degradation. Furthermore, the Ad/Al ratios were higher than the plant litter explaining the oxidation of propyl side chain of vascular OM influencing the carbon cycling in Sundarban sediments. Largely, the Ad/Al ratios describe the vascular OM degradation is through the oxidation of propyl side chain. Conclusions: The regional variability in land-use regulates the spatial variability in C, N, OC/TN ratio, delta 13C and delta 15N between the Indian and the Bangladesh Sundarban mangroves and indicates that in the upstream terrestrial organic matter and/or mangrove plant litter contribute significant amount of organic matter, whereas the marine POC influences the organic matter dynamics in downstream. The three end-member mixing model applying terrestrial plant litter, seston, and marine POC as end-members explains the relative contribution of OM from various sources, and marine inputs were dominant in Sundarban sediments.</t>
  </si>
  <si>
    <t>10.1186/s13717-017-0076-6</t>
  </si>
  <si>
    <t>Sen, S; Chakraborty, SK; Vivekanandan, E; Zacharia, PU; Jaiswar, AK; Dash, G; Bharadiya, SA; Gohel, JK</t>
  </si>
  <si>
    <t>Feeding habits of milk shark, Rhizoprionodon acutus (Ruppell, 1837) in the Gujarat coastal waters of north-eastern Arabian Sea</t>
  </si>
  <si>
    <t>Diet shift; Ontogenetic changes; Prey preference; Feeding behaviour</t>
  </si>
  <si>
    <t>CARCHARHINUS-PLUMBEUS; GALEOCERDO-CUVIER; SANDBAR SHARK; DAILY RATION; TIGER SHARK; FOOD-HABITS; DIET; BEHAVIOR; BAY; AUSTRALIA</t>
  </si>
  <si>
    <t>The feeding habit of milk shark Rhizoprionodon acutus was investigated in 684 specimens collected along Gujarat coast (India) of north-eastern Arabian Sea from January 2013 to December 2014. The length range of females was 32-89.6 cm and males 33.5-89 cm. The shark foraged on diversified prey items which were pooled into four distinct groups i.e., teleosts, crustaceans, mollusks and annelids. Teleosts (Dietary coefficient, %QI = 83.05 and index of relative importance, %IRI = 78.40) were found to be the preferred food items followed by crustaceans (%QI = 16.21; %IRI = 19.78), which formed the secondary food item group. Mollusks (%QI = 0.74; %IRI = 1.69) and annelids (%QI = 0.01; %IRI = 0.14) constituted the accidental or accessory food items. The species, though is a pelagic predator, probably performs vertical movements in search of prey items. The shark also showed some sorts of preference and selectivity for clupeids, engraulids and carangids. Females though showed significantly lower index of relative fullness (IRF) (P = 0.5) and comparatively lower vacuity index and lower mean number of preys per stomach compared to the males, the preference for prey items was not found to be significantly different between the females and males. Juveniles were found to have significantly higher IRF (P = 0.5) and comparatively higher vacuity index than that of the adults, whereas the mean preys per stomach was found to be lower than that of the adults. Moreover, the prey preference was also significantly different between the juveniles and adults. The study provides necessary baseline information about the feeding habits of the shark in the region which will be helpful in understanding the trophodynamics of the species under the influence of overfishing and climate change. (c) 2017 Elsevier B.V. All rights reserved.</t>
  </si>
  <si>
    <t>10.1016/j.rsma.2017.11.006</t>
  </si>
  <si>
    <t>McCaffery, M; Eby, L</t>
  </si>
  <si>
    <t>Beaver activity increases aquatic subsidies to terrestrial consumers</t>
  </si>
  <si>
    <t>aquatic-derived carbon; deer mouse; resource subsidies; stable isotopes; wolf spider</t>
  </si>
  <si>
    <t>FOOD WEBS; CASTOR-CANADENSIS; STABLE-ISOTOPE; MARINE SUBSIDIES; STREAM; PREY; WATER; LINKAGES; SPIDERS; PRODUCTIVITY</t>
  </si>
  <si>
    <t>The occurrence and importance of fluxes of nutrients and organic matter between aquatic and terrestrial habitats is well established, but how catchment characteristics influence these fluxes remains unclear. Beaver (Castor canadensis) alter freshwater ecosystems and increase aquatic production, but it is unknown how these changes influence the magnitude and lateral dispersal of aquatic nutrients into terrestrial ecosystems. We examined differences in abundances of dominant aquatic invertebrates, wolf spiders (Lycosidae), and deer mice (Peromyscus maniculatus), at beaver and non-beaver sites. We used stable isotopes to track aquatic-derived carbon in terrestrial consumers and linear mixed-effects models to examine the importance of beaver presence and distance from stream channel on the percentage of aquatic-derived carbon in terrestrial consumers. Sites with beaver activity had &gt;200% higher aquatic invertebrate emergence rates as well as 60% and 75% higher abundances of spiders and deer mice, respectively, relative to non-beaver sites. The tissues of both spiders and deer mice exhibited a greater percentage of aquatic-derived carbon at sites with beaver activity than at non-beaver sites. Aquatic-derived carbon in deer mice declined linearly with distance from the stream edge at both beaver and non-beaver sites. The contribution of aquatic-derived carbon in mice extended farther from the stream edge in beaver-modified catchments. Aquatic-derived carbon in spiders also declined linearly with distance from the stream at beaver sites but not at non-beaver sites. We documented a novel example of increased aquatic subsidy to riparian areas with beaver activity, leading to changes in the magnitude of the lateral dispersal of aquatic nutrient subsidies to the terrestrial environment in small stream systems. Understanding the effects of natural disturbance regimes, such as beaver modification, will be important for management and, where appropriate, restoration of natural catchment processes.</t>
  </si>
  <si>
    <t>10.1111/fwb.12725</t>
  </si>
  <si>
    <t>Jarnevich, CS; Thomas, CC; Young, NE; Grissom, P; Backer, D; Frid, L</t>
  </si>
  <si>
    <t>Coupling process-based and empirical models to assess management options to meet conservation goals</t>
  </si>
  <si>
    <t>Buffelgrass; SyncroSim; State-and-transition simulation model; Cenchrus ciliaris; ST-Sim; FARSITE</t>
  </si>
  <si>
    <t>SONORAN DESERT ECOSYSTEM; INVASIVE SPECIES CONTROL; PENNISETUM-CILIARE; SPREAD; GRASS; REPRODUCTION; STRATEGIES; FRAMEWORK; DYNAMICS; INVADERS</t>
  </si>
  <si>
    <t>Conservation lands face mounting threats of ecosystem transformation and loss of biodiversity from the invasion of fire-prone grasses. Managers must make difficult decisions to find efficient ways to expend limited resources across large and complex landscapes amidst substantial uncertainty regarding effective treatment strategies, climates, and invader-induced novel processes. Coupled empirical and process-based models can simulate the effects of management activities, quantify potential management costs and ecological impacts, while considering uncertainties associated with climate, spread rates, and wildfires lacking historical precedent. We developed a state-and-transition simulation model coupled with a fire behavior model to study impacts to native biodiversity and fire regimes in a national park invaded by a perennial grass. We evaluated resources required to meet management objectives, and efficient and effective spatial allocation of those resources. Management strategies and ecological scenarios strongly influenced the ability to minimize potential invasion impacts. Adding aerial precision spot spraying, which can target low cover levels in remote regions, may be enough to conserve the desert ecosystem from small scale transformation through invasive competition and from broad functional transformations through invasive-induced fire regime changes. Spot spraying may also be beneficial if wetter monsoonal conditions create faster invader growth rates when likelihoods of achieving management goals decreases even with unlimited resources. Given current park budgets with the addition of spot spraying, management goals may be achievable regardless of spatial prioritization. Our techniques could be applied to other situations to evaluate conservation goal feasibility and determine actions that would be most efficient in meeting those goals.</t>
  </si>
  <si>
    <t>10.1016/j.biocon.2021.109379</t>
  </si>
  <si>
    <t>Piayda, A; Dubbert, M; Siegwolf, R; Cuntz, M; Werner, C</t>
  </si>
  <si>
    <t>Quantification of dynamic soil-vegetation feedbacks following an isotopically labelled precipitation pulse</t>
  </si>
  <si>
    <t>STABLE-ISOTOPE PROFILES; WATER-BALANCE; HYDRAULIC LIFT; ARID ECOSYSTEMS; OXYGEN-ISOTOPE; CLIMATE-CHANGE; GAS-EXCHANGE; TREE COVER; SAVANNA; INFILTRATION</t>
  </si>
  <si>
    <t>The presence of vegetation alters hydrological cycles of ecosystems. Complex plant-soil interactions govern the fate of precipitation input and water transitions through ecosystem compartments. Disentangling these interactions is a major challenge in the field of ecohydrology and a pivotal foundation for understanding the carbon cycle of semiarid ecosystems. Stable water isotopes can be used in this context as tracer to quantify water movement through soilvegetation- atmosphere interfaces. The aim of this study is to disentangle vegetation effects on soil water infiltration and distribution as well as dynamics of soil evaporation and grassland water use in a Mediterranean cork oak woodland during dry conditions. An irrigation experiment using delta O-18 labelled water was carried out in order to quantify distinct effects of tree and herbaceous vegetation on the infiltration and distribution of event water in the soil profile. Dynamic responses of soil and herbaceous vegetation fluxes to precipitation regarding event water use, water uptake depth plasticity, and contribution to ecosystem soil evaporation and transpiration were quantified. Total water loss to the atmosphere from bare soil was as high as from vegetated soil, utilizing large amounts of unproductive evaporation for transpiration, but infiltration rates decreased. No adjustments of main root water uptake depth to changes in water availability could be observed during the experiment. This forces understorey plants to compete with adjacent trees for water in deeper soil layers at the onset of summer. Thus, understorey plants are subjected to chronic water deficits faster, leading to premature senescence at the onset of drought. Despite this water competition, the presence of cork oak trees fosters infiltration and reduces evapotranspirative water losses from the understorey and the soil, both due to altered microclimatic conditions under crown shading. This study highlights complex soilplant- atmosphere and inter-species interactions controlling rain pulse transitions through a typical Mediterranean savannah ecosystem, disentangled by the use of stable water isotopes.</t>
  </si>
  <si>
    <t>10.5194/bg-14-2293-2017</t>
  </si>
  <si>
    <t>Ladin, ZS; Williams, CK; Castelli, PM; Winiarski, KJ; Osenkowski, J; Mcwilliams, SR</t>
  </si>
  <si>
    <t>Regional and Intraseasonal Variation in Diet of Wintering and Staging Atlantic Brant</t>
  </si>
  <si>
    <t>Atlantic brant; Branta bernicla hrota; carbon; eelgrass; food; grass and clover; isotope mixing model; macroalgae; nitrogen; salt marsh cordgrass; stable isotopes</t>
  </si>
  <si>
    <t>BRENT GEESE; STABLE-ISOTOPES; MIGRATORY CONNECTIVITY; ENERGY BUDGETS; ARCTIC GEESE; PREY CHOICE; BERNICLA; ABUNDANCE; DEPLETION; ENRICHMENT</t>
  </si>
  <si>
    <t>Regional and intraseasonal patterns of food use influence populations through impacts on breeding success, survival, and distribution of individuals. We used both traditional foregut content analysis and stable carbon and nitrogen isotopes in liver and leg muscle to determine intraseasonal patterns in the diet of Atlantic brant geese (Branta bernicla hrota) from early winter through spring staging (1 Dec-31 May 2007-2008) along the mid-Atlantic coast of the United States. Overall, brant diet consisted of macroalgae (52%), salt marsh cordgrass (22%), eelgrass (18%), and terrestrial grass and clover (8%). Mean C-13 and N-15 values differed among these 4 food sources. Therefore, we used an isotope mixing-model (SIAR) to estimate the relative contributions of each source to brant diet among regions and months. Wintering brant in northern and southern regions ate mostly macroalgae throughout the wintering period and ate more salt marsh and terrestrial grasses in spring. Brant in central regions had a more stable diet from December to May. Regional and intraseasonal patterns in brant diet are likely affected by several factors including variation in food source availability and quality due to synergistic effects of long-term annual and intraseasonal changes in abundance of submerged aquatic vegetation. Our estimates of diet combined with information on brant daily energy requirements and forage quality can be used to more accurately determine carrying capacity of wintering brant geese given established population objectives. (c) 2014 The Wildlife Society.</t>
  </si>
  <si>
    <t>10.1002/jwmg.761</t>
  </si>
  <si>
    <t>Zurbriggen, N; Hattenschwiler, S; Frei, ES; Hagedorn, F; Bebi, P</t>
  </si>
  <si>
    <t>Performance of germinating tree seedlings below and above treeline in the Swiss Alps</t>
  </si>
  <si>
    <t>Alpine treeline; Biomass allocation; Nitrogen availability; Seedling growth; Stable isotopes</t>
  </si>
  <si>
    <t>SOIL-TEMPERATURE; SCOTS PINE; MYCORRHIZAL FUNGI; ALPINE-TREELINE; MOUNTAIN BIRCH; NORWAY SPRUCE; GROWTH; CLIMATE; LINE; RESPONSES</t>
  </si>
  <si>
    <t>The germination and early survival of tree seedlings is a critical process for the understanding of treeline dynamics with ongoing climate change. Here we analyzed the performance of 0-4 year-old seedlings of seven tree species at three sites above and below the current altitudinal treeline in the Swiss Central Alps near Davos. Starting from sown seeds, we monitored the seedling performance as proportions of living seedlings, seedling shoot height growth, and biomass allocation over 4 years to examine changes along an elevational gradient. We evaluated the relative importance of the environmental factors soil temperature, light conditions, water use efficiency, and nitrogen availability on seedling performance. During the 4 years, the proportions of living seedlings differed only slightly along the elevational gradient even in species currently occurring at lower elevations. Microsite-specific soil temperature and light availability had only little effect on the proportion of living seedlings and seedling biomass across the elevational gradient. Conversely, seedling biomass and biomass allocation correlated well with the foliar stable nitrogen isotope abundance (delta N-15) that was used as an indicator for nitrogen availability. Collectively, our results suggested that the early establishment of seedlings of a variety of tree species in the treeline ecotone was not limited by current climatic conditions even beyond the species' actual upper distribution limit. Nitrogen dynamics appeared to be an important environmental co-driver for biomass production and allocation in very young tree seedlings.</t>
  </si>
  <si>
    <t>10.1007/s11258-013-0176-z</t>
  </si>
  <si>
    <t>Kinney, MJ; Hussey, NE; Fisk, AT; Tobin, AJ; Simpfendorfer, CA</t>
  </si>
  <si>
    <t>Communal or competitive? Stable isotope analysis provides evidence of resource partitioning within a communal shark nursery</t>
  </si>
  <si>
    <t>Coastal; Dietary overlap; Muscle; Niche partitioning; Plasma; Red blood cells</t>
  </si>
  <si>
    <t>TROPHIC RELATIONSHIPS; FEEDING ECOLOGY; SPHYRNA-LEWINI; ELASMOBRANCH FISHES; NITROGEN ISOTOPES; MULTIPLE TISSUES; KANEOHE BAY; NICHE WIDTH; FOOD-WEB; DIET</t>
  </si>
  <si>
    <t>Quantifying the diet of sympatric co-occurring predatory species is a challenging task, made more so when investigations attempt to focus on specific age groups. This is the task that confronts efforts to understand dietary resource partitioning among co-occurring juvenile shark species within nursery areas. Here, stable isotope analysis (delta C-13 and delta N-15) is used to overcome these challenges in describing species dietary resource partitioning strategies within the communal shark nursery area of Cleveland Bay, Queensland, Australia. We analyzed the isotopic composition of 3 distinct tissues, (muscle, blood plasma, and red blood cells), for 7 species of shark and 3 species of large predatory teleost to investigate whether these communal areas support their diverse array of predators without the need for resource partitioning strategies. Clustered delta N-15 values for all examined species indicated feeding within the same trophic level; however, wide ranging delta C-13 values denoted exploitation of several primary carbon sources. Our results demonstrate inter-species resource partitioning strategies at work within the examined communal shark nursery, altering the previous interpretation of these areas as resource-rich and/or competitionlimited environments.</t>
  </si>
  <si>
    <t>10.3354/meps09327</t>
  </si>
  <si>
    <t>Wang, VH; White, JW; Arnott, SA; Scharf, FS</t>
  </si>
  <si>
    <t>Population connectivity of southern flounder in the US South Atlantic revealed by otolith chemical analysis</t>
  </si>
  <si>
    <t>Nursery origin; Stock structure; Migration; Stable isotopes; Laser ablation ICP-MS; Paralichthys lethostigma</t>
  </si>
  <si>
    <t>COD GADUS-MORHUA; FISHERIES MANAGEMENT; SPATIAL STRUCTURE; STOCK ASSESSMENT; MARINE ECOLOGY; FISH; JUVENILE; CHEMISTRY; PATTERNS; OXYGEN</t>
  </si>
  <si>
    <t>Reconstructing the movements of fish among different environments and incorporating patterns of spatial population structure contribute to improved accuracy in the assessment of marine fishery resources. The southern flounder Paralichthys lethostigma is a valuable flatfish throughout its range in the US South Atlantic and Gulf of Mexico, but stock conservation and management is hindered by critical knowledge gaps related to patterns of movement and the level of mixing among populations. Identifying stock structure and connectivity can be challenging in species with complex life histories, and otolith geochemical signatures have been effectively used as natural markers to estimate population connectivity in migratory fishes. With this approach, we inferred the degree of exchange of southern flounder among broad US South Atlantic regions by predicting the nursery origins of adults captured in North Carolina and South Carolina estuaries. Baseline nursery profiles were first established by analyzing stable isotopes (delta C-13, delta O-18) and trace elements (Mg:Ca, Mn:Ca, Si:Ca, Ba:Ca) sampled from juvenile southern flounder otoliths. Quadratic discriminant analysis discriminated among state-scale nursery regions (North Carolina, South Carolina, and Florida) with 72% cross-validation accuracy. Adult southern flounder from the same cohort were subsequently classified to the atlas of nursery signatures obtained from the juvenile fish using a maximum likelihood mixed stock analysis. Results revealed a lack of nursery-state fidelity and the potential for broad-scale movement of post-migratory adults along the US South Atlantic coast, which will contribute to the definition of appropriate spatial scales for management.</t>
  </si>
  <si>
    <t>10.3354/meps12576</t>
  </si>
  <si>
    <t>Coudrain, V; Hedde, M; Chauvat, M; Maron, PA; Bourgeois, E; Mary, B; Leonard, J; Ekelund, F; Villenave, C; Recous, S</t>
  </si>
  <si>
    <t>Temporal differentiation of soil communities in response to arable crop management strategies</t>
  </si>
  <si>
    <t>Trophic groups; Invertebrates; Microorganisms; Tillage; Plant residues; Fertilization</t>
  </si>
  <si>
    <t>CONSERVATION-TILLAGE; FUNCTIONAL DIVERSITY; NITROGEN MINERALIZATION; MICROBIAL COMMUNITIES; ABUNDANCE; FAUNA; PLANT; MICROORGANISMS; BIOMASS; INTENSIFICATION</t>
  </si>
  <si>
    <t>Promoting diverse and functioning biological communities is an important objective of agroecology, with increasing attention given to the important role of soil biodiversity. In an experimental study conducted under field conditions, we followed over four years the dynamic of soil organisms from various sizes and trophic niches in four variants of a cropping system which are differentiated by soil tillage, residue management and N fertilization rate. Differentiation in overall family diversity, as well as in the abundance and diversity of the multiple trophic groups was evaluated every two years. Our study demonstrated a delayed but effective differentiation in soil biota diversity following implementation of the agricultural practices. Soil biodiversity varied throughout time with some groups responding more readily than others, thereby highlighting differences related to trophic position and body size. The visualization of diversity profiles revealed an increasing impact of agricultural practices on group diversity towards higher trophic levels. While tillage appeared a main factor of influence, surprisingly little impact of residue management and nitrogen fertilization could be observed. Predicting the response of the soil biota to anthropogenic influence calls for an understanding of complex interactions between soil organisms in heterogeneous soil microhabitats. Through its multi taxonomic approach, the present study increases our understanding of the dynamic of soil communities in agricultural cropping systems and helps identify possible consequences for soil functioning. (C) 2016 Published by Elsevier B.V.</t>
  </si>
  <si>
    <t>10.1016/j.agee.2016.03.029</t>
  </si>
  <si>
    <t>Patterson, JC; Lindeman, PV</t>
  </si>
  <si>
    <t>Effects of Zebra and Quagga Mussel (Dreissena spp.) Invasion on the Feeding Habits of Sternotherus odoratus (Stinkpot) on Presque Isle, Northwestern Pennsylvania</t>
  </si>
  <si>
    <t>NORTHEASTERN NATURALIST</t>
  </si>
  <si>
    <t>TROPHIC MORPHOLOGY; GRAPTEMYS-GEOGRAPHICA; GREAT-LAKES; MAP TURTLE; POLYMORPHA; EVOLUTION; MOLLUSK; PREY; SIZE; DIMORPHISMS</t>
  </si>
  <si>
    <t>We investigated diet and its relationship to trophic morphology in Sternotherus odoratus (Stinkpot) in northwestern Pennsylvania on Presque Isle, Lake Erie. Three taxa were most prevalent in fecal samples: invasive Eurasian mussels, small snails, and trichopteran larvae. No sexual difference in diet was apparent, although males had relatively wider heads than females. Significant positive correlation of proportion of sample volume composed of mussels with width of the head and alveolar surfaces was accompanied by nonsignificant negative correlation of proportion composed of snails with both variables. The results thus suggest a shift in molluscan prey preference with increasing size of the trophic apparatus. Total consumption of mollusks was high relative to most other reports of Stinkpot diet. In the Laurentian Great Lakes, the Stinkpot is the second turtle species found to prey heavily upon invasive mussels and thereby participate in transferring production from the pelagic zone to the littoral zone.</t>
  </si>
  <si>
    <t>10.1656/045.016.n305</t>
  </si>
  <si>
    <t>Lausch, A; Bastian, O; Klotz, S; Leitao, PJ; Jung, A; Rocchini, D; Schaepman, ME; Skidmore, AK; Tischendorf, L; Knapp, S</t>
  </si>
  <si>
    <t>Understanding and assessing vegetation health by in situ species and remote-sensing approaches</t>
  </si>
  <si>
    <t>biological species concept; earth observation; morphological species concept; multi-source vegetation health monitoring network; phylogenetic species concept; remote-sensing; remote-sensing spectral trait; spectral traits variation concept</t>
  </si>
  <si>
    <t>PHYLOGENETIC DIVERSITY; BIODIVERSITY; ECOSYSTEM; CONSERVATION; PRODUCTIVITY; PATTERNS; CLIMATE; TRAITS; DISTRIBUTIONS; PERSPECTIVES</t>
  </si>
  <si>
    <t>1. Human activities exert stress on and create disturbances to ecosystems, decreasing their diversity, resilience and ultimately the health of ecosystems and their vegetation. In environments with rapid changes in vegetation health (VH), progress is needed when it comes to monitoring these changes and underlying causes. There are different approaches to monitoring VH such as in situ species approaches and the remote-sensing approach. 2. Here we provide an overview of in situ species approaches, that is, the biological, the phylogenetic, and the morphological species concept, as well as an overview of the remote-sensing spectral trait/spectral trait variations concept to monitor the status of VH as well as processes of stress, disturbances, and resource limitations affecting VH. The approaches are compared with regard to their suitability for monitoring VH, and their advantages, disadvantages, potential, and requirements for being linked are discussed. 3. No single approach is sufficient to monitor the complexity and multidimensionality of VH over the short to long term and on local to global scales. Rather, every approach has its pros and cons, making it all the more necessary to link approaches. In this paper, we present a framework and list crucial requirements for coupling approaches and integrating additional monitoring elements to form a multisource vegetation health monitoring network (MUSO-VH-MN). 4. When it comes to linking the different approaches, data, information, models or platforms in a MUSO-VH-MN, big data with its complexity and syntactic and semantic heterogeneity and the lack of standardized approaches and VH protocols pose the greatest challenge. Therefore, Data Science with the elements of (a) digitalization, (b) semantification, (c) ontologization, (d) standardization, (e) Open Science, as well as (f) open and easy analyzing tools for assessing VH are important requirements for monitoring, linking, analyzing, and forecasting complex and multidimensional changes in VH.</t>
  </si>
  <si>
    <t>10.1111/2041-210X.13025</t>
  </si>
  <si>
    <t>Rodriguez-Rodriguez, M; Benavente, J; Julian, JJCS; Martos, FM</t>
  </si>
  <si>
    <t>Estimation of ground-water exchange with semi-arid playa lakes (Antequera region, southern Spain)</t>
  </si>
  <si>
    <t>hydrological regime; water chemistry; environmental isotopes; saline ground-water</t>
  </si>
  <si>
    <t>HYDROGEN; USA</t>
  </si>
  <si>
    <t>Playa lakes occur in and and semi-arid climates and have a significant economic, ecological and cultural value. They are particularly vulnerable to changing hydrologic regimes due to climate change or human activities. We determined the hydrological regime of 10 playa lakes in southern Spain based on water budgets for a 5-year period (1997 2001). Surface runoff was measured in the watersheds, precipitation and evaporation/evapo-transpiration estimated using local meteorological data and ground-water flows assessed using a network of wells and piezometers. The examination of seasonal variations in the lakes' water levels and the water budgets indicated that ground-water discharge plays a key role in the hydrological dynamics and the maintenance of the playa ecosystems. Major inorganic ions and stable hydrogen and oxygen isotopes in lake water, ground-water and springs were measured. Water samples from the lakes and ground-water were a mixture of cations -SO42-. and -Cl- type due to the aridity of the climate and lithologies of the basin. The high TDS (63.4 g/l) content of some ground-water samples indicates regional geologic control on water quality and the dissolution of gypsum and halite. Stable oxygen isotope ratios for lake water (-3.6 to 9.8 parts per thousand delta O-18(SMOW)) were different from those of ground-water and springs (-6.8 to 1.1 parts per thousand delta O-18(SMOW)) suggesting different evolutional patterns. The results of this study provides evidence that the combination of water budgets, hydrochemistry and stable isotope hydrology can lead to a better understanding of wet playa's hydrology. This approach could, thus, prove helpful to establish hydrological regimes in this type of semi-arid environments. (c) 2005 Elsevier Ltd. All rights reserved.</t>
  </si>
  <si>
    <t>10.1016/j.jaridenv.2005.10.018</t>
  </si>
  <si>
    <t>Emery, NC</t>
  </si>
  <si>
    <t>Foliar uptake of fog in coastal California shrub species</t>
  </si>
  <si>
    <t>Foliar water uptake; Fog; Stable isotopes; Shrubs; California; Live fuel moisture</t>
  </si>
  <si>
    <t>PLANT WATER RELATIONS; SEMPERVIRENS D. DON; SOUTHERN-CALIFORNIA; REDWOOD FOREST; CLOUD FOREST; SAGE SCRUB; SUMMER FOG; COMMUNITY COMPOSITION; ROOT SYSTEMS; PINE FOREST</t>
  </si>
  <si>
    <t>Understanding plant water uptake is important in ecosystems that experience periodic drought. In many Mediterranean-type climates like coastal California, plants are subject to significant drought and wildfire disturbance. During the dry summer months, coastal shrub species are often exposed to leaf wetting from overnight fog events. This study sought to determine whether foliar uptake of fog occurs in shrub species and how this uptake affects physiology and fuel condition. In a controlled greenhouse experiment, dominant California shrub species were exposed to isotopically labeled fog water and plant responses were measured. Potted plants were covered at the base to prevent root uptake. The deuterium label was detected in the leaves of four out of five species and in the stems of two of the species. While there was a minimal effect of foliar water uptake on live fuel moisture, several species had lower xylem tension and greater photosynthetic rates after overnight fog treatments, especially Salvia leucophylla. Coastal fog may provide a moisture source for many species during the summer drought, but the utilization of this water source may vary based on foliar morphology, phenology and plant water balance. From this study, it appears that drought-deciduous species (Artemisia californica and Salvia leucophylla) benefit more from overnight fog events than evergreen species (Adenostoma fasciculatum, Baccharis pilularis and Ceanothus megacarpus). This differential response to fog exposure among California shrub species may affect species distributions and physiological tolerances under future climate scenarios.</t>
  </si>
  <si>
    <t>10.1007/s00442-016-3712-4</t>
  </si>
  <si>
    <t>Gillies, CL; Stark, JS; Johnstone, GJ; Smith, SDA</t>
  </si>
  <si>
    <t>Establishing a food web model for coastal Antarctic benthic communities: a case study from the Vestfold Hills</t>
  </si>
  <si>
    <t>Energy flow; Trophic ecology; Casey Station; Davis Station; Windmill Islands; Stable isotope analysis</t>
  </si>
  <si>
    <t>STABLE-ISOTOPE DELTA-C-13; LABILE ORGANIC-MATTER; TROPHIC STRUCTURE; SEA-ICE; EAST ANTARCTICA; CLIMATE-CHANGE; PRYDZ BAY; DELTA-N-15; BIOMASS; SEASONALITY</t>
  </si>
  <si>
    <t>Shallow-water benthic communities throughout coastal Antarctica share many species and are governed by similar physico-oceanographic processes. This suggests community structure and function may be similar among communities despite being geographically separated by up to 15 degrees of latitude and 18 000 km of coastline. To test this theory, we developed a food web model using stable isotopes (delta C-13, delta N-15) for the high-latitude Vestfold Hills shallow-water benthic community and compared it to the isotopic food web model developed for the Windmill Islands, located over 1000 km away. For the Vestfold Hills food web, carbon sources were generally well separated by delta C-13, and lower-order consumers could be grouped according to their feeding guild and main dietary sources as determined by delta C-13 and delta N-15. Higher-order consumers occupied the full range of delta C-13 ratios and had similar delta N-15 values, although predators were weakly, but significantly, enriched in delta N-15 compared to scavenger/predators and omnivores. When comparing with the Windmill Islands food web, we found similar delta C-13 ratios for several co-occurring carbon sources and consumers, whilst the delta N-15 ratios in consumers from the Vestfold Hills were consistently enriched compared to those from the Windmill Islands by 1 to 2 parts per thousand. The relative positions of feeding guilds on the delta C-13 and delta N-15 planes were similar for both food webs. These results suggest there is considerable merit in developing a representative food web model for Antarctic shallow-water communities. Such a model would provide a trophic benchmark against which modification in these communities brought about by climate change or other human impacts could be compared.</t>
  </si>
  <si>
    <t>10.3354/meps10214</t>
  </si>
  <si>
    <t>Levas, S; Schoepf, V; Warner, ME; Aschaffenburg, M; Baumann, J; Grottoli, AG</t>
  </si>
  <si>
    <t>Long-term recovery of Caribbean corals from bleaching</t>
  </si>
  <si>
    <t>Corals; Bleaching; Stable isotopes; Energy reserves; Calcification</t>
  </si>
  <si>
    <t>REEF CORALS; CLIMATE-CHANGE; MONTASTREA-ANNULARIS; ORBICELLA-FAVEOLATA; PORITES-ASTREOIDES; CARBON ISOTOPES; STABLE CARBON; FLORIDA-KEYS; STRESS; GROWTH</t>
  </si>
  <si>
    <t>Mass coral bleaching events are increasing in frequency and intensity and are predicted to occur annually in the coming decades. However, it remains poorly understood how quickly Caribbean corals can recover from bleaching. To explore the responses to heat stress and subsequent recovery in Caribbean corals, three species (Porites divaricata, Porites astreoides, and Orbicella faveolata) were experimentally bleached in outdoor flow through tanks for 15 days then allowed to recover on the reef for 1.5 and 11 months. At each interval on the reef, endosymbiont concentrations, energy reserves (i.e., total soluble lipid, soluble animal carbohydrate, soluble animal protein), calcification, and stable carbon and nitrogen isotope values of the animal host (delta C-13(h), delta N-15(h)) and endosymbiotic algal fractions (delta C-13(e), delta Ne-15) were measured in treatment and control fragments of each species. Despite variations in bleaching recovery strategies among the coral species, all corals recovered within one year. Specifically, bleached P. divaricata catabolized lipids and decreased calcification in response to lower endosymbiont concentrations. In contrast, both P. astreoides and O. faveolata maintained energy reserves despite lower endosymbiont concentrations, yet both decreased calcification rates after bleaching. Overall, these findings indicate that these corals are capable of surviving and recovering from a mild bleaching event within one year. Though these finding indicate that P. astreoides and O. faveolata may be resilient through single isolated bleaching events under annual bleaching, many Caribbean coral reefs may still experience a decline over the coming decades.</t>
  </si>
  <si>
    <t>10.1016/j.jembe.2018.06.003</t>
  </si>
  <si>
    <t>Guest, MA; Connolly, RM; Lee, SY; Loneragan, NR; Breitfuss, MJ</t>
  </si>
  <si>
    <t>Mechanism for the small-scale movement of carbon among estuarine habitats: organic matter transfer not crab movement</t>
  </si>
  <si>
    <t>crab movement; carbon movement; crustacean; estuaries; stable isotopes</t>
  </si>
  <si>
    <t>INTERTIDAL MANGROVE FORESTS; SALT-MARSH; FOOD WEBS; ASSIMILATION; GRAPSIDAE; DYNAMICS; INVERTEBRATES; COMMUNITIES; DETRITUS; SEAGRASS</t>
  </si>
  <si>
    <t>In theory, carbon is highly mobile in aquatic systems. Recent evidence from carbon stable isotopes of crabs (Parasesarma erythrodactyla and Australoplax tridentata), however, shows that in subtropical Australian waters, measurable carbon movement between adjacent mangrove and saltmarsh habitats is limited to no more than a few metres. We tested whether the pattern in crab delta C-13 values across mangrove and saltmarsh habitats was explained by crab movement, or the movement of particulate organic matter. We estimated crab movement in a mark-recapture program using an array of pitfall traps on 13 transects (a total of 65 traps) covering an area of 600 m(2) across the interface of these two habitats. Over a 19-day period, the majority of crabs (91% for P. erythrodactyla, 93% for A. tridentata) moved &lt; 2 m from the place of initial capture. Crab movement cannot, therefore, explain the patterns in delta C-13 values of crabs. delta C-13 values of detritus collected at 2-m intervals across the same habitat interface fitted a sigmoidal curve of a similar form to that fitting the delta C-13 values of crabs. delta C-13 values of detritus were 2-4 parts per thousand more depleted in saltmarsh (-18.5 +/- 0.6 parts per thousand), and 4-7 parts per thousand more depleted in mangroves (-25.9 +/- 0.1 parts per thousand) than delta C-13 values of crabs recorded previously in each habitat. Assimilation by crabs of very small detrital fragments or microphytobenthos, more enriched in C-13, may explain the disparity in delta C-13 values. Nevertheless, the pattern in delta C-13 values of detritus suggests that crabs obtain their carbon from up to several metres away, but without themselves foraging more then a metre or so from their burrow. Such detailed measurements of carbon movement in estuaries provide a spatially explicit understanding of the functioning of food webs in saltmarsh and mangrove habitats.</t>
  </si>
  <si>
    <t>10.1007/s00442-005-0352-5</t>
  </si>
  <si>
    <t>Cummings, DO; Lee, RW; Nodder, SD; Simpson, SJ; Holmes, SP</t>
  </si>
  <si>
    <t>Trophic status and condition of Hyalinoecia longibranchiata from two regions of contrasting oceanic productivity</t>
  </si>
  <si>
    <t>Bentho-pelagic coupling; Chatham Rise; Quill worms; Benthic nutrition; Challenger Plateau; Condition</t>
  </si>
  <si>
    <t>NONPARAMETRIC MULTIVARIATE-ANALYSIS; SUBTROPICAL CONVERGENCE REGION; SEA HYDROTHERMAL VENTS; NEW-ZEALAND; DEEP-SEA; CHATHAM RISE; STABLE-ISOTOPES; ORGANIC-MATTER; COMMUNITY STRUCTURE; NORTHEAST PACIFIC</t>
  </si>
  <si>
    <t>The Chatham Rise and Challenger Plateau are 2 regions of New Zealand's Exclusive Economic Zone with very different levels of productivity. The Chatham Rise is a physically dynamic region that sustains one of New Zealand's largest mid-deep water fisheries, whilst the Challenger Plateau is a region of low hydrodynamic activity and productivity. These contrasting regions of pelagic productivity are likely to influence the trophic status of their benthic communities, where downward coupling of pelagic resources to the benthos occurs. Populations of the benthic quill worm Hyalinoecia longibranchiata (Onuphidae) were sampled at a range of depths on the Chatham Rise and the Challenger Plateau. Stable isotope signatures, delta C-13 and delta N-15, and nutritional condition indices (DNA: dry weight, protein: DNA, RNA: DNA and C: N) of the quill worms were measured to: (1) determine whether regional-scale differences in surface productivity are reflected in the trophic status and condition of the quill worms; and (2) ascertain the extent to which other factors (e.g. depth, distance from the mainland) may affect this. Analysis revealed that H. longibranchiata collected on the Chatham Rise were more enriched in delta C-13 and in better condition than those collected on the Challenger Plateau. The isotopic enrichment observed at the Chatham Rise is likely to arise from differences in the quality and quantity of the organic inputs to the benthos. Overall, regional productivity had a much greater influence on the trophic status and condition, reflective of the degree of pelagic-benthic coupling, rather than any depth or spatial considerations.</t>
  </si>
  <si>
    <t>10.3354/meps10160</t>
  </si>
  <si>
    <t>Drake, DC; Peterson, BJ; Galvan, KA; Deegan, LA; Hopkinson, C; Johnson, JM; Koop-Jakobsen, K; Lemay, LE; Picard, C</t>
  </si>
  <si>
    <t>Salt marsh ecosystem biogeochemical responses to nutrient enrichment: a paired N-15 tracer study</t>
  </si>
  <si>
    <t>biogeochemistry; eutrophication; New England, USA; nitrogen processing efficiency; salt marsh; stable isotopes</t>
  </si>
  <si>
    <t>NITROGEN; DENITRIFICATION; EUTROPHICATION</t>
  </si>
  <si>
    <t>We compared processing and fate of dissolved NO3- in two New England salt marsh ecosystems, one receiving natural flood tide concentrations of similar to 1-4 mu mol NO3-/L and the other receiving experimentally fertilized flood tides containing similar to 70-100 mu mol NO3-/L. We conducted simultaneous (NO3-)-N-15 (isotope) tracer additions from 23 to 28 July 2005 in the reference (8.4 ha) and fertilized (12.4 ha) systems to compare N dynamics and fate. Two full tidal cycles were intensively studied during the paired tracer additions. Resulting mass balances showed that essentially 100% (0.48-0.61 mol NO3-N.ha(-1).h(-1)) of incoming NO3- was assimilated, dissimilated, sorbed, or sedimented (processed) within a few hours in the reference system when NO3- concentrations were 1.3-1.8 mu mol/L. In contrast, only 50-60% of incoming NO3- was processed in the fertilized system when NO3- concentrations were 84-96 mu mol/ L; the remainder was exported in ebb tidewater. Gross NO3- processing was similar to 40 times higher in the fertilized system at 19.34-24.67 mol NO3-N.ha(-1).h(-1). Dissimilatory nitrate reduction to ammonium was evident in both systems during the first 48 h of the tracer additions but &lt;1% of incoming (NO3-)-N-15 was exported as (NH4+)-N-15. Nitrification rates calculated by (NO3-)-N-15 dilution were 6.05 and 4.46 mol.ha(-1).h(-1) in the fertilized system but could not be accurately calculated in the reference system due to rapid (&lt;4 h) NO3- turnover. Over the five-day paired tracer addition, sediments sequestered a small fraction of incoming NO3-, although the efficiency of sequestration was 3.8% in the reference system and 0.7% in the fertilized system. Gross sediment N sequestration rates were similar at 13.5 and 12.6 mol.ha(-1).d(-1), respectively. Macrophyte NO3- uptake efficiency, based on tracer incorporation in aboveground tissues, was considerably higher in the reference system (16.8%) than the fertilized system (2.6%), although bulk uptake of NO3- by plants was lower in the reference system (1.75 mol NO3-.ha(-1).d(-1)) than the fertilized system (similar to 10 mol NO3-.ha(-1).d(-1)). Nitrogen processing efficiency decreased with NO3- load in all pools, suggesting that the nutrient processing capacity of the marsh ecosystem was exceeded in the fertilized marsh.</t>
  </si>
  <si>
    <t>10.1890/08-1051.1</t>
  </si>
  <si>
    <t>Lach, L; Tillberg, CV; Suarez, AV</t>
  </si>
  <si>
    <t>Contrasting effects of an invasive ant on a native and an invasive plant</t>
  </si>
  <si>
    <t>Ant mutualisms; Extrafloral nectaries; Enemy release; Herbivory; Honeydew; Trophic position</t>
  </si>
  <si>
    <t>ICERYA-SEYCHELLARUM; CONSEQUENCES; MELTDOWN; POLLINATION; MANAGEMENT; VEGETATION; ECOLOGY; GROWTH</t>
  </si>
  <si>
    <t>When invasive species establish in new environments, they may disrupt existing or create new interactions with resident species. Understanding of the functioning of invaded ecosystems will benefit from careful investigation of resulting species-level interactions. We manipulated ant visitation to compare how invasive ant mutualisms affect two common plants, one native and one invasive, on a sub-tropical Indian Ocean island. Technomyrmex albipes, an introduced species, was the most common and abundant ant visitor to the plants. T. albipes were attracted to extrafloral nectaries on the invasive tree (Leucaena leucocephala) and deterred the plant's primary herbivore, the Leucaena psyllid (Heteropsylla cubana). Ant exclusion from L. leucocephala resulted in decreased plant growth and seed production by 22% and 35%, respectively. In contrast, on the native shrub (Scaevola taccada), T. albipes frequently tended sap-sucking hemipterans, and ant exclusion resulted in 30% and 23% increases in growth and fruit production, respectively. Stable isotope analysis confirmed the more predacious and herbivorous diets of T. albipes on the invasive and native plants, respectively. Thus the ants' interactions protect the invasive plant from its main herbivore while also exacerbating the effects of herbivores on the native plant. Ultimately, the negative effects on the native plant and positive effects on the invasive plant may work in concert to facilitate invasion by the invasive plant. Our findings underscore the importance of investigating facilitative interactions in a community context and the multiple and diverse interactions shaping novel ecosystems.</t>
  </si>
  <si>
    <t>10.1007/s10530-010-9703-1</t>
  </si>
  <si>
    <t>Uszko, W; Huss, M; Gardmark, A</t>
  </si>
  <si>
    <t>Smaller species but larger stages: Warming effects on inter- and intraspecific community size structure</t>
  </si>
  <si>
    <t>adult; body size; competition; diet preference; global warming; juvenile; optimum; stage; temperature; zooplankton</t>
  </si>
  <si>
    <t>BODY-SIZE; TEMPERATURE-DEPENDENCE; METABOLIC THEORY; CLIMATE-CHANGE; LIFE-CYCLE; BIOMASS; ZOOPLANKTON; MASS; ECTOTHERMS; GROWTH</t>
  </si>
  <si>
    <t>Global warming can alter size distributions of animal communities, but the contribution of size shifts within versus between species to such changes remains unknown. In particular, it is unclear if expected body size shrinkage in response to warming, observed at the interspecific level, can be used to infer similar size shifts within species. In this study, we compare warming effects on interspecific (relative species abundance) versus intraspecific (relative stage abundance) size structure of competing consumers by analyzing stage-structured bioenergetic food web models consisting of one or two consumer species and two resources, parameterized for pelagic plankton. Varying composition and temperature and body size dependencies in these models, we predicted interspecific versus intraspecific size structure across temperature. We found that warming shifted community size structure toward dominance of smaller species, in line with empirical evidence summarized in our review of 136 literature studies. However, this result emerged only given a size-temperature interaction favoring small over large individuals in warm environments. In contrast, the same mechanism caused an intraspecific shift toward dominance of larger (adult) stages, reconciling disparate observations of size responses within and across zooplankton species in the literature. As the empirical evidence for warming-driven stage shifts is scarce and equivocal, we call for more experimental studies on intraspecific size changes with warming. Understanding the global warming impacts on animal communities requires that we consider and quantify the relative importance of mechanisms concurrently shaping size distributions within and among species.</t>
  </si>
  <si>
    <t>e3699</t>
  </si>
  <si>
    <t>10.1002/ecy.3699</t>
  </si>
  <si>
    <t>Henderson, RW; Hileman, ET; Sajdak, RA; Harrison, BC; Powell, R; Bradke, DR</t>
  </si>
  <si>
    <t>Effects of body size, diet, and transience on the demography of the arboreal boid snake Corallus grenadensis on Carriacou (Grenada Grenadines, West Indies)</t>
  </si>
  <si>
    <t>abundance; capture-recapture; growth; Neotropics; survival</t>
  </si>
  <si>
    <t>VIPERIDAE BOTHROPS-ASPER; HABITAT SELECTION; SPATIAL ECOLOGY; RECAPTURE; ISLAND; SURVIVAL; CONSERVATION; POPULATIONS; BEHAVIOR; MARK</t>
  </si>
  <si>
    <t>Remarkably little is known about the demography of snakes in the family Boidae. This lack of information may be attributed, in part, to low population densities on the Neotropical mainland, rendering capture-recapture methods impractical for many species. Conversely, islands support fewer species but snake densities can be much higher. Corallus grenadensis is an arboreal boid endemic to the Grenada Bank and, relative to mainland boids, can be amazingly abundant. As young, its diet is comprised largely of native Anolis lizards, a ubiquitous and abundant food source; it then undergoes an ontogenetic shift in diet to a less abundant resource, rodents. From 2015 to 2019, we marked 254 C. grenadensis and used capture-recapture models to estimate abundance, capture probabilities, survival, and the proportion of transients. We hypothesized that the transient effect would increase with body size (snout-vent length [SVL]), prompted by their ontogenetic shift in diet. Capture probabilities increased with sampling effort and decreased with increasing SVL. Abundance ranged from 96 to 141 individuals and annual resident survival was 0.71, 95% confidence interval (CI) = 0.54-0.83. The proportion of transients increased with increasing SVL, with the estimate being distinguishable from zero starting at similar to 810 mm SVL, coinciding with the size at which their dietary shift from ectothermic to endothermic prey begins. Ontogenetic dietary shifts are widespread in snakes and occur in at least 11 of 17 species of West Indian boids. Thus, the prominence of transients in our study may be indicative of its demographic and ecological importance among other snake species.</t>
  </si>
  <si>
    <t>10.1002/1438-390X.12079</t>
  </si>
  <si>
    <t>Harbison, T; Rogers, M; Henkel, S</t>
  </si>
  <si>
    <t>Assessing commercial fishery bait in Dungeness crab Cancer magister feeding ecology: delta 13C and delta 15N stable isotope and gut content analysis</t>
  </si>
  <si>
    <t>Commercial fishing; Benthic invertebrates; Dungeness crab; Oregon coast; Stable isotope analysis; Trophic ecology; Cancer magister</t>
  </si>
  <si>
    <t>LA-HERRADURA BAY; POPULATION-DYNAMICS; PORTUNUS-PELAGICUS; SEASONAL MOVEMENTS; BENTHIC SCAVENGERS; CARBON ISOTOPES; MATING SUCCESS; CALIFORNIA; PATTERNS; HABITAT</t>
  </si>
  <si>
    <t>Dungeness crabs Cancer magister support the largest fishery in Oregon (USA), which inputs millions of pounds of bait into the coastal ocean every year. We assessed evidence for seasonal consumption of commercial Dungeness crab fishery bait off the Oregon coast by that target species through delta 13C and delta 15N stable isotope and gut content analysis. Using Dungeness crab samples collected on the Oregon inner to mid-continental shelf, variation in delta 13C and delta 15N values were assessed according to sex, size class, region, and season using nested ANOVA, Euclidean vector statistics, and Bayesian standard ellipse areas corrected for sample size (SEAc) in R. The isotopic signatures of sampled crabs showed statistically significant variation by sex, region, and season; the differences in the isotopic niches of large male versus female crabs (carapace width &gt;= 159 mm) were especially pronounced. delta 15N in female crabs peaked in spring and declined toward fall with similar mean delta 13C, which could be indicative of higher trophic level bait consumption in the winter when the fishery is the most active, while delta 13C varied seasonally in males with similar mean delta 15N. The approximated trophic niches (based on SEAc) of both male and female crabs were greatest in fall, suggesting broader foraging in the absence of bait inputs. This work provides a step towards understanding the ecological role of fishery activities on one of the most economically valuable species on the US west coast.</t>
  </si>
  <si>
    <t>10.3354/meps14134</t>
  </si>
  <si>
    <t>Derner, JD; Johnson, HB; Kimball, BA; Pinter, PJ; Polley, HW; Tischler, CR; Boutton, TW; Lamorte, RL; Wall, GW; Adam, NR; Leavitt, SW; Ottman, MJ; Matthias, AD; Brooks, TJ</t>
  </si>
  <si>
    <t>Above- and below-ground responses of C-3-C-4 species mixtures to elevated CO2 and soil water availability</t>
  </si>
  <si>
    <t>carbon dioxide; cotton; free air CO2 enrichment (FACE); root responses; sorghum; stable isotopes</t>
  </si>
  <si>
    <t>TALLGRASS PRAIRIE ECOSYSTEM; ATMOSPHERIC CO2; CARBON-DIOXIDE; C-4 WEED; BIOMASS PRODUCTION; PLANT-RESPONSES; ENRICHMENT FACE; GRASSLAND; GROWTH; C3</t>
  </si>
  <si>
    <t>We evaluated the influences of CO2 [Control, similar to 370 mumol mol(-1); 200 mumol mol(-1) above ambient applied by free-air CO2 enrichment (FACE)] and soil water (Wet, Dry) on above- and below-ground responses of C-3 (cotton, Gossypium hirsutum ) and C-4 (sorghum, Sorghum bicolor ) plants in monocultures and two density mixtures. In monocultures, CO2 enrichment increased height, leaf area, above-ground biomass and reproductive output of cotton, but not sorghum, and was independent of soil water treatment. In mixtures, cotton, but not sorghum, above-ground biomass and height were generally reduced compared to monocultures, across both CO2 and soil water treatments. Density did not affect individual plant responses of either cotton or sorghum across the other treatments. Total (cotton + sorghum) leaf area and above-ground biomass in low-density mixtures were similar between CO2 treatments, but increased by 17-21% with FACE in high-density mixtures, due to a 121% enhancement of cotton leaf area and a 276% increase in biomass under the FACE treatment. Total root biomass in the upper 1.2 m of the soil was not influenced by CO2 or by soil water in monoculture or mixtures; however, under dry conditions we observed significantly more roots at lower soil depths (&gt; 45 cm). Sorghum roots comprised 81-85% of the total roots in the low-density mixture and 58-73% in the high-density mixture. CO2-enrichment partly offset negative effects of interspecific competition on cotton in both low- and high-density mixtures by increasing above-ground biomass, with a greater relative increase in the high-density mixture. As a consequence, CO2-enrichment increased total above-ground yield of the mixture at high density. Individual plant responses to CO2 enrichment in global change models that evaluate mixed plant communities should be adjusted to incorporate feedbacks for interspecific competition. Future field studies in natural ecosystems should address the role that a CO2-mediated increase in C-3 growth may have on subsequent vegetation change.</t>
  </si>
  <si>
    <t>10.1046/j.1365-2486.2003.00579.x</t>
  </si>
  <si>
    <t>Suzuki, KW; Kasai, A; Ohta, T; Nakayama, K; Tanaka, M</t>
  </si>
  <si>
    <t>Migration of Japanese temperate bass Lateolabrax japonicus juveniles within the Chikugo River estuary revealed by delta C-13 analysis</t>
  </si>
  <si>
    <t>migration; stable isotopes; estuary; salinity; fish; muscle; liver; otolith</t>
  </si>
  <si>
    <t>SCIAENOPS-OCELLATUS LARVAE; ARIAKE SEA; ISOTOPE RATIOS; WHITE PERCH; TURBIDITY MAXIMUM; STABLE-ISOTOPES; CARBON ISOTOPES; FEEDING-HABITS; FISH; BAY</t>
  </si>
  <si>
    <t>With conventional techniques it is difficult to evaluate the nursery value for migratory juveniles of Japanese temperate bass Lateolabrax japonicus within the Chikugo River estuary in Japan, especially in lower salinity areas where highly abundant prey organisms are distributed. In the present study stable carbon isotope ratios (delta C-13) were used as a migration tracer within the estuary. Based on preparatory information from diet-switch experiments and field observations of prey organisms, the ranges on which tissue VC values of juveniles should converge (convergence range) were determined in lower and higher salinity areas (LSA salinity &lt; 10, HSA salinity &gt; 10). For early juveniles, muscle delta C-13 values were analyzed and ages were determined by otolith increment counts. For more developed juveniles delta C-13 values were analyzed in muscle and liver, whose half-life values were 11.4 and 2.9 d, respectively. Temporal patterns of migration were estimated by comparing delta C-13 values in muscle and liver with the convergence ranges of both LSA and HSA. Early juveniles aggregated around the river mouth in March 2003 and the majority gradually ascended the river to LSA by April. Most of them stayed in LSA until August, while some began to expand their home ranges to HSA after July. In addition, it is suggested that the timing of ascent influenced the early growth of juveniles. Consequently, the potential importance of LSA was demonstrated during the first growth season of Japanese temperate bass in the estuary.</t>
  </si>
  <si>
    <t>10.3354/meps07300</t>
  </si>
  <si>
    <t>Sigdel, R; Anand, M; Bauch, CT</t>
  </si>
  <si>
    <t>Convergence of socio-ecological dynamics in disparate ecological systems under strong coupling to human social systems</t>
  </si>
  <si>
    <t>Common pool resources; Cooperative harvesting; Social ostracism; Human-environment systems; Socio-ecological convergence; Evolutionary game theory</t>
  </si>
  <si>
    <t>REGIME SHIFTS; DECENTRALIZATION; SUSTAINABILITY; COMPETITION; MODEL</t>
  </si>
  <si>
    <t>It is widely recognized that coupled socio-ecological dynamics can be qualitatively different from the dynamics of social or ecological systems in isolation from one another. The influence of the type of ecological dynamics on the dynamics of the larger socio-ecological system is less well studied, however. Here, we carry out such a comparison using a mathematical model of a common pool resource problem. A population must make decisions about harvesting a renewable resource. Individuals may either be cooperators, who harvest at a sustainable level, or defectors, who overharvest. Cooperators punish defectors through social ostracism. Individuals can switch strategies according to the costs and benefits of harvesting and the strength of social ostracism. These mechanisms are represented by a differential equation for social dynamics, which is coupled to three different types of resource dynamics: logistic growth, constant inflow, and threshold growth. We find that when human influence is sufficiently weak, the form of resource dynamics leaves a strong imprint on the socio-ecological dynamics, and human social dynamics are qualitatively very different from resource dynamics. However, stronger human influence introduces a broad intermediate parameter regime where dynamical patterns converge to a common type: the three types of ecological systems exhibit similar dynamics, but also, social and ecological dynamics mirror one another. This regime of strong human influence includes generation of stable limit cycles at high rates of social learning. Such oscillations are a consequence of stronger coupling and are reminiscent of synchrony in other fields, such as the classic problem of coupled oscillators. Socio-ecological convergence has implications for how we understand and manage complex socio-ecological systems. In an era of growing human influence on ecological systems, further empirical and theoretical work is required to determine whether socio-ecological convergence is present in real systems.</t>
  </si>
  <si>
    <t>10.1007/s12080-018-0394-z</t>
  </si>
  <si>
    <t>Swart, PK; Evans, S; Capo, T; Altabet, MA</t>
  </si>
  <si>
    <t>The fractionation of nitrogen and oxygen isotopes in macroalgae during the assimilation of nitrate</t>
  </si>
  <si>
    <t>DELTA-N-15 VALUES; ALGAL NITRATE; FLORIDA-KEYS; REDUCTASE; AMMONIUM; NITRITE; N-15; DENITRIFICATION; ENRICHMENT; FIXATION</t>
  </si>
  <si>
    <t>In order to determine and understand the stable isotope fractionation of O-18 and N-15 manifested during assimilation of NO3- in marine macro-benthic algae, two species (Ulva sp. and Agardhiella sp.) have been grown in a wide range of NO3- concentrations (2-500 mu M). Two types of experiments were performed. The first was one in which the concentration of the NO3- was allowed to drift downward as it was assimilated by the algae, between 24 hour replacements of media. These experiments proceeded for periods of between 7 and 10 days. A second set of experiments maintained the NO3- concentration at a low steady-state value by means of a syringe pump. The effective fractionation during the assimilation of the NO3- was determined by measuring the delta N-15 of both the (i) new algal growth and (ii) residual NO3- in the free-drift experiments after 0, 12, 24 and 48 h. Modelling these data show that the fractionation during assimilation is dependent upon the concentration of NO3- and is effectively 0 at concentrations of less than similar to 2 mu M. The change in the fractionation with respect to concentration is the greatest at lower concentrations (2-10 mu M). The fractionation stablizes between 4 and 6% at concentrations of between 50 and 500 mu M. Although the delta O-18 and delta N-15 values of NO3- in the residual solution were correlated, the slope of relationship also varied with respect to NO3- concentration, with slopes of greater than unity at low concentration. These results suggest shifts in the dominant fractionation mechanism of N-15 and O-18 between concentrations of 1 and 10 mu M NO3-. At higher NO3- concentrations (&gt; 10-50 mu M), fractionation during assimilation will lead to delta N-15 values in algal biomass lower than the ambient NO3- and N-15 enrichments in the residual NO3-.</t>
  </si>
  <si>
    <t>10.5194/bg-11-6147-2014</t>
  </si>
  <si>
    <t>Clauzel, C; Jeliazkov, A; Mimet, A</t>
  </si>
  <si>
    <t>Coupling a landscape-based approach and graph theory to maximize multispecific connectivity in bird communities</t>
  </si>
  <si>
    <t>Landscape multifunctionality; Functional connectivity; Ecological network; Graph theory; Landscape-based approach; Landscape composition and configuration</t>
  </si>
  <si>
    <t>HABITAT FRAGMENTATION; AGRICULTURAL INTENSIFICATION; RELATIVE IMPORTANCE; SEED DISPERSAL; WOODLAND BIRDS; COMMON BIRDS; CONSERVATION; BIODIVERSITY; ENVIRONMENTS; RESPONSES</t>
  </si>
  <si>
    <t>Environmental policies have highlighted the importance of preserving ecological networks to limit the fragmentation of natural habitats and biodiversity loss. A crucial issue for landscape managers is how to reconcile conservation measures that benefit all species and the maintenance of human activities. This study aimed to promote landscape multifunctionality, i.e., improving connectivity for several species without significantly modifying human activities. The objectives were to identify the most strategic natural landscape types to prioritize for preservation and to propose landscape management actions in highly anthropized areas that would benefit a majority of species. The analysis combined landscape types and bird species observation data to model landscape suitability for six species profiles defined by their affinity for wetlands, agricultural areas, urban areas and three types of forested landscapes. By graph modelling, we analysed the functional connectivity of the ecological networks of these species profiles. The results revealed that only ten landscape types out of 72 were core habitats for three species profiles simultaneously. These were primarily forested landscape types - either strict or associated with open areas (wasteland, forest clearing). Conversely, some anthropogenic landscapes dominated by built areas and sometimes shared with agriculture were completely unfavourable for all species profiles. The graph modelling analysis showed that the transformation of some landscape types could potentially improve connectivity for four species profiles presenting different ecological requirements. This coupling approach thus provided guidance to propose some landscape management actions that benefit the majority of species while preserving land uses.</t>
  </si>
  <si>
    <t>10.1016/j.landurbplan.2018.07.002</t>
  </si>
  <si>
    <t>Sinnatamby, RN; Reist, JD; Power, M</t>
  </si>
  <si>
    <t>Identification of the maternal source of young-of-the-year Arctic charr in Lake Hazen, Canada</t>
  </si>
  <si>
    <t>maternal transfer; morphotypes; reproductive contribution; Salvelinus alpinus; stable isotopes</t>
  </si>
  <si>
    <t>SALVELINUS-ALPINUS L.; STABLE-ISOTOPES; ATLANTIC SALMON; BROOK TROUT; ELLESMERE-ISLAND; TROPHIC ECOLOGY; NURSERY HABITAT; LIFE-HISTORY; CARBON; DIET</t>
  </si>
  <si>
    <t>A discriminant function analysis model based on carbon and nitrogen stable isotope values was used to identify offspring of piscivorous large-form and non-piscivorous small-form Arctic charr, Salvelinus alpinus, morphotypes from Lake Hazen, Nunavut, Canada. The ability to distinguish between morphotypes in Lake Hazen was based mainly on the separation of 15N signatures because of adult occupation of significantly different trophic levels. A smaller difference between adult morphotype 13C values, most likely combined with a potential increase in variation among individuals at the egg stage, a faster turnover rate in carbon relative to nitrogen and the size at which fish can be sampled in the open-water season in Lake Hazen, probably contributes to the limited use of 13C in distinguishing between morphotype offspring. Based on young-of-the-year (YOY) origin estimates, the adult morphotypes were estimated to contribute approximately equally to the YOY population; however, the morphotype offspring were differentially distributed among sampled nursery sites. Unequal distribution corresponds with prerequisites suggested for the evolution of trophic specialists within a single population that experiences assortative mating based on trophic specialisation. Differential use of spawning areas and the more or less equal importance of both Lake Hazen forms found in this study, taken alongside previously noted morphological variation and available genetic evidence, suggest that Lake Hazen may be an example of early divergence relative to other Arctic charr populations described in the literature.</t>
  </si>
  <si>
    <t>10.1111/fwb.12139</t>
  </si>
  <si>
    <t>Negishi, JN; Katsuki, K; Kume, M; Nagayama, S; Kayaba, Y</t>
  </si>
  <si>
    <t>Terrestrialization alters organic matter dynamics and habitat quality for freshwater mussels (Unionoida) in floodplain backwaters</t>
  </si>
  <si>
    <t>molluscs; benthic detritus; stable isotopes; seston; flood pulse</t>
  </si>
  <si>
    <t>CARBON-ISOTOPE RATIOS; HYDROLOGICAL CONNECTIVITY; RIVER-FLOODPLAIN; FOOD-WEB; STABLE-ISOTOPES; STREAM; FLOW; CONSERVATION; COMMUNITIES; ASSEMBLAGES</t>
  </si>
  <si>
    <t>Anthropogenically induced reduction in flood inundation frequency often leads to terrestrialisation, which accompanies establishment and expansions of tree cover on areas formerly with little or no trees. We tested hypotheses that terrestrialisation degrades habitat for freshwater mussels (Unionoida: Unio douglasiae nipponensis and Lanceolaria grayana) by changing the organic matter (OM) dynamics in floodplain backwaters. Stable isotope composition of seston, periphyton, fine and coarse benthic particulate OM (FBPOM and CBPOM) and mussel tissues was measured to understand OM dynamics and food webs in 14 backwaters in the middle segment of the Kiso River, Japan. Isotope ratios, C:N ratio and chlorophyll a as a proxy of food resource characteristics and the frequency of hypoxia were related to mussel growth rates. delta C-13 of seston, periphyton and FBPOM was low at sites with lower inundation frequency (a greater degree of terrestrialisation), whereas such a trend was not observed for CBPOM (i.e. riparian leaf litter). Mussels fed exclusively on seston or mixtures of seston and periphyton with their delta C-13 tracking fluctuations in food resources. Sestonic delta C-13 differences were attributed to changes in dominant carbon origin from predominantly river-borne to autochthonous sources, while periphytic delta C-13 differences were possibly caused by a varying level of dependence on respiratory CO2. FBPOM-delta C-13 differences were associated with a greater contribution of CBPOM to the FBPOM pool in infrequently flooded backwaters. Variability in mussel growth was more closely related to hypoxia than food resource characteristics. We inferred that terrestrialisation changes quality of seston and benthic detritus and degrades habitat conditions largely by accumulating riparian leaf litter in the benthic detrital pool and increasing the frequency of hypoxia. The removal of riparian trees may temporarily improve habitat condition in backwaters heavily affected by terrestrialisation. However, ecological integrity in the long run requires the recovery of the process that suppresses terrestrialisation, which includes restoration of incised channels and flood pulses.</t>
  </si>
  <si>
    <t>10.1111/fwb.12325</t>
  </si>
  <si>
    <t>Sweeting, CJ; Barry, JT; Polunin, NVC; Jennings, S</t>
  </si>
  <si>
    <t>Effects of body size and environment on diet-tissue delta C-13 fractionation in fishes</t>
  </si>
  <si>
    <t>depleted; enriched; isotope; marine; nitrogen</t>
  </si>
  <si>
    <t>STABLE-ISOTOPE RATIOS; AQUATIC FOOD-WEB; CARBON ISOTOPES; SPATIAL VARIATION; TROPHIC SHIFT; OREOCHROMIS-NILOTICUS; NITROGEN ISOTOPES; ATLANTIC SALMON; LITTORAL FISHES; FEEDING ECOLOGY</t>
  </si>
  <si>
    <t>delta C-13 data are often used in trophodynamic research where diet-tissue fractionation (Delta delta C-13) is assumed to be 0-1%. per trophic level and unaffected by the size of animals or their environment. Variation in Delta delta C-13 Will influence conclusions about food sources, energy pathways and trophic level. To assess the effects of body size, age and environmental conditions on Delta delta C-13, European sea bass (Dicentrarchus labrax) were reared on constant diets of dab (Limanda limanda) or (Ammodytes marinus) for 2years under natural environmental regimes. Bags were sampled approximately monthly to determine Delta delta C-13 for muscle, heart and liver tissue and were 1.66 parts per thousand, -0.18 parts per thousand, -1.77 parts per thousand (sandeel diet) and 1.34 parts per thousand, -1.18 parts per thousand, -1.75 parts per thousand (dab diet) respectively. Arithmetic lipid correction increased Delta delta C-13 to &gt; 2%o for muscle and liver. Delta delta C-13 was dependent on body mass and experimental duration (age) and generally declined with weight or time even after correction for lipid content. For liver, increasing temperature increased Delta delta C-13. The Delta delta C-13 estimates from this study were compared with all available published A613 C estimates for fish. Bass muscle A Delta delta C-13 was similar to previous estimates for fish white muscle Delta delta C-13 (1.56 +/- 1.10%o) and whole body Delta delta C-13 (1.52 +/- 1.13%o). Fractionations derived in this study, combined with those from the literature, support the use of diet-tissue fractionation values of between 1 parts per thousand-2 parts per thousand for delta C-13, rather than the commonly used 0 parts per thousand - 1 parts per thousand. For muscle Delta delta C-13, 1.5 parts per thousand is appropriate. (c) 2007 Elsevier B.V. All rights reserved.</t>
  </si>
  <si>
    <t>10.1016/j.jembe.2007.07.007</t>
  </si>
  <si>
    <t>Seminoff, JA; Jones, TT; Eguchi, T; Hastings, M; Jones, DR</t>
  </si>
  <si>
    <t>Stable carbon and nitrogen isotope discrimination in soft tissues of the leatherback turtle (Dermochelys coriacea): Insights for trophic studies of marine turtles</t>
  </si>
  <si>
    <t>Carbon; Dermochelys coriacea; Fractionation; Isotope enrichment; Nitrogen; Reptile</t>
  </si>
  <si>
    <t>CHELONIA-MYDAS; METABOLIC-RATE; SEA-TURTLE; DIET; FRACTIONATION; DELTA-C-13; BLOOD; DELTA-N-15; TURNOVER; RATIOS</t>
  </si>
  <si>
    <t>The trophic ecology of marine vertebrates has been increasingly studied via stable isotope analysis of body tissues. However, the theoretical basis for using stable isotopes to elucidate consumer-prey relationships remains poorly validated for most taxa despite numerous studies using this technique in natural systems. In this study, we measured stable carbon and stable nitrogen diet-tissue discrimination (Delta(dt)) in whole blood, red blood cells, blood plasma solutes, and skin of leatherback sea turtles (Dermochelys coriacea; N=7) maintained in captivity for up to 424days and fed an isotopically consistent control diet with a mean C:N ratio of 2.94:1.00 and an energetic content of 20.16 +/- 0.39 kJ g(-1) Dry Mass. We used a random-effect repeated measure model to evaluate isotopic consistency among tissue samples collected on days 276, 348. and 424. Both delta C-13 and delta N-15 remained consistent among sampling events in all tissues (all 95% posterior intervals for the slopes of a linear model included zero), indicating that all tissues had fully integrated diet-derived stable isotope compositions. Mean tissue-specific delta C-13 ranged from -18.30 +/- 0.16 parts per thousand (plasma solutes) to -15.54 +/- 0.14 parts per thousand (skin), whereas mean delta N-15 was from 10.06 +/- 0.22 parts per thousand (whole blood) to 11.46 +/- 0.10 parts per thousand (plasma solutes). The computed Delta(dt) factors for carbon ranged from -0.58 parts per thousand. (plasma solutes) to + 2.25 parts per thousand (skin), whereas Delta(dt) for nitrogen was from + 1.49 (red blood cells) to + 2.85 (plasma solutes). As the only discrimination factors available for leatherback turtles, our data will be useful for future interpretations of field-derived stable isotope data for this species. The inherent variability in Delta(dt) values among individuals was low, which supports the value of these data for dietary reconstructions. However, it is important to note that tissue-specific discrimination factors for leatherbacks contrast with the widely accepted values for endothermic species (0-1 parts per thousand for C, 3-5 parts per thousand for N), and are also different from values established for hard-shelled turtles. This underscores the need for species- and tissue-specific discrimination factors before interpreting trophic studies of wild animals, including marine turtles. Published by Elsevier B.V.</t>
  </si>
  <si>
    <t>10.1016/j.jembe.2009.08.018</t>
  </si>
  <si>
    <t>Hilling, CD; Taylor, ND; Welsh, SA; Smith, DM</t>
  </si>
  <si>
    <t>Population Characteristics of Yellow Perch in a Central Appalachia Hydropower Reservoir</t>
  </si>
  <si>
    <t>condition; diet; growth; mortality; Perca flavescens; sex</t>
  </si>
  <si>
    <t>DENSITY-DEPENDENT GROWTH; LIFE-HISTORY TRAITS; FISH GROWTH; FLAVESCENS MITCHILL; WATER CHEMISTRY; LAKE-MICHIGAN; VARIABILITY; MANAGEMENT; RECRUITMENT; MORTALITY</t>
  </si>
  <si>
    <t>Estimates of population characteristics of sport fishes inform fisheries management decisions and provide feedback on management strategies. Cheat Lake provides an unusual fishery in West Virginia because the hydropower reservoir supports a Yellow Perch Perca flavescens population. We estimated age structure, size structure, condition, total instantaneous mortality, growth, and summer diet for Cheat Lake Yellow Perch based on electrofishing collections in 2012. From 302 individuals, we observed a maximum age of 9 y. Maximum age, average size, and growth of females in the sample exceeded those of males. Cheat Lake Yellow Perch scored low on the relative weight index, but generally exhibited faster growth than other populations, even when compared by sex. Estimated annual survival was 0.63 (95% CI = 0.51-0.78), which is comparable to other exploited populations. These data support the presence of an ontogenetic diet shift from consumption of zooplankton to macroinvertebrates and fishes as Yellow Perch age. This study is the first evaluation we are aware of on Yellow Perch population characteristics in West Virginia, providing baseline data to enhance management decisions and direct future studies.</t>
  </si>
  <si>
    <t>10.3996/012018-JFWM-007</t>
  </si>
  <si>
    <t>Allochthonous and autochthonous carbon sources for fish in floodplain lagoons of an Australian dryland river</t>
  </si>
  <si>
    <t>Fish; Food web; Stable isotopes; Riverine Productivity Model</t>
  </si>
  <si>
    <t>FOOD-WEB; AUTOTROPHIC CARBON; MACINTYRE RIVER; STABLE-ISOTOPES; ORGANIC-MATTER; VARIABILITY; DIET; WATERHOLES; DRY</t>
  </si>
  <si>
    <t>Dryland rivers associated with arid and semi-arid land areas offer an opportunity to explore food web concepts and models of energy sources in systems that experience unpredictable flooding and long dry spells. This study investigated the sources of energy supporting three species of fish feeding at different trophic levels within floodplain lagoons of the Macintyre River in the headwaters of the Murray-Darling river system, Australia. Stable isotope analyses revealed that fish consumers derived, on average, 46.9% of their biomass from zooplankton, 38.1% from Coarse Particulate Organic Matter (CPOM) and 24.0% from algae. Ambassis agassizii derived on average 57.6% of its biomass carbon from zooplankton and 20.4-27.8% from algae or CPOM. Leiopotherapon unicolor derived most of its carbon from zooplankton and CPOM (38.3-39.5%), with relatively high contributions from algae compared to the other species (33.3%). An average of 48.4% of the biomass of Nematalosa erebi was derived from zooplankton, with CPOM contributing another 38.1%. Zooplankton was the most important source of organic carbon supporting all three fish species in floodplain lagoons. Phytoplankton, and possibly, particulate organic matter in the seston, are the most likely energy sources for the planktonic suspension feeders (zooplankton) and, consequently, the fish that feed on them. These results indicate a stronger dependence of consumers on autochthonous sources and on locally produced organic matter from the riparian zone (i.e., the Riverine Productivity Model), than on other resources.</t>
  </si>
  <si>
    <t>10.1007/s10641-010-9706-x</t>
  </si>
  <si>
    <t>Koehler, G; Hobson, KA</t>
  </si>
  <si>
    <t>Delineating origins of cheetah cubs in the illegal wildlife trade: Improvements based on the use of hair delta O-18 measurements</t>
  </si>
  <si>
    <t>hydrogen; oxygen; stable isotope; conservation; cheetah; maternal nutrients; metabolic routing</t>
  </si>
  <si>
    <t>STABLE-ISOTOPE RATIOS; DISCRIMINATION FACTORS; ACINONYX-JUBATUS; CARBON ISOTOPES; DRINKING-WATER; HYDROGEN; NITROGEN; OXYGEN; MILK; TISSUES</t>
  </si>
  <si>
    <t>All African felids are listed as vulnerable or endangered according to the IUCN (International Union for Conservation of Nature) Red List of Threatened Species. Cheetahs (Acinonyx jubatus) in particular have declined rapidly as a result of human impacts so that development of effective strategies and tools for conservation of this highly vulnerable species, as well as African felids in general, are essential for their survival in the wild. Here we use the oxygen stable isotopic compositions of cheetah hair to determine origins of cheetah cubs destined for the illegal exotic pet trade by associating individual cubs with predicted delta O-18 isoscape locations. We found that cheetah cubs most likely originated in East Africa, close to the corridors responsible for this aspect of the illegal wildlife trade to the Middle East. Further refinement of these assignments using a two isotope analysis (delta O-18 and delta C-13 values) indicate that these cubs were likely sourced in Southern Ethiopia or possibly as far as Tanzania. We also demonstrate that delta O-18 values in tissues can provide provenance information in cases where results of delta H-2 analyses may be obscured by the effects of metabolic routing of nutrients during nursing, starvation, or dehydration. This study demonstrates the utility of stable isotopic tools for conservation and forensic uses for endangered mammalian species.</t>
  </si>
  <si>
    <t>10.3389/fevo.2023.1058985</t>
  </si>
  <si>
    <t>Tu, KL; Blanchard, AL; Iken, K; Horstmann-Dehn, L</t>
  </si>
  <si>
    <t>Small-scale spatial variability in benthic food webs in the northeastern Chukchi Sea</t>
  </si>
  <si>
    <t>Food web; Benthic; Stable isotope; Carbon isotopes; Nitrogen stable isotope; Calorimetry; Chukchi Sea; Arctic</t>
  </si>
  <si>
    <t>STABLE-ISOTOPES; CALORIC CONTENT; COMMUNITY STRUCTURE; ORGANIC-MATTER; BERING-SEA; PROXIMATE COMPOSITION; CONTINENTAL-SHELF; TROPHIC STRUCTURE; CARBON ISOTOPES; GROWTH-RATE</t>
  </si>
  <si>
    <t>Benthic food-web structure can differ over large scales across Arctic shelves in relation to hydrographic conditions, but little is known if such differences also occur on smaller scales (10s of km) in hydrographically complex areas. The length, food sources, trophic composition, and energy distribution of benthic food webs in 3 neighboring study areas in the northeastern Chukchi Sea (i.e. Klondike, Burger, and Statoil, 3000 km(2) each) were compared using stable isotope analysis and bomb calorimetry. Food-web length (4 trophic levels), food sources, and plots of delta C-13 versus delta N-15 were comparable among areas. Marked differences in food-web structure were observed when trophic levels in the 3 areas were quantified by benthic biomass and abundance. High proportions of biomass and abundance of trophic level (TL) 3 taxa at Burger were attributed to a large presence of refractory material. High proportions of TL 1 and TL 2 taxa at both Klondike and Statoil reflected higher availability of fresh material. Burger is a rich foraging ground for some benthic top predators due to high benthic prey energy densities. This study demonstrates that marine food webs can vary on small spatial scales with hydrographic conditions, particularly when quantitative trophic level distribution is considered.</t>
  </si>
  <si>
    <t>10.3354/meps11216</t>
  </si>
  <si>
    <t>Atkinson, CL; Encalada, AC; Rugenski, AT; Thomas, SA; Landeira-Dabarca, A; Poff, NL; Flecker, AS</t>
  </si>
  <si>
    <t>Determinants of food resource assimilation by stream insects along a tropical elevation gradient</t>
  </si>
  <si>
    <t>Autochthony; Allochthony; Aquatic insects; Elevation; Stoichiometry; Stable isotopes; Tropical streams</t>
  </si>
  <si>
    <t>FRESH-WATER ECOSYSTEMS; STABLE-ISOTOPES; RELATIVE IMPORTANCE; MACROINVERTEBRATE COMMUNITIES; TERRESTRIAL SUBSIDIES; TROPHIC LEVELS; CLIMATE-CHANGE; FOREST STREAM; WEBS; CARBON</t>
  </si>
  <si>
    <t>Food resource availability varies along gradients of elevation where riparian vegetative cover exerts control on the relative availability of allochthonous and autochthonous resources in streams. Still, little is known about how elevation gradients can alter the availability and quality of resources and how stream food webs respond. We sampled habitat characteristics, stable isotope signatures (delta C-13, delta N-15, delta H-2) and the carbon, nitrogen and phosphorus composition of basal food resources and insects in 11 streams of similar size along an elevation gradient from 1260 to 4045 m on the northeastern slope of the Ecuadorian Andean-Amazon region. Algal-based (autochthonous) food resources primarily supported insects occurring at higher elevations, but at low elevations there was a shift to greater allochthony, corresponding with lower light availability and reduced epilithon resource abundance. Additionally, percent phosphorus (%P) of both autochthonous and allochthonous food resources and of body tissue for some abundant insect taxa (stonefly Anacroneuria and mayfly Andesiops) declined with increasing elevation, despite the greater autochthony at high elevation. Allochthonous food resources were always a lower quality food resource, as indicated by higher C:N, N:P, and lower %P, across elevation in comparison to autochthonous resources, but autochthonous resources had higher %P than allochthonous resources across all elevations and comprised a greater portion of high-elevation insect resource assimilation. Aquatic insects may be able to compensate for the lower quality of both resource types at high elevations through altered body stoichiometry, even though higher quality autochthonous-based foods are in high abundance at high elevations.</t>
  </si>
  <si>
    <t>10.1007/s00442-018-4142-2</t>
  </si>
  <si>
    <t>Osman, EO; Vohsen, SA; Girard, F; Cruz, R; Glickman, O; Bullock, LM; Anderson, KE; Weinnig, AM; Cordes, EE; Fisher, CR; Baums, IB</t>
  </si>
  <si>
    <t>Capacity of deep-sea corals to obtain nutrition from cold seeps aligned with microbiome reorganization</t>
  </si>
  <si>
    <t>16S metabarcoding; deep sea; microbiome; stable isotopes; SUP05; transcriptomes</t>
  </si>
  <si>
    <t>HORIZON OIL-SPILL; WATER CORALS; GULF; COMMUNITIES; IMPACTS; ASSOCIATIONS; DIVERSITY; SEDIMENTS; SYMBIOSIS; DYNAMICS</t>
  </si>
  <si>
    <t>Cold seeps in the deep sea harbor various animals that have adapted to utilize seepage chemicals with the aid of chemosynthetic microbes that serve as primary producers. Corals are among the animals that live near seep habitats and yet, there is a lack of evidence that corals gain benefits and/or incur costs from cold seeps. Here, we focused on Callogorgia delta and Paramuricea sp. type B3 that live near and far from visual signs of currently active seepage at five sites in the deep Gulf of Mexico. We tested whether these corals rely on chemosynthetically-derived food in seep habitats and how the proximity to cold seeps may influence; (i) coral colony traits (i.e., health status, growth rate, regrowth after sampling, and branch loss) and associated epifauna, (ii) associated microbiome, and (iii) host transcriptomes. Stable isotope data showed that many coral colonies utilized chemosynthetically derived food, but the feeding strategy differed by coral species. The microbiome composition of C. delta, unlike Paramuricea sp., varied significantly between seep and non-seep colonies and both coral species were associated with various sulfur-oxidizing bacteria (SUP05). Interestingly, the relative abundances of SUP05 varied among seep and non-seep colonies and were strongly correlated with carbon and nitrogen stable isotope values. In contrast, the proximity to cold seeps did not have a measurable effect on gene expression, colony traits, or associated epifauna in coral species. Our work provides the first evidence that some corals may gain benefits from living near cold seeps with apparently limited costs to the colonies. Cold seeps provide not only hard substrate but also food to cold-water corals. Furthermore, restructuring of the microbiome communities (particularly SUP05) is likely the key adaptive process to aid corals in utilizing seepage-derived carbon. This highlights that those deep-sea corals may upregulate particular microbial symbiont communities to cope with environmental gradients.</t>
  </si>
  <si>
    <t>10.1111/gcb.16447</t>
  </si>
  <si>
    <t>Pellegrini, AFA; Refsland, T; Averill, C; Terrer, C; Staver, AC; Brockway, DG; Caprio, A; Clatterbuck, W; Coetsee, C; Haywood, JD; Hobbie, SE; Hoffmann, WA; Kush, J; Lewis, T; Moser, WK; Overby, ST; Patterson, WA; Peay, KG; Reich, PB; Ryan, C; Sayer, MAS; Scharenbroch, BC; Schoennagel, T; Smith, GR; Stephan, K; Swanston, C; Turner, MG; Varner, JM; Jackson, RB</t>
  </si>
  <si>
    <t>Decadal changes in fire frequencies shift tree communities and functional traits</t>
  </si>
  <si>
    <t>PRESCRIBED FIRE; ECOSYSTEM CARBON; PLANT COMMUNITY; PONDEROSA PINE; SOIL CARBON; FOREST; VEGETATION; NITROGEN; SAVANNA; INTERVAL</t>
  </si>
  <si>
    <t>Global change has resulted in chronic shifts in fire regimes. Variability in the sensitivity of tree communities to multi-decadal changes in fire regimes is critical to anticipating shifts in ecosystem structure and function, yet remains poorly understood. Here, we address the overall effects of fire on tree communities and the factors controlling their sensitivity in 29 sites that experienced multi-decadal alterations in fire frequencies in savanna and forest ecosystems across tropical and temperate regions. Fire had a strong overall effect on tree communities, with an average fire frequency (one fire every three years) reducing stem density by 48% and basal area by 53% after 50 years, relative to unburned plots. The largest changes occurred in savanna ecosystems and in sites with strong wet seasons or strong dry seasons, pointing to fire characteristics and species composition as important. Analyses of functional traits highlighted the impact of fire-driven changes in soil nutrients because frequent burning favoured trees with low biomass nitrogen and phosphorus content, and with more efficient nitrogen acquisition through ectomycorrhizal symbioses. Taken together, the response of trees to altered fire frequencies depends both on climatic and vegetation determinants of fire behaviour and tree growth, and the coupling between fire-driven nutrient losses and plant traits. Using tree community data from 29 tropical and temperate sites that have experienced multi-decadal alterations in fire frequency, the authors show repeated burning generally reduces stem density and basal area, with most pronounced effects in savanna ecosystems and in sites with strong wet seasons or strong dry seasons.</t>
  </si>
  <si>
    <t>10.1038/s41559-021-01401-7</t>
  </si>
  <si>
    <t>Zhang, C; Chen, WB; He, L; Huang, FF; Li, HF</t>
  </si>
  <si>
    <t>Dynamic simulation of the grassland connectivity and the effects of landscape pattern in China's Poyang Lake from the integrated perspective of habitat and biology</t>
  </si>
  <si>
    <t>grassland; landscape connectivity; landscape pattern; Poyang Lake; species dispersal; water level change</t>
  </si>
  <si>
    <t>FUNCTIONAL CONNECTIVITY; DISPERSAL; CONSERVATION; BASIN; XISHUANGBANNA; DIVERSITY; INSIGHTS; IMPACTS; PATCHES; CITY</t>
  </si>
  <si>
    <t>Analysing the dynamics of landscape connectivity is of great significance for biodiversity conservation, but the scientific expression of ecological processes and the depth of coupling landscape pattern and ecological process requires to be strengthened. Taking the grassland of Poyang Lake as a case, based on the integrated perspective of habitat and biology, and comprehensively considering the ecological process of water level change and species dispersal, this study firstly analysed the changes of functional connectivity of grassland with different water levels and dispersal distances by using the graph-based connectivity indices. Then, landscape pattern indices were applied to analyse the dynamics of landscape pattern of grassland and further study the effects of landscape pattern on landscape functional connectivity. The results showed as follows: (1) From the perspective of habitat, the functional connectivity of grassland has progressively decreased with the increase of water level. From the perspective of ecology, the species dispersal distance had an absolutely positive impact on landscape functional connectivity. With the increase of dispersal distance, the functional connectivity of grassland increased significantly. (2) The dynamics of landscape pattern of grassland showed that with the increase of water level, the patch area shrank, the patch shape tended to be simple, the patch density decreased and the patch fragmentation aggravated. (3) The correlation results between landscape pattern and functional connectivity indicated that flux index (F) had a significant positive relationship with patch density (PD), edge density (ED), probability of connectivity (PC) had a strong significant positive relationship with largest patch index (LPI), COHESION and number of components (NC) had a negative relationship with LPI, ED, COHESION. This study provides theoretical guidance for the protection and management of grassland in Poyang Lake.</t>
  </si>
  <si>
    <t>10.1002/eco.2540</t>
  </si>
  <si>
    <t>Aines, AC; Carlson, JK; Boustany, A; Mathers, A; Kohler, NE</t>
  </si>
  <si>
    <t>Feeding habits of the tiger shark, Galeocerdo cuvier, in the northwest Atlantic Ocean and Gulf of Mexico</t>
  </si>
  <si>
    <t>Prey diversity; Dietary analysis; Ontogenetic dietary shift; Elasmobranch; Predation; Stomach contents</t>
  </si>
  <si>
    <t>DIET; PREDATION; VIRGINIA; BEHAVIOR; DOGFISH; ECOLOGY; BIOLOGY; GROWTH; SIZE; SEX</t>
  </si>
  <si>
    <t>Tiger sharks, Galeocerdo cuvier, are apex predators that may structure marine communities through predation. Despite a large number of studies in other areas such as the Pacific Ocean, there are no quantitative data on the diet of tiger sharks in the northwest Atlantic Ocean and Gulf of Mexico. Diet was assessed from 169 tiger sharks by life stage, area, and environmental factors. Fifteen prey groups were identified, with teleosts, molluscs, birds, cephalopods, and reptiles being the predominant prey categories. There was an ontogenetic shift in diet, prey size and diversity. Molluscs were the most common prey in smaller sharks, while teleosts and reptiles became more important in the diet of larger sharks. Dietary overlap was significant by area (Gulf of Mexico vs Atlantic Ocean) and among all life stages except for young-of-the-year and adult tiger sharks. Juvenile tiger sharks also demonstrated selective feeding by targeting gastropod feet over ingesting the entire animal. While results were similar to feeding studies conducted on tiger sharks in other ocean basins, an understanding of area-specific trophic interactions is necessary to inform decision support tools for ecosystem-based approaches to management.</t>
  </si>
  <si>
    <t>10.1007/s10641-017-0706-y</t>
  </si>
  <si>
    <t>Kadye, WT; Chakona, A; Jordaan, MS</t>
  </si>
  <si>
    <t>Swimming with the giant: coexistence patterns of a new redfin minnow Pseudobarbus skeltoni from a global biodiversity hot spot</t>
  </si>
  <si>
    <t>Freshwater fishes; habitat niche; morphological traits; niche overlap; trophic niche</t>
  </si>
  <si>
    <t>NICHE VARIATION HYPOTHESIS; CAPE FLORISTIC REGION; STABLE-ISOTOPE RATIOS; LIMITING SIMILARITY; COMPETITIVE-EXCLUSION; EMPIRICAL-EVALUATION; MODELS; DIVERSITY; COMMUNITIES; CYPRINIDAE</t>
  </si>
  <si>
    <t>Ecological niche theory predicts that coexistence is facilitated by resource partitioning mechanisms that are influenced by abiotic and biotic interactions. Alternative hypotheses suggest that under certain conditions, species may become phenotypically similar and functionally equivalent, which invokes the possibility of other mechanisms, such as habitat filtering processes. To test these hypotheses, we examined the coexistence of the giant redfin Pseudobarbus skeltoni, a newly described freshwater fish, together with its congener Pseudobabus burchelli and an anabantid Sandelia capensis by assessing their scenopoetic and bionomic patterns. We found high habitat and isotope niche overlaps between the two redfins, rendering niche partitioning a less plausible sole mechanism that drives their coexistence. By comparison, environment-trait relationships revealed differences in species-environment relationships, making habitat filtering and functional equivalence less likely alternatives. Based on P. skeltoni's high habitat niche overlap with other species, and its large isotope niche width, we inferred the likelihood of differential resource utilization at trophic level as an alternative mechanism that distinguished it from its congener. In comparison, its congener P. burchelli appeared to have a relatively small trophic niche, suggesting that its trophic niche was more conserved despite being the most abundant species. By contrast, S. capensis was distinguished by occupying a higher trophic position and by having a trophic niche that had a low probability of overlapping onto those of redfins. Therefore, trophic niche partitioning appeared to influence the coexistence between S. capensis and redfins. This study suggests that coexistence of these fishes appears to be promoted by their differences in niche adaptation mechanisms that are probably shaped by historic evolutionary and ecological processes.</t>
  </si>
  <si>
    <t>10.1002/ece3.2328</t>
  </si>
  <si>
    <t>Denham, AJ; Whelan, RJ; Auld, TD; Denham, RJ</t>
  </si>
  <si>
    <t>The coupling of recruitment and disturbance by fire in two resprouting Proteaceae species</t>
  </si>
  <si>
    <t>Canopy seed bank; Litter; Post-fire recruitment period; Seed predation; Seedling establishment; Transient seed bank</t>
  </si>
  <si>
    <t>SEED PREDATION; BANKSIA-SERRATA; POSTFIRE RECRUITMENT; PLANT LITTER; ESTABLISHMENT; DISPERSAL; REGENERATION; SEEDLINGS; DYNAMICS; COMMUNITIES</t>
  </si>
  <si>
    <t>Recruitment in plant populations is often tightly coupled to major disturbances such as fires. For species with persistent seed banks, fire-related cues may allow or enhance germination. The litter layer influences germination and may modify the impact of seed predators on seeds and seedlings. The litter layer is obviously affected by fire, providing one mechanism by which disturbance can determine recruitment. We tested the role of litter in the disturbance-recruitment coupling of two species with contrasting seed release timing after fire-Banksia serrata (canopy seed bank) and Telopea speciosissima (transient seed bank) by planting their seeds both early and late in the post-fire recruitment period (PRP) and manipulating litter density in orthogonal treatments. Vertebrate seed predators were excluded. Both species established more seedlings late in the PRP, although results were strongly influenced by very poor establishment at one site. Invertebrate seed predators consumed more T. speciosissima seeds in sites early (69.5%) than late in the PRP (51.2%), while consumption of B. serrata seeds was lower overall and comparable across sites (average 47.3%). Surprisingly, litter had very little effect on establishment and none on invertebrate seed predation, suggesting that other factors are more important. Recruitment was only loosely coupled to disturbance for the canopy seed bank species; for the transient seed bank species, the coupling was tighter but separated in time from the disturbance. Understanding both the strength and temporal aspects of the disturbance-recruitment coupling is necessary for appropriate management of plant functional diversity in fire-prone habitats.</t>
  </si>
  <si>
    <t>10.1007/s11258-010-9838-2</t>
  </si>
  <si>
    <t>Marty, C; Houle, D; Gagnon, C</t>
  </si>
  <si>
    <t>Effect of the Relative Abundance of Conifers Versus Hardwoods on Soil delta C-13 Enrichment with Soil Depth in Eastern Canadian forests</t>
  </si>
  <si>
    <t>forest soils; delta C-13; soil organic carbon; carbon turnover time; isotopic enrichment factor; boreal forests</t>
  </si>
  <si>
    <t>CARBON-ISOTOPE DISCRIMINATION; DISSOLVED ORGANIC-CARBON; MONTHLY AIR-TEMPERATURE; CLIMATE-CHANGE; GLOBAL VEGETATION; TURNOVER TIMES; NORTH-AMERICA; NITROGEN; MATTER; QUEBEC</t>
  </si>
  <si>
    <t>Soils are a major component of the global C cycle, and considerable effort has been dedicated to improve our understanding of factors controlling soil organic C (SOC) turnover and stabilization in the last decades. Carbon stable isotopes are useful in this respect as they represent an integrative indicator of SOC biogeochemical processing. In the present study, C concentration and delta C-13 were measured in soil horizons of 21 forest sites located at the transition zone between the hardwood and the conifer forest in Qu,bec, Canada, and related to 13 biophysical variables to identify the main drivers of SOC storage and turnover. Carbon concentrations in the forest floor (FF) and the B- and C-horizons were, respectively, strongly correlated with percentage of clay (Pclay), the mean annual precipitation: potential evapotranspiration ratio (MAP:PET), and percentage of hardwoods (Phwd). In FF, delta C-13 was poorly correlated with the studied variables, whereas in mineral horizons, it was significantly correlated with mean annual air temperature (MAAT) and the percentage of conifers (Pc) and Pclay. Across the studied area, delta C-13 increased on average by 2.0aEuro degrees from the FF to the C-horizon. The isotopic enrichment with soil depth (beta) was strongly negatively correlated with Pc, which explained 55% of its variability among sites. This suggests that the vegetation type is an important driver of soil C long-term turnover rate in forest ecosystems. Overall, our data suggest that hardwood forest expansion in response to climate change might reduce the stability and the storage of SOC in the future.</t>
  </si>
  <si>
    <t>10.1007/s10021-015-9852-2</t>
  </si>
  <si>
    <t>Fu, H; Xu, J; Xiao, ER; He, F; Xu, P; Zhou, QH; Wu, ZB</t>
  </si>
  <si>
    <t>Application of dual stable isotopes in investigating the utilization of two wild dominant filamentous algae as food sources for Daphnia magna</t>
  </si>
  <si>
    <t>Zooplankton-phytoplankton interactions; filamentous algae; herbivory; food quality; Cladocera; isotopic labeling</t>
  </si>
  <si>
    <t>PACIFIC WHITE SHRIMP; TURNOVER RATE; CYANOBACTERIA; ZOOPLANKTON; CARBON; QUALITY; LAKE; PHYTOPLANKTON; GROWTH; TISSUE</t>
  </si>
  <si>
    <t>In this study, we evaluated the effects of two dominant microfilamentous algae (i. e. Melosira granulata and Oscillatoria sp.), collected from the West Lake, on growth and metabolism of Daphnia magna. Our experiment utilized C-13 and N-15 dual labeling to calculate the carbon and nitrogen isotopic turnover rates and half-life times in D. magna. The two labeled types of filaments were offered to D. magna as sole food sources or as paired mixtures with the unlabeled Scenedesmus obliquus. Labeled S. obliquus served as the control. Combined results showed that D. magna had a higher grazing rate on Oscillatoria sp. than on M. granulate and a small percentage of unlabeled S. obliquus addition could improve the grazing rate in both filamentous algae, especially for Oscillatoria sp., which had the highest carbon and nitrogen isotopic turnover rates and the lowest half times, even superior to the sole S. obliquus treatment. Our study revealed that D. magna could utilize the two dominant filamentous algae as a food source for their growth and metabolism, and a small percentage addition of S. obliquus could ameliorate the negative impact of these two filamentous algae on D. magna.</t>
  </si>
  <si>
    <t>10.1080/02705060.2017.1298537</t>
  </si>
  <si>
    <t>Shaner, PJ; Bowers, M; Macko, S</t>
  </si>
  <si>
    <t>Giving-up density and dietary shifts in the white-footed mouse, Peromyscus leucopus</t>
  </si>
  <si>
    <t>complementary resources; dietary shifts; food availability; food quality; foraging behavior; foraging theory; giving-up density; GUD; oak-hickory forest; Virginia; USA; omnivory; Peromyscus leucopus; stable isotopes</t>
  </si>
  <si>
    <t>FOOD-WEB COMPLEXITY; PREDATION RISK; STABLE-ISOTOPES; DEER MICE; PATCH USE; CARBON; OMNIVORY; QUALITY; PROTEIN; MODELS</t>
  </si>
  <si>
    <t>Dietary shifts are commonly exhibited by omnivorous consumers when foraging from variable food resources. One advantage of dietary shifts for a consumer is the ability to gain complementary resources from different foods. In addition, dietary shifts often affect food-web dynamics. Despite the importance of dietary shifts to organismal, community, and ecosystem ecology, empirical studies of the ecological mechanisms that control dietary shifts are limited in scope. In this study, we tested the effects of complementary resources on dietary shifts of an omnivorous mammal, the white-footed mouse Peromyscus leucopus, in the context of depletable food patches in the natural environment. We used two complementary resources: seeds that provide a higher energy gain per unit handling time and mealworms that provide a higher protein gain per unit handling time. Stable isotopes of carbon and nitrogen (delta C-13, delta N-15) in mouse plasma were used to quantify dietary shifts, and we determined giving-up density ( GUD), the food density at which a forager leaves a food patch ( for an optimal forager, it should correspond to the quitting harvest rate that balances net fitness gain with various costs of foraging). The results showed that GUD increased most significantly when a mixture of seeds and mealworms was added, compared to when only seeds or mealworms were added. This suggests that, given a similar level of food availability, a patch with a mixture of complementary foods is of higher quality than a patch with only one type of food. Moreover, GUD measured with seeds ( GUD(s)) correlated positively with seed availability, and GUD measured with mealworms ( GUD(mw)) correlated positively with mealworm availability, indicating that the marginal value of seeds or mealworms decreases with their relatively availability in the environment. As GUD(s) increased, P. leucopus shifted their diets toward higher trophic levels, and as GUD(mw) increased, P. leucopus shifted their diets toward lower trophic levels, suggesting dietary shifts driven by food complementarity. This study demonstrated that the combination of giving-up density and stable-isotope analysis holds great potential for testing ecological mechanisms underlying dietary shifts.</t>
  </si>
  <si>
    <t>10.1890/0012-9658(2007)88[87:GDADSI]2.0.CO;2</t>
  </si>
  <si>
    <t>Baselga, A; Gomez-Rodriguez, C</t>
  </si>
  <si>
    <t>Assessing the equilibrium between assemblage composition and climate: A directional distance-decay approach</t>
  </si>
  <si>
    <t>anisotropy; beta diversity; climatic niches; dispersal limitation; equilibrium; isotropy; turnover</t>
  </si>
  <si>
    <t>BETA-DIVERSITY; DISPERSAL ABILITY; SIMILARITY; TURNOVER; PATTERNS; RANGE; MARINE; ANISOTROPY; GRADIENTS; EUROPE</t>
  </si>
  <si>
    <t>The variation of assemblage composition in space is characterised by the decrease in assemblage similarity with spatial distance. Climatic constraint and dispersal limitation are major drivers of distance-decay of similarity. Distance-decay of similarity is usually conceptualised and modelled as an isotropic pattern, that is, assuming that similarity decays with the same rate in all directions. Because climatic gradients are markedly anisotropic, that is, they have different strength in different directions, if species distributions were in equilibrium with climate, the decay of assemblage similarity should be anisotropic in the same direction as the climatic gradient, that is, faster turnover in the direction that maximises the climatic gradient. Thus, deviations from equilibrium between assemblage composition and climatic conditions would result in differences in anisotropy between distance-decay of similarity and climatic gradients. We assessed anisotropy in distance-decay patterns in marine plankton assemblages, terrestrial vertebrates and European beetles, using two procedures: (a) measuring the correlation between the residuals of a distance-decay model and the angle in which pairs of sites are separated and (b) computing two separate distance-decay models for each dataset, one using only pairwise cases that are separated on North-South direction and another one using pairwise cases separated on East-West direction. We also analysed whether the degree of anisotropy in distance-decay is related to dispersal ability (proportion of wingless species and body size) and ecological niche characteristics (main habitat and trophic position) by assessing these relationships among beetle taxonomic groups (n = 21). Anisotropy varied markedly across realms and biological groups. Despite climatic gradients being steeper in North-South direction than in East-West direction in all datasets, North-South distance-decays tended to be steeper than East-West distance-decays in plankton and most vertebrate assemblages, but flatter in European amphibians and most beetle groups. Anisotropy also markedly varied across beetle groups depending on their dispersal ability, as the proportion of wingless species explained 60% of the variance in the difference between North-South and East-West distance-decay slopes. Our results suggest that the degree of equilibrium decreases from marine to terrestrial realms, and is markedly different between vertebrates and beetles. This has profound implications on the expected ability of different groups to track their suitable climates, and thus on the impact of climate change on biodiversity.</t>
  </si>
  <si>
    <t>10.1111/1365-2656.13509</t>
  </si>
  <si>
    <t>Penning, H; Plugge, CM; Galand, PE; Conrad, R</t>
  </si>
  <si>
    <t>Variation of carbon isotope fractionation in hydrogenotrophic methanogenic microbial cultures and environmental samples at different energy status</t>
  </si>
  <si>
    <t>coculture; fractionation; Gibbs free energy; hydrogen; methanogenesis; stable carbon isotopes; thermodynamic limit</t>
  </si>
  <si>
    <t>RICE FIELD SOIL; ARCHAEAL COMMUNITY; METHYL-FLUORIDE; CHEMOSTAT COCULTURES; ATMOSPHERIC METHANE; ANAEROBIC-BACTERIA; CH4 PRODUCTION; CO2 REDUCTION; PADDY SOIL; OXIDATION</t>
  </si>
  <si>
    <t>Methane is a major product of anaerobic degradation of organic matter and an important greenhouse gas. Its stable carbon isotope composition can be used to reveal active methanogenic pathways, if associated isotope fractionation factors are known. To clarify the causes that lead to the wide variation of fractionation factors of methanogenesis from H-2 plus CO2 (alpha(CO2-CH4)), pure cultures and various cocultures were grown under different thermodynamic conditions. In syntrophic and obligate syntrophic cocultures thriving on different carbohydrate substrates, fermentative bacteria were coupled to three different species of hydrogenotrophic methanogens of the families Methanobacteriaceae and Methanomicrobiaceae. We found that C-isotope fractionation was correlated to the Gibbs free energy change (Delta G) of CH4 formation from H-2 plus CO2 and that the relation can be described by a semi-Gauss curve. The derived relationship was used to quantify the average Delta G that is available to hydrogenotrophic methanogenic archaea in their habitat, thus avoiding the problems encountered with measurement of low H-2 concentrations on a microscale. Boreal peat, rice field soil, and rumen fluid, which represent major sources of atmospheric CH4, exhibited increasingly smaller alpha(CO2-CH4), indicating that thermodynamic conditions for hydrogenotrophic methanogens became increasingly more favourable. Vice versa, we hypothesize that environments with similar energetic conditions will also exhibit similar isotope fractionation. Our results, thus, provide a mechanistic constraint for modelling the C-13 flux from microbial sources of atmospheric CH4.</t>
  </si>
  <si>
    <t>10.1111/j.1365-2486.2005.01076.x</t>
  </si>
  <si>
    <t>Shipley, ON; Olin, JA; Whiteman, JP; Bethea, DM; Newsome, SD</t>
  </si>
  <si>
    <t>Bulk and amino acid nitrogen isotopes suggest shifting nitrogen balance of pregnant sharks across gestation</t>
  </si>
  <si>
    <t>Shark; Nitrogen metabolism; Ecophysiology; Reproduction; Compound-specific isotope analysis</t>
  </si>
  <si>
    <t>STABLE-ISOTOPES; NUTRITIONAL STRESS; BONNETHEAD SHARK; LIPID EXTRACTION; CARBON ISOTOPES; AVIAN-TISSUES; ELASMOBRANCH; METABOLISM; RATIOS; UREA</t>
  </si>
  <si>
    <t>Nitrogen isotope (delta N-15) analysis of bulk tissues and individual amino acids (AA) can be used to assess how consumers maintain nitrogen balance with broad implications for predicting individual fitness. For elasmobranchs, a ureotelic taxa thought to be constantly nitrogen limited, the isotopic effects associated with nitrogen-demanding events such as prolonged gestation remain unknown. Given the linkages between nitrogen isotope variation and consumer nitrogen balance, we used AA delta N-15 analysis of muscle and liver tissue collected from female bonnethead sharks (Sphyrna tiburo, n = 16) and their embryos (n = 14) to explore how nitrogen balance may vary across gestation. Gestational stage was a strong predictor of bulk tissue and AA delta N-15 values in pregnant shark tissues, decreasing as individuals neared parturition. This trend was observed in trophic (e.g., Glx, Ala, Val), source (e.g., Lys), and physiological (e.g., Gly) AAs. Several potential mechanisms may explain these results including nitrogen conservation, scavenging, and bacterially mediated breakdown of urea to free ammonia that is used to synthesize AAs. We observed contrasting patterns of isotopic discrimination in embryo tissues, which generally became enriched in N-15 throughout development. This was attributed to greater excretion of nitrogenous waste in more developed embryos, and the role of physiologically sensitive AAs (i.e., Gly and Ser) to molecular processes such as nucleotide synthesis. These findings underscore how AA isotopes can quantify shifts in nitrogen balance, providing unequivocal evidence for the role of physiological condition in driving delta N-15 variation in both bulk tissues and individual AAs.</t>
  </si>
  <si>
    <t>10.1007/s00442-022-05197-6</t>
  </si>
  <si>
    <t>Palmer, MA; Graves, M; Ladefoged, TN; Chadwick, OA; Duarte, TK; Porder, S; Vitousek, PM</t>
  </si>
  <si>
    <t>Sources of nutrients to windward agricultural systems in pre-contact Hawai'i</t>
  </si>
  <si>
    <t>biogeochemistry; erosion; intensive agriculture; irrigation; nutrient availability; precontact Hawai'i; strontium isotopes; weathering</t>
  </si>
  <si>
    <t>HISTORICAL DEVELOPMENT; ECOSYSTEM DEVELOPMENT; DRYLAND AGRICULTURE; CHANGING SOURCES; VOLCANIC SOILS; LANDSCAPE; EROSION; KOHALA; ISLAND</t>
  </si>
  <si>
    <t>Prior to European contact in 1778, Hawaiians developed intensive irrigated pondfield agricultural systems in windward Kohala, Hawai'i. We evaluated three potential sources of nutrients to windward systems that could have sustained intensive agriculture: (1) in situ weathering of primary and secondary minerals in upland soils; (2) rejuvenation of the supply of rock-derived nutrients on eroded slopes and in alluvium; and (3) transport of rock-derived nutrients to crops via irrigation water. Our results show that most windward soils are infertile and suggest that weathering of minerals within upland soils was insufficient to sustain intensive agriculture without substantial cultural inputs. Erosion enhances weathering and so increases nutrient supply, with soils of the largest alluvial valleys (&gt;200 m deep) retaining 37% of calcium from parent material (compared to 2% in upland sites). However, soils of smaller valleys that also supported pre-contact agricultural systems are substantially less enriched. Isotopic (87)Sr/(86)Sr analyses of stream water demonstrate that at low to moderate stream flow over 90% of dissolved strontium derives from weathering of basalt rather than deposition of atmospheric sources; most other dissolved cations also derive from basalt weathering. We calculate that irrigation water could have supplied similar to 200 kg.ha(-1).yr(-1) of calcium to pondfield systems, nearly 100 times more than was supplied by weathering in soils on stable geomorphic surfaces. In effect, irrigation waters brought nutrients from rocks to the windward crops.</t>
  </si>
  <si>
    <t>10.1890/08-0983.1</t>
  </si>
  <si>
    <t>Doody, JS; Soanes, R; Castellano, CM; Rhind, D; Green, B; McHenry, CR; Clulow, S</t>
  </si>
  <si>
    <t>Invasive toads shift predator-prey densities in animal communities by removing top predators</t>
  </si>
  <si>
    <t>cane toad; common tree snake; Crimson Finch; Crocodylus johnstoni; Gilbert's dragon lizard; monitor lizard; Neochmia phaeton; Rhinella marina; top predator; trophic cascade; Varanus spp.</t>
  </si>
  <si>
    <t>FRESH-WATER CROCODILES; CANE TOADS; MONITOR). DIET; BUFO-MARINUS; FACILITATION; IMPACTS; MESOPREDATOR; MORTALITY</t>
  </si>
  <si>
    <t>Although invasive species can have substantial impacts on animal communities, cases of invasive species facilitating native species by removing their predators have rarely been demonstrated across vertebrate trophic linkages. The predictable spread of the invasive cane toad (Rhinella marina), however, offered a unique opportunity to quantify cascading effects. In northern Australia, three species of predatory monitor lizards suffered severe population declines due to toad-induced lethal toxic ingestion (yellow-spotted monitor [Varanus panoptes], Mertens' water monitor [V. mertensi], Mitchell's water monitor [V. mitchelli]). We, thus, predicted subsequent increases in the abundance and recruitment of prey species due to the reduction of those predators. Toad-induced population-level declines in the water monitor species approached 50% over a five-year period spanning the toad invasion, apparently causing fledging success of the Crimson Finch (Neochmia phaeton) to increase from 55% to 81%. The consensus of our original and published long-term data is that invasive cane toads are causing predators to lose a foothold on top-down regulation of their prey, triggering shifts in the relative densities of predator and prey in the Australian tropical savannah ecosystem.</t>
  </si>
  <si>
    <t>10.1890/14-1332.1</t>
  </si>
  <si>
    <t>Phillips, RA; Catry, P; Silk, JRD; Bearhop, S; McGill, R; Afanasyev, V; Strange, IJ</t>
  </si>
  <si>
    <t>Movements, winter distribution and activity patterns of Falkland and brown skuas: insights from loggers and isotopes</t>
  </si>
  <si>
    <t>foraging behaviour; habitat preferences; niche specialisation; migration; spatial segregation; site fidelity</t>
  </si>
  <si>
    <t>SEXUAL SIZE DIMORPHISM; ADULT GREAT SKUAS; CATHARACTA-ANTARCTICA; FORAGING BEHAVIOR; SOUTH-GEORGIA; ALBATROSSES; DIET; FISHERIES; SEABIRDS; STRATEGIES</t>
  </si>
  <si>
    <t>In the first published study of the wintering ranges and activity patterns of skuas from any colony, we combined tracking (geolocator) and stable isotope analysis in a comparison of migration behaviour of brown skuas Catharacta lonnbergi and Falkland skuas C. antarctica from South Georgia and the Falkland Islands, respectively. Brown skuas, particularly failed breeders, departed and returned to the colony much earlier than Falkland skuas, and 2 of 3 brown skuas performed a pre-laying exodus. During winter, brown skuas were distributed widely over deep, oceanic water within the Argentine Basin (37 to 52 degrees S) between the Antarctic Polar Front and the northern sub-tropical Front. Falkland skuas, by comparison, wintered mainly in subantarctic waters around the central Patagonian shelf-break (40 to 52 degrees S). Much greater overlap existed among core areas within than between species, and sex did not influence distribution. The partial inter-specific spatial segregation was also reflected in a divergence in activity patterns, with brown skuas in flight for a greater proportion, and more time on average, during both daylight and darkness. Both species of skua spent far more time on the water than do foraging albatrosses, and there was limited overlap between their nonbreeding distributions and those of large procellariids from the same archipelagos. Stable isotope signatures of brown skua feathers indicated that distributions of tracked birds were typical of most or all of the breeding population, and were consistent from year to year. None was characteristic of species that winter on adjacent continental shelves or off south-west Europe. Isotope values also suggested a mixed diet for brown skuas of zooplankton, low trophic-level squid and fish, with little or no reliance on seabird predation or fisheries.</t>
  </si>
  <si>
    <t>10.3354/meps06991</t>
  </si>
  <si>
    <t>Zhao, LF; Dai, RX; Zhang, TJ; Guo, L; Luo, QY; Chen, JX; Zhu, SY; Xu, XC; Tang, JJ; Hu, LL; Chen, X</t>
  </si>
  <si>
    <t>Fish Mediate Surface Soil Methane Oxidation in the Agriculture Heritage Rice-Fish System</t>
  </si>
  <si>
    <t>common carp; feeding activity; food source; methanotroph; methane oxidation; nitrogen transfer; rice-fish system; trophic interaction</t>
  </si>
  <si>
    <t>COMMUNITY STRUCTURE; OXIDIZING BACTERIA; STABLE-ISOTOPES; CH4 OXIDATION; EMISSION; CARBON; FERTILIZATION; DIVERSITY; GROWTH; PLANTS</t>
  </si>
  <si>
    <t>Though the effects of soil microorganisms, plants, and their interaction on methane (CH4) oxidation have been well documented, the roles of animals in this process are less known. We examined how a local common carp, Cyprinus carpio, affects CH4 oxidation in surface soil (that is, soil-water interface) in a 1200-year-old agriculture heritage rice-fish system. A 5-year experiment (field experiment 1) showed that rice yield and soil nitrogen (N) were higher under rice-fish co-culture than rice monoculture. Fish presence did not change CH4 emission but increased CH4 production archaea (methanogens), and aerobic CH4 oxidation bacteria (methanotrophs) and CH4 oxidation. Food component analysis by &amp; delta;C-13 and &amp; delta;N-15 showed that fish foraged paddy-dwelling organisms (for example, duckweeds, algae, phytoplankton, zooplankton, and zoobenthos). A survey on zooplankton Daphnia showed that fish decreased Daphnia abundance. Mesocosm experiment 1 further indicated that the absence of Daphnia increased methanotrophs and CH4 oxidation. Fish swimming and feeding activity in the paddy circulated the N they excreted and egested. N-15 tracing in field experiment 2 demonstrated that N from fish feed was enriched in rice, paddy-dwelling organisms, and fish, while N released by the fish accumulated in soil surface layer (0-1 cm). Mesocosm experiment 2 further indicated that fish-released N increased methanotrophs and CH4 oxidation. N-15 labeled-deoxyribonucleic acid (DNA) stable-isotope probing disclosed that fish feces-N was used by methanotrophs. Our work reveals that the fish enhances surface soil CH4 oxidation in the rice-fish system by increasing methanotrophs through feeding interactions that cause trophic cascades and drive N transfer.</t>
  </si>
  <si>
    <t>10.1007/s10021-023-00856-y</t>
  </si>
  <si>
    <t>Zeug, SC; Winemiller, KO</t>
  </si>
  <si>
    <t>Evidence supporting the importance of terrestrial carbon in a large-river food web</t>
  </si>
  <si>
    <t>Brazos River; Texas; USA; floodplain; food web; IsoSource; isotopes; oxbow lakes</t>
  </si>
  <si>
    <t>HYDROLOGIC CONNECTIVITY; FLOODPLAIN RIVERS; TROPHIC POSITION; STABLE-ISOTOPES; FISH; FLOW; PATTERNS; DELTA-N-15; PRINCIPLES; ECOLOGY</t>
  </si>
  <si>
    <t>Algal carbon has been increasingly recognized as the primary carbon source supporting large-river food webs; however, many of the studies that support this contention have focused on lotic main channels during low-flow periods. The flow variability and habitat-heterogeneity characteristic of these systems has the potential to significantly influence food web structure and must be integrated into models of large-river webs. We used stable-isotope analysis and IsoSource software to model terrestrial and algal sources of organic carbon supporting consumer taxa in the main channel and oxbow lakes of the Brazos River, Texas, USA, during a period of frequent hydrologic connectivity between these habitat types. Standardized sampling was conducted monthly to collect production sources and consumer species used in isotopic analysis. Predictability of hydrologic connections between habitat types was based on the previous 30 years of flow data. IsoSource mixing models identified terrestrial C-3 macrophytes ( riparian origin) as the primary carbon source supporting virtually all consumers in the main channel and most consumers in oxbow lakes. Small-bodied consumers (&lt;100 mm) in oxbow lakes assimilated large fractions of algal carbon whereas this pattern was not apparent in the main channel. Estimates of detritivore trophic positions based on delta N-15 values indicated that terrestrial material was likely assimilated via invertebrates rather than directly from detritus. High flows in the river channel influenced algal standing stock, and differences in the importance of terrestrial and algal production sources among consumers in channel vs. oxbow habitats were associated with patterns of flooding. The importance of terrestrial material contradicts the findings of recent studies of large-river food webs that have emphasized the importance of algal carbon and indicates that there can be significant spatial, temporal, and taxonomic variation in carbon sources supporting consumers in large rivers.</t>
  </si>
  <si>
    <t>10.1890/07-1064.1</t>
  </si>
  <si>
    <t>Louzao, M; Becares, J; Rodriguez, B; Hyrenbach, KD; Ruiz, A; Arcos, JM</t>
  </si>
  <si>
    <t>Combining vessel-based surveys and tracking data to identify key marine areas for seabirds</t>
  </si>
  <si>
    <t>Calonectris diomedea; Cory's shearwater; Feeding hotspot; Foraging range; Habitat modelling; Important Bird Area (IBA); Information-Theoretic approach; Ocean remote sensing; Conservation; Western Mediterranean</t>
  </si>
  <si>
    <t>PROTECTED AREAS; LONGLINE FISHERIES; MODEL SELECTION; HABITAT; PREDATORS; OCEANOGRAPHY; CONSERVATION; ALBATROSSES; PREDICTION; BAY</t>
  </si>
  <si>
    <t>An understanding of the distribution and habitat associations of far-ranging marine predators is being increasingly applied to protect these species from anthropogenic threats at sea (e.g. oil spills and fisheries bycatch). Within this framework, this research on Cory's shearwater Calonectris diomedea integrates vessel-based survey and tracking data to provide 2 distinct, yet complementary, perspectives of the habitats of this species in the western Mediterranean during incubation in June and chick rearing in August of 2007. We used a hierarchical modelling approach to (1) delineate the foraging habitat of the species using vessel-based surveys and (2) identify its feeding habitat based on tracking data within the Information-Theoretic framework. Our habitat modelling analyses suggest that shearwaters respond to complex bio-physical coupling, illustrated by their association with frontal features and elevated ocean productivity. Our models yielded moderate predictions of Cory's shearwater habitats within 2 distinct spatial scales. At the mesoscale, the foraging range of the species comprised the continental and insular shelf-slope waters of the Iberian Peninsula and the Balearic Islands, between the Gulf of Lions to the north and Cape Palos to the south. At the coarse scale, the tracking data highlighted important feeding areas within this larger foraging range: 3 continental shelf-slope 'hotspots'-(1) Gulf of Lions, (2) Cape Creus-Barcelona-Ebro Delta and (3) Cape La Nao-Cape Palos; from north to south-as well as the insular shelf-slope areas around the Balearic Islands. These results match previous observations of the foraging range and feeding patterns of the species, and are consistent with the interpretation of the regional oceanography. This study highlights how the integration of tracking and vessel-based survey data can provide a wider understanding of the predictability of aggregation (i.e. hotspots) and the key oceanographic habitats of far-ranging seabirds at multiple spatial scales. Thus, complementary data integration is a step forward in conservation studies of far-ranging marine top predators.</t>
  </si>
  <si>
    <t>10.3354/meps08124</t>
  </si>
  <si>
    <t>Cerveira, I; Dias, E; Baptista, V; Teodosio, MA; Morais, P</t>
  </si>
  <si>
    <t>Invasive fish keeps native feeding strategy despite high niche overlap with a congener species</t>
  </si>
  <si>
    <t>Weakfish; Cynoscion regalis; Estuary; Invasiveness; Biological invasions</t>
  </si>
  <si>
    <t>COMPETITIVE-EXCLUSION; ECOLOGY; CARBON; FRACTIONATION; CONSEQUENCES; DYNAMICS; PATTERNS; INVADERS; WEAKFISH; IMPACTS</t>
  </si>
  <si>
    <t>Weakfish Cynoscion regalis (Bloch and Schneider, 1801) is one of the most recent invasive fish in the Iberian Peninsula (Europe). Weakfish has established in the Sado estuary (Portugal) since the early 2010s, and fishers and anglers have expressed concern about its impacts on native prize fish. However, almost a decade later, there is no information on the ecology of weakfish in the non-native area. So, we aimed to assess weakfish feeding strategy and feeding plasticity through stomach content analysis to evaluate if these factors may contribute to its invasiveness, as well as to determine the ecological overlap between weakfish and three native prize fish - European bass, white seabream, and particularly meagre (since they are taxonomically closer), through carbon and nitrogen stable isotopes. Our results demonstrate that Sado's weakfish has a generalist feeding strategy and preys the same functional groups it targets in the native area, therefore feeding strategy may weigh on invasiveness but not feeding plasticity. Weakfish, meagre, and European bass were in the same trophic level and weakfish exhibited higher trophic overlap with meagre, suggesting that weakfish could directly impact meagre if food and habitat become limiting. This study is the first assessment about weakfish ecology in the non-native area and our findings are an excellent starting point to understand this invasion. It can also be useful for management programmes that promote weakfish consumption to minimize its impacts, alleviate fishing pressure on native species, and raise public awareness. (C) 2021 Elsevier B.V. All rights reserved.</t>
  </si>
  <si>
    <t>10.1016/j.rsma.2021.101969</t>
  </si>
  <si>
    <t>Gilbert, BM; Nachev, M; Jochmann, MA; Schmidt, TC; Koster, D; Sures, B; Avenant-Oldewage, A</t>
  </si>
  <si>
    <t>Stable isotope analysis spills the beans about spatial variance in trophic structure in a fish host - parasite system from the Vaal River System, South Africa</t>
  </si>
  <si>
    <t>INTERNATIONAL JOURNAL FOR PARASITOLOGY-PARASITES AND WILDLIFE</t>
  </si>
  <si>
    <t>Lamproglena; Cestoda; Copepoda; Food webs; Nematoda; Trophic interactions</t>
  </si>
  <si>
    <t>CATFISH CLARIAS-GARIEPINUS; NITROGEN ISOTOPES; FOOD WEBS; DELTA-N-15; DELTA-C-13; COPEPODA; DIET; FRACTIONATION; MARINE; CARBON</t>
  </si>
  <si>
    <t>Stable isotope analysis offers a unique tool for comparing trophic interactions and food web architecture in ecosystems based on analysis of stable isotope ratios of carbon (C-13/C-12) and nitrogen (N-15/N-14) in organisms. Clarias gariepinus were collected from six sites along the Vaal River, South Africa and were assessed for ectoparasites and endoparasites. Lamproglena clariae (Copepoda), Tetracampos ciliotheca and Proteocephalus glanduligerus (Cestoda), and larval Contracaecum sp. (Nematoda) were collected from the gills, intestine and mesenteries, respectively. Signatures of delta C-13 and delta N-15 were analysed in host muscle tissue and parasites using bulk stable isotope analysis. Variable stable isotope enrichment between parasites and host were observed; L. clariae and the host shared similar delta N-15 signatures and endoparasites being depleted in delta C-13 and delta N-15 relative to the host. Differences in stable isotope enrichment between parasites could be related to the feeding strategy of each parasite species collected. Geographic and spatial differences in enrichment of stable isotopes observed in hosts were mirrored by parasites. As parasites rely on a single host for meeting their nutritional demands, stable isotope variability in parasites relates to the dietary differences of host organisms and therefore variations in baseline stable isotope signatures of food items consumed by hosts.</t>
  </si>
  <si>
    <t>10.1016/j.ijppaw.2020.05.011</t>
  </si>
  <si>
    <t>Gerlein-Safdi, C; Gauthier, PPG; Caylor, KK</t>
  </si>
  <si>
    <t>Dew-induced transpiration suppression impacts the water and isotope balances of Colocasia leaves</t>
  </si>
  <si>
    <t>Dew; Foliar uptake; Leaf wetness; Transpiration suppression; Stable isotopes</t>
  </si>
  <si>
    <t>RATIO INFRARED-SPECTROSCOPY; FOLIAR UPTAKE; CLOUD FOREST; LEAF WATER; RAIN-FOREST; REDWOOD FOREST; FOG; PLANT; SAPLINGS; DROUGHT</t>
  </si>
  <si>
    <t>Foliar uptake of water from the surface of leaves is common when rainfall is scarce and non-meteoric water such as dew or fog is more abundant. However, many species in more mesic environments have hydrophobic leaves that do not allow the plant to uptake water. Unlike foliar uptake, all species can benefit from dew- or fog-induced transpiration suppression, but despite its ubiquity, transpiration suppression has so far never been quantified. Here, we investigate the effect of dew-induced transpiration suppression on the water balance and the isotope composition of leaves via a series of experiments. Characteristically, hydrophobic leaves of a tropical plant, Colocasia esculenta, are misted with isotopically enriched water to reproduce dew deposition. This species does not uptake water from the surface of its leaves. We measure leaf water isotopes and water potential and find that misted leaves exhibit a higher water potential and a more depleted water isotope composition than dry leaves, suggesting a similar to 30% decrease in transpiration rate compared to control leaves. We propose three possible mechanisms governing the interaction of water droplets with leaf energy balance: increase in albedo from the presence of dew droplets, decrease in leaf temperature from the evaporation of dew, and local decrease in vapor pressure deficit. Comparing previous studies on foliar uptake to our results, we conclude that transpiration suppression has an effect of similar amplitude, yet opposite sign to foliar uptake on leaf water isotopes.</t>
  </si>
  <si>
    <t>10.1007/s00442-018-4199-y</t>
  </si>
  <si>
    <t>Fischer, DT; Still, CJ; Ebert, CM; Baguskas, SA; Williams, AP</t>
  </si>
  <si>
    <t>Fog drip maintains dry season ecological function in a California coastal pine forest</t>
  </si>
  <si>
    <t>Bayesian modeling; Bishop pine; cloud forest; cloud shading; drought; ecohydrology; fog drip; Mediterranean ecosystems; Pinus muricata; water stable isotopes</t>
  </si>
  <si>
    <t>WATER-UPTAKE; SUMMER DROUGHT; CLOUD FOREST; SAP FLOW; CO2 FLUX; SOIL; VEGETATION; DEUTERIUM; TREES; PLANT</t>
  </si>
  <si>
    <t>Fog drip is recognized as an important source of water for many ecosystems that often harbor a disproportionate fraction of endemic species. Characterizing and quantifying the ecological importance of fog drip in these ecosystems requires a range of approaches. We report on a multi-faceted study of Bishop pine (Pinus muricata D. Don) along a coastal-inland transect on an island off Southern California. Hourly sampling included micrometeorology, sap flux, and soil moisture. Monthly measurements included changes in tree girth, plant water stress, and isotopic values of fogwater, rainwater, and xylem water. These data show that summertime fog drip clearly affected soil moisture and maintained aspects of tree function, including leaf water relations, sap flux dynamics, and growth rates. Although water from fog drip to the soil surface was occasionally taken up by pine trees, as quantified with isotopic measurements and a Bayesian mixing model, this utilization of fog drip was highly variable in space and time. The proportion of fogwater inferred to have been used is also much less than has been demonstrated in more mesic coastal forest ecosystems using isotopic methods. These results thus suggest high ecosystem sensitivity to even moderate amounts of fog drip, a finding with important implications as climate change differentially affects fog and rain patterns.</t>
  </si>
  <si>
    <t>e01364</t>
  </si>
  <si>
    <t>10.1002/ecs2.1364</t>
  </si>
  <si>
    <t>Ramos, R; Ramirez, F; Carrasco, JL; Jover, L</t>
  </si>
  <si>
    <t>Insights into the spatiotemporal component of feeding ecology: an isotopic approach for conservation management sciences</t>
  </si>
  <si>
    <t>Feather biogeochemistry; Larus michahellis; mixing modelling; nuisance populations; stable isotope signatures (carbon-13; nitrogen-15; sulphur-34); Yellow-legged gull</t>
  </si>
  <si>
    <t>YELLOW-LEGGED GULLS; STABLE-ISOTOPES; POPULATION-DYNAMICS; LARUS-ARGENTATUS; DIET; NITROGEN; MOLT; FRACTIONATION; SEABIRDS; CARBON</t>
  </si>
  <si>
    <t>Aim Bringing new approaches to trace spatiotemporal variations in animals' feeding ecology, which is fundamental for wildlife management and conservation since the accessibility of animals to trophic resources plays a key role in the dynamics of populations and metapopulations. Location Western Mediterranean coast. Methods The analysis of naturally occurring stable isotopes constitutes an exceptional approach to assess variations in the trophic ecology of species within the spatiotemporal dimensions. Here, we examined the spatiotemporal heterogeneity in resource exploitation of a nuisance and overpopulated gull species with a great feeding plasticity, the Yellow-legged gull Larus michahellis, by measuring the stable isotope ratios of carbon (13C/12C, delta 13C), nitrogen (15N/14N, delta 15N) and sulphur (34S/33S, delta 34S) in different wing feathers. Results Tracing isotopic changes among feathers in relation to moulting sequence, we showed that isotopic analyses on first primary feathers were good indicators of breeding trophic ecology, while others, such as eighth secondary feathers, reflected the feeding behaviour during the non-breeding period. This knowledge was then used to report on estimations of seasonal feeding patterns throughout the year for seven gull populations along the Western Mediterranean coast. Main conclusions The high diversity in the exploitation patterns of the foraging habitats found in the study area both at spatial and at temporal scale indicated the opportunistic feeding behaviour of Yellow-legged gulls. Proposed isotopic approach has revealed as a useful tool to evaluate spatiotemporal variations in the feeding ecology of populations which may become clue for dealing with the management of wild species, not only nuisance populations but also endangered species. We finally pointed out the relevance of the isotopic variability among individuals to infer diet diversity and food availability of a given population, thereby allowing demographic forecasts when trophic resources vary in abundance.</t>
  </si>
  <si>
    <t>10.1111/j.1472-4642.2010.00736.x</t>
  </si>
  <si>
    <t>Paiva, VH; Geraldes, P; Marques, V; Rodriguez, R; Garthe, S; Ramos, JA</t>
  </si>
  <si>
    <t>Effects of environmental variability on different trophic levels of the North Atlantic food web</t>
  </si>
  <si>
    <t>Environmental variability; Foraging behaviour; Trophic ecology; Marine food web; Habitat use models; Fisheries</t>
  </si>
  <si>
    <t>CALONECTRIS-DIOMEDEA; CORYS SHEARWATERS; STABLE-ISOTOPES; BODY CONDITION; ECOLOGY; SEABIRD; DIET; OSCILLATION; TEMPERATURES; POPULATIONS</t>
  </si>
  <si>
    <t>The effects of environmental change on the biodiversity, structure and functioning of marine ecosystems is still poorly understood. In fact, very few studies have focused on changes in the at-sea foraging tactics of pelagic seabirds in relation to environmental stochasticity. Aiming at filling this knowledge gap, from 2005 to 2010 we directly measured the influence of climate (as driven by the North Atlantic Oscillation phenomenon) on (1) marine productivity (i.e. chlorophyll a concentration), (2) fish prey abundances and (3) the foraging behaviour of a top marine predator, the Cory's shearwater Calonectris diomedea borealis. There was a dramatic change in the foraging strategy of the birds during 2010, which seems to be mostly related to a climatic event that occurred during the winter of 2009 to 2010. This event had a negative impact on the productivity of the surroundings of the breeding colony and decreased the abundance of pelagic prey fish, which in turn altered the spatial, feeding and trophic ecology of Cory's shearwater and decreased their reproductive success. However, the negative trend in the abundance of pelagic prey (estimated from acoustic surveys and commercial fisheries landings) may be of concern because it does not seem to be only related to the climatic event of 2010. Long-term monitoring of the interactions between top predators, their prey and lower strata of the food web is crucial for a comprehensive assessment of the impacts that environmental variation may have on coastal ecosystems worldwide.</t>
  </si>
  <si>
    <t>10.3354/meps10180</t>
  </si>
  <si>
    <t>York, PH; Macreadie, PI; Rasheed, MA</t>
  </si>
  <si>
    <t>Blue Carbon stocks of Great Barrier Reef deep-water seagrasses</t>
  </si>
  <si>
    <t>organic carbon; seagrass; Blue Carbon; stable isotopes; calcium carbonate; climate change</t>
  </si>
  <si>
    <t>HABITATS</t>
  </si>
  <si>
    <t>Shallow-water seagrasses capture and store globally significant quantities of organic carbon (OC), often referred to as 'Blue Carbon'; however, data are lacking on the importance of deep-water (greater than 15 m) seagrasses as Blue Carbon sinks. We compared OC stocks from deep-, mid- and shallowwater seagrasses at Lizard Island within the Great Barrier Reef (GBR) lagoon. We found deep-water seagrass (Halophila species) contained similar levels of OC to shallow-water species (e.g. Halodule uninervis) (0.64 +/- 0.08% and 0.9 +/- 0.1 mg C cm(-3), 0.87 +/- 0.19% and 1.3 +/- 0.3 mg C cm(-3), respectively), despite being much sparser and smaller in stature. Deep-water seagrass sediments contained significantly higher levels (approx. ninefold) of OC than surrounding bare areas. Inorganic carbon (CaCO3) levels were relatively high in deep-water seagrass sediments (8.2 +/- 0.4%) and, if precipitated from epiphytes within the meadow, could offset the potential CO2-sink capacity of these meadows. The delta C-13 signatures of sediment samples varied among depths and habitats (-10.9 and -17.0), reflecting contributions from autochthonous and allochthonous sources. If the OC stocks reported in this study are similar to deep-water Halophila meadows elsewhere within the GBR lagoon (total area 31 000 km(2)), then OC bound within this system is roughly estimated at 27.4 million tonnes.</t>
  </si>
  <si>
    <t>10.1098/rsbl.2018.0529</t>
  </si>
  <si>
    <t>Schachtschneider, K; February, EC</t>
  </si>
  <si>
    <t>The relationship between fog, floods, groundwater and tree growth along the lower Kuiseb River in the hyperarid Namib</t>
  </si>
  <si>
    <t>Ephemeral rivers; delta(18)O/delta(2) H isotopes; IsoSource; Namibia; Riparian trees; Water use</t>
  </si>
  <si>
    <t>WATER SOURCE; STABLE-ISOTOPES; DESERT; INTERCEPTION; ECOPHYSIOLOGY; VEGETATION; DYNAMICS; SAVANNA; CLIMATE</t>
  </si>
  <si>
    <t>At our study site in the western half of the Namib Desert rainfall is extremely low averaging between 0 and 12 mm a year. Fog events are, however, more frequent, occurring on average 60-200 days per annum Research has demonstrated that where there are frequent fog events trees have adapted to intercept and utilise the moisture from these events In hyperarid environments such as at our study site trees are confined to the banks of ephemeral rivers. Here we determine the extent to which these trees are able to utilise both deep groundwater as well as fog water The results of our model show that none of the trees in this study are able to utilise fog water even though fog events may contain considerable amounts of water. Rather, all of the trees are reliant on a seasonally fluctuating combination of groundwater, shallow soil water and deep soil water. These water sources directly depend on Kuiseb aquifer recharge resulting from flood water infiltration If predictions for increased water abstraction and global climate change are realized and water levels of the aquifer decline substantially then the vegetation structure along ephemeral rivers such as the Kuiseb will be seriously threatened. (C) 2010 Elsevier Ltd. All rights reserved</t>
  </si>
  <si>
    <t>10.1016/j.jaridenv.2010.05.027</t>
  </si>
  <si>
    <t>Stellati, L; Borgianni, N; Bissattini, AM; Buono, V; Haubrock, PJ; Balzani, P; Tricarico, E; Inghilesi, AF; Tancioni, L; Martinoli, M; Luiselli, L; Vignoli, L</t>
  </si>
  <si>
    <t>Living with aliens: Suboptimal ecological condition in Semiaqauatic snakes inhabiting a hot spot of allodiversity</t>
  </si>
  <si>
    <t>Allodiversity; Stable isotopes; Diet; Snakes; Alien species; Alien-native interaction</t>
  </si>
  <si>
    <t>ESTIMATING POPULATION-SIZE; NATRIX-NATRIX; MULTIVARIATE-ANALYSIS; AMERICAN BULLFROGS; RINGED SNAKE; GRASS SNAKE; DIET; COMMUNITIES; SYSTEMATICS; ABUNDANCE</t>
  </si>
  <si>
    <t>The presence of alien species can embody a form of disturbance for natural communities and the concomitant presence of alien species at different levels within the trophic chain may compromise ecosystem functionality. We studied the ecology of two species of snake (Natrix tessellate and N. natrix) in a system of five ponds with a high number of alien species at a Mediterranean area in central Italy. We evaluated the potential perturbations to ecological traits of snakes due to the presence of alien species, including their body size, population density, and food habits. We compared the studied populations' body size to that estimated in conspecific populations studied elsewhere, including populations at close distance from the study site. Distance sampling and Capture-MarkRecapture techniques were used to calculate the population density. Diet was estimated using stomach contents and stable isotope ratios (delta N-15 and delta C-13), using Bayesian stable isotope mixing models to estimate the contribution of food sources and species' isotopic niche spaces. Few prey items were found in the stomach contents of either species, with Ameiurus melas as the main prey. Based on isotope niche analyses, N. tessellate diet consisted of only alien species, and N. natrix diet mostly relied on alien species ( &gt; 80%). Stomach contents revealed high overlap between the two species, although isotopes showed a random resource use (i.e. low isotopic niche space overlap). Overall, we caught a low number of individuals, indicating small population sizes. Moreover, snakes at the study site were comparatively smaller in size than most other populations found in the literature and almost all the recorded individuals were in very poor condition or injured by ingested alien prey. We suggest that the presence of rich allodiversity has negatively affected the snakes' fitness by decreasing their foraging performance, increasing their risk of being preyed upon, or through other mechanisms.</t>
  </si>
  <si>
    <t>10.1016/j.actao.2019.103466</t>
  </si>
  <si>
    <t>Ceriani, SA; Roth, JD; Sasso, CR; McClellan, CM; James, MC; Haas, HL; Smolowitz, RJ; Evans, DR; Addison, DS; Bagley, DA; Ehrhart, LM; Weishampel, JF</t>
  </si>
  <si>
    <t>Modeling and mapping isotopic patterns in the Northwest Atlantic derived from loggerhead sea turtles</t>
  </si>
  <si>
    <t>carbon-13; Caretta caretta; geographic assignment models; isoscapes; migratory connectivity; Northwest Atlantic; nitrogen-15; satellite telemetry; stable isotopes</t>
  </si>
  <si>
    <t>CARETTA-CARETTA; STABLE-ISOTOPES; MARINE TURTLES; FORAGING AREAS; SATELLITE TRACKING; CARBON; MIGRATION; ECOLOGY; FLORIDA; RATIOS</t>
  </si>
  <si>
    <t>Stable isotope analysis can be used to infer geospatial linkages of highly migratory species. Identifying foraging grounds of marine organisms from their isotopic signatures is becoming de rigueur as it has been with terrestrial organisms. Sea turtles are being increasingly studied using a combination of satellite telemetry and stable isotope analysis; these studies along with those from other charismatic, highly vagile, and widely distributed species (e.g., tuna, billfish, sharks, dolphins, whales) have the potential to yield large datasets to develop methodologies to decipher migratory pathways in the marine realm. We collected tissue samples (epidermis and red blood cells) for carbon (delta C-13) and nitrogen (delta N-15) stable isotope analysis from 214 individual loggerheads (Caretta caretta) in the Northwest Atlantic Ocean (NWA). We used discriminant function analysis (DFA) to examine how well delta C-13 and delta N-15 classify loggerhead foraging areas. The DFA model was derived from isotopic signatures of 58 loggerheads equipped with satellite tags to identify foraging locations. We assessed model accuracy with the remaining 156 untracked loggerheads that were captured at their foraging locations. The DFA model correctly identified the foraging ground of 93.0% of individuals with a probability greater than 66.7%. The results of the external validation (1) confirm that assignment models based on tracked loggerheads in the NWA are robust and (2) provide the first independent evidence supporting the use of these models for migratory marine organisms. Additionally, we used these data to generate loggerhead-specific delta C-13 and delta N-15 isoscapes, the first for a predator in the Atlantic Ocean. We found a latitudinal trend of delta C-13 values with higher values in the southern region (20-25 degrees N) and a more complex pattern with delta N-15, with intermediate latitudes (30-35 degrees N) near large coastal estuaries having higher delta N-15-enrichment. These results indicate that this method with further refinement may provide a viable, more spatially-explicit option for identifying loggerhead foraging grounds.</t>
  </si>
  <si>
    <t>10.1890/ES14-00230.1</t>
  </si>
  <si>
    <t>Kolka, RK; Giardina, CP; McClure, JD; Mayer, A; Jurgensen, MF</t>
  </si>
  <si>
    <t>Partitioning hydrologic contributions to an 'old-growth' riparian area in the Huron Mountains of Michigan, USA</t>
  </si>
  <si>
    <t>riparian; snowmelt; groundwater; hyporheic; stable isotopes</t>
  </si>
  <si>
    <t>MODELING STREAMWATER CHEMISTRY; SOILWATER END-MEMBERS; LAKE-EFFECT SNOWFALL; GREAT-LAKES; HARDWOOD FORESTS; HYPORHEIC ZONE; ORGANIC-CARBON; WOODY DEBRIS; SNOWMELT; WATER</t>
  </si>
  <si>
    <t>Over the past century, annual snowfall has increased across the 'snow-belt' region of the Upper Peninsula of Michigan, yet total annual precipitation has not changed, with potential impacts on hydrological processes and ecosystem composition. Using an integrated hydrochemical approach, we characterized groundwater discharge and quantified the contribution of snow- and rain-derived waters to groundwater for an old-growth riparian area within the Huron Mountains in northern Michigan. We then quantified the relative contribution of lateral, hillslope-derived groundwater and upstream lake water to streamwater, and the extent of hyporheic zone expansion and contraction during one growing season. During a period of above-average snowfall, yet below average growing season precipitation, similar to 80% of the riparian area's groundwater reservoir was derived from snowmelt. The relative contribution of groundwater to streamflow ranged from 70% in June to 100% in August. The remainder was derived from upstream lakes and wetlands, which dropped in elevation and relative contribution from June to August. Finally, the extent of the hyporheic zone was small (&lt;50 cm from streambed surface) and contracted towards the stream during the recession limb of the hydrograph. We conclude that if snowfall continues to rise while total annual precipitation declines, in line with climate change scenarios for the region, then water fluxes from snowmelt will increasingly dominate summer baseflow and could potentially increase spring flooding. However, because of overall declines in precipitation, streamflow patterns will likely change towards lower overall flow following the influence of the snowmelt period. Published in 2010 by John Wiley &amp; Sons, Ltd.</t>
  </si>
  <si>
    <t>10.1002/eco.112</t>
  </si>
  <si>
    <t>Fabiani, G; Schoppach, R; Penna, D; Klaus, J</t>
  </si>
  <si>
    <t>Transpiration patterns and water use strategies of beech and oak trees along a hillslope</t>
  </si>
  <si>
    <t>Critical Zone; hillslope; sap velocity; stable water isotopes; transpiration; tree water sources</t>
  </si>
  <si>
    <t>PETRAEA MATT. LIEBL.; FAGUS-SYLVATICA L.; SOIL-WATER; SAP FLOW; STABLE-ISOTOPES; QUERCUS-PETRAEA; EUCALYPT FOREST; SESSILE OAK; GROUNDWATER; STORAGE</t>
  </si>
  <si>
    <t>The role of landscape topography in mediating subsurface water availability and ultimately tree transpiration is still poorly understood. To assess how hillslope position affects tree water use, we coupled sap velocity with xylem isotope measurements in a temperate beech-oak forest along a hillslope transect in Luxembourg. We generally observed greater sap velocities at the upslope locations in trees from average-sized trees, suggesting the presence of more suited growing conditions. We found a lower difference in sap velocity among hillslope positions for larger trees, likely due to the exploitation of deeper and more persistent water sources and the larger canopy light interception. Beech trees exploited a shallower and seasonally less persistent water source than oak trees, due to the shallower root system than oak trees. The different water exploitation strategy could also explain the stronger stomatal sensitivity of beech to vapour pressure deficit compared to oak trees. Xylem isotopic composition was seasonally variable at all locations, mainly reflecting the contribution of variable soil water sources and suggesting that groundwater did not contribute, or only marginally contributed, to tree transpiration. Overall, our results suggest that trees along the hillslope mainly rely on water stored in the unsaturated zone and that seasonally shallow groundwater table may not necessarily subsidize water uptake for species that do not tolerate anoxic conditions. Contrary to previous studies, at our site, we did not find higher sap velocity downslope as the subsurface hillslope structure promotes vertical water flux over lateral redistribution in the vadose zone.</t>
  </si>
  <si>
    <t>e2382</t>
  </si>
  <si>
    <t>10.1002/eco.2382</t>
  </si>
  <si>
    <t>Plumlee, JD; Yeager, LA; Fodrie, FJ</t>
  </si>
  <si>
    <t>Role of saltmarsh production in subsidizing adjacent seagrass food webs: Implications for landscape-scale restoration</t>
  </si>
  <si>
    <t>Seagrass; Saltmarsh; Spatial subsidies; Restoration; Stable isotopes</t>
  </si>
  <si>
    <t>STABLE-ISOTOPE; SPARTINA-ALTERNIFLORA; ORGANIC-MATTER; ZOSTERA-MARINA; PREDATION RISK; ESTUARINE; HABITAT; FISH; EELGRASS; MODELS</t>
  </si>
  <si>
    <t>Restoration is an increasingly employed method for rehabilitating and enhancing the ecosystem services of lost or degraded coastal habitats, such as supporting high faunal densities and biomass. In certain ecosystems, faunal densities along habitat ecotones are greater than the densities observed in either adjoining habitat, potentially due to the provision of spatial subsidies (e.g., increased food availability). We tested the hypothesis that seagrass-associated consumers immediately adjacent to a saltmarsh are the recipients of food subsidies sourced from saltmarsh primary production. The food web biomarkers we used to evaluate spatial flows of energy across estuarine habitat boundaries included the stable isotope ratios of carbon (delta C-13), nitrogen (delta N-15), and sulfur (delta S-34). We collected primary producers (N = 102) including macrophytic vegetation, benthic microalgae, and epiphytes, as well as 11 key consumers (N = 190) across seagrass meadows either immediately adjacent to (N = 8) or isolated from (N = 8) saltmarsh. We also estimated particulate organic matter (POM) from filter-feeding bivalves and used literature values as proxies for detritus. These food-web biomarkers reveal that seagrass-associated consumers derived 20-23% of basal primary production from the saltmarsh, regardless of saltmarsh proximity. Seagrass sources (epiphytes and vegetation) as well as POM, likely were the dominant contributors for these consumers. This finding indicates that other mechanisms (i.e., refuge provision) might be the primary driver resulting in increased nekton density within seagrass along seagrass-saltmarsh ecotones. While a synergistic restoration of saltmarsh and seagrass habitat may have a positive effect on faunal biomass, it appears there may not be a primary food subsidy benefit to seagrass-associated consumers. (C) 2020 Elsevier Inc. All rights reserved.</t>
  </si>
  <si>
    <t>e00158</t>
  </si>
  <si>
    <t>10.1016/j.fooweb.2020.e00158</t>
  </si>
  <si>
    <t>Hobson, KA; Drever, MC; Kaiser, GW</t>
  </si>
  <si>
    <t>Norway rats as predators of burrow-nesting seabirds: Insights from stable isotope analyses</t>
  </si>
  <si>
    <t>Alcidae; ancient murrelet; black rat; carbon-13; exotic; introduced species; nitrogen-15; Norway rat; predation; Queen Charlotte Islands; Rattus norvegicus; Rattus rattus; sulphur-34; Synthliboramphus antiquus</t>
  </si>
  <si>
    <t>QUEEN-CHARLOTTE-ISLANDS; TROPHIC RELATIONSHIPS; RATTUS-NORVEGICUS; FOOD WEB; TERRESTRIAL PROTEIN; ANCIENT MURRELETS; INTRODUCED RATS; CARBON ISOTOPES; NEW-ZEALAND; DIET</t>
  </si>
  <si>
    <t>Introduced species to oceanic islands can cause tremendous declines and extinctions of native avifauna. On Langara Island, British Columbia, Canada, the burrow-nesting ancient murrelet (Synthliboramphus antiquus) has declined from an estimated original population of 200,000 pairs to 14,600 pairs in 1993. Previously causes of this decline were unknown, but the introduction of Norway rats (Rattus norvegicus) has been implicated as a major factor and has resulted in a recent rat eradication program. A major obstacle in the investigation of the effects of rats on seabirds, here and elsewhere, has been the inability to accurately assess the importance of seabirds to the diets of rats that also consume a variety of plants and invertebrates. We used stable-carbon (delta(13)C), nitrogen (delta(15)N), and sulphur (delta(34)S) isotope analyses of muscle and liver tissues of rats and prey organisms from 3 regions of Langara Island to evaluate evidence for marine foods, including seabirds, in the diets of rats. Rats were segregated into 3 isotopic groups corresponding to upland, littoral, and seabird nesting areas on the island. We interpret these groups to represent individuals consuming predominantly C-3 terrestrial foods ((x) over bar delta(15)N = 5.4 parts per thousand; (x) over bar delta(13)C = -24.9 parts per thousand; n = 24), intertidal invertebrates ((x) over bar = delta(15)N = 8.9 parts per thousand; (x) over bar delta(13)C = -14.3 parts per thousand; n = 21), and ancient murrelet adults, chicks, or eggs ((x) over bar egg delta(15)N = 13.2 parts per thousand; (x) over bar C-13 = -17.6 parts per thousand; n = 8). We found strong correlations between liver and muscle isotope values for both C-13 and N-15, suggesting that dietary preferences within individuals remained relatively constant. Stable-sulphur isotope Values of rat liver were less useful in segregating marine and terrestrial dietary inputs, possibly because sources of sulphur to the terrestrial food web were of marine origin (pooled (x) over bar delta(34)S value = 17.8 parts per thousand; n = 20). Our measurement of liver and muscle tissues gave dietary estimates based on relatively short- and long-term integrations and revealed the 3 groups of rats remained isotopically segregated at least over the 2-month period of ancient murrelet breeding on Langara Island. Our results have important ramifications for dietary investigations of introduced fauna and their effects on native seabirds on oceanic islands.</t>
  </si>
  <si>
    <t>10.2307/3802483</t>
  </si>
  <si>
    <t>Kurasawa, A; Onishi, Y; Koba, K; Fukushima, K; Uno, H</t>
  </si>
  <si>
    <t>Multipath ecological influence of an iteroparous fish migration from Lake Biwa to an alluvial stream</t>
  </si>
  <si>
    <t>benthic macroinvertebrates; fish excretion; nutrients; resource subsidy; stable isotopes</t>
  </si>
  <si>
    <t>SALMON ONCORHYNCHUS-KISUTCH; SPAWNING PACIFIC SALMON; FRESH-WATER; SOCKEYE-SALMON; PHOSPHORUS-LIMITATION; DISSOLVED NUTRIENTS; ORGANIC-MATTER; CARCASSES; SUBSIDIES; TERRESTRIAL</t>
  </si>
  <si>
    <t>An increasing number of studies describe the ecological influence of semelparous and iteroparous fish migrations on spawning streams. This influence consists of not only the carcasses of spent adults, but also the nutrients that they excrete subsidising stream communities. Given the complex food-web structure of stream communities, which includes aquatic insects from various functional feeding groups, resource subsidies provided by migratory fishes should influence stream communities through multiple pathways. We evaluated the ecological influence of an iteroparous three-lips fish (Opsariichthys uncirostris uncirostris) in a alluvial stream by treating fish weirs as large-scale manipulative field experiments. Between fish-bearing and fish-free areas, we compared concentrations of nutrients and fine particulate organic matter (FPOM), and compared densities and stable isotopes of periphyton and benthic macroinvertebrates. The presence of the three-lips increased the concentrations of ammonium, soluble reactive phosphorus, particulate organic carbon and nitrogen, and chlorophyll-a densities by up to 2.7-fold. The delta N-15 of FPOM and macroinvertebrates during the migratory season were 2.8-7.0 parts per thousand higher in the fish-bearing area, indicating a greater contribution of fish-derived organic matter. Three-lips subsidised stream macroinvertebrates through multiple pathways: consumers fed on (1) periphyton increased by the fish nutrient subsidy, (2) fish-derived organic matter (such as fish carcasses and eggs), and (3) FPOM with fragmented periphyton and fish-derived organic matter constituents. Results showed that, given the complex food-web structures in alluvial streams, migratory fish influence stream ecosystems in complex ways. Further studies of the ecological influence of migratory fishes in alluvial streams are needed.</t>
  </si>
  <si>
    <t>10.1111/fwb.14112</t>
  </si>
  <si>
    <t>Sanglas, A; Palomares, F</t>
  </si>
  <si>
    <t>Response of a mesocarnivore community to a new food resource: recognition, exploitation, and interspecific competition</t>
  </si>
  <si>
    <t>Camera trapping; Food access; Foraging behaviour; Active avoidance; Mesocarnivore hierarchy</t>
  </si>
  <si>
    <t>BADGER MELES-MELES; FREE-RANGING DOGS; FEEDING SPECIALIZATION; HERPESTES-ICHNEUMON; EGYPTIAN MONGOOSE; GENETTA-GENETTA; RED FOX; DIET; COEXISTENCE; MECHANISMS</t>
  </si>
  <si>
    <t>Mammalian carnivores with generalist feeding behaviour should trace and exploit new and predictable food resources quicker and more easily than more specialised species. On the other hand, if the new food resource is spatially and temporally predictable, interference or exploitation competition should arise among members of the carnivore guild, with the expectation that smaller species will not use the food resource or will change their foraging behaviour to avoid conflict with larger species. Here, we studied the response to a new food resource of a mammalian mesocarnivore community in south-western Iberian Peninsula. We installed artificial feeding points supplied with a novel food source and tracked them by camera trapping to investigate whether (1) the new artificial food resource was visited, recognised and exploited by the mesocarnivore guild species; (2) how frequently they used the food; and (3) in case of co-occurrence, if dominant species excluded or reduced the feeding options of subordinates. All target species except the badger recognised and exploited the novel food. More generalist species trended to visit feeding points more frequently and spent more time feeding than less generalist species, even though significant differences were not achieved in all cases. When co-occurring at the same feeding point, the arrival of larger species reduced either the visitation rates, feeding probability or time spent feeding of smaller species. Moreover, some smaller species showed a shift in their normal activity pattern at the feeding points when a larger competitor started to use the food source. Overall, we conclude that active avoidance combined with temporal segregation may help reduce agonistic interactions among competitors for shared resources.</t>
  </si>
  <si>
    <t>10.1007/s10344-022-01597-4</t>
  </si>
  <si>
    <t>van Duinen, GA; Vermonden, K; Bodelier, PLE; Hendriks, AJ; Leuven, RSEW; Middelburg, JJ; van der Velde, G; Verberk, WCEP</t>
  </si>
  <si>
    <t>Methane as a carbon source for the food web in raised bog pools</t>
  </si>
  <si>
    <t>peatland; algae; methane-oxidizing bacteria; zooplankton; insects; stable isotopes; fatty acids</t>
  </si>
  <si>
    <t>PHOSPHOLIPID FATTY-ACID; STABLE-ISOTOPE; ORGANIC-CARBON; BACTERIA; ZOOPLANKTON; DIVERSITY; COMMUNITY; LAKE; DIET; HETEROGENEITY</t>
  </si>
  <si>
    <t>Raised bog pools are extremely nutrient poor and rich in humic substances, and these features limit primary production. To assess the base of the invertebrate food web in bog pools we measured the stable-isotopic signatures of primary producers, dead organic matter, and invertebrates, and the composition and stable-C-isotope ratio of their phospholipid-derived fatty acids (PLFAs). The stable-isotopic signatures showed the presence of multiple trophic levels and differential use of basal food sources by the invertebrates among and within species, individuals, and size classes. Carnivorous and omnivorous invertebrates assimilated polyunsaturated fatty acids (PUFAs) derived from algae, and possibly macrophytes, and fatty acids that are specific for methane-oxidizing bacteria (MOB). Part of the bacterial biomass conveyed to higher trophic levels in the bog pools originated from MOB. Pelagic zooplankton appeared to rely more on bacteria, whereas insects relied more on algae. Periphyton, a primary algal food source, was the basal food source most depleted in C-13 and was inferred to sustain &gt;= 1/2 the invertebrate food web. The relatively depleted delta C-13 values of PUFAs in invertebrates suggest a role for methane-derived C. We argue that the CO2 assimilated by the algae could be derived from MOB. Therefore, depleted delta C-13 values of invertebrates do not necessarily indicate a direct pathway between MOB and these invertebrates because algae may form an intermediate level.</t>
  </si>
  <si>
    <t>10.1899/12-121.1</t>
  </si>
  <si>
    <t>Orben, RA; Kokubun, N; Fleishman, AB; Will, AP; Yamamoto, T; Shaffer, SA; Paredes, R; Takahashi, A; Kitaysky, AS</t>
  </si>
  <si>
    <t>Persistent annual migration patterns of a specialist seabird</t>
  </si>
  <si>
    <t>Feather corticosterone; Life-history trade-off; Geolocation; Migration; Net-squared displacement; Stable isotopes; Red-legged kittiwake; Rissa brevirostris</t>
  </si>
  <si>
    <t>SUB-ARCTIC PACIFIC; BLACK-LEGGED KITTIWAKES; BERING-SEA; FORAGING HABITATS; PRIBILOF ISLANDS; CLIMATE-CHANGE; PISCIVOROUS SEABIRDS; MARINE ECOSYSTEMS; NORTH PACIFIC; FUR SEALS</t>
  </si>
  <si>
    <t>Specialization can make animals vulnerable to rapid environmental changes. For long-lived seabirds, foraging specialization may make individuals especially sensitive, as climatic changes are currently occurring over the course of one lifetime. The Bering Sea is a dynamic subarctic and arctic ecosystem where windblown sea ice mediates annual productivity and subsequent pathways to upper trophic levels. Red-legged kittiwakes Rissa brevirostris are endemic surface foraging seabirds specializing on myctophid fishes during reproduction. Their degree of specialization outside the breeding season is less understood. We examined their non-breeding ecology (migration, distribution, isotopic niche) during 4 winters with varying sea ice extent. Although we found annual variation in core distributions, diets (as reflected in feather stable isotope signatures), and outbound migratory timing, the winter range of red-legged kittiwakes was restricted to the western regions of the Bering Sea and North Pacific. Contrary to expectations, sea ice did not limit distributions in the Bering Sea in 3 yr: e.g. sea ice associations (&lt; 100 km) were infrequent (8.7% mo(-1)). Yet, their wintering range often overlapped with areas of seasonal ice cover, suggesting range-wide use of sea ice ecosystems. Stress levels measured by corticosterone in feathers were generally low. However, birds that concentrated in the Bering Sea in February had higher stress levels and fed at a lower trophic level than those in the western Aleutians and western subarctic. As conditions change, this persistence in wintering locations, while incurring differential stress levels, may contribute to rapid population fluctuations as has been observed in the recent past.</t>
  </si>
  <si>
    <t>10.3354/meps12459</t>
  </si>
  <si>
    <t>HUEBNER, JA; BOUTTON, TW</t>
  </si>
  <si>
    <t>THE ISOTOPIC COMPOSITION OF HUMAN DIETS IN PREHISTORIC SOUTHEASTERN TEXAS</t>
  </si>
  <si>
    <t>TEXAS JOURNAL OF SCIENCE</t>
  </si>
  <si>
    <t>STABLE CARBON ISOTOPES; HUMAN DIETS; LATE ARCHAIC AND WOODLAND PERIODS; SOUTHEASTERN TEXAS</t>
  </si>
  <si>
    <t>Stable carbon isotope (delta-C-13) analysis of human skeletal remains from the Ernest Witte archaeological site (41AU36) in southeastern Texas indicated that this Late Archaic population consumed food items derived largely from the C3 plant portion of the food web. Despite the fact that this hunter-gatherer group lived in a coastal prairie ecosystem dominated by C4 grass species, less than 20 percent of their diet was derived from this portion of the food web. When these results are coupled with other cultural and contextual information from the region, it appears that this population subsisted on a stable terrestrial resource base centered on C3 resources, mainly nuts and deer. It is hypothesized that the C4 dietary component is comprised of lower trophic level foods that required increased energy to harvest and process, and as such represent an intensification of production that is a component of increasing complexity in hunter-gatherer societies.</t>
  </si>
  <si>
    <t>Smith, LM; Gore, JA; Doonan, TJ; Campbell, CJ</t>
  </si>
  <si>
    <t>Tricolored bats at a southern range edge exhibit partial migration northward in autumn</t>
  </si>
  <si>
    <t>Florida; Hibernation; Migration; Partial migration; Perimyotis subflavus; Stable isotopes; Tricolored bat</t>
  </si>
  <si>
    <t>WHITE-NOSE SYNDROME; FORENSIC-SCIENCE; STABLE HYDROGEN; CATCHMENT AREAS; CAVE BATS; DESTRUCTANS; HIBERNACULA; ASSIGNMENT; ISOTOPES; PATTERNS</t>
  </si>
  <si>
    <t>Background: Animal migration is a widespread global adaptation by which individuals move in response to environmental conditions to reach more favorable conditions. For bats in temperate climates, migration and hibernation are often associated with each other when these bats must migrate to reach suitable overwintering sites. However, differences in movement across the geographical range of a species and the degree to which hibernation drives migratory behavior of bats in subtropical climates, where conditions may remain warm with available prey year-round, remains incomplete. Understanding the migratory strategies of subtropical bats during winter is of increasing importance as they are threatened by stressors such as disease and environmental change. Methods: We evaluated migration patterns of tricolored bats (Perimyotis subflavus) in Florida, USA, through analysis of stable hydrogen isotope ratios of the fur. We inferred the summer geographic origins of the fur samples and estimated the minimum distance and likely direction traveled by hibernating individuals. We used linear models to examine whether hibernation region, colony size, and an individual's sex affected the distance traveled. Results: We sampled 111 bats hibernating at 40 sites and found that more than half (54.1%) of individuals were residents of the area in which they hibernated. We found that almost half of the sampled bats (43.2%) traveled from southern Florida to overwinter in North Florida. We also documented three individuals that traveled &gt; 100 km from northerly origins, one of which had traveled an estimated minimum distance of 1382 km. We also found that tricolored bats moved farther to reach hibernacula in Northwest Florida and hibernacula with more populous colonies, with no difference in movement between sexes. Conclusions: Our results indicate a pattern of northward autumnal movements of tricolored bats in the subtropical southeastern portion of their range. We suggest that bats are differentially constrained at the edge of their geographical range, resulting in movement contrary to what is expected. Even though we found that few (2.7%) bats moved into Florida from farther north, those migrants can potentially transfer the fungus that causes the deadly white-nose syndrome, which does not currently occur in the state. Our results support the characterization of tricolored bats as flexible partial migrators, with a rarely exercised capacity for long-distance movements.</t>
  </si>
  <si>
    <t>10.1186/s40462-022-00358-x</t>
  </si>
  <si>
    <t>Schilder, J; Tellenbach, C; Most, M; Spaak, P; van Hardenbroek, M; Wooller, MJ; Heiri, O</t>
  </si>
  <si>
    <t>The stable isotopic composition of Daphnia ephippia reflects changes in delta C-13 and delta O-18 values of food and water</t>
  </si>
  <si>
    <t>OXYGEN ISOTOPES; CARBON ISOTOPES; TROPHIC FRACTIONATION; NITROGEN; DELTA-N-15; DIET; TEMPERATURE; HYDROGEN; ENRICHMENT; RATIOS</t>
  </si>
  <si>
    <t>The stable isotopic composition of fossil resting eggs (ephippia) of Daphnia spp. is being used to reconstruct past environmental conditions in lake ecosystems. However, the underlying assumption that the stable isotopic composition of the ephippia reflects the stable isotopic composition of the parent Daphnia, of their diet and of the environmental water have yet to be confirmed in a controlled experimental setting. We performed experiments with Daphnia pulicaria cultures, which included a control treatment conducted at 12 A degrees C in filtered lake water and with a diet of fresh algae and three treatments in which we manipulated the stable carbon isotopic composition (delta C-13 value) of the algae, stable oxygen isotopic composition (delta O-18 value) of the water and the water temperature, respectively. The stable nitrogen isotopic composition (delta N-15 value) of the algae was similar for all treatments. At 12 A degrees C, differences in algal delta C-13 values and in delta O-18 values of water were reflected in those of Daphnia. The differences between ephippia and Daphnia stable isotope ratios were similar in the different treatments (delta C-13: +0.2 +/- 0.4 parts per thousand (standard deviation); delta N-15: -1.6 +/- 0.4 parts per thousand; delta O-18: -0.9 +/- 0.4 parts per thousand), indicating that changes in dietary delta C-13 values and in delta O-18 values of water are passed on to these fossilizing structures. A higher water temperature (20 A degrees C) resulted in lower delta C-13 values in Daphnia and ephippia than in the other treatments with the same food source and in a minor change in the difference between delta C-13 values of ephippia and Daphnia (to -1.3 +/- 0.3 parts per thousand). This may have been due to microbial processes or increased algal respiration rates in the experimental containers, which may not affect Daphnia in natural environments. There was no significant difference in the offset between delta O-18 and delta N-15 values of ephippia and Daphnia between the 12 and 20 A degrees C treatments, but the delta O-18 values of Daphnia and ephippia were on average 1.2 parts per thousand lower at 20 A degrees C than at 12 A degrees C. We conclude that the stable isotopic composition of Daphnia ephippia provides information on that of the parent Daphnia and of the food and water they were exposed to, with small offsets between Daphnia and ephippia relative to variations in Daphnia stable isotopic composition reported from downcore studies. However, our experiments also indicate that temperature may have a minor influence on the delta C-13, delta N-15 and delta O-18 values of Daphnia body tissue and ephippia. This aspect deserves attention in further controlled experiments.</t>
  </si>
  <si>
    <t>10.5194/bg-12-3819-2015</t>
  </si>
  <si>
    <t>Zhou, YB; Chen, WW; Kaneko, Y; Newman, C; Liao, ZH; Zhu, XQ; Buesching, CD; Xie, ZQ; Macdonald, DW</t>
  </si>
  <si>
    <t>Seasonal dietary shifts and food resource exploitation by the hog badger (Arctonyx collaris) in a Chinese subtropical forest</t>
  </si>
  <si>
    <t>Badger; Dietary shifting; Earthworms; Meles; Optimal foraging; Seasonal dietary specialism</t>
  </si>
  <si>
    <t>LOCAL FEEDING SPECIALIZATION; MELES-MELES; MEDITERRANEAN ENVIRONMENTS; HABITAT SELECTION; ECOLOGY; CARNIVORE; POPULATIONS; GENERALIST; PARK; AVAILABILITY</t>
  </si>
  <si>
    <t>Spatial and temporal fluctuations in the availability of food resources can affect adaptive foraging strategies substantially, with the potential to promote temporal dietary switching and specialisation among generalist carnivores. To understand this relationship better at the causal level, we examined spatial and temporal variation in diet composition and diversity in the hitherto little-known hog badger (Arctonyx collaris), in comparison to the environmental abundance of principal food resources, in a subtropical forest of central China. Here, hog badgers fed predominantly on earthworms and fruits, complemented with arthropod imagoes and invertebrate larvae, whereas vertebrate prey categories (mammals, birds and reptiles) were consumed infrequently. We observed strong seasonal variation in the consumption of different food categories. Earthworms predominated during spring, fruits in autumn, and earthworms, complemented by arthropods, in summer, with hog badgers apparently hibernating in winter. Fluctuation in dietary preferences between seasons and habitats correlated only partially with environmental food abundance; in autumn, when fruit abundance peaked, and despite a concomitant peak in earthworm abundance, hog badgers exhibited a dietary shift, indicating a preference for fruit, over earthworms. This resulted in autumnal minima in seasonal food niche breadth and evenness values. We conclude that, in this region, hog badgers exhibited a generalist diet but switched between food categories in response to changes in environmental seasonal abundance.</t>
  </si>
  <si>
    <t>10.1007/s10344-014-0881-5</t>
  </si>
  <si>
    <t>Sandoval-Herrera, NI; Vargas-Soto, JS; Espinoza, M; Clarke, TM; Fisk, AT; Wehrtmann, IS</t>
  </si>
  <si>
    <t>Mercury levels in muscle tissue of four common elasmobranch species from the Pacific coast of Costa Rica, Central America</t>
  </si>
  <si>
    <t>Demersal elasmobranchs; Mesopredators; Bioaccumulation; Biomagnification; Trace metals; Marine pollution</t>
  </si>
  <si>
    <t>STANDARDIZED DIET COMPOSITIONS; ACANTHIAS RECTAL GLAND; MEDITERRANEAN SEA; STABLE-ISOTOPE; SQUALUS-ACANTHIAS; FEEDING ECOLOGY; HEAVY-METALS; TROPHIC POSITION; EDIBLE FISH; FOOD WEBS</t>
  </si>
  <si>
    <t>Mercury (Hg) is a non-essential and toxic element that is ubiquitous in the marine environment and biomagnifies through food webs. Given the high trophic position of many elasmobranch species, it is important to quantify potentially harmful trace elements like Hg in their tissues, as this is an indicator of the level of contamination in the ecosystem. This study provides the first examination of total mercury (THg) concentrations in muscle tissue of four common demersal elasmobranchs (Mustelus henlei, Raja velezi, Torpedo peruana and Zapteryx xyster) from the Pacific coast of Costa Rica. All four species showed a positive relationship between THg concentration and body size, but THg concentration did not vary with trophic position. Torpedo peruana showed the highest THg concentration (mean +/- SD: 0.52 +/- 0.25 mg/kg wet weight) but Z. xyster had the highest slope for the THg-size relationship. The THg concentrations found in this study were lower than those reported for similar elasmobranch species in other regions, and only one sample exceeded the concentration limit suggested for human consumption. Our results suggest that THg contamination off the Pacific coast of Costa Rica, and possibly Central America is minimal. (C) 2015 Elsevier B.V. All rights reserved.</t>
  </si>
  <si>
    <t>10.1016/j.rsma.2015.11.011</t>
  </si>
  <si>
    <t>Chen, X; Qin, XB; Li, Y; Wan, YF; Liao, YL; Lu, YH; Wang, B; Chen, HR; Wang, KY</t>
  </si>
  <si>
    <t>Residential and agricultural soils dominate soil organic matter loss in a typical agricultural watershed of subtropical China</t>
  </si>
  <si>
    <t>Agricultural watershed; Bayesian stable-isotope mixed model; Carbon stable isotope; Nitrogen stable isotope; Soil organic matter loss</t>
  </si>
  <si>
    <t>CONTAMINATED PARTICULATE MATTER; SEDIMENT SOURCE; SPATIAL VARIABILITY; SUSPENDED SEDIMENT; FALLOUT RADIONUCLIDES; SOURCE IDENTIFICATION; SOURCE APPORTIONMENTS; STABLE-ISOTOPES; NITROGEN; CARBON</t>
  </si>
  <si>
    <t>Soil organic matter (SOM) loss in agricultural watersheds driven by hydrology threatens the aquatic environ-ment, and increases the risk of greenhouse gas emissions from aquatic systems, and will be detrimental to both the green development of agriculture and the achievement of the national carbon peaking and carbon neutrality  goal of China. Consequently, we explored the use of delta 13C, 615N, and the carbon to nitrogen ratio (C/N) as end-members and combined this with a Bayesian stable-isotope mixed model to quantitatively estimate the contribution of typical land-use types (i.e., forest, rice, vegetable, tea, and residential soils) to sedimentary organic matter in a typical agricultural watershed in subtropical China. The results indicated that there was significant spatial variation of 613C, 615N, and the C/N in the target sediment mixture and its sources. The range of sediment 613C (-26.2%o to-23.8%o) and 615N (3.9-7.9%o) were within the ranges of the sources, with 613C and 615N ranges of -29.3%o to -20%o and -1.2%o to 9%o, respectively. The average C/N of sediment was 11.1 &amp; PLUSMN; 0.52, which was significantly higher than all source samples. The spatial distribution of 613C and 615N indicated that SOM loss in this catchment may primarily be attributed to vegetable and residential soils. According to the qualitative identification from dual fingerprint mark composite graphs of the C/N and 615N, as well as 613C and 615N, the sedimentary SOM in the Tuojia watershed was mainly derived from sewage. Furthermore, Bayesian stable-isotope mixed model analysis indicated that residential soil was the main contributor to the SOM loss in the watershed, with a contribution rate of 75.8 %, followed by agricultural land (rice and vegetable soils) with a combined input of 12 %. The findings highlight that anthropogenic life and agricultural production have a vital impact on the carbon and nitrogen cycle in this agricultural catchment, and improving the rural habitation environment may play a key role in the control of SOM loss in subtropical agricultural watersheds.</t>
  </si>
  <si>
    <t>10.1016/j.agee.2022.108100</t>
  </si>
  <si>
    <t>Fairclough, DV; Edmonds, JS; Jackson, G; Lenanton, RCJ; Kemp, J; Molony, BW; Keay, IS; Crisafulli, BM; Wakefield, CB</t>
  </si>
  <si>
    <t>A comparison of the stock structures of two exploited demersal teleosts, employing complementary methods of otolith element analysis</t>
  </si>
  <si>
    <t>Connectivity; Geochemistry; Glaucosoma hebraicum; Pagrus auratus; Stable isotope; Trace element</t>
  </si>
  <si>
    <t>SNAPPER PAGRUS-AURATUS; ROUGHY HOPLOSTETHUS-ATLANTICUS; GENETIC POPULATION-STRUCTURE; ISOTOPE RATIO ANALYSIS; STABLE-ISOTOPE; SHARK-BAY; ORANGE ROUGHY; PINK SNAPPER; MITOCHONDRIAL-DNA; WESTERN-AUSTRALIA</t>
  </si>
  <si>
    <t>Complementary methods of otolith element analysis (IRMS of stable isotopes and laser ablation ICP-MS of trace elements) were used to elucidate the stock structures in Western Australia of the exploited demersal West Australian dhufish Glaucosoma hebraicum and Snapper Pagrus auratus. Residency of adults during their most recent part of life and the existence of important nursery locations were investigated by analysing otolith margins and cores, respectively, to evaluate the applicability of current spatial management. Stable oxygen isotope ratios (O-18/O-16) in both margins and cores of G. hebraicum otoliths increased with latitude and thus decreasing mean annual water temperature. Analyses of delta O-18, stable isotope composition (SI; delta O-18, delta C-13) and trace element composition (TE; Mg-25, Sr-88, Ba-138) in otolith margins of a hebraicum from four management areas on the west coast of Australia indicated that adults were resident in each area. Analyses of elements in otolith cores demonstrated that, by the early juvenile stage (&lt;1 year old), individuals will have recruited to the area where they will remain as adults. Analyses of delta O-18 and both SI and TE compositions in otolith margins of adult P. auratus indicated residency within each of three large bioregions (Gascoyne, GCB; West, WCB; South, SCB) along the west and south coasts of western Australia. As for G. hebraicum, the data also demonstrated residency at the finer scale, i.e. within the four management areas on the west coast The lack of a conspicuous pattern in delta O-18 levels in P. auratus otolith cores implied that adults in each area recruited from a range of nurseries. Although both SI and TB composition demonstrated that there was substantial self-recruitment within the WCB and SCB and within two of the four areas of the WCB, stock(s) of P. auratus at the southern extent of the GCB are likely to be partially reliant on immigration. Elemental signatures in otoliths of G. hebraicum and P. auratus demonstrated that adults in each management area of the WCB could be treated as separate stocks. However, while recruitment of juvenile G. hebraicum to adult stocks would occur primarily from adjacent multiple nurseries within areas of the WCB, adult P. auratus in any one bioregion and at least two of the four areas within the WCB were derived from a range of nurseries, including across area and bioregion boundaries. Crown Copyright (C) 2012 Published by Elsevier B.V. All rights reserved.</t>
  </si>
  <si>
    <t>10.1016/j.jembe.2012.10.023</t>
  </si>
  <si>
    <t>Martin, C; Bentaleb, I; Steelandt, S; Guinet, C</t>
  </si>
  <si>
    <t>Stable carbon and nitrogen isotope variations in canine dentine growth layers of Kerguelen southern elephant seals</t>
  </si>
  <si>
    <t>Mirounga leonina; Dentine delta C-13 and delta N-15; Trophic level; Foraging habitat</t>
  </si>
  <si>
    <t>MIROUNGA-LEONINA; JUVENILE SOUTHERN; PLANKTON DELTA-C-13; ORGANIC-MATTER; FORAGING AREAS; SURFACE-WATER; OCEAN; DIET; FRACTIONATION; PREDATORS</t>
  </si>
  <si>
    <t>Foraging behaviour of mammals, namely the change in distribution and trophic levels from juvenile stage to adulthood, can be investigated by measuring delta C-13 and delta N-15 stable isotopes for layers deposited in a growing tooth. For the first time, we describe geographic differences in the ontogeny of foraging strategies and in the niche partitioning process according to sex and age of a highly sexually dimorphic species: the southern elephant seal Mirounga leonina. Canines from 8 males and 6 females were analysed for delta C-13 and delta N-15 stable isotope signatures. To assess intra-individual variability, instead of analysing collagen we analysed the bulk dentine within each of the 4 growth layers deposited annually. The delta C-13 signature revealed that, in individuals of 1 to 4 yr of age, teeth of both males and females exhibited large intra-individual variation in delta C-13, suggesting that juveniles were foraging over a broad range of marine habitats encompassing both sub-Antarctic and Antarctic waters. Four out of the 6 teeth taken from females were collected on individuals younger than 4 yr, preventing investigation of longer-term changes. A delta C-13 pattern emerged for males older than 4 yr: individuals became resident to either a sub-Antarctic (-17%) or an Antarctic (-20%, both values reported as deviations from the Vienna PeeDee Belemnite standard) foraging habitat, with a decrease in intra-individual variability. Up to the age of 4 yr, juvenile males were at a slightly higher trophic level than juvenile females, but by the age of 4 yr, while their delta C-13 signature revealed that they were faithful to their foraging habitat, males exhibited a significant increase in their trophic levels, as shown by their delta N-15 signature.</t>
  </si>
  <si>
    <t>10.3354/meps09331</t>
  </si>
  <si>
    <t>Grainger, R; Raoult, V; Peddemors, VM; Machovsky-Capuska, GE; Gaston, TF; Raubenheimer, D</t>
  </si>
  <si>
    <t>Integrating isotopic and nutritional niches reveals multiple dimensions of individual diet specialisation in a marine apex predator</t>
  </si>
  <si>
    <t>Carcharodon carcharias; individual specialisation; marine predators; multidimensional nutritional niche framework; nutritional ecology; stable isotopes; tooth replacement</t>
  </si>
  <si>
    <t>MIXING MODELS; STABLE-ISOTOPES; DISCRIMINATION FACTORS; PROXIMATE COMPOSITION; GEOMETRIC ANALYSIS; FOOD SELECTION; ENERGY CONTENT; ECOLOGY; PREY; CONSEQUENCES</t>
  </si>
  <si>
    <t>Dietary specialisations are important determinants of ecological structure, particularly in species with high per-capita trophic influence like marine apex predators. These species are, however, among the most challenging in which to establish spatiotemporally integrated diets. We introduce a novel integration of stable isotopes with a multidimensional nutritional niche framework that addresses the challenges of establishing spatiotemporally integrated nutritional niches in wild populations, and apply the framework to explore individual diet specialisation in a marine apex predator, the white shark Carcharodon carcharias. Sequential tooth files were sampled from juvenile white sharks to establish individual isotopic (delta-space; delta C-13, delta N-15, delta S-34) niche specialisation. Bayesian mixing models were then used to reveal individual-level prey (p-space) specialisation, and further combined with nutritional geometry models to quantify the nutritional (N-space) dimensions of individual specialisation, and their relationships to prey use. Isotopic and mixing model analyses indicated juvenile white sharks as individual specialists within a broader, generalist, population niche. Individual sharks differed in their consumption of several important mesopredator species, which suggested among-individual variance in trophic roles in either pelagic or benthic food webs. However, variation in nutrient intakes was small and not consistently correlated with differences in prey use, suggesting white sharks as nutritional specialists and that individuals could use functionally and nutritionally different prey as complementary means to achieve a common nutritional goal. We identify how degrees of individual specialisation can differ between niche spaces (delta-, p- or N-space), the physiological and ecological implications of this, and argue that integrating nutrition can provide stronger, mechanistic links between diet specialisation and its intrinsic (fitness/performance) and extrinsic (ecological) outcomes. Our time-integrated framework is adaptable for examining the nutritional consequences and drivers of food use variation at the individual, population or species level.</t>
  </si>
  <si>
    <t>10.1111/1365-2656.13852</t>
  </si>
  <si>
    <t>Quah, WC; Chew, LL; Chong, VC; Chu, C; Teoh, CY; Ooi, AL</t>
  </si>
  <si>
    <t>Does structural change in the zooplankton community affect larval fish feeding in anthropogenically disturbed tropical waters?</t>
  </si>
  <si>
    <t>Zooplankton; Dietary composition (%IRI); Dietary shifts; Ontogenetic effects; Bottom-up effects; Dietary plasticity</t>
  </si>
  <si>
    <t>EARLY-LIFE-HISTORY; PREY AVAILABILITY; CLIMATE-CHANGE; POWER-PLANT; TOP-DOWN; MARINE; ECOLOGY; DIET; FOOD; DETRITUS</t>
  </si>
  <si>
    <t>Anthropogenic perturbations and climate change have altered the zooplankton community structure in the Klang Strait during the past 30 years, in that the taxa of large-bodied crustaceans (Acartiidae, Calanidae, Pseudodiaptomidae) are being replaced by those of small-bodied crustaceans (Oithonidae, Ectinosomatidae), gelatinous jellyfish, and appendicularians. Since zooplankton constitutes the main larval food, we questioned: have bottom-up effects impacted larval fish feeding via the food chain? Larval fish that were sampled previously (1985-1986) and nearly three decades thereafter (2013-2014) were analysed for their dietary composition. Despite the dramatic replacements of zooplankton taxa due to escalating anthropogenic disturbances, the dominant copepod families, Paracalanidae, Oithonidae and Euterpinidae, remain the major prey for fish larvae. Dietary shifts in prey composition from before to after impact depend on the larval fish family and their ontogenetic stage. Dietary changes are observed in the Bregmacerotidae, Engraulidae, Gobiidae and Sciaenidae that opportunistically feed on the small-bodied copepods (oithonids and Parvocalanus crassirostris), whereas the Callionymidae, Clupeidae and Cynoglossidae naturally feed on these copepods even before these prey become numerically dominant with anthropogenic disturbance. There is no dietary shift in the Leiognathidae, exceptional in that they are specialists feeding mainly on detritus and polychaete larvae. Since the bottom-up effects are not comprehensive among fish families and dietary plasticity is evident, it is postulated that only the intolerant or non-adaptable larval species are adversely affected by the environmental perturbations.</t>
  </si>
  <si>
    <t>10.1007/s10641-021-01189-2</t>
  </si>
  <si>
    <t>MOORE, JC; DERUITER, PC</t>
  </si>
  <si>
    <t>TEMPORAL AND SPATIAL HETEROGENEITY OF TROPHIC INTERACTIONS WITHIN BELOWGROUND FOOD WEBS</t>
  </si>
  <si>
    <t>REAL ECOSYSTEMS; CHAIN LENGTH; COMPARTMENTATION; COMMUNITIES; DIVERSITY; STABILITY</t>
  </si>
  <si>
    <t>Real food webs are dynamic multi-dimensional systems, whereas the descriptions of real food webs often do not capture this complexity in that they have been confined to a single habitat (the community web sensu Cohen, 1978) and do not represent changes in time (Paine, 1988). We present an analytical approach that uses univariate and multivariate statistics and simulation modeling to study pattern within food webs. As an illustration of the approach, we compared below-ground food webs from natural and agricultural ecosystems in terms of their architecture, temporal dynamics of the biomass of functional groups, and the temporal and spatial dynamics of energy channels. The complexity and diversity of below-ground food webs are similar to the detritus-based food webs of other terrestrial and aquatic habitats. The pattern of the flow of nitrogen through the below-ground food webs of the Shortgrass Steppe of North America is similar to that of the food web of agricultural soils of reclaimed marine sediments in The Netherlands. The webs are compartmented along dominant flows of energy (energy channels) originating from primary production and detritus. Comparisons of the connectedness descriptions, and implementations of cluster analysis, canonical discriminant analysis and analysis of variance of temporal biomass of functional groups within food webs of soils from North America and The Netherlands, indicate that the detritus energy channel can be further compartmented into a fungal and bacterial channel. For winter wheat soils in The Netherlands, the degree of compartmentalization appears to depend on management practice. Consumers of fungi were separated in time from consumers of bacteria in the integrated management practice, while little separation was observed in conventional practice. Our study indicates (1) that analyses of food webs should aim to project the web onto the principal niche dimensions food, habitat and time, and (2) that quantitative measures of community structure - identification of functional groups, the biomass and productivity of functional groups, and the flow of nutrients within energy channels - are useful measures of food web structure.</t>
  </si>
  <si>
    <t>1-4</t>
  </si>
  <si>
    <t>10.1016/0167-8809(91)90122-E</t>
  </si>
  <si>
    <t>Johnston, DB; Cooper, DJ; Hobbs, NT</t>
  </si>
  <si>
    <t>Relationships between groundwater use, water table, and recovery of willow on Yellowstone's northern range</t>
  </si>
  <si>
    <t>beaver; elk; restoration ecology; riparian vegetation; Salix geyeriana; stable oxygen isotopes; water sources; Yellowstone</t>
  </si>
  <si>
    <t>RIPARIAN ECOSYSTEMS; SALIX-MONTICOLA; ELK; WOLVES; HERBIVORY; HABITAT; ASPEN; TREES; TRANSPIRATION; COMMUNITIES</t>
  </si>
  <si>
    <t>Excessive levels of herbivory, incision of stream channels, and climate warming are believed to be responsible for the decline of woody deciduous plants in riparian zones in western North America, declines that are likely to be associated with diminished biological diversity. In the northern elk wintering range of Yellowstone National Park, USA, overbrowsing by elk (Cervus elaphus), lowered water tables resulting from stream incision, and loss of activity by beaver (Castor canadensis) have been implicated in the decline of willow (Salix sp.) communities. Reducing elk browsing appears sufficient for willow recovery in some areas, but where water table changes have been dramatic, recovery may be slow or absent. The importance of water table changes is disputed because experimental results demonstrate water table limitations, but water table depth has failed to explain variation in willow height at landscape scales. One explanation for this apparent discrepancy is that willows that have survived intensive browsing by elk have maintained access to groundwater despite declining water tables. Using stable isotopes of water, we examined the relationships between groundwater use, water table depth, and height of heavily browsed Salix geyeriana. Salix geyeriana groundwater use varied from 30% to 80%, and was higher later in the growing season, when soil water was less available and shoot water potentials were lower. Late season groundwater use explained 26% of the variation in total height of willows (P = 0.002), with taller plants using more groundwater. Water table depth explained only 8% of the variability in total height (P = 0.051), with shorter willows having deeper water table depths. Groundwater use and water table depth were uncorrelated. Height recovery following a winter of heavy browsing was related to groundwater use, but not groundwater depth. We suggest that access to deeper water sources alleviates late season water stress, allowing for more rapid height recovery and higher total plant height. Variability in groundwater access may account for variability in height recovery at landscape scales.</t>
  </si>
  <si>
    <t>10.1890/ES10-00150.1</t>
  </si>
  <si>
    <t>Benjamin, W; Riko, F; Dragan, M; Jing-Zhong, L; Peter, K; Stefan, S; Andreas, S</t>
  </si>
  <si>
    <t>Conifers and non-native tree species shift trophic niches of generalist arthropod predators in Central European beech forests</t>
  </si>
  <si>
    <t>BMC ECOLOGY AND EVOLUTION</t>
  </si>
  <si>
    <t>Araneae; Biodiversity; Carabidae; Ecosystem functioning; Stable isotopes</t>
  </si>
  <si>
    <t>FIR PSEUDOTSUGA-MENZIESII; DOUGLAS-FIR; FAGUS-SYLVATICA; STABLE-ISOTOPES; FOOD-WEB; COMPLEMENTARY ANALYSES; FUNCTIONAL DIVERSITY; FATTY-ACIDS; COMMUNITIES; STANDS</t>
  </si>
  <si>
    <t>BackgroundFunctional diversity is vital for forest ecosystem resilience in times of climate-induced forest diebacks. Admixing drought resistant non-native Douglas fir, as a partial replacement of climate-sensitive Norway spruce, to native beech forests in Europe appears promising for forest management, but possible consequences for associated biota and ecosystem functioning are poorly understood. To better link forest management and functional diversity of associated biota, we investigated the trophic niches ( increment C-13, increment N-15) of epigeic generalist predators (spiders and ground beetles) in mixed and pure stands of European beech, Norway spruce and non-native Douglas fir in north-west Germany. We assessed the multidimensional niche structure of arthropod predator communities using community-based isotopic metrics.ResultsWhilst arthropod increment C-13 differed most between beech (high increment C-13) and coniferous stands (low increment C-13), increment N-15 was lowest in non-native Douglas fir. Tree mixtures mitigated these effects. Further, conifers increased isotopic ranges and isotopic richness, which is linked to higher canopy openness and herb complexity. Isotopic divergence of ground beetles decreased with Douglas fir presence, and isotopic evenness of spiders in Douglas fir stands was lower in loamy sites with higher precipitation than in sandy, drier sites.ConclusionsWe conclude that tree species and particularly non-native trees alter the trophic niche structure of generalist arthropod predators. Resource use and feeding niche breadth in non-native Douglas fir and native spruce differed significantly from native beech, with more decomposer-fueled and narrower feeding niches in beech stands ( increment C-13, isotopic ranges and richness). Arthropod predators in non-native Douglas fir, however, had shorter ( increment N-15) and simplified (isotopic divergence) food chains compared to native forest stands; especially under beneficial abiotic conditions (isotopic evenness). These findings indicate potential adverse effects of Douglas fir on functional diversity of generalist arthropod predators. As tree mixtures mitigated differences between beech and conifers, mixed stands including (non-native) conifers constitute a promising compromise between economic and conservational interests.</t>
  </si>
  <si>
    <t>10.1186/s12862-023-02105-1</t>
  </si>
  <si>
    <t>Cotin, J; Garcia-Tarrason, M; Jover, L; Sanpera, C</t>
  </si>
  <si>
    <t>Are the toxic sediments deposited at Flix reservoir affecting the Ebro river biota? Purple heron eggs and nestlings as indicators</t>
  </si>
  <si>
    <t>Purple heron; Ardea purpurea; Biomonitoring; Trophic ecology; Stable isotopes; Trace elements</t>
  </si>
  <si>
    <t>STABLE-ISOTOPES; ECOLOGY</t>
  </si>
  <si>
    <t>The Flix reservoir, in the low course of the Ebro River, contains thousands of tons of polluted sediments, accumulated from the activities of a chemical factory. An ongoing project is working toward removing these pollutants. Piscivore birds like the purple heron (Ardea purpurea) may be useful bioindicators, so eggs and nestling feathers were sampled during the 2006-2008 breeding seasons at three localities: a reference site situated upstream and two potentially affected by the toxic muds; one at the focal area and one at a distal area, the Ebro Delta. The samples were analyzed for isotopic signatures of N-15 and C-13 and concentrations of heavy metals and selenium. Baseline nitrogen signatures were higher in riverine sites than in the delta. Nitrogen together with carbon signatures adequately discriminated riverine and deltaic ecosystems. Mercury levels are highly influenced by the polluted sediments at Flix and pose potential risks for the birds, as they are among the highest ever recorded in heron species. Selenium and copper concentrations probably derive from other sources. Except for mercury, heavy metals and selenium levels were below toxic levels. Purple heron eggs and nestling feathers have demonstrated their usefulness as bioindicators for pollution in the river biota; feathers in particular show pollutant impacts on a strict local basis. A long series of study years is necessary in dynamic ecosystems such as this, so continued monitoring of the heron population at Flix is advisable to trace the effects of the toxic muds, particularly during their removal, because of the high levels of mercury detected.</t>
  </si>
  <si>
    <t>10.1007/s10646-012-0893-4</t>
  </si>
  <si>
    <t>Le Bourg, B; Kuklinski, P; Balazy, P; Lepoint, G; Michel, LN</t>
  </si>
  <si>
    <t>Interactive effects of body size and environmental gradient on the trophic ecology of sea stars in an Antarctic fjord</t>
  </si>
  <si>
    <t>Ontogenetic shifts; Resource availability; Trophic interaction; Sea stars; Southern Ocean; Stable isotopes</t>
  </si>
  <si>
    <t>KING GEORGE ISLAND; BENTHIC COMMUNITIES; PARTICLE DYNAMICS; ORGANIC-MATTER; MARINE; FOOD; COEXISTENCE; SHIFTS; DIET; KONGSFJORDEN</t>
  </si>
  <si>
    <t>Antarctic sea stars can occupy different trophic niches and display different trophic levels, but, while the impacts of their body size and environmental features on their trophic niches are potentially important, they are presently understudied. Here we assessed the trophic ecology in relation to the size and habitat of sea stars in a fjord on King George Island (South Shetland Islands) using stable isotope values of carbon (delta C-13), nitrogen (delta N-15), and sulphur (delta S-34). The disc radius influenced delta C-13 and delta N-15 values, whereas more limited changes in delta C-13 or delta S-34 values were related to arm length. Specifically, delta C-13 and delta N-15 values were linked to disc radius in generalist species (Diplasterias brandti and Odontaster validus), which could indicate ontogenetic diet shifts, while this relationship occurred less frequently in more specialised species (Bathybiaster loripes, Notasterias bongraini, and Perknaster sladeni). O. validus had a smaller isotopic niche size in the inner than the outer fjord. The niche overlap between D. brandti and O. validus was low in the inner fjord. Low resource availability within the fjord, linked to higher turbidity, could induce trophic niche constriction and interspecific resource segregation. This could represent a mechanism for competition avoidance in a resource-limited system. Conversely, higher resource availability could allow O. validus to expand and share its isotopic niche with D. brandti in the outer fjord with a limited risk of competition. This trophic plasticity will likely influence how O. validus copes with the present and future modification of environmental conditions induced by climate change.</t>
  </si>
  <si>
    <t>10.3354/meps13821</t>
  </si>
  <si>
    <t>Codron, D; Codron, J; Lee-Thorp, JA; Sponheimer, M; de Ruiter, D; Brink, JS</t>
  </si>
  <si>
    <t>Stable isotope characterization of mammalian predator-prey relationships in a South African savanna</t>
  </si>
  <si>
    <t>carnivore; faeces; hair; herbivore; Kruger Park</t>
  </si>
  <si>
    <t>LION PREDATION; CARBON; NITROGEN; DIET; FRACTIONATION; DELTA-N-15; CONSUMPTION; BIOAPATITE; ECOLOGY; BOVIDAE</t>
  </si>
  <si>
    <t>This paper characterizes predator - prey interactions amongst African mammals from C-4 savanna environments using stable carbon and nitrogen isotope proxies for diet. Stable carbon (delta C-13) and nitrogen (delta N-15) isotope data from hair and faeces of large African mammal carnivores, and herbivores as potential prey, are presented for a diverse range of taxa. Carbon- isotope data imply that most carnivores from the lowveld savanna of South Africa form part of C-4 grass-based food webs. Nitrogen isotope data show clear differences between trophic levels, although it appears that the magnitude of these differences varies between predators feeding on invertebrates and vertebrates, respectively. Whilst the number of carnivore samples for which data are available is relatively few, and data for prey are restricted mainly to large ungulate herbivores, results clearly demonstrate the potential for future applications of this technique to predator-prey food webs in African savannas. In tandem with traditional approaches, stable isotopes can help elucidate patterns of predator impacts on prey populations, domestic livestock, and resolving similar food webs in palaeoenvironmental contexts.</t>
  </si>
  <si>
    <t>10.1007/s10344-006-0075-x</t>
  </si>
  <si>
    <t>Flores, H; Kock, KH; Wilhelms, S; Jones, CD</t>
  </si>
  <si>
    <t>Diet of two icefish species from the South Shetland Islands and Elephant Island, Champsocephalus gunnari and Chaenocephalus aceratus</t>
  </si>
  <si>
    <t>GASTRIC EVACUATION; MACKEREL ICEFISH; NOTOTHENIOID FISH; FOOD-CONSUMPTION; STOMACH CONTENTS; DEMERSAL FISH; GEORGIA; TEMPERATURE; ECOLOGY; RATES</t>
  </si>
  <si>
    <t>The summer diet of two species of icefishes (Channichthyidae) from the South Shetland Islands and Elephant Island, Champsocephalus gunnari and Chaenocephalus aceratus, was investigated from 2001 to 2003. Champsocephalus gunnari fed almost exclusively on krill (Euphausia superba) in all years. The importance of other taxa (Themisto gaudichaudii, mysids, myctophids) in the diet was negligible. The average feeding rate of Champsocephalus gunnari inferred from an exponential gastric evacuation model was between 1.0 and 1.5% body weight per day. Most of the stomachs of Chaenocephalus aceratus were empty. Stomachs with food contained mainly krill, mysids and fish. Among the fish taken, locally abundant species formed the bulk of the diet: Gobionotothen gibberifrons in 2001, Lepidonotothen larseni and Champsocephalus gunnari in 2002 and L. larseni in 2003. An ontogenetic shift in feeding preference of Chaenocephalus aceratus was observed: fish smaller than 30 cm fed on krill and mysids, while larger animals relied primarily on fish.</t>
  </si>
  <si>
    <t>10.1007/s00300-003-0570-4</t>
  </si>
  <si>
    <t>Bogdziewicz, M; Zywiec, M; Espelta, JM; Fernandez-Martinez, M; Calama, R; Ledwon, M; McIntire, E; Crone, EE</t>
  </si>
  <si>
    <t>Environmental Veto Synchronizes Mast Seeding in Four Contrasting Tree Species</t>
  </si>
  <si>
    <t>costs of reproduction; density-dependent pollination success; environmental veto; mast seeding; pollen coupling; resource budget model</t>
  </si>
  <si>
    <t>RESOURCE BUDGET MODEL; POLLEN LIMITATION; PREDATOR SATIATION; SPATIAL-PATTERNS; ACORN PRODUCTION; WEATHER CUES; FOREST TREES; REPRODUCTION; POLLINATION; POPULATION</t>
  </si>
  <si>
    <t>Synchronized and variable reproduction by perennial plants, called mast seeding, is a major reproductive strategy of trees. The need to accumulate sufficient resources after depletion following fruiting (resource budget), the efficiency of mass flowering for outcross pollination (pollen coupling), or the external factors preventing reproduction (environmental veto) could all synchronize masting. We used seed production data for four species (Quercus ilex, Quercus humilis, Sorbus aucuparia, and Pinus albicaulis) to parametrize resource budget models of masting. Based on species life-history characteristics, we hypothesized that pollen coupling should synchronize reproduction in S. aucuparia and P. albicaulis, while in Q. ilex and Q. humilis, environmental veto should be a major factor. Pollen coupling was stronger in S. aucuparia and P. albicaulis than in oaks, while veto was more frequent in the latter. Yet in all species, costs of reproduction were too small to impose a replenishment period. A synchronous environmental veto, in the presence of environmental stochasticity, was sufficient to produce observed variability and synchrony in reproduction. In the past, vetoes like frost events that prevent reproduction have been perceived as negative for plants. In fact, they could be selectively favored as a way to create mast seeding.</t>
  </si>
  <si>
    <t>10.1086/704111</t>
  </si>
  <si>
    <t>Huo, GP; Zhao, XN; Gao, XD; Wang, SF; Pan, YH</t>
  </si>
  <si>
    <t>Seasonal water use patterns of rainfed jujube trees in stands of different ages under semiarid Plantations in China</t>
  </si>
  <si>
    <t>Plant water use; Stable isotopes; Low precipitation period; Plantation; Loess Plateau</t>
  </si>
  <si>
    <t>SOIL-WATER; COLORADO PLATEAU; ISOTOPE ANALYSIS; STABLE-ISOTOPES; PLANT; EXTRACTION; SYSTEM; AGROFORESTRY; ORCHARDS; DROUGHT</t>
  </si>
  <si>
    <t>Flexible water use patterns are of great importance for planted trees if they are to acclimate to more uncertain future conditions in water-limited regions. This study aims to understand seasonal water use patterns of rainfed jujube trees in stands of various ages. A two-year experiment was conducted at four plantations of different ages (4-, 8-, 15-, and 22-years-old), in which the stable isotope technique was combined with three analytical methods. Soil moisture in the shallow (0-20 cm), middle (20-60 cm), and deep (60-200 cm) layers served as potential water sources for the jujube trees. The results showed that the 4-year-old trees mainly used soil moisture from shallow and middle layers. The 8-year-old trees shifted flexibly their water source between the three layers. However, the 15- and 22-year-old trees often ignored moisture in shallow layers and primarily used water from subsurface layers, obtaining more soil moisture from the middle layer in periods with more rainfall while more soil moisture from the deep layer when the precipitation was low. Compared with the 4- and 8-year-old trees, the two low precipitation periods during the study period clearly resulted in more water use from deep layers for the 15- and 22-year-old trees. Overall, older jujube trees were more dependent on soil water from deeper layers compared to younger trees, resulting in extensive use of soil water from deeper layers which was difficult to be replenished by precipitation. This indicates that older trees are more vulnerable to future prolonged and extremely low precipitation, and measures are needed to improve water status, especially for deeper layers under older trees.</t>
  </si>
  <si>
    <t>10.1016/j.agee.2018.06.028</t>
  </si>
  <si>
    <t>Hatvani, IG; Leuenberger, M; Kohan, B; Kern, Z</t>
  </si>
  <si>
    <t>Geostatistical analysis and isoscape of ice core derived water stable isotope records in an Antarctic macro region</t>
  </si>
  <si>
    <t>delta O-18 &amp; delta H-2 records; Isoscape; Polar precipitation; Variogram analysis</t>
  </si>
  <si>
    <t>DRONNING MAUD-LAND; SNOW-ACCUMULATION RATES; SHALLOW FIRN CORES; SURFACE ACCUMULATION; PRECIPITATION; INTERPOLATION; DELTA-O-18; O-18; INFORMATION; TEMPERATURE</t>
  </si>
  <si>
    <t>Water stable isotopes preserved in ice cores provide essential information about polar precipitation. In the present study, multivariate regression and variogram analyses were conducted on 22 delta H-2 and 53 delta O-18 records from 60 ice cores covering the second half of the 20th century. Taking the multicollinearity of the explanatory variables into account, as also the model's adjusted R2 and its mean absolute error, longitude, elevation and distance from the coast were found to be the main independent geographical driving factors governing the spatial delta O-18 variability of firn/ice in the chosen Antarctic macro region. After diminishing the effects of these factors, using variography, the weights for interpolation with kriging were obtained and the spatial autocorrelation structure of the dataset was revealed. This indicates an average area of influence with a radius of 350 km. This allows the determination of the areas which are as yet not covered by the spatial variability of the existing network of ice cores. Finally, the regional isoscape was obtained for the study area, and this may be considered the first step towards a geostatistically improved isoscape for Antarctica. (C) 2017 Elsevier B.V. and NIPR. All rights reserved.</t>
  </si>
  <si>
    <t>10.1016/j.polar.2017.04.001</t>
  </si>
  <si>
    <t>Schmidt, NM; Mosbacher, JB; Vesterinen, EJ; Roslin, T; Michelsen, A</t>
  </si>
  <si>
    <t>Limited dietary overlap amongst resident Arctic herbivores in winter: complementary insights from complementary methods</t>
  </si>
  <si>
    <t>Competition; Greenland; Metabarcoding; Stable isotopes; Tundra</t>
  </si>
  <si>
    <t>STABLE-ISOTOPE; MAMMALIAN HERBIVORES; SNOW COVER; FOOD-WEB; SEASONAL ENVIRONMENT; NORTHEAST GREENLAND; OVIBOS-MOSCHATUS; PLANT BIOMASS; NICHE OVERLAP; MUSKOXEN</t>
  </si>
  <si>
    <t>Snow may prevent Arctic herbivores from accessing their forage in winter, forcing them to aggregate in the few patches with limited snow. In High Arctic Greenland, Arctic hare and rock ptarmigan often forage in muskox feeding craters. We therefore hypothesized that due to limited availability of forage, the dietary niches of these resident herbivores overlap considerably, and that the overlap increases as winter progresses. To test this, we analyzed fecal samples collected in early and late winter. We used molecular analysis to identify the plant taxa consumed, and stable isotope ratios of carbon and nitrogen to quantify the dietary niche breadth and dietary overlap. The plant taxa found indicated only limited dietary differentiation between the herbivores. As expected, dietary niches exhibited a strong contraction from early to late winter, especially for rock ptarmigan. This may indicate increasing reliance on particular plant resources as winter progresses. In early winter, the diet of rock ptarmigan overlapped slightly with that of muskox and Arctic hare. Contrary to our expectations, no inter-specific dietary niche overlap was observed in late winter. This overall pattern was specifically revealed by combined analysis of molecular data and stable isotope contents. Hence, despite foraging in the same areas and generally feeding on the same plant taxa, the quantitative dietary overlap between the three herbivores was limited. This may be attributable to species-specific consumption rates of plant taxa. Yet, Arctic hare and rock ptarmigan may benefit from muskox opening up the snow pack, thereby allowing them to access the plants.</t>
  </si>
  <si>
    <t>10.1007/s00442-018-4147-x</t>
  </si>
  <si>
    <t>Polley, HW; Johnson, HB; Derner, JD</t>
  </si>
  <si>
    <t>Soil- and plant-water dynamics in a C3/C4 grassland exposed to a subambient to superambient CO(2) gradient</t>
  </si>
  <si>
    <t>C3 species; C4 grasses; soil-water content; stable carbon isotopes; water-use efficiency; xylem potentials</t>
  </si>
  <si>
    <t>CARBON ISOTOPE DISCRIMINATION; ELEVATED ATMOSPHERIC CO2; TALLGRASS PRAIRIE ECOSYSTEM; GAS-EXCHANGE; BIOMASS PRODUCTION; USE EFFICIENCY; ACCLIMATION; RESPONSES; DIOXIDE; VAPOR</t>
  </si>
  <si>
    <t>Plants may be more sensitive to carbon dioxide (CO(2) ) enrichment at subambient concentrations than at superambient concentrations, but field tests are lacking. We measured soil-water content and determined xylem pressure potentials and delta(13) C values of leaves of abundant species in a C3/C4 grassland exposed during 1997-1999 to a continuous gradient in atmospheric CO(2) spanning subambient through superambient concentrations (200-560 mumol mol(2-1) ). We predicted that CO(2) enrichment would lessen soil-water depletion and increase xylem potentials more over subambient concentrations than over superambient concentrations. Because water-use efficiency of C3 species (net assimilation/leaf conductance; A/g) typically increases as soils dry, we hypothesized that improvements in plant-water relations at higher CO(2) would lessen positive effects of CO(2) enrichment on A/g. Depletion of soil water to 1.35 m depth was greater at low CO(2) concentrations than at higher CO(2) concentrations during a mid-season drought in 1998 and during late-season droughts in 1997 and 1999. During droughts each year, mid-day xylem potentials of the dominant C4 perennial grass (Bothriochloa ischaemum (L.) Keng) and the dominant C3 perennial forb (Solanum dimidiatum Raf.) became less negative as CO(2) increased from subambient to superambient concentrations. Leaf A/g-derived from leaf delta(13) C values-was insensitive to feedbacks from CO(2) effects on soil water and plant water. Among most C3 species sampled-including annual grasses, perennial grasses and perennial forbs-A/g increased linearly with CO(2) across subambient concentrations. Leaf and air delta(13) C values were too unstable at superambient CO(2) concentrations to reliably determine A/g. Significant changes in soil- and plant-water relations over subambient to superambient concentrations and in leaf A/g over subambient concentrations generally were not greater over low CO(2) than over higher CO(2). The continuous response of these variables to CO(2) suggests that atmospheric change has already improved water relations of grassland species and that periodically water-limited grasslands will remain sensitive to CO(2) enrichment.</t>
  </si>
  <si>
    <t>Haro, D; Sabat, P; Acevedo, J; Capella, J; Caceres, B; Aguayo-Lobo, A; Martinez, F</t>
  </si>
  <si>
    <t>Ontogenetic and seasonal analysis of the diet and isotopic niche of humpback whales in the Magellan Strait, Chile</t>
  </si>
  <si>
    <t>Mixing models; Trophic ecology; Southeast Pacific humpback whale; Megaptera novaeangliae; Fuegian sprat; Sprattus fuegensis; Squat lobster; Munida gregaria</t>
  </si>
  <si>
    <t>LONG-TERM CHANGES; STABLE-ISOTOPES; BALAENA-MYSTICETUS; NITROGEN ISOTOPES; LIPID EXTRACTION; EL-NINO; MEGAPTERA-NOVAEANGLIAE; GLOBICEPHALA-MELAS; DELTA-C-13 VALUES; TROPHIC ECOLOGY</t>
  </si>
  <si>
    <t>( )The ecological niche is dynamic, since the position and width of the niche can vary at different spatial and temporal scales. We examined the trophic ecology of southeast Pacific humpback whales Megaptera novaeangliae in the Magellan Strait feeding area in 2011, 2012 and 2017, analyzing changes in diet and the width of the isotopic niche in relation to ontogeny and seasonality. The isotopic composition of carbon (delta C-13) and nitrogen (delta N-15) in whale skin and in putative prey species was analyzed. Bayesian mixing models were used to determine the diet, and the isotopic niche was estimated using the standard ellipse area. Differences were found between the diets of juveniles and adults; Fuegian sprat Sprattus fuegensis was consumed mostly by adult individuals. We found no differences in the diet or in the isotopic niche of humpback whales throughout the feeding season in all years. This study suggests that the differences in diet between age classes are influenced by the ability to find and capture prey, whereas seasonality does not influence the niche width of humpback whales in the Magellan Strait. Our results suggested that fluctuations in the abundance of prey populations could influence in the trophic niche dynamics of humpback whales in the Magellan Strait. In particular, a reduction in the availability of Fuegian sprat would mainly affect adult individuals, leading to a dietary switch and/or to an expansion of their feeding area.</t>
  </si>
  <si>
    <t>10.3354/meps13733</t>
  </si>
  <si>
    <t>Huangfu, CH; Li, HY; Chen, XW; Liu, HM; Wang, H; Yang, DL</t>
  </si>
  <si>
    <t>Response of an invasive plant, Flaveria bidentis, to nitrogen addition: a test of form-preference uptake</t>
  </si>
  <si>
    <t>Ammonium; Biomass allocation; Invasive plant; Nitrate; N preference; Stable isotopes</t>
  </si>
  <si>
    <t>N-UPTAKE; BIOLOGICAL INVASION; ECOLOGICAL IMPACTS; SPECIES-DIVERSITY; BROMUS-TECTORUM; SOIL-NITROGEN; LONG-TERM; NITRATE; AMMONIUM; PRAIRIE</t>
  </si>
  <si>
    <t>Plants differ in their capacity to use various forms of nitrogen (N). Although previous studies have suggested invasive plants alter N availability, few distinguish their responses to various forms and different concentrations of inorganic N. In order to understand how plant preference for N affects invasions, we tested the growth and physiological response of Flaveria bidentis, an invasive plant across north China, to different forms and concentrations of inorganic N. Seedlings of F. bidentis were cultivated in a mothproof screen house to determine if this invader benefits from increased or altered forms of N. N-15-labeled NH4 (+) and NO3 (-) were applied to the soil to gain insight into N partitioning in communities invaded by this species. We determined that plant growth and biomass variables, chlorophyll content, and photosynthesis parameters all varied depending on the form of available N. Specifically, N addition altered the biomass allocation pattern of plants, with F. bidentis tending to maximize its reproductive output under increased N availability. Also, F. bidentis had higher N-15-NH4 (+) recovery across biomass components than both co-occurring native plants, Amaranthus retroflexus and Eclipta prostrata. F. bidentis demonstrated a strong preference for ammonium (NH4 (+)) over nitrate (NO3 (-)) and captured at least twice the N-15-NH4 (+) as the native plants. By comparison, the two native species showed no preferences for the form of N. The greater above-ground biomass of F. bidentis contributed to its higher N-15 recovery. We suggest that the ability of F. bidentis to respond rapidly to changes in the N pool, especially in ammonium, may confer a competitive advantage to this species over native species. Our results provide insight into how species-specific N preferences influence the ability of this species to invade a native community.</t>
  </si>
  <si>
    <t>10.1007/s10530-016-1231-1</t>
  </si>
  <si>
    <t>Fox, MD; Nelson, CE; Oliver, TA; Quinlan, ZA; Remple, K; Glanz, J; Smith, JE; Putnam, HM</t>
  </si>
  <si>
    <t>Differential resistance and acclimation of two coral species to chronic nutrient enrichment reflect life-history traits</t>
  </si>
  <si>
    <t>coral; photosynthesis; physiology; stable isotopes; symbiodiniaceae</t>
  </si>
  <si>
    <t>1. The effects of nutrient pollution on coral reef ecosystems are multifaceted. Numerous experiments have sought to identify the physiological effects of nutrient enrichment on reef-building corals, but the results have been variable and sensitive to choices of nutrient quantity, chemical composition and exposure duration. 2. To test the effects of chronic, ecologically relevant nutrient enrichment on coral growth and photophysiology, we conducted a 5-week continuous dosing experiment on two Hawaiian coral species, Porites compressa and Pocillopora acuta. We acclimated coral fragments to five nutrient concentrations (0.1-7 mu M NO3- and 0.06-2.24 mu M PO43-) with constant stoichiometry 2.5:1 nitrate to phosphate) bracketing in situ observations from reefs throughout the Pacific. 3. Nutrient enrichment linearly increased photophysiological performance of both species within 3 weeks. The effect of nutrients on P. acuta photochemical efficiency increased through time while a consistent response in P. compressa indicated acclimation to elevated nutrients within 5 weeks. Endosymbiont densities and total chlorophyll concentrations also increased proportionally with nutrient enrichment in P. acuta, but not in P. compressa, revealing contrasting patterns of host-symbiont acclimatization. 4. The two species also exhibited contrasting effects of nutrient enrichment on skeletal growth. Calcification was enhanced at low nutrient enrichment (1 mu M NO3-) in P. acuta, but comparable to the control at higher concentrations, whereas calcification was reduced in P. compressa (30%-35%) above 3 mu M NO3-. 5. Stable isotope analysis revealed species-specific nitrogen uptake dynamics in the coral-algal symbiosis. The endosymbionts of P. acuta exhibited increased nitrogen uptake (decreased delta N-15) and incorporation (19%-31% decrease in C:N ratios) across treatments. In contrast, P. compressa endosymbionts maintained constant delta N-15 values and low levels of nitrogen incorporation (9%-11% decrease in C:N ratios). The inability of P. acuta to regulate endosymbiont nutrient uptake may indicate an emerging destabilization in the coral-algal symbiosis under nutrient enrichment that could compromise resistance to additional environmental stressors. 6. Our results highlight species-specific differences in the coral-algal symbiosis, which influence responses to chronic nutrient enrichment. These findings showcase how symbioses can vary among closely related taxa and underscore the importance of considering how life-history traits modify species response to environmental change.</t>
  </si>
  <si>
    <t>10.1111/1365-2435.13780</t>
  </si>
  <si>
    <t>Gokool, S; Moody, JE; Nippert, J; Swemmer, A; Chetty, KT; Magombeyi, M; Riddell, ES</t>
  </si>
  <si>
    <t>A preliminary evaluation of ecohydrological separation in a semi-arid riparian area</t>
  </si>
  <si>
    <t>Ecohydrological Separation; Dual Stable Isotopes; Isotopically Distinct; Meteoric Water Lines; Line-Conditioned Excess</t>
  </si>
  <si>
    <t>WATER WORLDS HYPOTHESIS; STABLE-ISOTOPE; TRANSPIRATION; GROUNDWATER; STREAMS; FLUXES</t>
  </si>
  <si>
    <t>In recent years the ecohydrological separation paradigm has stimulated significant scientific debate, as it challenges the basis of existing hydrological process understanding. Through the use of stable isotope analysis several studies have demonstrated that two isotopically distinct water stores may exist within the subsurface, a matric-bound store which sustains transpiration and a mobile store which contributes to the recharge of groundwater and streams. Despite growing evidence supporting this hypothesis, further testing across a range of climatic regimes and environmental settings has been advocated to develop an improved hydrological understand of this paradigm. In this study, the dual isotopic composition of meteoric and environmental waters was analysed in a semi-arid riparian environment during a significant El Nino induced drought, to ascertain if plants were using water that would have otherwise contributed to stream and/or groundwater recharge. Overall, the results of these investigations showed no clear evidence supporting ecohydrological separation. Environmental waters were found to be significantly different from rainfall, whereas no significant differences were established between xylem, bulk soil water, and streamflow. While, these findings represent a unique scenario with regards to the testing of ecohydrological separation, these results are by no means ubiquitous as sampling was conducted during extreme climatic conditions with limited spatio-temporal representation of the system. Therefore, longer-term sampling and monitoring is recommended to obtain an improved understanding of the system under a range of climatic conditions. (C) 2021 European Regional Centre for Ecohydrology of the Polish Academy of Sciences. Published by Elsevier B.V. All rights reserved.</t>
  </si>
  <si>
    <t>10.1016/j.ecohyd.2021.01.002</t>
  </si>
  <si>
    <t>Herrera, MLG; Osorio, MJ</t>
  </si>
  <si>
    <t>Tracking Nutrient Routing in Avian Consumers in a Subtropical Desert</t>
  </si>
  <si>
    <t>birds; dry ecosystems; feeding habits; nutrient allocation; stable isotopes</t>
  </si>
  <si>
    <t>STABLE CARBON ISOTOPES; COLUMNAR CACTI; POPULATION-DYNAMICS; TEHUACAN VALLEY; POLLINATION BIOLOGY; EXHALED CO2; HUMMINGBIRDS; BIRDS; DIET; QUALITY</t>
  </si>
  <si>
    <t>The nutrients animals ingest are allocated to serve different functions. We used contrasting C stable isotope signatures of dominant vegetation types in a North American subtropical desert to decipher how avian consumers allocate nutrients to fuel oxidative metabolism and to construct tissues. We conducted C stable isotope analysis of breath and feathers collected from nectarivores (hummingbirds) and of breath, plasma, and red blood cell samples collected from frugivores, granivores, and insectivores. Based on varying nutrient characteristics of food sources, we expected that for frugivores and granivores, CAM-derived food (RCCAM) would have similar importance for oxidative metabolism and for tissue building, that RCCAM in nectarivores and insectivores would be more important for fueling metabolism than for generating tissues, and that (although low) RCCAM in insectivores would be higher for sustaining metabolism than for building tissues. Our predictions held true for nectarivores and granivores, but RCCAM use in tissue building was lower than expected in frugivores and higher than expected in insectivores. Our examination at the trophic guild, population, and individual levels showed that in general, nutrients used to sustain oxidative metabolism and tissue construction had a uniform isotopic origin. This finding suggests that the avian community under investigation does not route different food groups to fulfill different needs. However, we found some exceptions, indicating that birds can use different food sources for different functions, irrespective of trophic guild. Resumen Los animales ingieren nutrientes que luego son selectivamente dirigidos para servir diferentes funciones. Aprovechamos la existencia de diferencias en la composicion isotopica de C en los tipos de vegetacion dominantes en un desierto subtropical de Norteamerica para descifrar como los las aves asignan los nutrientes ingeridos para sustentar el metabolismo oxidativo y para construir tejidos. Realizamos analisis de isotopos estables de C de muestras de aliento y plumas recogidas de especies nectarivoras (colibries), y de aliento, plasma y globulos rojos de especies frugivoras, granivoras e insectivoras. Probamos la prediccion de que la importancia de los alimentos derivados de plantas CAM (RCCAM) en los frugivoros y granivoros fuera similar para mantener el metabolismo oxidativo y para la construccion de tejido, que RCCAM en los nectarivoros fuera muy importante para mantener el metabolismo oxidativo pero de poca importancia para generar tejidos, y que en los insectivoros la RCCAM fuera modesta pero mayor para mantener el metabolismo oxidativo que para la construccion de los tejidos. Tambien se examinaron algunas poblaciones e individuos seleccionados dentro de cada gremio. En nectarivoros, la RCCAM fue alta para el metabolismo oxidativo y baja para la produccion de plumas, en frugivoros fue intermedia para el metabolismo oxidativo y baja para construir tejidos, en granivoros fue intermedia tanto para el metabolismo oxidativo como la formacion de tejido, y en insectivoros fue baja para el metabolismo oxidativo e intermedios para la construccion de tejidos. Nuestro examen a los niveles de gremio trofico, poblacion e individuo mostraron que los nutrientes usados para sustentar el metabolismo oxidativo y la construccion de tejidos tuvieron un origen isotopico uniforme, lo que sugiere que la comunidad de aves estudiadas no se caracteriza por el enrutamiento de distintos grupos de alimentos para satisfacer diferentes necesidades. Sin embargo, encontramos algunas excepciones que indican que las aves pueden utilizar diferentes fuentes de alimentos para distintas funciones, con independencia del gremio trofico.</t>
  </si>
  <si>
    <t>10.1111/btp.12274</t>
  </si>
  <si>
    <t>Sweeting, CJ; Jennings, S; Polunin, NVC</t>
  </si>
  <si>
    <t>Variance in isotopic signatures as a descriptor of tissue turnover and degree of omnivory</t>
  </si>
  <si>
    <t>fractionation; generalist; niche; specialist</t>
  </si>
  <si>
    <t>SCIAENOPS-OCELLATUS LARVAE; TROUT SALMO-TRUTTA; STABLE-ISOTOPES; FOOD-WEB; CARBON ISOTOPES; NORTH PACIFIC; FEEDING LEVEL; LOCH-NESS; NITROGEN; DELTA-C-13</t>
  </si>
  <si>
    <t>1. Diet analyses using C and N stable isotopes commonly focus on mean isotopic signatures; however, isotopic variance among individuals is likely to also contain useful information including details of omnivory. 2. Changes in isotopic signature as a result of dietary shifts are not instantly manifest in the isotopic signature of consumer tissues, but lagged over a period of time required for equilibration. Tissue turnover times have not previously been described in terms of variance in isotopic signature among individuals, and variance among individuals following equilibration with a constant diet is limited. 3. Temporal changes in delta(15)N and delta(13)C variance in juvenile European Sea Bass (Dicentrarchus labrax) muscle, heart and liver were monitored following a shift from a wild diet to two single-source diets administered under seminatural conditions in captivity. Exponential decay functions of the standard deviation of delta(15)N and delta(13)C among individuals were used to model changes in variance over time. 4. All tissues exhibited a similar rate of tissue turnover using variance. However, variance among individuals within tissue types differed once fishes were equilibrated with the laboratory diet. The coefficients of variation of delta(13)C and delta(15)N were smallest in muscle and greatest in liver and greater among sampling dates than within. 5. Analysis of delta(15)N and delta(13)C in different tissues will not therefore provide equivalent power to detect differences in diet or to track changes in patterns of omnivory. Analysis of omnivory should be restricted to variance from a single tissue type. Of the tissues considered here, white muscle is most appropriate for this purpose. 6. Variance estimates derived here provide minimum values expected for a highly specialist feeding population. Departure from these values can be used to describe the degree of omnivory within a population.</t>
  </si>
  <si>
    <t>10.1111/j.1365-2435.2005.01019.x</t>
  </si>
  <si>
    <t>Hayes, MA; Jesse, A; Welti, N; Tabet, B; Lockington, D; Lovelock, CE</t>
  </si>
  <si>
    <t>Groundwater enhances above-ground growth in mangroves</t>
  </si>
  <si>
    <t>Avicennia marina; biomass allocation; coastal wetlands; mangrove; nitrogen; phosphorus; rainwater; stable isotopes</t>
  </si>
  <si>
    <t>AVICENNIA-MARINA; TIDAL CREEK; BIOMASS ALLOCATION; WATER SOURCES; NUTRIENT; SALINITY; TRANSPORT; PATTERNS; BIOGEOCHEMISTRY; ECOSYSTEMS</t>
  </si>
  <si>
    <t>Groundwater flow through coastal wetlands plays an important role in the maintenance of productivity of intertidal ecosystems. Groundwater can reduce salinity and increase nutrient availability which can enhance plant growth and alter plant biomass allocation patterns. Here, we used stable isotopes of oxygen and hydrogen to assess how groundwater influences below-ground and above-ground growth in the widespread mangrove species Avicennia marina. We found source water within tree stems varied seasonally, with non-saline water use higher in the wet season when rainwater availability was highest compared to the dry season. Stems with higher proportional contribution of non-saline water had increased above-ground growth but no effect on below-ground growth. Below-ground growth was however influenced by nutrient availability across the intertidal zone which was higher in the high- compared to the low-intertidal zone. Synthesis. This study shows that mangroves use non-saline groundwater and rainwater when available rather than saline water sources. Groundwater flows into the intertidal stimulates organic matter accumulation in above-ground biomass suggesting the availability of non-saline water sources, such as groundwater and rainfall, are important for the growth and productivity of mangrove forests.</t>
  </si>
  <si>
    <t>10.1111/1365-2745.13105</t>
  </si>
  <si>
    <t>Lugli, F; Cipriani, A; Capecchi, G; Ricci, S; Boschin, F; Boscato, P; Iacumin, P; Badino, F; Mannino, MA; Talamo, S; Richards, MP; Benazzi, S; Ronchitelli, A</t>
  </si>
  <si>
    <t>Strontium and stable isotope evidence of human mobility strategies across the Last Glacial Maximum in southern Italy</t>
  </si>
  <si>
    <t>PAGLICCI RIGNANO GARGANICO; RAW-MATERIAL PROCUREMENT; HUNTER-GATHERERS; CLIMATE-CHANGE; LANDSCAPE USE; EUROPE; PLEISTOCENE; COLLAGEN; BONE; MIGRATION</t>
  </si>
  <si>
    <t>Understanding the reason(s) behind changes in human mobility strategies through space and time is a major challenge in palaeoanthropology. Most of the time this is due to the lack of suitable temporal sequences of human skeletal specimens during critical climatic or cultural shifts. Here, we present temporal variations in the Sr isotope composition of 14 human deciduous teeth and the N and C stable isotope ratios of four human remains from the Grotta Paglicci site (Apulia, southern Italy). The specimens were recovered from the Gravettian and Epigravettian layers, across the Last Glacial Maximum, and dated between 31210-33103 and 18334-19860 yr cal BP (2 sigma). The two groups of individuals exhibit different Sr-87/ Sr-86 ratios and, while the Gravettians are similar to the local macro-fauna in terms of Sr isotopic signal, the Epigravettians are shifted towards higher radiogenic Sr ratios. These data, together with stable isotopes, can be explained by the adoption of different mobility strategies between the two groups, with the Gravettians exploiting logistical mobility strategies and the Epigravettians applying residential mobility.</t>
  </si>
  <si>
    <t>10.1038/s41559-019-0900-8</t>
  </si>
  <si>
    <t>Hirst, AJ; Jenkins, GP</t>
  </si>
  <si>
    <t>Experimental test of N-limitation for Zostera nigricaulis seagrass at three sites reliant upon very different sources of N</t>
  </si>
  <si>
    <t>Nutrient enrichment; Pore water nutrients; Drought; delta N-15; Zostera; Port Phillip Bay</t>
  </si>
  <si>
    <t>PORT PHILLIP BAY; HETEROZOSTERA-TASMANICA; RELATIVE AVAILABILITY; SEDIMENT NUTRIENTS; AUSTRALIAN MARINE; CLIMATE-CHANGE; EL-NINO; NITROGEN; PHOSPHORUS; RESPONSES</t>
  </si>
  <si>
    <t>The hypothesis that seagrasses may be nitrogen-limited has been examined in a number of studies, particularly in oligotrophic waters where nutrients are typically scarce. Here we examined nitrogen-limitation for the temperate seagrass, Zostera nigricaulis, at three sites where seagrasses use very different sources of nitrogen (N) based on stable isotopes of N: Swan Bay - fixed and recycled N, Kirk Point - N from treated sewage, and Blairgowrie - N from catchment. Dramatic changes to source inputs during a recent prolonged drought were linked to seagrass loss in parts of the bay dependent on catchment inputs. Here we test to what extent seagrasses dependent on different sources of N are N-limited, by enriching sediment pore water levels. Sediment pore water nutrient levels varied naturally between the sites by a factor of 14, from Swan Bay (highest) to Blairgowrie (lowest), and were much higher than water column levels. There was a detectable enrichment effect for pore water nutrient concentrations within the treatment plots after one month, although the effect was greatest for the Blairgowrie site, and was most pronounced for NH4 levels. There was a significant enrichment effect for seagrass growth after 5 months, but only at a single site, Blairgowrie. Seagrass cover, above-ground biomass and mean leaf length were substantially higher in the treatment than control plots at the Blairgowrie site, but not at the other two sites. Higher %N content and lower delta N-15 in the leaf tissues at Blairgowrie and Kirk Point indicated that N released from the fertilizer had been assimilated by the seagrass at both these sites, but in the case of Kirk Point this did not translate into greater seagrass growth. The results suggest that seagrasses at Blairgowrie, in the southern part of the bay, are highly N-limited. This is a region that is isolated from the major source of N (the catchment) utilised by seagrass in this part of the bay. The pattern of N-limitation in this and a previous study is consistent with regions that displayed major fluctuations in seagrass cover during the 'Millennium' drought from 1997 to 2009. Consequently, predicted decreases in long-term rainfall in south-eastern Australia could have negative consequences for seagrass extent in areas that are N-limited. (C) 2016 Elsevier B.V. All rights reserved.</t>
  </si>
  <si>
    <t>10.1016/j.jembe.2016.10.011</t>
  </si>
  <si>
    <t>Kirby, R; Alldredge, MW; Pauli, JN</t>
  </si>
  <si>
    <t>The diet of black bears tracks the human footprint across a rapidly developing landscape</t>
  </si>
  <si>
    <t>Foraging; Human-wildlife conflict; Resource subsidies; Stable isotopes; Ursus americanus</t>
  </si>
  <si>
    <t>STABLE-ISOTOPE RATIOS; MAST PRODUCTION; NATIONAL-PARK; RESOURCE USE; BROWN BEARS; FOOD; URBAN; NITROGEN; CARBON; POPULATION</t>
  </si>
  <si>
    <t>Food subsidies have become a widely available and predictable resource in human-modified landscapes for many vertebrate species. Such resources can alter individual foraging behavior of animals, and induce population-wide changes. Yet, little consensus exists about the relative influence of the availabilities of native and human food subsidies to wildlife foraging throughout altered landscapes. We explored this unresolved question by analyzing the effects of landscape factors on American black bear (Ursus americanus) diet across the state of Colorado, USA. We estimated assimilated diet using stable isotope analysis of harvested black bear tissues to determine the contribution of human-derived foods to bear diets throughout Colorado, as well as how increasing reliance on human-derived food subsidies increases the risk of conflict. We found that bears (n = 296) showed strong regional diet variability, but substantial use of human-derived food subsidies in eastern Colorado (&gt;30% assimilated diet). The age-sex class of the bear and housing density of its harvest location were the most influential predictors of C-13 enrichment (a tracer of human food subsidies). Furthermore, foraging on subsidies increased risk of conflict; the odds of being a nuisance bear increased by 60% for each similar to 1 parts per thousand increase in delta C-13. Our study confirms the efficacy of delta C-13 as a proxy for human activity, and indicates that while demographic differences play a clear role in the foraging ecology of bears, availability of subsidies coincident with varying levels of human activity appears to be a major driver in predicting black bear diet throughout the western United States. (C) 2016 Elsevier Ltd. All rights reserved.</t>
  </si>
  <si>
    <t>10.1016/j.biocon.2016.05.012</t>
  </si>
  <si>
    <t>Carraway, LN; Verts, BJ; Jones, ML; Whitaker, JO</t>
  </si>
  <si>
    <t>A search for age-related changes in bite force and diet in shrews</t>
  </si>
  <si>
    <t>Tooth attrition is rapid and extensive in soricine shrews. Seemingly, without compensatory morphological changes to increase bite force, older individuals must shift their diet to softer items and risk greater overlap with trophic niches of more numerous younger individuals of syntopic taxa with lower relative bite force. Initial tests of this hypothesis indicated that neither efficiency of jaw mechanics nor mass of the masticatory muscles increased significantly with age (as indexed by length of 11) in 101 Sorer trowbridgii. Similar tests of changes in these characters and hardness of the diet with age for samples of several taxa were inconclusive; coefficients of correlation were significant for a few of the relationships tested. However, a meta-analysis technique for combining coefficients of correlation to test the consensus of sets of independent tests addressing common null hypotheses indicated that overall efficiency of jaw mechanics in western shrews (Sorer) increased significantly with age: Reduction of the length of the resistance moment arm (condyloid-il length) with age contributed most to the jaw mechanics-age relationship. Although the mechanism by which the jaw shortens remains unclear, the effect likely is sufficient to prevent a significant increase in age-related overlap of trophic niches of syntopic species of western shrews.</t>
  </si>
  <si>
    <t>10.2307/2426705</t>
  </si>
  <si>
    <t>Xie, B; Huang, C; Wang, Y; Zhou, XJ; Peng, GG; Tao, YC; Huang, JJ; Lin, XQ; Huang, LF</t>
  </si>
  <si>
    <t>Trophic gauntlet effects on fisheries recovery: a case study in Sansha Bay, China</t>
  </si>
  <si>
    <t>High nutrient low chlorophyll; ecopath; stable isotope; mariculture; Sansha Bay; Larimichthys crocea</t>
  </si>
  <si>
    <t>LARGE YELLOW CROAKER; MARINE FOOD-WEB; COASTAL ECOSYSTEM; LIFE-HISTORY; FISH; CONNECTIVITY; AQUACULTURE; JUVENILE; GULF; ISOTOPES</t>
  </si>
  <si>
    <t>Low biological productivity causes ecosystem energy deficiency. Sansha Bay is an important spawning and nursery ground for migratory fish in the East China Sea (ECS). There is significant mariculture in this area, but stock enhancement programs and seasonal fishery closures have failed to recover populations of the commercially important species, Larimichthys crocea. We want to figure out the potential reason of unsuccessful L. crocea resource in recent 30 years. In this study, the trophic status of L. crocea, the food source proportions of L. crocea and zooplankton, and the food web structure and functioning of Sansha Bay was analyzed. A high nutrient low chlorophyll phenomenon was observed: this prevented harmful algal blooms, and phytoplankton growth was restrained by intensive macroalgal culture, resulting in a low abundance of zooplankton in Sansha Bay. Phytoplankton was the most important food source of zooplankton, and zooplankton was the greatest food source of juvenile L. crocea. Analyzed L. crocea suffered from starvation. Crucially, most of the phytoplankton was not used efficiently in the Sansha Bay ecosystem. This study suggests that trophic bottleneck, caused by food limitation, is a potential reason for unsuccessful fishery recovery in enclosed bay with macroalgal culture.</t>
  </si>
  <si>
    <t>10.1080/20964129.2021.1965035</t>
  </si>
  <si>
    <t>GonzalezSolis, J; Oro, D; Jover, L; Ruiz, X; Pedrocchi, V</t>
  </si>
  <si>
    <t>Trophic niche width and overlap of two sympatric gulls in the southwestern Mediterranean</t>
  </si>
  <si>
    <t>Audouin's gull; yellow-legged gull; Larus audouinii; Larus cachinnans; diet</t>
  </si>
  <si>
    <t>LARUS-AUDOUINII; INTERSPECIFIC COMPETITION; COMMERCIAL FISHERIES; SHIFTS; MORATORIUM; DISCARDS; SEABIRDS; ECOLOGY; FOOD; DIET</t>
  </si>
  <si>
    <t>The diets of two potential competitor species, Audouin's Larus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</si>
  <si>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10.1007/s004420050285</t>
  </si>
  <si>
    <t>Hu, Y; Holway, DA; Lukasik, P; Chau, L; Kay, AD; LeBrun, EG; Miller, KA; Sanders, JG; Suarez, AV; Russell, JA</t>
  </si>
  <si>
    <t>By their own devices: invasive Argentine ants have shifted diet without clear aid from symbiotic microbes</t>
  </si>
  <si>
    <t>insects; microbial biology; next-generation sequencing; symbiosis</t>
  </si>
  <si>
    <t>GUT MICROBIOTA; GENOME SEQUENCE; INTRODUCED POPULATIONS; WOLBACHIA INFECTION; FIRE ANTS; EVOLUTION; COMMUNITY; BACTERIA; INSECT; AGGRESSION</t>
  </si>
  <si>
    <t>The functions and compositions of symbiotic bacterial communities often correlate with host ecology. Yet cause-effect relationships and the order of symbiont vs. host change remain unclear in the face of ancient symbioses and conserved host ecology. Several groups of ants exemplify this challenge, as their low-nitrogen diets and specialized symbioses appear conserved and ancient. To address whether nitrogen-provisioning symbionts might be important in the early stages of ant trophic shifts, we studied bacteria from the Argentine ant, Linepithema humile - an invasive species that has transitioned towards greater consumption of sugar-rich, nitrogen-poor foods in parts of its introduced range. Bacteria were present at low densities in most L.humile workers, and among those yielding quality 16S rRNA amplicon sequencing data, we found just three symbionts to be common and dominant. Two, a Lactobacillus and an Acetobacteraceae species, were shared between native and introduced populations. The other, a Rickettsia, was found only in two introduced supercolonies. Across an eight-year period of trophic reduction in one introduced population, we found no change in symbionts, arguing against a relationship between natural dietary change and microbiome composition. Overall, our findings thus argue against major changes in symbiotic bacteria in association with the invasion and trophic shift of L.humile. In addition, genome content from close relatives of the identified symbionts suggests that just one can synthesize most essential amino acids; this bacterium was only modestly abundant in introduced populations, providing little support for a major role of nitrogen-provisioning symbioses in Argentine ant's dietary shift.</t>
  </si>
  <si>
    <t>10.1111/mec.13991</t>
  </si>
  <si>
    <t>Heinen, JH; van Loon, EE; Hansen, DM; Kissling, WD</t>
  </si>
  <si>
    <t>Extinction-driven changes in frugivore communities on oceanic islands</t>
  </si>
  <si>
    <t>SEED-DISPERSAL; SPECIES RICHNESS; BODY-SIZE; PATTERNS; BIRDS; DEFAUNATION; ECOSYSTEM; DISTANCE</t>
  </si>
  <si>
    <t>Global change and human expansion have resulted in many species extinctions worldwide, but the geographic variation and determinants of extinction risk in particular guilds still remain little explored. Here, we quantified insular extinctions of frugivorous vertebrates (including birds, mammals and reptiles) across 74 tropical and subtropical oceanic islands within 20 archipelagos worldwide and investigated extinction in relation to island characteristics (island area, isolation, elevation and climate) and species' functional traits (body mass, diet and ability to fly). Out of the 74 islands, 33 islands (45%) have records of frugivore extinctions, with one third (mean: 34%, range: 2-100%) of the pre-extinction frugivore community being lost. Geographic areas with more than 50% loss of pre-extinction species richness include islands in the Pacific (within Hawaii, Cook Islands and Tonga Islands) and the Indian Ocean (Mascarenes, Seychelles). The proportion of species richness lost from original pre-extinction communities is highest on small and isolated islands, increases with island elevation, but is unrelated to temperature or precipitation. Large and flightless species had higher extinction probability than small or volant species. Across islands with extinction events, a pronounced downsizing of the frugivore community is observed, with a strong extinction-driven reduction of mean body mass (mean: 37%, range: -18-100%) and maximum body mass (mean: 51%, range: 0-100%). The results document a substantial trophic downgrading of frugivore communities on oceanic islands worldwide, with a non-random pattern in relation to geography, island characteristics and species' functional traits. This implies severe consequences for ecosystem processes that depend on mutualistic plant-animal interactions, including ecosystem dynamics that result from the dispersal of large-seeded plants by large-bodied frugivores. We suggest that targeted conservation and rewilding efforts on islands are needed to halt the defaunation of large and non-volant seed dispersers and to restore frugivore communities and key ecological interactions.</t>
  </si>
  <si>
    <t>10.1111/ecog.03462</t>
  </si>
  <si>
    <t>Near, TJ; Russo, SE; Jones, CD; DeVries, AL</t>
  </si>
  <si>
    <t>Ontogenetic shift in buoyancy and habitat in the Antarctic toothfish, Dissostichus mawsoni (Perciformes : Nototheniidae)</t>
  </si>
  <si>
    <t>PLEURAGRAMMA-ANTARCTICUM; MCMURDO SOUND; WEDDELL SEA; FISH; PISCES; EVOLUTION; ICE</t>
  </si>
  <si>
    <t>Buoyancy measurements and depth of capture were taken on 70 individuals of Dissostichus mawsoni collected from the Southern Scotia Arc and McMurdo Sound, Antarctica, to examine the effect of age on buoyancy and habitat use. Standard lengths (SL) ranged from 10.4 to 138.0 cm. Juveniles were not buoyant (heavy in water), whereas adults were neutrally buoyant. The slope of the relationship between buoyancy and SL was significantly negative for juveniles (individuals less than 81 cm SL), but there was no significant relationship for adults (individuals greater than 81 cm SL). These results demonstrate an ontogenetic shift in buoyancy. For juveniles, depth of capture and SL had a significantly positive relationship. As individuals reach adulthood they achieve neutral buoyancy and appear to use deeper water habitats. This interpretation is supported by a significant positive correlation between buoyancy and depth of capture for juveniles. Changes in buoyancy with maturation of juveniles may also be associated with a shift in habitat use. Juveniles appear to exploit benthic habitats, whereas adults use the entire water column over deeper water. Given the differences in prey species available in these habitats and based on our results, we predict that diets of juveniles and adults should differ significantly. We also hypothesize that accumulation of lipid deposits from the diet during maturation of juveniles may account for the ontogenetic shift in buoyancy and allow neutral buoyancy to be achieved in adulthood.</t>
  </si>
  <si>
    <t>10.1007/s00300-002-0459-7</t>
  </si>
  <si>
    <t>Tsang, TPN; Guenard, B; Bonebrake, TC</t>
  </si>
  <si>
    <t>Omnivorous ants are less carnivorous and more protein-limited in exotic plantations</t>
  </si>
  <si>
    <t>ants; ecosystem functions; food exploitation; macronutrient limitation; omnivores; plantations; trophic interactions; tropical forests</t>
  </si>
  <si>
    <t>NUTRITIONAL ECOLOGY; TROPHIC LEVELS; ARGENTINE ANT; STABLE-ISOTOPES; HONG-KONG; FOOD WEBS; FOREST; BIODIVERSITY; COLONIES; RESOURCE</t>
  </si>
  <si>
    <t>Diets of species are crucial in determining how they influence food webs and community structures, and how their populations are regulated by different bottom-up processes. Omnivores are able to adjust their diet flexibly according to environmental conditions, such that their impacts on food webs and communities, and the macronutrients constraining their population, can be plastic. In particular, omnivore diets are known to be influenced by prey availability, which exhibits high spatial and temporal variation. To examine the plasticity of diet and macronutrient limitation in omnivores, we compared trophic positions, macronutrient preferences and food exploitation rates of omnivorous ants in invertebrate-rich (secondary forests) and invertebrate-poor (Lophostemon confertus plantations) habitats. We hypothesized that omnivorous ants would have lower trophic positions, enhanced protein limitation and reduced food exploitation rates in L. confertus plantations relative to secondary forests. We performed cafeteria experiments to examine changes in macronutrient limitation and food exploitation rates. We also sampled ants and conducted stable isotope analyses to investigate dietary shifts between these habitats. We found that conspecific ants were less carnivorous and had higher preferences for protein-rich food in L. confertus plantations compared to secondary forests. However, ant assemblages did not exhibit increased preferences for protein-rich food in L. confertus plantations. At the species-level, food exploitation rates varied idiosyncratically between habitats. At the assemblage-level, food exploitation rates were reduced in L. confertus plantations. Our results reveal that plantation establishments alter the diet and foraging behaviour of omnivorous ants. Such changes suggest that omnivorous ants in plantations will have reduced top-down impacts on prey communities but also see an increased importance of protein as a bottom-up force in constraining omnivore population sizes.</t>
  </si>
  <si>
    <t>10.1111/1365-2656.13249</t>
  </si>
  <si>
    <t>Faulks, L; Svanback, R; Ragnarsson-Stabo, H; Eklov, P; Ostman, O</t>
  </si>
  <si>
    <t>Intraspecific Niche Variation Drives Abundance-Occupancy Relationships in Freshwater Fish Communities</t>
  </si>
  <si>
    <t>amplified fragment length polymorphism (AFLP); conservation; distribution; habitat generalism; local-regional scale; stable isotopes</t>
  </si>
  <si>
    <t>RANGE SIZE RELATIONSHIPS; ECOLOGICAL CONSEQUENCES; POPULATION-DYNAMICS; GENETIC-VARIATION; LOCAL ABUNDANCE; AFLP; SPECIALIZATION; POLYMORPHISM; PATTERNS; PREDATOR</t>
  </si>
  <si>
    <t>A positive relationship between occupancy and average local abundance of species is found in a variety of taxa, yet the mechanisms driving this association between abundance and occupancy are still enigmatic. Here we show that freshwater fishes exhibit a positive abundance-occupancy relationship across 125 Swedish lakes. For a subset of 9 species from 11 lakes, we estimated species-specific diet breadth from stable isotopes, within-lake habitat breadth from catch data for littoral and pelagic nets, adaptive potential from genetic diversity, abiotic niche position, and dispersal capacity. Average local abundance was mainly positively associated with both within-lake habitat and diet breadth, that is, species with larger intraspecific variation in niche space had higher abundances. No measure was a good predictor of occupancy, indicating that occupancy may be more directly related to abundance or abiotic conditions than to niche breadth per se. This study suggests a link between intraspecific niche variation and a positive abundance-occupancy relationship and implies that management of freshwater fish communities, whether to conserve threatened or control invasive species, should initially be aimed at niche processes.</t>
  </si>
  <si>
    <t>10.1086/682004</t>
  </si>
  <si>
    <t>Price, EL; Peric, MS; Romero, GQ; Kratina, P</t>
  </si>
  <si>
    <t>Land use alters trophic redundancy and resource flow through stream food webs</t>
  </si>
  <si>
    <t>bottom-up control; diet estimates; energy flow; stable isotope analysis; trophic redundancy; urban streams</t>
  </si>
  <si>
    <t>ISOTOPE MIXING MODELS; MULTIPLE STRESSORS; WATER VELOCITY; STABLE-ISOTOPES; CARBON; NITROGEN; MACROPHYTES; DELTA-N-15; NICHE; BIODIVERSITY</t>
  </si>
  <si>
    <t>The changes to physical and chemical ecosystem characteristics as a response to pervasive and intensifying land use have the potential to alter the consumer-resource interactions and to rewire the flow of energy through entire food webs. We investigated these structural and functional properties of food webs in stream ecosystems distributed across woodland, agricultural and urban areas in the Zagreb region of Croatia. We compared resource availability and consumer diet composition using stable isotope mixing models and tested how the isotopic variance of basal resources, primary consumers, macroinvertebrate predators and other food web characteristics change with different land-use types. Combination of increased loading and altered composition of nutrients, lower water discharge and higher light availability at urban sites likely promoted the contribution of aquatic macrophytes to diets of primary consumers. Macroinvertebrate predators shifted their diet, relying more on active filterers at urban sites relative to woodland and agricultural sites. Urban food webs also had lower trophic redundancy (i.e. fewer species at each trophic level) and a more homogenized energy flow from lower to higher trophic levels. There was no effect of land use on isotopic variation of basal resources, primary consumers or macroinvertebrate predators, but all these trophic groups at urban and agricultural sites were N-15-enriched relative to their counterparts in woodland stream food webs. The physical and chemical ecosystem characteristics associated with intensive land use altered the resource availability, trophic redundancy and the flow of energy to other trophic levels, with potentially negative consequences for community dynamics and ecosystem functioning. These empirical findings indicate that reducing nutrient pollution, agricultural runoffs and maintaining riparian vegetation can mitigate the impacts of land use on structure and function of stream ecosystems.</t>
  </si>
  <si>
    <t>10.1111/1365-2656.12955</t>
  </si>
  <si>
    <t>Wiik, E; Bennion, H; Sayer, CD; Davidson, TA; Clarke, SJ; McGowan, S; Prentice, S; Simpson, GL; Stone, L</t>
  </si>
  <si>
    <t>The coming and going of a marl lake: multi-indicator palaeolimnology reveals abrupt ecological change and alternative views of reference conditions</t>
  </si>
  <si>
    <t>marl lake; chara; palaeolimnology; eutrophication; lake management; ecological quality; cladocera; macrofossils</t>
  </si>
  <si>
    <t>FOSSIL CLADOCERAN ASSEMBLAGES; LONG-TERM DYNAMICS; SHALLOW LAKES; SUBMERGED MACROPHYTES; CULTURAL EUTROPHICATION; TESTATE AMEBAS; WATER-QUALITY; ZOOPLANKTIVOROUS FISH; TROPHIC STATUS; PHOSPHORUS</t>
  </si>
  <si>
    <t>Eutrophication is the most pressing threat to highly calcareous (marl) lakes in Europe. Despite their unique chemistry and biology, comprehensive studies into their unimpacted conditions and eutrophication responses are underrepresented in conservation literature. A multi-indicator palaeolimnological study spanning ca. 1260-2009 was undertaken at Cunswick Tarn (UK), a small, presently eutrophic marl lake, in order to capture centennial timescales of impact. Specific aims were to (1) establish temporal patterns of change (gradual/abrupt) across biological groups, thereby testing theories of resistance of marl lake benthic communities to enrichment, and (2) compare the core record of reference condition with prevailing descriptions of high ecological status. Analyses of sediment calcium (Ca), phosphorus (P), pigments, diatoms, testate amoebae, cladocerans, and macrofossils, revealed three abrupt changes in ecosystem structure. The first (1900s), with biomass increases in charophytes and other benthic nutrient-poor indicators, supported ideas of resistance to eutrophication in Chara lakes. The second transition (1930s), from charophyte to angiosperm dominance, occurred alongside reductions in macrophyte cover, increases in eutrophic indicators, and a breakdown in marling, in support of ideas of threshold responses to enrichment. Core P increased consistently into the 1990s when rapid transitions into pelagic shallow lake ecology occurred and Cunswick Tarn became biologically unidentifiable as a marl lake. The moderate total P at which these changes occurred suggests high sensitivity of marl lakes to eutrophication. Further, the early record challenges ideas of correlation between ecological condition, charophyte biomass and sediment Ca. Instead, low benthic production, macrophyte cover, and Ca sedimentation, was inferred. Management measures must focus on reducing external nutrient and sediment loads at early stages of impact in order to preserve marl lakes.</t>
  </si>
  <si>
    <t>10.3389/fevo.2015.00082</t>
  </si>
  <si>
    <t>Sanaiotti, TM; Martinelli, LA; Victoria, RL; Trumbore, SE; Camargo, PB</t>
  </si>
  <si>
    <t>Past vegetation changes in Amazon savannas determined using carbon isotopes of soil organic matter</t>
  </si>
  <si>
    <t>Amazon; Brazil; carbon isotope; radiocarbon; savanna; tropical forest; vegetation change</t>
  </si>
  <si>
    <t>TROPICAL FOREST; CENTRAL BRAZIL; SOUTH-AMERICA; TREE LEAVES; DELTA-C-13; DYNAMICS; BOUNDARY; RATIOS; C-13; QUATERNARY</t>
  </si>
  <si>
    <t>We investigated the variation of stable (delta(13)C) soil carbon isotopes in relation to depth in seven of the most important savanna are-as to adjacent contiguous forests in the Amazon region. The delta(13)C of bulk organic matter in all profiles from forested sites increased with sod depth. In forest profiles from Amapa, Alter do Chao, and Roraima, the enrichment was less than 3.5parts per thousand between deeper soil and surface layers, suggesting that C-3 plants have remained the dominant vegetation cover. On the other hand, in forest soil profiles from Humaita and Carolina sites, the delta(13)C enrichment was greater than 3.5parts per thousand indicating the influence of past C-4 vegetation or a mixture Of C-3/C-4 vegetation (woody savanna). The surface delta(13)C values in the savanna profiles were 5-13parts per thousand greater than the comparable Forest profiles, indicating the influence of C-4 vegetation. Two kinds of isotopic distribution were observed in deeper layers. The savanna profiles at Alter do Chao, Chapada dos Parecis, and Redencao had relatively constant delta(13)C values throughout the profile, suggesting minor past changes in the vegetation composition, In profiles at Amapa, Roraima, Humaita, and Carolina, delta(13)C values decreased with depth from the surface and converged with comparable forest values, suggesting more woody savanna in the past than exists currently.</t>
  </si>
  <si>
    <t>10.1646/0006-3606(2002)034[0002:PVCIAS]2.0.CO;2</t>
  </si>
  <si>
    <t>Schnyder, H; Schwertl, M; Auerswald, K; Schaufele, R</t>
  </si>
  <si>
    <t>Hair of grazing cattle provides an integrated measure of the effects of site conditions and interannual weather variability on delta C-13 of temperate humid grassland</t>
  </si>
  <si>
    <t>C-13 discrimination; drought; evapotranspiration; hair; mineral soil; peat soil; plant available soil water; precipitation; water deficit</t>
  </si>
  <si>
    <t>CARBON-ISOTOPE DISCRIMINATION; WATER-USE EFFICIENCY; RAINFALL GRADIENT; NITROGEN NUTRITION; ARIDITY GRADIENT; C-4 PLANTS; LEAF; PRAIRIE; FRACTIONATION; EXCHANGE</t>
  </si>
  <si>
    <t>The carbon isotope composition (delta C-13) of C3 ecosystems is sensitive to water availability, and provides important information for the assessment of terrestrial carbon (C) sink/source activity. Here, we report the effects of plant available soil water (PAW) on community C-13 signatures of temperate humid grassland. The 5-year study was conducted on pastures exhibiting a large range of PAW capacity that were located on two site types: peat and mineral soils. The data set included the centennial drought year 2003, and data from wet years (2000 and 2002). Seasonal variation of PAW was modeled using PAW capacity of each pasture, precipitation inputs and evapotranspiration estimates. Community C-13 signatures were derived from the delta C-13 of vegetation and segments of tail switch hair of cattle grown while grazing pastures. Hair C-13 signatures provided an assimilation-weighted C-13 signal that integrated both spatial (paddock-scale) and temporal (grazing season) variation of C-13 signatures on a pasture. The delta C-13 of hair and vegetation increased with decreasing modeled PAW in the same way on mineral and peat soils. But, at a given PAW, the delta C-13 of hair was 2.6 parts per thousand less negative than that of vegetation, reflecting the diet-hair isotopic shift. Furthermore, the delta C-13 of hair and vegetation on peat soil pastures was 0.5 parts per thousand more negative than on pastures situated on mineral soil. This may have resulted from a similar to 10 ppm CO2 enrichment of canopy air derived from ongoing peat mineralization. Community-scale season-mean C-13 discrimination (Delta) exhibited a saturation-type response towards season-mean modeled PAW (r(2)=0.78), and ranged between 19.8 parts per thousand on soils with low PAW capacity during the drought year of 2003, and 21.4 parts per thousand on soils with high PAW capacity in a wet year. This indicated relatively small variation in season-mean assimilation-weighted p(i)/p(a) (0.68-0.75) between contrasting sites and years. However, this range is similar to that reported in other studies, which encompass the range from subtropical arid to humid temperate grassland. Furthermore, the tight relationship between season-mean Delta and modeled mean PAW suggests that PAW may be used as proxy for Delta.</t>
  </si>
  <si>
    <t>10.1111/j.1365-2486.2006.01169.x</t>
  </si>
  <si>
    <t>Haak, CR; Power, M; Cowles, GW; Danylchuk, AJ</t>
  </si>
  <si>
    <t>Hydrodynamic and isotopic niche differentiation between juveniles of two sympatric cryptic bonefishes, Albula vulpes and Albula goreensis</t>
  </si>
  <si>
    <t>Cryptic species; Albula spp; Stable isotopes; Otolith; Wave exposure; Flow; Juvenile habitat; Niche partitioning; Behavior</t>
  </si>
  <si>
    <t>FISH COMMUNITY STRUCTURE; CORAL-REEF FISHES; COD GADUS-MORHUA; FLOW CONTROLS DISTRIBUTION; STABLE-ISOTOPES; MOVEMENT PATTERNS; CARBON ISOTOPES; FRACTIONATION EQUATION; DELTA-C-13 VALUES; FEEDING-BEHAVIOR</t>
  </si>
  <si>
    <t>We employed numerical wave models, GIS, and stable isotope analyses of otolith material to identify interspecific differences in habitat and resource use among juveniles of two sympatric and morphologically indistinct bonefishes, A. goreensis and A. vulpes in littoral zones of The Bahamas. Both species occurred in similar water temperatures; however, A. goreensis juveniles occupied habitats characterized by greater wave-driven flow velocities and closer proximity to coral reefs than A. vulpes. Likewise, A. goreensis was present across a broader range of flow environments and sampling stations than A. vulpes, which was typically confined to sheltered, low-flow habitats. The results of stable isotope analyses were consistent with the species' relationships with environmental parameters, providing support for differential habitat and/or resource utilization. Otolith O-18 did not differ significantly between species, suggesting they experience comparable thermal regimes. However, C-13 varied substantially, with the otoliths of A. goreensis depleted in C-13 relative to A. vulpes by approximately 1 parts per thousand, potentially signifying a greater reliance on pelagic carbon sources by the former, in agreement with observed distinctions in habitat use. In linear models, otolith C-13 was negatively correlated with ambient flow velocity and positively related to distance from coral reef habitats, and these relationships did not vary across species. After accounting for the effects of these variables, species-specific differences in otolith C-13 remained, indicating that other unknown factors contributed to the observed disparities. Collectively, our findings suggest that niche partitioning between A. goreensis and A. vulpes is likely mediated by their differential abilities to compete across various flow environments, likely as a result of divergent behavioral and/or physiological adaptation.</t>
  </si>
  <si>
    <t>10.1007/s10641-018-0810-7</t>
  </si>
  <si>
    <t>Offner, MT; Campbell, TS; Johnson, SA</t>
  </si>
  <si>
    <t>Diet of the Invasive Argentine Black and White Tegu in Central Florida</t>
  </si>
  <si>
    <t>TUPINAMBIS-MERIANAE; TEIIDAE; LIZARD; SAURIA; SQUAMATA; PYTHONS; PARK</t>
  </si>
  <si>
    <t>Salvator merianae (Argentine Black and White Tegu, hereafter also ABWT) is a large bodied, omnivorous lizard native to South America. In Florida, where the species was introduced via the pet trade and is invasive, there are at least 3 established populations as well as numerous one-off observations. We collected ABWTs from public and private property to determine their diet in central Florida (Hillsborough County) from 2012 to 2016. We determined frequency of occurrence (FO) for items identified to various taxonomic levels, calculated niche overlap to check for an ontogenetic shift in diet, and evaluated seasonal variation in diet. Stomach contents revealed ABWTs (n = 93) in central Florida consume fruit, invertebrates, and vertebrates, including hatchling Gopherus polyphemus (Gopher Tortoise). Frequency of occurrence of food items varied seasonally. Vertebrate prey was most common in the spring, whereas invertebrates and plants were consumed most frequently in summer. Diets among ABWTs were very similar, as indicated by Pianka's measure of niche overlap, regardless of age or sex. A greater proportion of ABWTs in central Florida consumed vertebrates compared to other invasive and native populations (FOcentralFL = 81%, FOsouthemFL = 37%, FOBrazil = 27%, FOArgentina = 44%). Argentice Black and White Tegus in central Florida are generalist omnivores and consume a diversity of taxa across several trophic levels, including imperiled species.</t>
  </si>
  <si>
    <t>10.1656/058.020.0210</t>
  </si>
  <si>
    <t>Herzon, I; Marja, R; Le Viol, I; Menshikova, S; Kondratyev, A</t>
  </si>
  <si>
    <t>Applying trait-based community metrics of relevance to conservation for understanding community patterns of farmland birds in Northwest Russia</t>
  </si>
  <si>
    <t>Agricultural intensification; Brain mass; Community biomass; Functional traits; Non-cropped element; Specialisation; The Russian Federation; Trophic position</t>
  </si>
  <si>
    <t>LAND-USE; AGRICULTURAL LANDSCAPE; BIOTIC HOMOGENIZATION; BRAIN SIZE; DIVERSITY; BIODIVERSITY; SPECIALIZATION; GENERALISTS; STRATEGIES; SCENARIOS</t>
  </si>
  <si>
    <t>Use of community trait-based metrics has been increasingly implemented for achieving an integrated view of biodiversity in conservation planning. We examined the extent, to which the use of community metrics based on species traits reflecting plausible sensitivity to change would contribute to our understanding of landscape characteristics of importance to the conservation of farmland birds in a poorly studied region of Northwest Russia. We collected species data on farmland from 230 transects covering a total 215 km for each year of 2008, 2010 and 2011 and analysed them using generalised linear mixed modelling. We derived community indices from species traits of habitat specialisation, trophic position, relative brain size and body mass. By relating these indices to the numbers of all species regarded farmland and Species of European Conservation Concern (SPEC), and by analysing them against the type of field and occurrence in typical non-cropped landscape elements, we showed consistent, albeit weak, congruence among the taxonomic and trait-based community descriptors. All community descriptors had their lowest estimates in arable fields. Community specialisation was the highest in open abandoned fields, which confirms the importance of such fields as refuges for regionally specialised species. Pastures were characterised by the highest community biomass, which indicates a particularly good resource base. Presence of ditches, of all non-cropped elements, had the strongest positive relationship with the community descriptors. The SPEC number strongly correlated with the overall species richness of farmland birds. A relatively weak congruence between taxonomic and trait-based community descriptors highlights their cornplementarity in understanding the underlying mechanisms of community changes. However, similarity in patterns among field types means that, under the current level of production in the region, accounting for the species richness of farmland birds seems to be sufficient to rapidly assess community sensitivity to agricultural change.</t>
  </si>
  <si>
    <t>10.1016/j.agee.2018.01.024</t>
  </si>
  <si>
    <t>Roon, DA; Dunham, JB; Bellmore, JR; Olson, DH; Harvey, BC</t>
  </si>
  <si>
    <t>Influence of riparian thinning on trophic pathways supporting stream food webs in forested watersheds</t>
  </si>
  <si>
    <t>coast redwood forests; coastal cutthroat trout; coastal giant salamander; downstream propagation; forest restoration; macroinvertebrates; riparian thinning; stable isotopes; stream food webs; stream periphyton; trophic pathways</t>
  </si>
  <si>
    <t>TROUT SALVELINUS-FONTINALIS; STABLE-ISOTOPE RATIOS; CLEAR-CUT; EXPERIMENTAL MANIPULATION; PACIFIC-NORTHWEST; CASCADE MOUNTAINS; LIGHT LIMITATION; FISH POPULATIONS; REDWOOD FORESTS; CARBON-SOURCES</t>
  </si>
  <si>
    <t>Resource managers seek to thin second-growth riparian forests to address multiple stream and riparian management objectives, including enhancing aquatic productivity via light-mediated trophic pathways in watersheds of the Pacific Northwest (USA). However, such increases in aquatic productivity depend on complex food web dynamics that link riparian forests and streams. To evaluate how riparian forest thinning influences stream food webs, we conducted a replicated, manipulative field experiment in three northern California watersheds composed of second-growth redwood forests and tracked responses across multiple trophic levels (periphyton, macroinvertebrates, amphibians, and fish) 1 year pre- and post-treatment. Riparian thinning treatments increased light to the stream channel, yet we observed mixed responses by stream food webs. Thinning did not change stream periphyton biomass on natural substrates but increased periphyton accrual on ceramic tiles. Periphyton accrual appeared to be partially muted by top-down effects from invertebrate scrapers, which were more abundant in thinned reaches. Prey in the diets of top predators-coastal giant salamanders (Dicamptodon tenebrosus) and coastal cutthroat trout (Oncorhynchus clarkii clarkii)-did not change in biomass, composition, or structure in response to thinning and instead varied more seasonally and between predators. Stable isotope analysis indicated that shifts in carbon (delta C-13) signatures of stream periphyton associated with thinning were reflected to varying extents by primary consumers but did not propagate up to top predators. Top predator biomass responses varied between species, where salamander biomass remained unchanged, but cutthroat trout biomass increased slightly in thinned reaches. However, trout biomass responses were not supported by diets or isotopes and correlated weakly with changes in light associated with thinning, suggesting little evidence that responses could be attributed directly to changes in autotrophic pathways. Furthermore, we found no evidence that local trophic responses to thinning propagated into downstream reaches. Taken together, we observed that trophic pathways supporting stream food webs remained largely intact immediately after riparian thinning treatments. Collectively, these results suggest that riparian thinning does not necessarily enhance aquatic productivity in forested streams, indicating that contextual factors driving realized ecological responses should be accounted for when considering thinning as a restoration strategy for stream-riparian ecosystems.</t>
  </si>
  <si>
    <t>e4219</t>
  </si>
  <si>
    <t>10.1002/ecs2.4219</t>
  </si>
  <si>
    <t>Iwahana, G; Takano, S; Petrov, RE; Tei, S; Shingubara, R; Maximov, TC; Fedorov, AN; Desyatkin, AR; Nikolaev, AN; Desyatkin, RV; Sugimoto, A</t>
  </si>
  <si>
    <t>Geocryological characteristics of the upper permafrost in a tundra-forest transition of the Indigirka River Valley, Russia</t>
  </si>
  <si>
    <t>Ground ice; Permafrost; Indigirka; Siberia; Stable isotope; Cholcurdalch</t>
  </si>
  <si>
    <t>GROUND-ICE; CLIMATE-CHANGE; TEMPERATURES; ISOTOPES; VULNERABILITY; HYDROGEN; SIBERIA; CARBON; ISLAND; COAST</t>
  </si>
  <si>
    <t>Understanding geocryological characteristics of frozen sediment, such as cryostratigraphy, ice content, and stable isotope ratio of ground ice, is essential to predicting consequences of projected permafrost thaw in response to global warming. These characteristics determine thermokarst extent and controls hydrological regime-and hence vegetation growth-especially in areas of high latitude; it also yields knowledge about the history of changes in the hydrological regime. To obtain these fundamental data, we sampled and analyzed unfrozen and frozen surficial sediments from 18 boreholes down to 1-2.3 m depth at five sites near Chokurdakh, Russia. Profiles of volumetric ice content in upper permafrost excluding wedge ice volume showed large variation, ranging from 40 to 96%, with an average of 75%. This large amount of ground ice was in the form of ice lenses or veins forming well-developed cryostructures, mainly due to freezing of frost-susceptible sediment under water-saturated condition. Our analysis of geocryological characteristics in frozen ground including ice content, cryostratigraphy, soil mechanical characteristics, organic matter content and components, and water stable isotope ratio provided information to reconstruct terrestrial paleo-environments and to estimate the influence of recent maximum thaw depth, microtopography, and flooding upon permafrost development in permafrost regions of NE Russia. (C) 2014 Elsevier B.V. and NIPR. All rights reserved.</t>
  </si>
  <si>
    <t>10.1016/j.polar.2014.01.005</t>
  </si>
  <si>
    <t>Cashman, MJ; Pilotto, F; Harvey, GL; Wharton, G; Pusch, MT</t>
  </si>
  <si>
    <t>Combined stable-isotope and fatty-acid analyses demonstrate that large wood increases the autochthonous trophic base of a macroinvertebrate assemblage</t>
  </si>
  <si>
    <t>food webs; lake-river coupling; macroinvertebrates; sand-bed river; trophic resources</t>
  </si>
  <si>
    <t>PARTICULATE ORGANIC-MATTER; FOOD-WEB; INVERTEBRATE COMMUNITIES; DEBRIS DAMS; RELATIVE IMPORTANCE; BIOFILM DEVELOPMENT; UNIONID MUSSELS; STREAM; CARBON; RIVER</t>
  </si>
  <si>
    <t>Large wood (LW), defined as pieces of wood greater than 10cm in diameter and 1m long, is well known to alter river hydromorphology and the availability of potential food resources for consumers. However, there has been a lack of studies investigating whether these can cause shifts in the trophic base, which may explain alterations to the total abundance and taxonomic structure of the macroinvertebrate assemblage. We aimed to determine how the presence of LW altered the trophic base of the macroinvertebrate consumer assemblage in a lowland river, and to provide a methodological comparison of two assimilation-based food web methods: stable-isotope analysis (SIA) and fatty-acid biomarker profiles (FA). To do so, we quantified the contribution of trophic resources to the diets of macroinvertebrates colonising the surface of LW, present in this study as single logs, and surrounding bed sediments with those from bed sediments of a nearby control site with minimal amounts of LW. SIA showed that the macroinvertebrate food web, even for non-filter feeding taxa, was mostly sustained by seston exported from a lake 1km upstream, highlighting a high degree of lake-river coupling. The presence of wood altered the trophic base from being predominantly seston-supported to one with increased support from epixylic autochthonous production (i.e. periphyton and bryophytes on wood). Terrestrial matter (i.e. leaves and grass) and organic sediments were a relatively unimportant fraction of the trophic base (&lt;10%) in all locations. FA did not directly track the influence of seston, but instead differentiated between overall allochthonous (terrestrial) and autochthonous (aquatic) components of the trophic base. In particular, FA analysis demonstrated the higher nutritional value of autochthonous primary producers, and provided supporting evidence that most consumers, even seston-feeders, were primarily supported by autochthonous resources and not by allochthonous matter. FA indicated shifts in some taxa-specific diets not detected by stable isotopes alone. Our study demonstrated that the combined use of stable isotopes and fatty acids provides new insights into determining the trophic base of a complex food web with trophic resources of both terrestrial/aquatic and lacustrine/riverine origins. In addition, directly comparing results from both stable-isotope and fatty-acid analyses provided additional information on selective feeding by seston-feeding taxa on autochthonous and allochthonous fractions of the seston. The presence of LW in the river channel decreased lake-river coupling by providing alternative basal resources, primarily through increasing high-quality autochthonous production on wood and by providing a superior substratum for net-spinning caddisflies to feed on a fraction of the seston richer in essential fatty acids. River management strategies that incorporate instream LW therefore have the potential to alter energy flows and enhance ecosystem productivity by increasing the quantity and quality of available basal food resources.</t>
  </si>
  <si>
    <t>10.1111/fwb.12727</t>
  </si>
  <si>
    <t>Lesmeister, DB; Jenkins, JMA</t>
  </si>
  <si>
    <t>Integrating new technologies to broaden the scope of northern spotted owl monitoring and linkage with USDA forest inventory data</t>
  </si>
  <si>
    <t>passive acoustic monitoring; Northwest Forest Plan; biodiversity monitoring; big data; machine learning; Endangered Species</t>
  </si>
  <si>
    <t>HABITAT SELECTION; BARRED OWLS; HOME-RANGE; OCCUPANCY; WILDFIRE; CLIMATE; BIODIVERSITY; SUITABILITY; DYNAMICS; DESIGN</t>
  </si>
  <si>
    <t>Wildlife monitoring programs designed to inform forest management and conservation decisions in the face of climate change benefit from long-term datasets with consistent methodology. Nevertheless, many monitoring programs may seek to transition to alternative methods because emerging technologies can improve trend tracking and expand the number of target populations, increase spatial scale, and reduce long-term costs. Integrated models strengthen the capacity to adapt long-term monitoring programs to next generation methods. Here we present a case study of northern spotted owl (Strix occidentalis caurina) population monitoring that is under transition. The first monitoring phase focused on territory occupancy and mark-resighting individual owls. Owing to rapidly declining populations and increasing costs, traditional methods are less viable for long-term monitoring. A non-invasive approach, passive acoustic monitoring, is effective for detecting spotted owl presence, estimating occupancy rates, distinguishing sex, detecting trends in populations, and monitoring many additional species. A key component to support transition to passive acoustic monitoring was the development of machine learning models to automate species detections that enable rapid and effective data processing and analysis workflows. Coupling passive acoustic monitoring networks with Forest Inventory and Analysis (FIA) and gradient nearest neighbor (GNN) datasets provide powerful tools for predicting forest change impacts on wildlife populations and identify winners and losers in dynamic landscapes. The second monitoring phase will leverage new technologies, expand the scope of inference, link forest inventory and remote sensing datasets, and transition the program to broad biodiversity monitoring that assists managers as they face myriad challenges in dynamic landscapes.</t>
  </si>
  <si>
    <t>10.3389/ffgc.2022.966978</t>
  </si>
  <si>
    <t>Gibert, JP; Grady, JM; Dell, AI</t>
  </si>
  <si>
    <t>Food web consequences of thermal asymmetries</t>
  </si>
  <si>
    <t>activation energies; communities; food web thermal responses; global warming; temperature responses; temperature sensitivities</t>
  </si>
  <si>
    <t>TEMPERATURE-DEPENDENCE; TROPHIC LEVELS; CLIMATE-CHANGE; WARMING STRENGTHENS; METABOLIC THEORY; SIZE STRUCTURE; BODY-SIZE; IN-SITU; POPULATION; OMNIVORY</t>
  </si>
  <si>
    <t>Understanding how food webs will respond to globally rising temperatures is a pressing issue. Temperature effects on food webs are likely underpinned by differences in the thermal sensitivity of consumers and resources, or thermal asymmetries. We identify three sources of asymmetry in the rising portion of thermal performance curves: inter-thermy variation across thermoregulatory groups, intra-thermy variation within a thermoregulatory group and rate-dependent variation in how different ecological rates respond to temperature. We use a large empirical dataset on thermal sensitivities across thermoregulatory groups to explore how prevalent thermal asymmetries are in real consumer-resource interactions. We then develop theory to illustrate how food web temperature responses are mediated by the magnitude and direction of these thermal asymmetries. We use this model to show possible conditions under which food webs could respond to warming as currently expected, and when that may not be the case. Our results suggest that inter-thermy, intra-thermy and rate-dependent asymmetries are likely common in natural food webs. We show how all thermal asymmetries have important effects on species abundances across trophic levels as well as the maximum trophic position in the food web. Both the direction of the asymmetries (i.e. which species respond more strongly) and their magnitude (the difference in thermal responses) determine the temperature response of the food web and, consistent with current expectations, top predator abundance almost always declines with temperature, even though maximum trophic position may increase. While our model shows that food web temperature responses can be varied, much of this variation can be explained by considering thermal asymmetries. Our study provides new data and theoretical insights into the widely varying food web effects of warming observed in laboratory, experimental and observational settings, and clarifies how predator and prey thermal ecology may influence overall food web responses in a changing world. Read the free Plain Language Summary for this article on the Journal blog.</t>
  </si>
  <si>
    <t>10.1111/1365-2435.14091</t>
  </si>
  <si>
    <t>Mill, AC; Pinnegar, JK; Polunin, NVC</t>
  </si>
  <si>
    <t>Explaining isotope trophic-step fractionation: why herbivorous fish are different</t>
  </si>
  <si>
    <t>delta N-15; feeding ecology; herbivores; stable isotopes; Oman</t>
  </si>
  <si>
    <t>INCORPORATING CONCENTRATION-DEPENDENCE; MULTIPLE STABLE ISOTOPES; AQUATIC FOOD-WEB; CORAL-REEF; MIXING MODELS; NITROGEN-CONTENT; DIET; DELTA-N-15; N-15; ENRICHMENT</t>
  </si>
  <si>
    <t>1. An assumed constant trophic fractionation of N-15/N-14 between consumer and diet (usually 3.4 parts per thousand for diet-muscle tissue differences) allows inferences to be made about feeding interactions and trophic level in food web studies. However, considerable variability surrounds this constant, which may conceal subtle differences about the trophodynamics of consumers. 2. The feeding ecologies of herbivores and carnivores differ in terms of diet quality (in C : N terms) and food processing mechanisms, which may affect fractionation. 3. We present a new model that explores how consumer feeding rates, excretion rates and diet quality determine the N-15/N-14 ratios in the consumer's tissues and hence influence the magnitude of trophic fractionation. 4. Three herbivorous reef fish Acanthurus sohal, Zebrasoma xanthurum and Pomacentrus arabicus were chosen as study organisms. Empirical estimates of diet-tissue stable isotope fractionation were made in the field, and model parameters were derived from feeding observations and literature data. 5. The trophic fractionation values of A. sohal, Z. xanthurum and P. arabicus were 4.69 parts per thousand, 4.47 parts per thousand and 5.25 parts per thousand, respectively, by empirical measurement, and 4.41 parts per thousand, 4.30 parts per thousand and 5.68 parts per thousand, respectively, by model, indicating that herbivores have a higher trophic fractionation than the currently accepted value of 3.4 parts per thousand. 6. The model was most sensitive to the excretion rate, which may differ between herbivores and carnivorous animals. This model is the first to determine stable isotope signatures of a consumer's diet mixture without applying a constant fractionation value.</t>
  </si>
  <si>
    <t>10.1111/j.1365-2435.2007.01330.x</t>
  </si>
  <si>
    <t>Hebert, CE; Weseloh, DVC; Idrissi, A; Arts, MT; O'Gorman, R; Gorman, OT; Locke, B; Madenjian, CP; Roseman, EF</t>
  </si>
  <si>
    <t>Restoring piscivorous fish populations in the Laurentian Great Lakes causes seabird dietary change</t>
  </si>
  <si>
    <t>aquatic food web; ecosystem change; fatty acids; food availability; Herring Gull; Larus argentatus; Laurentian Great Lakes; prey fish; seabird; stable isotopes</t>
  </si>
  <si>
    <t>STABLE-ISOTOPE ANALYSIS; GULLS LARUS-ARGENTATUS; ESSENTIAL FATTY-ACIDS; FOOD-WEB; RAINBOW SMELT; ECOSYSTEMS; PREDATION; COMMUNITY; FISHERIES; ALEWIVES</t>
  </si>
  <si>
    <t>Ecosystem change often affects the structure of aquatic communities thereby regulating how much and by what pathways energy and critical nutrients flow through food webs. The availability of energy and essential nutrients to top predators such as seabirds that rely on resources near the water's surface will be affected by changes in pelagic prey abundance. Here, we present results from analysis of a 25-year data set documenting dietary change in a predatory seabird from the Laurentian Great Lakes. We reveal significant declines in trophic position and alterations in energy and nutrient flow over time. Temporal changes in seabird diet tracked decreases in pelagic prey fish abundance. As pelagic prey abundance declined, birds consumed less aquatic prey and more terrestrial food. This pattern was consistent across all five large lake ecosystems. Declines in prey fish abundance may have primarily been the result of predation by stocked piscivorous fishes, but other lake-specific factors were likely also important. Natural resource management activities can have unintended consequences for nontarget ecosystem components. Reductions in pelagic prey abundance have reduced the capacity of the Great Lakes to support the energetic requirements of surface-feeding seabirds. In an environment characterized by increasingly limited pelagic fish resources, they are being offered a Hobsonian choice: switch to less nutritious terrestrial prey or go hungry.</t>
  </si>
  <si>
    <t>10.1890/07-1603.1</t>
  </si>
  <si>
    <t>van Oevelen, D; Van den Meersche, K; Meysman, FJR; Soetaert, K; Middelburg, JJ; Vezina, AF</t>
  </si>
  <si>
    <t>Quantifying Food Web Flows Using Linear Inverse Models</t>
  </si>
  <si>
    <t>food web; linear inverse model; mass balance; optimization; likelihood; stable isotopes; stoichiometry</t>
  </si>
  <si>
    <t>INTERACTION STRENGTHS; STABLE-ISOTOPES; STABILITY; ECOSYSTEM; PATTERNS; DYNAMICS; COMPLEX; SYSTEM; MATTER; FLUXES</t>
  </si>
  <si>
    <t>The quantitative mapping of food web flows based on empirical data is a crucial yet difficult task in ecology. The difficulty arises from the under-sampling of food webs, because most data sets are incomplete and uncertain. In this article, we review methods to quantify food web flows based on empirical data using linear inverse models (LIM). The food web in a LIM is described as a linear function of its flows, which are estimated from empirical data by inverse modeling. The under-sampling of food webs implies that infinitely many different solutions exist that are consistent with a given data set. The existing approaches to food web LIM select a single solution from this infinite set by invoking additional assumptions: either a specific selection criterion that has no solid ecological basis is used or the data set is artificially upgraded by assigning fixed values to, for example, physiological parameters. Here, we advance a likelihood approach (LA) that follows a different solution philosophy. Rather than singling out one particular solution, the LA generates a large set of possible solutions from which the marginal probability density function (mPDF) of each flow and correlations between flows can be derived. The LA is exemplified with an example model of a soil food web and is made available in the open-source R-software. Moreover, we show how stoichiometric data, stable isotope signatures, and fatty acid compositions can be included in the LIM to alleviate the under-sampling problem. Overall, LIM prove to be a powerful tool in food web research, which can bridge the gap between empirical data and the analysis of food web structures.</t>
  </si>
  <si>
    <t>10.1007/s10021-009-9297-6</t>
  </si>
  <si>
    <t>van Hardenbroek, M; Lotter, AF; Bastviken, D; Duc, NT; Heiri, O</t>
  </si>
  <si>
    <t>Relationship between d13C of chironomid remains and methane flux in Swedish lakes</t>
  </si>
  <si>
    <t>chironomids; lake sediment; methane; methane-oxidising bacteria; stable carbon isotopes</t>
  </si>
  <si>
    <t>DISSOLVED ORGANIC-CARBON; BENTHIC FOOD WEBS; STABLE-ISOTOPE; DELTA-C-13; BACTERIA; WATER; FRACTIONATION; VARIABILITY; DELTA-N-15; SIGNATURES</t>
  </si>
  <si>
    <t>1. Methanogenic carbon can be incorporated by methane-oxidising bacteria, leading to a 13C-depleted stable carbon isotopic composition (d13C) of chironomids that feed on these microorganisms. This has been shown for the chironomid tribe Chironomini, but very little information is available about the d13C of other abundant chironomid groups and the relationship between chironomid d13C and methane production in lakes.</t>
  </si>
  <si>
    <t>10.1111/j.1365-2427.2011.02710.x</t>
  </si>
  <si>
    <t>Boggs, K; Spooner, DE; Honeyfield, DC; Shull, D; Wertz, T; Sweet, S</t>
  </si>
  <si>
    <t>Phylogeny and foraging mode correspond with thiaminase activity in freshwater fishes: potential links to environmental factors</t>
  </si>
  <si>
    <t>Fish; thiaminase I; phylogeny; food web; trophic level; thiamine; vitamin B-1; Susquehanna River; Allegheny River; fish health; vitamin limitation; nutritional ecology</t>
  </si>
  <si>
    <t>LAKE TROUT; AMERICAN ALLIGATORS; ATLANTIC SALMON; FATTY-ACIDS; DEFICIENCY; SOIL; STOICHIOMETRY; MORTALITY; REPRODUCTION; CONSTRAINTS</t>
  </si>
  <si>
    <t>Knowledge of the dietary components of fish species is important for understanding their growth, survival, and recruitment. Deficiency in thiamine (vitamin B-1) leading to reproductive failure and physiological illness among freshwater fishes has been attributed to thiaminase activity in fish in the Great Lakes and the New York Finger Lakes, but the causes of variation in thiaminase activity among freshwater fishes is unclear. We characterized thiaminase activity in 29 species of freshwater fishes across 7 ray-finned and 1 jawless family. All fish were further categorized by phylogeny, trophic category (trophic level and feeding mode), and native or non-native status to evaluate how ecological processes correspond with thiaminase activity. Thiaminase activity varied significantly across species, families, trophic factors, phylogenetic groups, and sites. Teleosts that were more recently derived had higher thiaminase activity than more basal species. Thiaminase activity was also higher among herbivores than omnivores or carnivores. This trend was clearest in the Cyprinidae family, which had the greatest range in thiaminase activity and a wide range in trophic-level position and trophic categories (herbivores, omnivores, and carnivores). Variation in average thiaminase activity of Spotfin Shiners (Cyprinella spiloptera) among sites within a watershed was correlated with anthropogenic and natural components of land cover. Our study contributes much-needed quantitative ecological information related to thiaminase activity in a suite of fish species that vary in evolutionary history, trophic level, and foraging modes. However, more studies are needed to identify interacting causes of thiaminase variation and examine the implications of these findings on the overall health of aquatic populations and freshwater ecosystems.</t>
  </si>
  <si>
    <t>10.1086/704927</t>
  </si>
  <si>
    <t>Monson, RK; Turnipseed, AA; Sparks, JP; Harley, PC; Scott-Denton, LE; Sparks, K; Huxman, TE</t>
  </si>
  <si>
    <t>Carbon sequestration in a high-elevation, subalpine forest</t>
  </si>
  <si>
    <t>Abies lasiocarpa; Ameriflux; ecosystem; eddy covariance; NEE; photosynthesis; Picea engelmannii; Pinus contorta; respiration</t>
  </si>
  <si>
    <t>WATER-VAPOR EXCHANGE; BLACK SPRUCE FOREST; DECIDUOUS FOREST; CLIMATE VARIABILITY; SEASONAL-VARIATION; FLUX MEASUREMENTS; DIOXIDE EXCHANGE; RAIN-FOREST; ECOSYSTEM; BALANCE</t>
  </si>
  <si>
    <t>We studied net ecosystem CO2 exchange (NEE) dynamics in a high-elevation, subalpine forest in Colorado, USA, over a two-year period. Annual carbon sequestration for the forest was 6.71 mol C m(-2) (80.5 g C m(-2) ) for the year between November 1, 1998 and October 31, 1999, and 4.80 mol C m(-2) (57.6 g C m(-2) ) for the year between November 1, 1999 and October 31, 2000. Despite its evergreen nature, the forest did not exhibit net CO2 uptake during the winter, even during periods of favourable weather. The largest fraction of annual carbon sequestration occurred in the early growing-season; during the first 30 days of both years. Reductions in the rate of carbon sequestration after the first 30 days were due to higher ecosystem respiration rates when mid-summer moisture was adequate (as in the first year of the study) or lower mid-day photosynthesis rates when mid-summer moisture was not adequate (as in the second year of the study). The lower annual rate of carbon sequestration during the second year of the study was due to lower rates of CO2 uptake during both the first 30 days of the growing season and the mid-summer months. The reduction in CO2 uptake during the first 30 days of the second year was due to an earlier-than-normal spring warm-up, which caused snow melt during a period when air temperatures were lower and atmospheric vapour pressure deficits were higher, compared to the first 30 days of the first year. The reduction in CO2 uptake during the mid-summer of the second year was due to an extended drought, which was accompanied by reduced latent heat exchange and increased sensible heat exchange. Day-to-day variation in the daily integrated NEE during the summers of both years was high, and was correlated with frequent convective storm clouds and concomitant variation in the photosynthetic photon flux density (PPFD). Carbon sequestration rates were highest when some cloud cover was present, which tended to diffuse the photosynthetic photon flux, compared to periods with completely clear weather. The results of this study are in contrast to those of other studies that have reported increased annual NEE during years with earlier-than-normal spring warming. In the current study, the lower annual NEE during 2000, the year with the earlier spring warm-up, was due to (1) coupling of the highest seasonal rates of carbon sequestration to the spring climate, rather than the summer climate as in other forest ecosystems that have been studied, and (2) delivery of snow melt water to the soil when the spring climate was cooler and the atmosphere drier than in years with a later spring warm-up. Furthermore, the strong influence of mid-summer precipitation on CO2 uptake rates make it clear that water supplied by the spring snow melt is a seasonally limited resource, and summer rains are critical for sustaining high rates of annual carbon sequestration.</t>
  </si>
  <si>
    <t>10.1046/j.1365-2486.2002.00480.x</t>
  </si>
  <si>
    <t>Fu, PL; Liu, WJ; Fan, ZX; Cao, KF</t>
  </si>
  <si>
    <t>Is fog an important water source for woody plants in an Asian tropical karst forest during the dry season?</t>
  </si>
  <si>
    <t>foliar water uptake; tropical karst forest; lianas; dry season; stable isotopes</t>
  </si>
  <si>
    <t>SEMPERVIRENS D. DON; RAIN-FOREST; FOLIAR UPTAKE; STABLE-ISOTOPES; SOIL-WATER; CLOUD; TREES; XISHUANGBANNA; LIMESTONE; DROUGHT</t>
  </si>
  <si>
    <t>Fog is an important supplemental source of water in regions with heavy fog and little rainfall. In the present study, we used the stable isotope content of xylem water to investigate the dry season water source partition between soil and fog water of two evergreen tree species (Cleistanthus sumatranus and Lasiococca comberi), two deciduous tree species (Mayodendron igneum and Lagerstroemia tomentosa), two liana species (Acacia pennata and Combretum latifolium) and understory seedlings of three tree species (C. sumatranus, L. comberi and Celtis philippensis) in a tropical karst forest in southern Yunnan, China. The soil gravimetric water content (GWC) and volumetric water content (VWC), pre-dawn leaf water potential (.pre-dawn) and leaf water absorbance were also measured. There were no significant differences in both GWC and VWC among 10 to 100 cm depths in the dry season. In the dry season 2009,.pre-dawn of the two evergreen tree species and the understory seedlings down to -4.5 to -6.3 MPa, and which were significantly lower than those of a normal dry season. The proportion that fog contributed to xylem water ranged from 15.8% (understory seedling of C. sumatranus) to 41.3% (liana species C. latifolium). After immersing in water for 3 h, leaves of all the studied species absorbed a significant volume of water. Our results reveal that the woody plants in the tropical karst forest of Xishuangbanna use fog water as an important supplement in the dry season, with more fog water being used by lianas than by trees. Copyright (C) 2015 John Wiley &amp; Sons, Ltd.</t>
  </si>
  <si>
    <t>10.1002/eco.1694</t>
  </si>
  <si>
    <t>Xia, SP; Song, ZL; Li, Q; Guo, LD; Yu, CX; Singh, BP; Fu, XL; Chen, CM; Wang, YD; Wang, HL</t>
  </si>
  <si>
    <t>Distribution, sources, and decomposition of soil organic matter along a salinity gradient in estuarine wetlands characterized by C:N ratio, delta C-13-delta N-15, and lignin biomarker</t>
  </si>
  <si>
    <t>lignin biomarker; microbial quotient; organic carbon stocks; sea&amp;#8208; level rise; SOC fractions; tidal wetlands; vegetation types</t>
  </si>
  <si>
    <t>STABLE CARBON ISOTOPES; COASTAL WETLANDS; RIVER ESTUARY; INCREASING SALINITY; C-13 FRACTIONATION; MICROBIAL ACTIVITY; NITROGEN ISOTOPES; DEPTH PROFILES; PLANT LITTER; SEDIMENTS</t>
  </si>
  <si>
    <t>Despite increasing recognition of the critical role of coastal wetlands in mitigating climate change, sea-level rise, and salinity increase, soil organic carbon (SOC) sequestration mechanisms in estuarine wetlands remain poorly understood. Here, we present new results on the source, decomposition, and storage of SOC in estuarine wetlands with four vegetation types, including single Phragmites australis (P, habitat I), a mixture of P. australis and Suaeda salsa (P + S, habitat II), single S. salsa (S, habitat III), and tidal flat (TF, habitat IV) across a salinity gradient. Values of delta C-13 increased with depth in aerobic soil layers (0-40 cm) but slightly decreased in anaerobic soil layers (40-100 cm). The delta N-15 was significantly enriched in soil organic matter at all depths than in the living plant tissues, indicating a preferential decomposition of N-14-enriched organic components. Thus, the kinetic isotope fractionation during microbial degradation and the preferential substrate utilization are the dominant mechanisms in regulating isotopic compositions in aerobic and anaerobic conditions, respectively. Stable isotopic (delta C-13 and delta N-15), elemental (C and N), and lignin composition (inherited (Ad/Al)s and C/V) were not completely consistent in reflecting the differences in SOC decomposition or accumulation among four vegetation types, possibly due to differences in litter inputs, root distributions, substrate quality, water-table level, salinity, and microbial community composition/activity. Organic C contents and storage decreased from upstream to downstream, likely due to primarily changes in autochthonous sources (e.g., decreased onsite plant biomass input) and allochthonous materials (e.g., decreased fluvially transported upland river inputs, and increased tidally induced marine algae and phytoplankton). Our results revealed that multiple indicators are essential to unravel the degree of SOC decomposition and accumulation, and a combination of C:N ratios, delta C-13, delta N-15, and lignin biomarker provides a robust approach to decipher the decomposition and source of sedimentary organic matter along the river-estuary-ocean continuum.</t>
  </si>
  <si>
    <t>10.1111/gcb.15403</t>
  </si>
  <si>
    <t>Wang, YV; O'Brien, DM; Jenson, J; Francis, D; Wooller, MJ</t>
  </si>
  <si>
    <t>The influence of diet and water on the stable oxygen and hydrogen isotope composition of Chironomidae (Diptera) with paleoecological implications</t>
  </si>
  <si>
    <t>Chironomids; Organic; Water; Diet; Thermochemical reactor/elemental analyzer-isotope ratio mass spectrometer</t>
  </si>
  <si>
    <t>ANCIENT HUMAN-POPULATIONS; BONE-COLLAGEN; RATIOS; CHITIN; HAIR; DELTA-O-18; LAKE; RECONSTRUCTION; RECORD; CELLS</t>
  </si>
  <si>
    <t>Stable oxygen and hydrogen isotope analyses of fossil aquatic organisms, such as the chitinous head capsules of chironomid larvae (Chironomidae: Diptera), are promising proxies for inferring paleoecological conditions. In order for analyses of stable oxygen (delta O-18) and hydrogen isotope ratios (delta H-2) of fossil chironomid head capsules to be used effectively in paleoecological research, it is necessary to understand the factors controlling their stable oxygen and hydrogen composition. We cultured chironomid larvae in two isotopically distinct waters under controlled, replicated laboratory conditions. Chironomid larvae were fed on identical diets, to examine the degree to which water and diet influence the delta O-18 and delta H-2 of these organisms. We used a two-end member mixing model to determine the proportional contributions of oxygen and hydrogen from water to the oxygen and hydrogen of chironomid larvae. Our experiment demonstrated that 69.0 +/- A 0.4% of oxygen and 30.8 +/- A 2.6% of hydrogen in chironomid larvae are derived from habitat water. Our results show that oxygen isotopes from chironomid remains can better constrain past habitat water isotopic changes compared to hydrogen, due to 69% of the chironomid oxygen being influenced by habitat water. Our data add to a small but growing suite of comparative data on the sources of oxygen and hydrogen in animal tissues, and provide the first such analyses from aquatic insects.</t>
  </si>
  <si>
    <t>10.1007/s00442-009-1303-3</t>
  </si>
  <si>
    <t>Fort, J; Cherel, Y; Harding, AMA; Welcker, J; Jakubas, D; Steen, H; Karnovsky, NJ; Gremillet, D</t>
  </si>
  <si>
    <t>Geographic and seasonal variability in the isotopic niche of little auks</t>
  </si>
  <si>
    <t>Alcid; Annual cycle; Copepod; Diet; North Atlantic; Pelagic ecosystem; Seabird; Stable isotopes</t>
  </si>
  <si>
    <t>STABLE-ISOTOPES; ALLE-ALLE; TROPHIC RELATIONSHIPS; SEABIRDS; CARBON; POPULATION; NITROGEN; CLIMATE; DELTA-C-13; PENGUINS</t>
  </si>
  <si>
    <t>The non-breeding season of seabirds is extremely challenging to study because it is often spent offshore under harsh environmental conditions. We used stable isotope analysis to investigate little auk Alle alle feeding ecology throughout the annual cycle. The geographic distribution of little auks in the Arctic covers a wide range of oceanographic conditions. We sampled birds from 5 different colonies located in the most important breeding areas (Greenland and Spitsbergen) to examine how individuals breeding in contrasting marine environments differ in their trophic niche throughout the year. We found differences in summer delta N-15 values among the colonies, suggesting different target species despite low overall delta N-15 values in blood, which indicates a diet that is primarily composed of copepods. A rise in delta N-15 values between summer and autumn indicated that adults changed their trophic status to feed at a higher trophic level. During autumn, a large overlap in feather delta C-13 values between colonies suggests a common moulting area off Northeast Greenland. During winter, the isotopic signatures show that the trophic status of Greenland and Spitsbergen birds differed, with birds from Greenland feeding at low trophic levels (probably mostly on copepods), and birds from Spitsbergen maintaining a higher trophic level. These findings highlight contrasting seasonal and regional diet in little auk populations, and reveal possible population overlaps during the autumn moult. We found substantial trophic variability in little auks, which may indicate unsuspected capabilities to adapt to current, drastic environmental change in the North Atlantic.</t>
  </si>
  <si>
    <t>10.3354/meps08721</t>
  </si>
  <si>
    <t>Rolshausen, G; Segelbacher, G; Hermes, C; Hobson, KA; Schaefer, HM</t>
  </si>
  <si>
    <t>Individual differences in migratory behavior shape population genetic structure and microhabitat choice in sympatric blackcaps (Sylvia atricapilla)</t>
  </si>
  <si>
    <t>Blackcap; bottleneck; micro-evolution; microhabitat choice; migratory connectivity; migratory divide; spatial isolation; stable isotopes</t>
  </si>
  <si>
    <t>STABLE-HYDROGEN; CLIMATE-CHANGE; EVOLUTION; FREQUENCY; FITNESS; MICROSATELLITES; CONSEQUENCES; BOTTLENECK; DISPERSAL; SELECTION</t>
  </si>
  <si>
    <t>In migratory birds, traits such as orientation and distance are known to have a strong genetic background, and they often exhibit considerable within-population variation. How this variation relates to evolutionary responses to ongoing selection is unknown because the underlying mechanisms that translate environmental changes into population genetic changes are unclear. We show that within-population genetic structure in southern German blackcaps (Sylvia atricapilla) is related to individual differences in migratory behavior. Our 3-year study revealed a positive correlation between individual migratory origins, denoted via isotope (H-2) values, and genetic distances. Genetic diversity and admixture differed not only across a recently established migratory polymorphism with NW- and SW-migrating birds but also across H-2 clusters within the same migratory route. Our results suggest assortment based on individual migratory origins which would facilitate evolutionary responses. We scrutinized arrival times and microhabitat choice as potential mechanisms mediating between individual variation in migratory behavior and assortment. We found significant support that microhabitat choice, rather than timing of arrival, is associated with individual variation in migratory origins. Moreover, examining genetic diversity across the migratory divide, we found migrants following the NW route to be genetically more distinct from each other compared with migrants following the traditional SW route. Our study suggests that migratory behavior shapes population genetic structure in blackcaps not only across the migratory divide but also on an individual level independent of the divide. Thus, within-population variation in migratory behavior might play an important role in translating environmental change into genetic change.</t>
  </si>
  <si>
    <t>10.1002/ece3.825</t>
  </si>
  <si>
    <t>Speed, CW; Cappo, M; Meekan, MG</t>
  </si>
  <si>
    <t>Evidence for rapid recovery of shark populations within a coral reef marine protected area</t>
  </si>
  <si>
    <t>Carcharhinus amblyrhynchos; Global Finprint Project; Artisanal fishing; BRUVS; Ashmore Reef; Illegal fishing</t>
  </si>
  <si>
    <t>CARCHARHINUS-AMBLYRHYNCHOS; GALEOCERDO-CUVIER; ECOLOGICAL ROLE; DIVING TOURISM; ECONOMIC VALUE; TIGER SHARK; BASE-LINES; PATTERNS; DECLINES; DIET</t>
  </si>
  <si>
    <t>There is limited evidence on the rate at which the shark populations of coral reefs can rebound from over exploitation, the baselines that might signify when recovery has occurred and the role of no-take Marine Protected Areas (MPA) in aiding this process. We surveyed shark assemblages at Ashmore Reef in Western Australia using baited remote underwater video stations in 2004 prior to enforcement of MPA status and then again in 2016 after eight years of strict enforcement. We found an increase in the relative mean abundance of Carcharhinus amblyrhynchos from 0.16 +/- 0.06 individuals h(-1). in 2004 to 0.74 +/- 0.11 individuals h(-1) in 2016, a change that was also accompanied by a shift in the assemblage of sharks to greater proportions of apex species (from 7.1% to 11.9%) and reef sharks (from 28.6% to 57.6%), and a decrease in the proportional abundance of lower trophic level species (from 64.3% to 30.5%). Abundances and trophic assemblage of sharks at Ashmore Reef in 2004 resembled those of the Scott Reefs, where targeted fishing for sharks still occurs, whereas in 2016, abundances and trophic structures had recovered to resemble those of the Rowley Shoals, a reef system that has been a strictly enforced MPA for over 25 years. The shift in abundance and community structure coincident with strict enforcement of the MPA at Ashmore Reef has occurred at a rate greater than predicted by demographic models, implying the action of compensatory processes in recovery. Our study shows that shark communities can recover rapidly after exploitation in a well-managed no-take MPA.</t>
  </si>
  <si>
    <t>10.1016/j.biocon.2018.01.010</t>
  </si>
  <si>
    <t>Schindler Wildhaber, Y; Liechti, R; Alewell, C</t>
  </si>
  <si>
    <t>Organic matter dynamics and stable isotope signature as tracers of the sources of suspended sediment</t>
  </si>
  <si>
    <t>SOIL-EROSION; SPAWNING GRAVELS; DISSOLVED-OXYGEN; CARBON; RIVER; NITROGEN; WATER; TRANSPORT; STREAM; ACCUMULATION</t>
  </si>
  <si>
    <t>Suspended sediment (SS) and organic matter in rivers can harm brown trout Salmo trutta by affecting the health and fitness of free swimming fish and by causing siltation of the riverbed. The temporal and spatial dynamics of sediment, carbon (C), and nitrogen (N) during the brown trout spawning season in a small river of the Swiss Plateau were assessed and C isotopes as well as the C/N atomic ratio were used to distinguish autochthonous and allochthonous sources of organic matter in SS loads. The visual basic program IsoSource with C-13(tot) and N-15 as input isotopes was used to quantify the temporal and spatial sources of SS. Organic matter concentrations in the infiltrated and suspended sediment were highest during low flow periods with small sediment loads and lowest during high flow periods with high sediment loads. Peak values in nitrate and dissolved organic C were measured during high flow and high rainfall, probably due to leaching from pasture and arable land. The organic matter was of allochthonous sources as indicated by the C/N atomic ratio and delta C-13(org). Organic matter in SS increased from up-to downstream due to an increase of pasture and arable land downstream of the river. The mean fraction of SS originating from upper watershed riverbed sediment decreased from up to downstream and increased during high flow at all measuring sites along the course of the river. During base flow conditions, the major sources of SS are pasture, forest and arable land. The latter increased during rainy and warmer winter periods, most likely because both triggered snow melt and thus erosion. The measured increase in DOC and nitrate concentrations during high flow support these modeling results. Enhanced soil erosion processes on pasture and arable land are expected with increasing heavy rain events and less snow during winter seasons due to climate change. Consequently, SS and organic matter in the river will increase, which will possibly affect brown trout negatively.</t>
  </si>
  <si>
    <t>10.5194/bg-9-1985-2012</t>
  </si>
  <si>
    <t>Srivastava, DS; Ware, JL; Ngai, JT; Starzomski, BM; Amundrud, SL</t>
  </si>
  <si>
    <t>Habitat size thresholds for predators: Why damselflies only occur in large bromeliadsPalabras Clave</t>
  </si>
  <si>
    <t>area de Conservacion Guanacaste; cannibalism; climate change; Costa Rica; drought risk; energetic limitation; incidence function; Mecistogaster modesta; phytotelmata</t>
  </si>
  <si>
    <t>FOOD-CHAIN LENGTH; COMMUNITY STRUCTURE; TROPHIC STRUCTURE; ECOSYSTEM FUNCTION; LIFE-HISTORY; WATER; AREA; EXTINCTION; DROUGHT; PATTERNS</t>
  </si>
  <si>
    <t>Predators are often more sensitive to habitat size than their prey and frequently occur in only the largest habitats. Four explanations have been proposed for this pattern: (a) Small habitats do not have enough energy to support higher trophic levels; (b) small habitats are less likely to contain particular prey required by specialist predators; (c) small habitats are risky for predators with slow life histories or large body sizes; and (d) small habitats are numerically unlikely to be colonized by regionally rare species, such as predators. We critically examine these four hypotheses in relation to the predatory damselfly larva, Mecistogaster modesta Selys. (Pseudostigmatidae), which occurs almost exclusively in bromeliads &gt; 100ml in capacity. We synthesize multiple years of survey data and three manipulative experiments from the area de Conservacion Guanacaste, Costa Rica, to conclude that damselflies do not occur in small bromeliads due to their higher risk of desiccation-not because of energetic limitation, trophic specialization, risk of terrestrial predation, or pure numerical effects. These results suggest that recent and predicted declines in precipitation in northwestern Costa Rica may further restrict bromeliad occupancy by damselflies, with cascading consequences for the rest of the aquatic food web. in Spanish is available with online material.</t>
  </si>
  <si>
    <t>10.1111/btp.12734</t>
  </si>
  <si>
    <t>Pilecky, M; Wassenaar, LI; Kainz, MJ; Anparasan, L; Ramirez, MI; McNeil, JN; Hobson, KA</t>
  </si>
  <si>
    <t>Isotopic (delta H-2 and delta C-13) tracing the provenance and fate of individual fatty acids fueling migrating animals: A case study of the monarch butterfly (Danaus plexippus)</t>
  </si>
  <si>
    <t>lipids; migration; habitat conservation; stable isotopes; fatty acids; deuterium; C-13</t>
  </si>
  <si>
    <t>EQUILIBRATION; COLONIES; HYDROGEN; MEXICO</t>
  </si>
  <si>
    <t>IntroductionAmong long-distance migratory insects, the monarch butterfly (Danaus plexippus) is one of the most iconic, whose journey is fueled by nectar from flowering plants along the migratory route which may involve up to 3,500 km. Understanding how and where monarchs obtain their dietary resources to fuel migratory flight and ensure overwintering stores would provide new insights into the migratory strategy of this species and subsequently help focus conservation efforts. MethodsThis pilot study was designed as a first attempt to assess the composition, dynamics, and isotopic (delta H-2, delta C-13) composition of essential and non-essential fatty acids (FA) acquired or manufactured de novo from larval host milkweed (Asclepias spp.) by monarch butterflies and from adult emergence to overwintering. ResultsData from controlled laboratory isotopic tracer tests suggested that adult monarchs convert their dietary energy mainly into 16:0 and 18:1 fatty acids and store them as neutral lipids in their abdomen. FA isotopic composition reflects not only dietary sources but also subsequent isotopic fractionation from metabolism. On the other hand, delta H-2 values of essential omega-3 fatty acid alpha-linolenic acid (ALA) correlated with delta H-2(Wing), as markers of an individual's geographic origin and indicated the importance of larval diet. Additionally, in wild-type females, high isotopic fractionation in delta C-13(ALA) between neutral and polar lipids might indicate increased bioconversion activity during gravidity. Finally, delta H-2(LIN) showed positive H isotope fractionation from larval dietary sources, indicating that catabolic processes were involved in their manufacture. Furthermore, delta H-2(LIN) showed a negative correlation with delta H-2(Wing) values, which could potentially be useful when investigating individual life-history traits, such as migratory catabolic efforts or periods of fasting. DiscussionThis interpretation was supported by significant larger variations in delta H-2(LIN) and delta H-2(LIN) overwintering monarchs compared to other FA. Altogether, our results provide the first evidence that the H isotopic analysis of individual fatty acids in migrating and overwintering monarchs can be used to infer the nutritional history of individuals including the provenance of nectaring sites used to fuel key life history events.</t>
  </si>
  <si>
    <t>10.3389/fevo.2022.1051782</t>
  </si>
  <si>
    <t>Gonzalez-Bergonzoni, I; Johansen, KL; Mosbech, A; Landkildehus, F; Jeppesen, E; Davidson, TA</t>
  </si>
  <si>
    <t>Small birds, big effects: the little auk (Alle alle) transforms high Arctic ecosystems</t>
  </si>
  <si>
    <t>marine-derived nutrients; nutrient subsidies; stable isotopes; arctic food webs; ecosystem engineer; seabird colonies</t>
  </si>
  <si>
    <t>MARINE-DERIVED NUTRIENTS; STABLE-ISOTOPE EVIDENCE; BREEDING COLONIES; PACIFIC SALMON; SEABIRD; NITROGEN; ISLANDS; DYNAMICS; IMPACTS; SEA</t>
  </si>
  <si>
    <t>In some arctic areas, marine-derived nutrients (MDN) resulting from fish migrations fuel freshwater and terrestrial ecosystems, increasing primary production and biodiversity. Less is known, however, about the role of seabird-MDN in shaping ecosystems. Here, we examine how the most abundant seabird in the North Atlantic, the little auk (Alle alle), alters freshwater and terrestrial ecosystems around the North Water Polynya (NOW) in Greenland. We compare stable isotope ratios (delta N-15 and delta C-13) of freshwater and terrestrial biota, terrestrial vegetation indices and physical-chemical properties, productivity and community structure of fresh waters in catchments with and without little auk colonies. The presence of colonies profoundly alters freshwater and terrestrial ecosystems by providing nutrients and massively enhancing primary production. Based on elevated delta N-15 in MDN, we estimate that MDN fuels more than 85% of terrestrial and aquatic biomass in bird influenced systems. Furthermore, by using different proxies of bird impact (colony distance, algal delta N-15) it is possible to identify a gradient in ecosystem response to increasing bird impact. Little auk impact acidifies the freshwater systems, reducing taxonomic richness of macroinvertebrates and truncating food webs. These results demonstrate that the little auk acts as an ecosystem engineer, transforming ecosystems across a vast region of Northwest Greenland.</t>
  </si>
  <si>
    <t>10.1098/rspb.2016.2572</t>
  </si>
  <si>
    <t>Haberstroh, S; Kreuzwieser, J; Boeddeker, H; Eiblmeier, M; Gutte, H; Lobo-do-Vale, R; Caldeira, MC; Werner, C</t>
  </si>
  <si>
    <t>Natural Carbon Isotope Composition Distinguishes Compound Groups of Biogenic Volatile Organic Compounds (BVOC) in Two Mediterranean Woody Species</t>
  </si>
  <si>
    <t>BVOC; stable isotopes; C-13; discrimination; Quercus suber; Cistus ladanifer; terpenoids; benzenoids</t>
  </si>
  <si>
    <t>QUERCUS-ILEX; MONOTERPENE BIOSYNTHESIS; ACETYL-COENZYME; RESPIRED CO2; FRACTIONATION; EMISSIONS; CYCLIZATION; DROUGHT; SUBER; DISCRIMINATION</t>
  </si>
  <si>
    <t>Our knowledge on the biosynthesis of several biogenic volatile organic compounds (BVOCs) is still limited. In this regard, natural abundant stable carbon isotope ratios (delta C-13) of BVOCs may provide a powerful tool to evaluate different metabolic pathways. In the present study, BVOC emissions, and their carbon isotope composition from two Mediterranean species, Quercus suber L. and Cistus ladanifer L. were investigated under field conditions in June and July 2018. Soil water content decreased between these months, which was reflected by an increase of the photosynthetic discrimination from -27.7 +/- 0.2 to -26.2 +/- 0.2 parts per thousand in Q. suber and from -27.0 +/- 0.3 to -26.1 +/- 0.3 parts per thousand in C. ladanifer. This change made an impact on the signatures of various BVOCs, which varied along a very broad range of -28.0 to -42.6 parts per thousand in June and -23.7 to -32.9 parts per thousand in July. Hence, the increasing photosynthetic discrimination had a cascading effect on the natural carbon isotope composition of the emitted BVOCs over time. Consistent differences in compound classes occurred among species and seasons: acyclic monoterpenoids were the most C-13 enriched compound class (-23.7 to -31.3 parts per thousand), followed by slightly more depleted cyclic monoterpenes (-27.6 to -32.9 parts per thousand) and sesquiterpenes (-26.4 to -32.1 parts per thousand). The detected oxygenated cyclic monoterpenoids (-31.5 to -37.0 parts per thousand) and benzenoid aromatic compounds (-30.6 to -42.6 parts per thousand) were strongly C-13 depleted. Hierarchical clustering based on delta C-13 values confirmed the grouping of BVOCs with similar chemical structures to the same cluster. Hence, we suggest that isotopic fractionation occurs during the cyclization and oxygenation processes of monoterpenoids, as well as during the synthesis of volatile benzenoid aromatic compounds. The differences in delta C-13 values between BVOCs were consistent, although we collected BVOCs under highly varying light conditions, air temperatures, emission rates and from two different species. Here, we demonstrate that the natural carbon isotope composition may provide a robust framework to elucidate biosynthetic pathways of various BVOCs under field conditions.</t>
  </si>
  <si>
    <t>10.3389/ffgc.2019.00055</t>
  </si>
  <si>
    <t>Groff, DV; Williams, DG; Gill, JL</t>
  </si>
  <si>
    <t>Modern calibration of Poa flabellata (tussac grass) as a new paleoclimate proxy in the South Atlantic</t>
  </si>
  <si>
    <t>CARBON-ISOTOPE DISCRIMINATION; STOMATAL CONDUCTANCE; LEAF WATER; PEAT BOG; OXYGEN; CELLULOSE; O-18; PRECIPITATION; DELTA-O-18; DEUTERIUM</t>
  </si>
  <si>
    <t>Terrestrial paleoclimate records are rare in the South Atlantic, limiting opportunities to provide a prehistoric context for current global changes. The tussock grass, Poa flabellata, grows abundantly along the coasts of the Falkland Islands and other subantarctic islands. It forms extensive peat records, providing a promising opportunity to reconstruct high-resolution regional climate records. The isotopic composition of leaf and root tissues deposited in these peats has the potential to record variation in precipitation, temperature, and relative humidity over time, but these relationships are unknown for P. flabellata. Here, we measured the isotopic composition of P. flabellata and precipitation and explore relationships with seasonal temperature and humidity variations across four study locations in the Falkland Islands. We reveal that inter-seasonal differences in carbon and oxygen stable isotopes of leaf alpha-cellulose of living P. flabellata correlated with monthly mean temperature and relative humidity. The carbon isotope composition of leaf alpha-cellulose (delta C-13(leaf)) records the balance of CO2 supply through stomata and the demand by photosynthesis. The positive correlation between delta C-13(leaf) and temperature and negative correlation between delta C-13(leaf) and relative humidity suggest that photosynthetic demand for CO2 relative to stomatal supply is enhanced when conditions are warm and dry. Further, the positive correlation between delta C-13(leaf) and delta O-18(leaf) (r = 0 :88; p &lt; 0 :001; n = 24) indicates that stomatal closure during warm dry periods explains seasonal variation in delta C-13(leaf). We observed significant differences between winter and summer seasons for both delta O-18(leaf) and delta C-13(leaf) and among study locations for delta O-18(leaf) but not delta C-13(leaf). delta O-18 values of monthly composite precipitation were similar between seasons and among study locations, yet characteristic of the latitudinal origin of storm tracks and seasonal winds. The weak correlation between delta O-18 in monthly composite precipitation and delta O-18(leaf) further suggests that relative humidity is the main driver of the delta O-18(leaf). The oxygen isotopes in root alpha-cellulose did not reflect, or only partially reflected (at one study location), the delta O-18 in precipitation. Overall, this study supports the use of peat records formed by P. flabellata to fill a significant gap in our knowledge of the long-term trends in Southern Hemisphere climate dynamics.</t>
  </si>
  <si>
    <t>10.5194/bg-17-4545-2020</t>
  </si>
  <si>
    <t>Zhang, YX; Negishi, JN; Richardson, JS; Kolodziejczyk, R</t>
  </si>
  <si>
    <t>Impacts of marine-derived nutrients on stream ecosystem functioning</t>
  </si>
  <si>
    <t>consumer-resource dynamics; salmon; red alder; detritivores; functional feeding groups; streams</t>
  </si>
  <si>
    <t>SALMON ONCORHYNCHUS-KISUTCH; PACIFIC SALMON; COHO SALMON; SOUTHEASTERN ALASKA; FRESH-WATER; FOOD WEBS; CARCASSES; PRODUCTIVITY; TERRESTRIAL; MACROINVERTEBRATES</t>
  </si>
  <si>
    <t>Energy and nutrient subsidies transported across ecosystem boundaries are increasingly appreciated as key drivers of consumer-resource dynamics. As purveyors of pulsed marine-derived nutrients (MDN), spawning salmon are one such cross-ecosystem subsidy to freshwaters connected to the north Pacific. We examined how salmon carcasses influenced detrital processing in an oligotrophic stream. Experimental manipulations of MDN inputs revealed that salmon carcasses indirectly reduced detrital processing in streams through temporarily decoupling the detrital resource-consumer relationship, in which detrital consumers shifted their diet to the high-nutrient resource, i.e. salmon carcasses. The average decomposition rate of alder leaves with salmon carcass addition was significantly lower than that without the carcass, which was associated with lower abundance and biomass of detritivorous Trichoptera on the carcass-treated leaves. There were generally larger in size Trichopteran detritivores on the carcasses than on leaves. These results imply that cross-boundary MDN subsidies indirectly retard the ecosystem processing of leaf litter within the short term, but may enhance those food-limited detritivorous consumers. Because unproductive freshwaters in the Pacific northwest are highly dependent upon the organic matter inputs from surrounding forests, this novel finding has implications for determining conservation and management strategies of salmon-related aquatic ecosystems, in terms of salmon habitat protection and fisheries exploitation.</t>
  </si>
  <si>
    <t>10.1098/rspb.2003.2478</t>
  </si>
  <si>
    <t>Galimany, E; Freeman, CJ; Lunt, J; Domingos, A; Sacks, P; Walters, L</t>
  </si>
  <si>
    <t>Feeding competition between the native oyster Crassostrea virginica and the invasive mussel Mytella charruana</t>
  </si>
  <si>
    <t>Bivalve; Oyster reef; Feeding behavior; Stable isotope; Indian River Lagoon; Florida</t>
  </si>
  <si>
    <t>MYTILUS-EDULIS; DREISSENA-POLYMORPHA; PARTICLE SELECTION; LIMNOPERNA-FORTUNEI; CERASTODERMA-EDULE; WATER-QUALITY; BAY; FILTRATION; ECOSYSTEM; GROWTH</t>
  </si>
  <si>
    <t>The sub-tropical mussel Mytella charruana has been reported as invasive along the southeast coast of the USA since 1986. This mussel has been found to negatively impact the keystone species in its invaded range, the eastern oyster Crassostrea virginica. To date, however, no mechanism for this negative impact has been determined. To elucidate the role of the invasive mussel on economically important oyster reefs, we compared the feeding of both species in a lagoon along the east coast of Florida (USA). Three different methodologies were used: (1) in situ filter-feeding experiments using the biodeposition method to estimate feeding behavior; (2) laboratory assays to estimate the depletion of bacterial particles using a flow cytometer; and (3) stable isotope analysis in conjunction with ellipse-based metrics to investigate the niche size and overlap of these 2 species. The in situ filter-feeding experiments revealed that, compared to C. virginica, M. charruana had significantly higher clearance, filtration, rejection, organic ingestion, and ab sorption rates, as well as higher rejection percentage and absorption efficiency, but rejected the same amount of inorganic particles. Flow cytometry data suggested that bacteria were a food source for both bivalve species. Stable isotope values confirmed that M. charruana and C. virginica filled similar functional niches in this ecosystem. These results suggest that M. charruana can out-compete native oysters; the findings also demonstrate that an invasion of M. charruana might significantly alter plankton abundance, potentially limiting food sources available to other less efficient native filter-feeders such as clams.</t>
  </si>
  <si>
    <t>10.3354/meps11976</t>
  </si>
  <si>
    <t>Artetxe-Arrate, I; Fraile, I; Clear, N; Darnaude, AM; Denman, DL; Pecheyran, C; Farley, J; Murua, H</t>
  </si>
  <si>
    <t>Discrimination of yellowfin tuna Thunnus albacares between nursery areas in the Indian Ocean using otolith chemistry</t>
  </si>
  <si>
    <t>Otolith microchemistry; Yellowfin tuna; Otolith elemental fingerprints; Nursery discrimination; Trace elements; Stable carbon and oxygen isotopes; Stock structure</t>
  </si>
  <si>
    <t>TRACE-ELEMENTS; ARAGONITIC OTOLITHS; CHEMICAL SIGNATURES; TROPICAL TUNAS; FISH OTOLITHS; LIFE-HISTORY; STRONTIUM; LARVAE; MICROCHEMISTRY; REQUIREMENTS</t>
  </si>
  <si>
    <t>Yellowfin tuna Thunnus albacares is a highly exploited species in the Indian Ocean. Yet, its stock structure is still not well understood, hindering assessment of the stock at a suitable spatial scale for management. Here, young-of-the-year (&lt; 4 mo) yellowfin tuna otoliths were collected in 2018 and 2019, from 4 major nursery areas in the Indian Ocean: Madagascar, Seychelles-Somalia, Maldives and Sumatra. First, direct age estimates were made in a subset of otoliths by visually counting microincrements to identify the portion of the otolith corresponding to the larval stage. We then developed 2-dimensional maps of trace element concentrations to examine spatial distribution of elements across otolith transverse sections. Different distribution patterns were observed among the elements analysed; Li, Sr and Ba were enriched in the portion of the otolith representing early life, whereas Mn and Mg concentrations were heterogeneous across growth bands. Last, we analysed inter-annual and regional variation in otolith chemical composition using both trace elements (Li, Mg, Sr, Ba and Mn) and stable isotopes (delta C-13 and delta O-18). Significant regional variation in otolith chemical signatures was detected among nurseries, except between Madagascar and Seychelles-Somalia. Otolith delta C-13 and delta O-18 were important drivers of differentiation between western (Madagascar and Seychelles-Somalia), Maldives and Sumatra nurseries, whereas the elemental signatures were cohort specific. Overall nursery assignment accuracies were 69-71%. The present study demonstrates that baseline chemical signatures in the otoliths of yellowfin tuna are regionally distinct and can be used as a natural tag to investigate the nursery origin of older individuals in the Indian Ocean.</t>
  </si>
  <si>
    <t>10.3354/meps13769</t>
  </si>
  <si>
    <t>Le Bot, T; Lescroel, A; Fort, J; Peron, C; Gimenez, O; Provost, P; Gremillet, D</t>
  </si>
  <si>
    <t>Fishery discards do not compensate natural prey shortage in Northern gannets from the English Channel</t>
  </si>
  <si>
    <t>Biologging; Bycatch; Ecosystem-based management; Marine spatial planning; Rebuilding fish stocks; Scavenging; Seabird conservation; Seabird-fishery interaction; Stable-isotopic analysis</t>
  </si>
  <si>
    <t>FORAGING BEHAVIOR; STABLE-ISOTOPES; REPRODUCTIVE SUCCESS; LANDING OBLIGATION; SEABIRD COMMUNITY; TROPHIC LEVEL; GPS TRACKING; ECOLOGY; TRAWLERS; BYCATCH</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</si>
  <si>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t>
  </si>
  <si>
    <t>10.1016/j.biocon.2019.05.040</t>
  </si>
  <si>
    <t>Chen, ZZ; Qiu, YS; Jia, XP; Xu, SN</t>
  </si>
  <si>
    <t>Using an Ecosystem Modeling Approach to Explore Possible Ecosystem Impacts of Fishing in the Beibu Gulf, Northern South China Sea</t>
  </si>
  <si>
    <t>Ecopath with Ecosim; ecosystem impacts of fishing; network analysis; management scenarios; Beibu Gulf; zero growth</t>
  </si>
  <si>
    <t>MARINE MAMMALS; ECOPATH; ECOSIM; BAY</t>
  </si>
  <si>
    <t>Using the Ecopath with Ecosim software, a trophic structure model of the Beibu Gulf was constructed to explore the energy flows and provide a snapshot of the ecosystem operations. Input data were mainly from the trawl survey data collected from October 1998 to September 1999 and related literatures. The impacts of various fishing pressure on the biomass were examined by simulation at different fishing mortality rates. The model consists of 20 functional groups (boxes), each representing organisms with a similar role in the food web, and only covers the major trophic flows in the Beibu Gulf ecosystem. It was found that the food web of the Beibu Gulf was dominated by the primary producers path, and phytoplankton was the primary producer mostly used as a food source. The fractional trophic levels ranged from 1.0 to 4.02, and the marine mammals occupied the highest trophic level. Using network analysis, the ecosystem network was mapped into a linear food chain, and six discrete trophic levels were found with a mean transfer efficiency of 11.2%. The Finn cycling index was 9.73%. The path length was 1.821. The omnivory index was 0.197. The ecosystem had some degree of instability due to exploitation and other human activities, according to Odum's theory of ecosystem development. A 10-year simulation was performed for each fishery scenario. The fishing mortality rate was found to have a strong impact on the biomass. By keeping the fishing mortality rate at the current level for all fishing sectors, scenario 1 had a drastic decrease in the large fish groups. The biomass of the small and medium pelagic fish would increase to some extent. The biomass of the small and low trophic level species, jellyfish, prawns and benthic crustaceans would be stable. The total biomass of the fishery resources would have a 10% decrease from the current biomass after 10 years. In contrast, the reduced fishing mortality rate induced the recovery of biomass (scenarios 2-4). In scenario 2, the biomass of the large demersal fish and the large pelagic fish would increase to over 16 times and 10 times, respectively, of their current level. In scenario 4, the biomass of the large pelagic fish would increase to over 3 times of its current level. The total biomass of the fish groups, especially the high trophic level groups, would become significantly higher after 10 years, which illustrates the contribution on biomass recovery by relaxing the fishing pressure.</t>
  </si>
  <si>
    <t>10.1007/s10021-008-9200-x</t>
  </si>
  <si>
    <t>Mwijage, AP; Shilla, DA; Machiwa, JF; Zhang, J; Wang, FQ; Ying, W</t>
  </si>
  <si>
    <t>Important organic matter sources and trophic pathways for the nutrition of Hilsa kelee (Cuvier, 1829) and Valamugil buchanani (Bleeker, 1853) in Pangani macro-tidal estuary, Tanzania</t>
  </si>
  <si>
    <t>Fish diet; organic matter sources; isotopes; carbon; nitrogen; fatty acid biomarkers</t>
  </si>
  <si>
    <t>FATTY-ACID-COMPOSITION; FOOD-WEB; CARBON-SOURCES; STABLE-ISOTOPES; ST-LUCIA; FISH; DELTA-N-15; COMMUNITY; ECOSYSTEM; PATTERNS</t>
  </si>
  <si>
    <t>The study investigated the spatial variation in the main sources of organic matter (OM) and trophic pathways for zooplanktivorous Hilsa kelee and phytodetritivorous Valamugil buchanani in fresh-water-influenced zone versus sea-water-dominated zone of Pangani estuary. The findings indicated significant inter-specific variations in C-13 and N-15 values (ANOVA, F84.3, p&lt;0.05), fatty acid and dietary compositions (PERMANOVA, pseudo- F9.4, p=0.001) in both estuarine zones. Results also showed significant zonal-intraspecific variations in stable isotopes (C-13 and N-15), FA profile and marginal differences in diet for the V.buchanani while no considerable differences were observed for H.kelee from two estuarine zones. The isotope mixing models and FA biomarkers revealed that the most important carbon sources to the nutrition of H.kelee were derived from microphytobenthos, macro-algae and sea grasses transferred through phytoplankton and detrital trophic pathways. In contrast, C-3 terrestrial plants and microphytobenthos were the main carbon source to the diet of V.buchanani; and were transferred via the benthic and detrital trophic pathways. Therefore, both terrestrial and in-situ OM sources were the main trophic resources base fuelling the planktonic and benthic food webs in Pangani estuary.</t>
  </si>
  <si>
    <t>10.1080/02757540.2018.1520845</t>
  </si>
  <si>
    <t>Altieri, AH; Witman, JD</t>
  </si>
  <si>
    <t>Local extinction of a foundation species in a hypoxic estuary: Integrating individuals to ecosystem</t>
  </si>
  <si>
    <t>Asterias forbesi; benthic-pelagic coupling; bivalve; dissolved oxygen; disturbance; environmental stress; eutrophication; filtration; mussel; Mytilus edulis; predation; refuge</t>
  </si>
  <si>
    <t>MYTILUS-EDULIS; COMMUNITY REGULATION; HABITAT DEGRADATION; CHESAPEAKE BAY; SHORE CRAB; PREDATION; DISTURBANCE; ECOLOGY; MUSSEL; COMPETITION</t>
  </si>
  <si>
    <t>We integrated across individual, Population, Community, and ecosystem levels to understand the impact of environmental stress by tracking the foundation species Mytilus edulis in the hypoxic estuary Narragansett Bay, Rhode Island, USA. Our initial Surveys revealed that the Mussels occurred in nine extensive (2-28 ha) dense (814-9943 individuals/m(2)) subtidal reefs; that attracted a diverse suite of predators (sea stars, crabs, gastropods). Hypoxia occurred in the summer of 2001, and a Mussel transplant experiment revealed overall reduced growth rates of individuals, and higher mortality rates arriong larger mussels. At the Population level, large decreases in densities and cover of mussels were correlated with dissolved oxygen concentrations, leading to extinction at one site and reductions of over ail order of magnitude at others. Within one year, seven of the eight remaining populations were edged to extinction, and the previously extinct population was recolonized. At the community level, a predator exclusion experiment indicated that predation was an unimportant source of mussel mortality during the hypoxic period, in part due to the emigration of sea stars, as predicted by tile Consumer Stress Model. However, mussels were too intolerant to hypoxia to have a net benefit from the predation refuge. The seasonal (summer) occurrence of hypoxia allowed sea stars to return following a lag, as predicted by a stress return time model, and the resumption of predation contributed to the subsequent extinction of mussel populations. At the ecosystem level, the initial filtration rate of the mussel reefs was estimated at 134.6 X 10(6) m(3)/d, equivalent to filtering the Volume of the bay 1.3 times during the 26-d average residence time. That function was reduced by &gt; 75% following hypoxia. The effect of hypoxia on each level of organization had consequences at others. For example, size-specific mortality and decreased growth of individuals, and reduced filtration capacity of reefs, indicated a loss of the ability of mussels to entrain planktonic productivity and potential to control future eutrophication and hypoxia. Our study quantified patterns of loss and identified pathways within ail integrative framework of feedbacks, Summarized in a conceptual model that is applicable to similar foundation species subjected to environmental stress.</t>
  </si>
  <si>
    <t>10.1890/05-0226</t>
  </si>
  <si>
    <t>Scharnweber, K; Andersson, ML; Chaguaceda, F; Eklov, P</t>
  </si>
  <si>
    <t>Intraspecific differences in metabolic rates shape carbon stable isotope trophic discrimination factors of muscle tissue in the common teleost Eurasian perch (Perca fluviatilis)</t>
  </si>
  <si>
    <t>fractionation factors; metabolism; ontogeny; standard metabolic rate; tissue types; delta C-13; delta N-15</t>
  </si>
  <si>
    <t>TURNOVER RATES; LIPID CORRECTION; SOCIAL-STATUS; NICHE WIDTH; FOOD WEBS; DIET; NITROGEN; FISH; GROWTH; DELTA-C-13</t>
  </si>
  <si>
    <t>1. Stable isotopes represent a unique approach to provide insights into the ecology of organisms. delta C-13 and delta N-15 have specifically been used to obtain information on the trophic ecology and food-web interactions. Trophic discrimination factors (TDF, Delta C-13 and Delta N-15) describe the isotopic fractionation occurring from diet to consumer tissue, and these factors are critical for obtaining precise estimates within any application of delta C-13 and delta N-15 values. It is widely acknowledged that metabolism influences TDF, being responsible for different TDF between tissues of variable metabolic activity (e.g., liver vs. muscle tissue) or species body size (small vs. large). However, the connection between the variation of metabolism occurring within a single species during its ontogeny and TDF has rarely been considered. 2. Here, we conducted a 9-month feeding experiment to report Delta C-13 and Delta N-15 of muscle and liver tissues for several weight classes of Eurasian perch (Perca fluviatilis), a widespread teleost often studied using stable isotopes, but without established TDF for feeding on a natural diet. In addition, we assessed the relationship between the standard metabolic rate (SMR) and TDF by measuring the oxygen consumption of the individuals. 3. Our results showed a significant negative relationship of SMR with Delta C-13, and a significant positive relationship of SMR with Delta N-15 of muscle tissue, but not with TDF of liver tissue. SMR varies inversely with size, which translated into a significantly different TDF of muscle tissue between size classes. 4. In summary, our results emphasize the role of metabolism in shaping-specific TDF (i.e., Delta C-13 and Delta N-15 of muscle tissue) and especially highlight the substantial differences between individuals of different ontogenetic stages within a species. Our findings thus have direct implications for the use of stable isotope data and the applications of stable isotopes in food-web studies.</t>
  </si>
  <si>
    <t>10.1002/ece3.7809</t>
  </si>
  <si>
    <t>Goto, D; Dunlop, ES; Young, JD; Jackson, DA</t>
  </si>
  <si>
    <t>Shifting trophic control of fishery-ecosystem dynamics following biological invasions</t>
  </si>
  <si>
    <t>depensation; Ecopath with Ecosim; ecosystem-based management; eutrophication; foraging arena; habitat structural complexity; process uncertainty; regime shift; resilience; transient dynamics; trophic cascade</t>
  </si>
  <si>
    <t>LAKE SIMCOE; GREAT-LAKES; INVERTEBRATE PREDATOR; TEMPORAL VARIATION; BOTTOM-UP; TOP-DOWN; PHOSPHORUS; CONSEQUENCES; BYTHOTREPHES; ONTARIO</t>
  </si>
  <si>
    <t>Increasing human population size and mobility have accelerated the translocation of nonnative species globally, which has become a major threat to conservation of biodiversity and ecosystem services. Introduced species can disrupt species interactions of the recipient ecosystem, triggering system-wide events, and amplify or dampen effects of existing pressures. We show how two pervasive intercontinental invasive consumers in North American lakes, dreissenids (filter-feeding mussels) andBythotrephes(carnivorous zooplankton), nonlinearly modify consumer-resource dynamics and undermine management interventions to rebuild cold-water predatory fish biomass. Synthesizing 30 yr (1986-2015) of lake-wide monitoring data with a dynamic mass-balance food-web model (consisting of 61 species and trophic groups), we reconstructed historical food-web dynamics of Lake Simcoe, a large, temperate lake in Ontario, Canada that has shifted from a turbid to clear-water state. We then analyzed patterns of biomass fluctuations of three recreationally harvested, ecologically connected populations; lake trout (Salvelinus namaycush, a piscivore), lake whitefish (Coregonus clupeaformis, a benthivore), and cisco (C. artedi, a planktivore) before and after the invasions by testing hypotheses on their delayed recoveries under management interventions-predator manipulations (fishery removal and stocking) and nutrient (phosphorus) load reduction. Analyses suggest that fishery harvest primarily regulated early recovery trajectories of the piscivore and planktivore, weakening top-down control prior to the establishment of the invasive consumers. By contrast, the benthivore biomass patterns were shaped, in part, by the invasive mussels (via diet shift), independently of management actions. Although improved water quality (with reduced hypoxia in deeper water) and, in turn, higher macrophyte production are projected to expand the predation refuge for young fish, intensified planktivory (byBythotrephes) and herbivory (by dreissenids) have triggered shifts in community composition (from pelagic to demersal dominance). These system-wide shifts, in turn, have substantially diminished ecosystem productivity, thereby shrinking fishery yields. Novel consumers can rewire food webs, disrupt energy flows, and suppress predator recoveries, underscoring the need to account for altered ecological reality when sustainably managing fishery resources in invaded ecosystems.</t>
  </si>
  <si>
    <t>10.1002/eap.2190</t>
  </si>
  <si>
    <t>Ordiz, A; Bischof, R; Swenson, JE</t>
  </si>
  <si>
    <t>Saving large carnivores, but losing the apex predator?</t>
  </si>
  <si>
    <t>Behavior; Conservation; Ecological role; Hunting; Landscape of fear; Management</t>
  </si>
  <si>
    <t>TROPHIC CASCADE; BROWN BEARS; MESOPREDATOR RELEASE; TOP PREDATORS; PREY; WOLVES; WOLF; CONSERVATION; FOREST; POPULATION</t>
  </si>
  <si>
    <t>Large terrestrial carnivores, e.g. wolves or bears, often play a key ecological role from their position at the apex of trophic systems. Changes to their populations reverberate through ecological communities; consequently their widespread decline in numbers and shrinking distribution due to human persecution has brought about a loss and reconfiguration of biological diversity in many systems. Although many large carnivore populations are now under conservation-minded management, political and economic constraints make compromises necessary. A common compromise is to permit limited harvests, with the premise of sustainability and the objective to increase tolerance and funding for carnivore recovery and conservation. Here we question whether a large carnivore that has to look over its shoulder for human hunters can still fully perform its ecological role at the apex of a trophic system. We use information about carnivore behavior, ecology, trophic interactions, and the effects of human exploitation to argue that exploitation of large carnivores, even if sustainable numerically, undermines the commonly expressed rationale for their conservation, namely the restoration and preservation of ecosystem functionality. Our argument centers around (i) the necessity of behavioral adjustments in large carnivores to anthropomorphic risk, which may limit their contribution to the landscape of fear, and (ii) the observation that many of the same features that put large carnivores at the apex of trophic systems also make them vulnerable to human exploitation and persecution, with implicit consequences for their ecological functionality and evolution. Although hunting large carnivores can improve public acceptance, managers must be aware of the trade-offs. (C) 2013 The Authors. Published by Elsevier Ltd. All rights reserved.</t>
  </si>
  <si>
    <t>10.1016/j.biocon.2013.09.024</t>
  </si>
  <si>
    <t>Liu, XZ; Zhang, Y; Li, ZG; Feng, T; Su, Q; Song, Y</t>
  </si>
  <si>
    <t>Carbon isotopes of C3 herbs correlate with temperature on removing the influence of precipitation across a temperature transect in the agro-pastoral ecotone of northern China</t>
  </si>
  <si>
    <t>C-13; ANCOVA; herbaceous plants; precipitation influence; soil moisture availability; temperature gradient</t>
  </si>
  <si>
    <t>WATER-USE EFFICIENCY; ALTITUDINAL TRENDS; NITROGEN-CONTENT; STABLE-ISOTOPES; LEAF DELTA-C-13; INNER-MONGOLIA; DISCRIMINATION; PATTERNS; GRADIENT; RATIOS</t>
  </si>
  <si>
    <t>Plant C-13-temperature (-T) relation has been established in many systems and is often used as paleotemperature transfer function. However, it is still unclear about the exact contributions of temperature variation to plant C-13 discrimination because of covariation between temperature and precipitation (aridity), which reduces confidence in reconstruction of paleoclimate. In this study, we measured carbon isotope composition (C-13) of 173 samples of C3 perennial herbs from 22 sites across a temperature gradient along the 400mm isohyet in the farming-pastoral zone of North China. The results showed that precipitation obviously affected the correlations of temperatures and foliar C-13. After removing the influence of precipitation by analysis of covariance (ANCOVA), a more strongly positive relationship was obtained between site-mean foliar C-13 and annual mean temperature (AMT), with a regression coefficient of 0.1636 parts per thousand/degrees C (p=.0024). For widespread species, Artemisia lavandulaefolia and Artemisia capillaries, the slopes (or coefficients) of foliar C-13 and AMT were significantly steeper (larger) than those of foliar C-13 and AMT where the precipitation influence was not excluded, whereas the -T coefficients of Polygonum persicaria and Leymus chinensis showed little change across the transect after deducting the precipitation effect. Moreover, the positive relationship between temperature and C-13 over the transect could be explained by soil moisture availability related to temperature. Our results may afford new opportunities for investigating the nature of past climate variability.</t>
  </si>
  <si>
    <t>10.1002/ece3.3548</t>
  </si>
  <si>
    <t>Aranibar, JN; Anderson, IC; Ringrose, S; Macko, SA</t>
  </si>
  <si>
    <t>Title: Importance of nitrogen fixation in soil crusts of southern African arid ecosystems: acetylene reduction and stable isotope studies</t>
  </si>
  <si>
    <t>soil crusts; N fixation; Kalahari; acetylene reduction; isotopes; savanna</t>
  </si>
  <si>
    <t>INORGANIC NITROGEN; CONVERSION FACTOR; LICHEN CRUSTS; DESERT; EMISSIONS; ALGAE; CYANOBACTERIA; DISTURBANCE; SAVANNA; CARBON</t>
  </si>
  <si>
    <t>Cyanobacterial soil crusts may be important in arid and semi-arid ecosystems because of their ability to fix atmospheric nitrogen. (N-2). These crusts are very sensitive to-trampling by animals, and their destruction can decrease ecosystem N inputs, affecting the productivity of the region. The objective of this study was to quantify the nitrogen-fixing activity in soil crusts during the wet season in southern African ecosystems using in situ acetylene reduction assays. The average acetylene reduction rates for each site ranged from 88 to 535 nmol m(-2) h(-1); were highly variable, and were lower than previously reported for other, arid areas. All soil samples showed acetylene. reduction activity; however, soils with crusts supported higher rates. than did non-crusty. soils under litter, moss, or sand. High: values of N-15 natural abundance (delta(15)N) indicated that processes other than N fixation were more important in the crusts than N fixation. For example, coupled nitrification/ denitrification and ammonia volatilization or atmospheric deposition of N-15-enriched nitrate or ammonium may have caused shifts in delta(15)N within the soil crusts. The estimated annual N fixation rates ranged from 8 to 44 g N ha(-1) year(-1), orders of magnitude lower than values estimated in other studies. The anomalous wet conditions experienced during the year of-the study may have increased the temporal availability of soil mineral N and decreased N fixation rates. However, the presence of N fixation activity in all crusts analysed and their ability to survive at high temperature and after long dry periods may provide, ecosystem resilience, facilitating ecosystem recovery after severe droughts. (C) 2003 Elsevier Science Ltd.</t>
  </si>
  <si>
    <t>10.1006/jare.2002.1094</t>
  </si>
  <si>
    <t>Schiott, S; Jensen, MR; Sigsgaard, EE; Moller, PR; Avila, MD; Thomsen, PF; Rysgaard, S</t>
  </si>
  <si>
    <t>Environmental DNA metabarcoding reveals seasonal and spatial variation in the vertebrate fauna of Ilulissat Icefjord, Greenland</t>
  </si>
  <si>
    <t>eDNA; Jakobshavn Icefjord; Indigenous knowledge; Oceanography; Marine-terminating glacier</t>
  </si>
  <si>
    <t>HALIBUT REINHARDTIUS-HIPPOGLOSSOIDES; CAPELIN MALLOTUS-VILLOSUS; GADUS-MORHUA; ICE-SHEET; COD; GODTHABSFJORD; TEMPERATURE; GLACIERS; CLIMATE; FJORD</t>
  </si>
  <si>
    <t>Ilulissat Icefjord in Greenland is experiencing the effects of climate change, with the Sermeq Kujalleq glacier being one of the fastest-moving and most productive ice streams in Greenland. This is likely affecting the distribution of species in the fjord, including those important to local fisheries. Due to heavy ice conditions, few studies on environmental and ecological conditions exist from the fjord. However, new techniques such as environmental DNA (eDNA) metabarcoding now allow deeper insight into the fjord system. Here, we combine local ecological knowledge with data on hydrographic conditions, stable isotopes (delta 18O), and eDNA metabarcoding to investigate the spatial and seasonal distribution of marine fish and mammals inside Ilulissat Icefjord. Our eDNA results support local observations that Arctic char migrate to the southern fjord during summer, harp seals forage in large herds in the fjord system, polar cod is the dominant prey fish in the area, and Greenland shark likely does not reside in the fjord system. Lower predation pressure in the Icefjord, due to the absence of Greenland shark and polar bears as well as limited fishing/hunting, is presumably one of the reasons why ringed seals and Greenland halibut are larger in the Icefjord. Furthermore, our results indicate that in summer, the southern branch of the fjord system has a more diverse community of vertebrates and different water masses than the northern branch and main fjord, indicating a time lag between inflows to the different branches of the fjord system. Our approach highlights the value of combining local ecological knowledge with scientific research and represents a potential starting point for monitoring biological responses in Ilulissat Icefjord associated with climate-induced changes.</t>
  </si>
  <si>
    <t>10.3354/meps14250</t>
  </si>
  <si>
    <t>Iken, K; Bluhm, BA; Gradinger, R</t>
  </si>
  <si>
    <t>Food web structure in the high Arctic Canada Basin: evidence from delta C-13 and delta N-15 analysis</t>
  </si>
  <si>
    <t>NORTHEAST WATER POLYNYA; MARGINAL ICE-ZONE; SEA-ICE; CHUKCHI SEAS; TROPHIC RELATIONSHIPS; BENTHIC COMMUNITY; ORGANIC-MATTER; LIMACINA-HELICINA; ISOTOPE RATIOS; BERING-SEA</t>
  </si>
  <si>
    <t>The food-web structure of the Arctic deep Canada Basin was investigated in summer 2002 using carbon and nitrogen stable isotope tracers. Overall food-web length of the range of organisms sampled occupied four trophic levels, based on 3.8parts per thousand trophic level enrichment ( delta(15)N range: 5.3-17.parts per thousand). It was, thus, 0.5-1 trophic levels longer than food webs in both Arctic shelf and temperate deep-sea systems. The food sources, pelagic particulate organic matter (POM) (delta(13)C= -25.8parts per thousand, delta(15)N= 5.3parts per thousand) and ice POM (delta(13)C= -26.9parts per thousand, delta(15)N= 4.1parts per thousand), were not significantly different. Organisms of all habitats, ice-associated, pelagic and benthic, covered a large range of delta(15)N values. In general, ice-associated crustaceans (delta(15)N range 4.6-12.4parts per thousand, mean 6.9parts per thousand) and pelagic species (delta(15)N range 5.9-16.5, mean 11.5parts per thousand) were depleted relative to benthic invertebrates (delta(15)N range 4.6-17.7parts per thousand, mean 13.2parts per thousand). The predominantly herbivorous and predatory sympagic and pelagic species constitute a shorter food chain that is based on fresh material produced in the water column. Many benthic invertebrates were deposit feeders, relying on largely refractory material. However, sufficient fresh phytodetritus appeared to arrive at the seafloor to support some benthic suspension and surface deposit feeders on a low trophic level ( e. g., crinoids, cumaceans). The enriched signatures of benthic deposit feeders and predators may be a consequence of low primary production in the high Arctic and the subsequent high degree of reworking of organic material.</t>
  </si>
  <si>
    <t>10.1007/s00300-004-0669-2</t>
  </si>
  <si>
    <t>McKee, KL; Feller, IC; Popp, M; Wanek, W</t>
  </si>
  <si>
    <t>Mangrove isotopic (delta N-15 and delta C-13) fractionation across a nitrogen vs. phosphorus limitation gradient</t>
  </si>
  <si>
    <t>carbon isotope discrimination; height forms; mangrove, red; nitrogen isotope discrimination; nutrient limitation; Rhizophora mangle; stress tolerance</t>
  </si>
  <si>
    <t>RHIZOPHORA-MANGLE; NUTRIENT ENRICHMENT; METROSIDEROS-POLYMORPHA; SPARTINA-ALTERNIFLORA; CARBON; GROWTH; SALINITY; DISCRIMINATION; SULFIDE; AMMONIUM</t>
  </si>
  <si>
    <t>Mangrove islands in Belize are characterized by a unique switching from nitrogen (N) to phosphorus (P) limitation to tree growth from shoreline to interior. Fertilization has previously shown that Rhizophora mangle (red mangrove) fringe trees (5-6 m tall) growing along the shoreline are N limited; dwarf trees (less than or equal to 1.5 m tall) in the forest interior are P limited; and transition trees (2-4 m tall) are co-limited by both N and P. Growth patterns paralleled a landward decrease in soil flushing by tides and an increase in bioavailable N, but P availability remained consistently low across the gradient. Stable isotopic composition was measured in R. mangle leaves to aid in explaining this nutrient switching pattern and growth variation. Along control transects, leaf delta(15)N decreased from +0.10parts per thousand (fringe) to -5.38parts per thousand (dwarf). The delta(15)N of N-fertilized trees also varied spatially, but the values were consistently more negative (by similar to3parts per thousand) compared to control trees. Spatial variation in 815 N values disappeared when the trees were fertilized with P and values averaged +0.12parts per thousand, similar to that in control fringe trees. Neither variation in source inputs nor microbial fractionation could fully account for the observed patterns in delta(15)N. The results instead suggest that the lower delta(15)N values in transition and dwarf control trees were due to plant fractionation as a consequence of slower growth and lower N demand. P fertilization increased N demand and decreased fractionation. Although leaf delta(13)C was unaffected by fertilization, values increased from fringe (-28.6parts per thousand) to transition (-27.9parts per thousand) to dwarf (-26.4parts per thousand) zones, indicating spatial variation in environmental stresses affecting stomatal conductance or carboxylation. The results thus suggest an interaction of external supply, internal demand, and plant ability to acquire nutrients under different hydro-edaphic conditions that vary across this tree-height gradient. The findings not only aid in understanding mangrove discrimination of nitrogen and carbon isotopes, but also have implications for identifying nutrient loading and other stress conditions in coastal systems dominated by mangroves.</t>
  </si>
  <si>
    <t>10.2307/3071914</t>
  </si>
  <si>
    <t>Can ancestry and morphology be used as surrogates for species niche relationships?</t>
  </si>
  <si>
    <t>COMMUNITY-WIDE MEASURES; ISOTOPE RATIOS PROVIDE; WATER FISH ASSEMBLAGES; PHYLOGENETIC SIGNAL; STABLE-ISOTOPES; FUNCTIONAL TRAITS; TROPHIC POSITION; BODY-SIZE; ECOMORPHOLOGICAL DIVERSIFICATION; DISCRIMINATION FACTORS</t>
  </si>
  <si>
    <t>Species interactions are difficult to quantify, and, consequently, many studies have used species traits and phylogeny as proxies under an assumption of niche conservatism (i.e., closely related and morphologically similar species should have similar niches). However, few studies have investigated whether niches actually are conserved within and across diverse communities.Here, we tested the degree to which phylogenetic relatedness and morphological similarity predict diets and stable isotopic ratios (delta N-15 and delta C-13), two common descriptors of the trophic niche, in fish assemblages of two small streams in the Neotropics. We also tested the strength of the association between isotopic ratios and diet composition and found significant correlations implying that isotopic signals reveal trophic structure despite error associated with estimates of trophic enrichment and variation associated with tissue preservation, metabolism, and other factors affecting isotopic ratios. Morphological traits yielded a significant phylogenetic signal, and both morphological traits and phylogeny were correlated with diet composition, with morphological traits being a stronger predictor. We infer that functionally relevant morphological traits of fish can be used to infer trophic niches for certain kinds of questions and analyses when trophic data are lacking. However, we highlight that using phylogenetic and morphological data in combination with dietary and/or isotopic data can improve resolution of assemblage trophic structure and niche diversification.</t>
  </si>
  <si>
    <t>10.1002/ece3.6390</t>
  </si>
  <si>
    <t>Wallinger, C; Staudacher, K; Schallhart, N; Mitterrutzner, E; Steiner, EM; Juen, A; Traugott, M</t>
  </si>
  <si>
    <t>How generalist herbivores exploit belowground plant diversity in temperate grasslands</t>
  </si>
  <si>
    <t>Agriotes obscurus; Agriotes sputator; root feeding; soil herbivory; trophic interaction</t>
  </si>
  <si>
    <t>ENEMY-FREE-SPACE; INSECT HERBIVORY; AGRIOTES SPP.; COLEOPTERA; RESPONSES; ELATERIDAE; SUSCEPTIBILITY; DISTRIBUTIONS; PERSPECTIVES; COMMUNITIES</t>
  </si>
  <si>
    <t>Belowground herbivores impact plant performance, thereby inducing changes in plant community composition, which potentially leads to cascading effects onto higher trophic levels and ecosystem processes and productivity. Among soil-living insects, external root-chewing generalist herbivores have the strongest impact on plants. However, the lack of knowledge on their feeding behaviour under field conditions considerably hampers achieving a comprehensive understanding of how they affect plant communities. Here, we address this gap of knowledge by investigating the feeding behaviour of Agriotes click beetle larvae, which are common generalist external root-chewers in temperate grassland soils. Utilizing diagnostic multiplex PCR to assess the larval diet, we examined the seasonal patterns in feeding activity, putative preferences for specific plant taxa, and whether species identity and larval instar affect food choices of the herbivores. Contrary to our hypothesis, most of the larvae were feeding-active throughout the entire vegetation period, indicating that the grassland plants are subjected to constant belowground feeding pressure. Feeding was selective, with members of Plantaginaceae and Asteraceae being preferred; Apiaceae were avoided. Poaceae, although assumed to be most preferred, had an intermediate position. The food preferences exhibited seasonal changes, indicating a fluctuation in plant traits important for wire-worm feeding choice. Species-and instar-specific differences in dietary choice of the Agriotes larvae were small, suggesting that species and larval instars occupy the same trophic niche. According to the current findings, the food choice of these larvae is primarily driven by plant identity, exhibiting seasonal changes. This needs to be considered when analysing soil herbivore-plant interactions.</t>
  </si>
  <si>
    <t>10.1111/mec.12579</t>
  </si>
  <si>
    <t>Jones, JB; Bustamante, P; Guillou, G; Arkhipkin, AI</t>
  </si>
  <si>
    <t>Using stable isotope chronologies within squid gladii (Doryteuthis gahi) to evaluate dietary differences by fishing region and season</t>
  </si>
  <si>
    <t>Loliginidae; Gladius; Trophic ecology; Squid; Feeding ecology; Migration; South Atlantic</t>
  </si>
  <si>
    <t>LOLIGO-GAHI; FALKLAND ISLANDS; LIFE-HISTORY; ONTOGENIC MIGRATIONS; PATAGONIAN SQUID; TROPHIC PATTERNS; DOSIDICUS GIGAS; DELTA-N-15; CEPHALOPODS; GROWTH</t>
  </si>
  <si>
    <t>Stable isotopes are a useful tool for understanding diet and migration in squid, which often play an important role in marine food webs. The Patagonian long-finned squid fishery around Falkland Islands waters is managed separately for each of its biannual fishing seasons and 2 sub-areas of the fishing zone. However, factors driving differences in the timing of recruitment and squid size between sub-areas have never been resolved. To investigate whether seasonal and spatial variation in life history parameters of the Patagonian long-finned squid Doryteuthis gahi is driven by differences in diet, stable isotope profiles (delta 13C and delta 15N) were measured along the gladius-the internal chitinous shell-to reconstruct a chronological record of habitat and feeding variations and to compare fishing seasons and sub-areas using a mixed modelling approach. Here we show that isotopic niche was distinct between the fishing seasons, but negligible differences in isotopic niche were found between sub-areas of the fishing zone. This suggests that spatial differences in life history parameters are not a result of dietary variation. Substantial variation in delta 13C and delta 15N values along the gladius indicated versatility in feeding behaviours and dietary habits over time. Squid in the second fishing season occupied a lower trophic level (mean = 3.2) than the first season (mean = 3.5). Patterns in delta 13C values indicated more complex and substantial migration patterns in the second fishing season. This coincides with the current knowledge of this species' spawning migrations. We anticipate that these data may be used for future studies investigating the role of squid within the Patagonian Shelf marine ecosystem. Analysis of the squid gladius has applications for other loliginid squid species in future studies.</t>
  </si>
  <si>
    <t>10.3354/meps14221</t>
  </si>
  <si>
    <t>Wang, YV; Larsen, T; Lebrato, M; Tseng, LC; Lee, PW; Sanchez, N; Molinero, JC; Hwang, JS; Chan, TY; Garbe-Schonberg, D</t>
  </si>
  <si>
    <t>Foraging under extreme events: Contrasting adaptations by benthic macrofauna to drastic biogeochemical disturbance</t>
  </si>
  <si>
    <t>biogeochemical cycling; carbon; endemic; obligate species; extreme events; marine benthic community; marine food web; nitrogen; stable isotopes; sulphur; vent macrofauna</t>
  </si>
  <si>
    <t>HYDROTHERMAL VENT; STABLE-ISOTOPE; DEEP-SEA; KUEISHAN ISLAND; CARBON FIXATION; NITROGEN; SULFUR; COMMUNITIES; ORGANISMS; TAIWAN</t>
  </si>
  <si>
    <t>1. Hydrothermal vent systems are important biodiversity hotspots that host a vast array of unique species and provide information on life's evolutionary adaptations to extreme environments. However, these habitats are threatened by both human exploitation and extreme natural events, both of which can rapidly disrupt the delicate balance of the food webs found in these systems. This is particularly true for shallow vent endemic animals due to their limited dietary niche and specialized adaptations to specific biogeochemical conditions. 2. In this study, we used the shallow hydrothermal vents of Kueishantao off the coast of Taiwan as a natural laboratory to examine the response of a benthic food web to a M5.8 earthquake and a C5 typhoon that led to a two-year near shutdown of the vents. These perturbations drastically altered the local biogeochemical cycle and the dietary availability of chemosynthetic versus photosynthetic food resources. 3. Our analysis of multiple stable isotopes, including those of sulphur, carbon, and nitrogen (delta S-34, delta C-13, and delta N-15), from different benthic macrofauna reveals that endemic and non-endemic consumers exhibited different responses to sudden disruption in habitat and biogeochemical cycling. 4. The endemic vent crab, Xenograpsus testudinatus, continued to partially rely on chemosynthetic sulphur bacteria despite photosynthetic sources being the most dominant food source after the disruption. We posit that X. testudinatus has an obligate nutritional dependence on chemoautotrophic sources because the decrease in chemoautotrophic production was accompanied by a dramatic decrease in the abundance of X. testudinatus. The population decline rate was similar to 19 individuals per m(2) per year before the perturbation, but the decline rate increased to 40 individuals per m(2) per year after the perturbation. In contrast, the non-endemic gastropods exhibited much greater dietary plasticity that tracked the overall abundance of photo- and chemo-synthetic dietary sources. 5. The catastrophic events in shallow hydrothermal vent ecosystem presented a novel opportunity to examine dietary adaptations among endemic and non-endemic benthic macrofauna in response to altered biogeochemical cycling. Our findings highlight the vulnerability of benthic specialists to the growing environmental pressures exerted by human activities worldwide.</t>
  </si>
  <si>
    <t>10.1111/1365-2435.14312</t>
  </si>
  <si>
    <t>Queiros, JP; Phillips, RA; Baeta, A; Abreu, J; Xavier, JC</t>
  </si>
  <si>
    <t>Habitat, trophic levels and migration patterns of the short-finned squid Illex argentinus from stable isotope analysis of beak regions</t>
  </si>
  <si>
    <t>Thalassarche melanophris; Ommastrephidae; Ontogenetic shifts; Argentine shortfin squid; Cephalopod</t>
  </si>
  <si>
    <t>PATAGONIAN SHELF; POPULATION-STRUCTURE; MARINE ECOSYSTEM; CEPHALOPOD BEAKS; STOMACH-CONTENTS; FORAGING AREAS; CLIMATE-CHANGE; OMMASTREPHIDAE; PREDATORS; ECOLOGY</t>
  </si>
  <si>
    <t>Illex argentinus is an ecologically and economically important species, assumed to be restricted to the Patagonian Shelf and around the subtropical convergence. Beaks found in diet samples from black-browed albatrosses Thalassarche melanophris during chick rearing initially suggested that it may also inhabit Antarctic waters until it was appreciated that I. argentinus is used as fishing bait by commercial longliners within albatrosses foraging areas. Here, we applied a new methodology involving stable isotope analysis (delta C-13 and delta N-15) in two regions [tip of the rostrum (juvenile) and wing (adult)] of lower beaks obtained from diet samples of black-browed albatrosses breeding at Bird Island (South Georgia). The aims were to (1) assess if I. argentinus could inhabit Antarctic waters somewhere in the life cycle (2) determine the trophic ecology of I. argentinus, and (3) discuss possible migration patterns of I. argentinus and whether its distribution may change in the future. Values of delta C-13 (proxy for habitat) were - 18.4 +/- 0.7 parts per thousand and - 17.1 +/- 0.4 parts per thousand during the juvenile and adult life stages, respectively, indicating a northwards ontogenetic shift, and that this species exclusively inhabits waters north of the Antarctic Polar Front. Values of delta N-15 was lower in juveniles (+5.9 +/- 1.1 parts per thousand) than adults (+8.4 +/- 1.3 parts per thousand), indicating an increase of one trophic level throughout the squid's life, suggesting a diet shift from zooplankton to fish and squid. Based on predicted effects of climate change, the distribution of I. argentinus may become more restricted as the northern limit moves southwards because of warming ocean temperature.</t>
  </si>
  <si>
    <t>10.1007/s00300-019-02598-x</t>
  </si>
  <si>
    <t>Kristensen, ML; Olsen, EM; Moland, E; Knutsen, H; Gronkjaer, P; Koed, A; Kallo, K; Aarestrup, K</t>
  </si>
  <si>
    <t>Disparate movement behavior and feeding ecology in sympatric ecotypes of Atlantic cod</t>
  </si>
  <si>
    <t>Atlantic cod; behavior; ecotypes; stable isotopes; telemetry; trophic ecology</t>
  </si>
  <si>
    <t>GADUS-MORHUA L; MIGRATORY BEHAVIOR; BARENTS SEA; PATTERNS; FOOD; TEMPERATURE; POPULATIONS; DIVERGENCE; TOLERANCE; SELECTION</t>
  </si>
  <si>
    <t>Coexistence of ecotypes, genetically divergent population units, is a widespread phenomenon, potentially affecting ecosystem functioning and local food web stability. In coastal Skagerrak, Atlantic cod (Gadus morhua) occur as two such coexisting ecotypes. We applied a combination of acoustic telemetry, genotyping, and stable isotope analysis to 72 individuals to investigate movement ecology and food niche of putative local Fjord and putative oceanic North Sea ecotypes-thus named based on previous molecular studies. Genotyping and individual origin assignment suggested 41 individuals were Fjord and 31 were North Sea ecotypes. Both ecotypes were found throughout the fjord. Seven percent of Fjord ecotype individuals left the study system during the study while 42% of North Sea individuals left, potentially homing to natal spawning grounds. Home range sizes were similar for the two ecotypes but highly variable among individuals. Fjord ecotype cod had significantly higher delta C-13 and delta N-15 stable isotope values than North Sea ecotype cod, suggesting they exploited different food niches. The results suggest coexisting ecotypes may possess innate differences in feeding and movement ecologies and may thus fill different functional roles in marine ecosystems. This highlights the importance of conserving interconnected populations to ensure stable ecosystem functioning and food web structures.</t>
  </si>
  <si>
    <t>10.1002/ece3.7939</t>
  </si>
  <si>
    <t>Evangelista, C; Lecerf, A; Britton, JR; Cucherousset, J</t>
  </si>
  <si>
    <t>Resource composition mediates the effects of intraspecific variability in nutrient recycling on ecosystem processes</t>
  </si>
  <si>
    <t>ECOLOGICAL STOICHIOMETRY; PUMPKINSEED SUNFISH; LEPOMIS-GIBBOSUS; TROPHIC POSITION; FOOD WEBS; FISH; STREAM; FRACTIONATION; INDIVIDUALS; PHOSPHORUS</t>
  </si>
  <si>
    <t>Despite the growing evidence for individual variation in trophic niche within populations, its potential indirect effects on ecosystem processes remains poorly understood. In particular, few studies have investigated how intraspecific trophic variability can modulate the effects of consumers on ecosystems through potential changes in nutrient excretion rates. Here, we first quantified the level of intraspecific trophic variability in 11 wild populations of the omnivorous fish Lepomis gibbosus. Outputs from stomach content and stable isotope analyses revealed that the degree of trophic specialization and trophic positions were highly variable between and within these wild populations. There was intrapopulation variation in trophic position of more than one trophic level, suggesting that individuals consumed a range of plant and animal resources. We then experimentally manipulated intraspecific trophic variability to assess how it can modulate consumer-mediated nutrient effects on relevant processes of ecosystem functioning. Specifically, three food sources varying in nutrient quality (e.g. plant material, macro-invertebrate and fish meat) were used individually or in combination to simulate seven diet treatments. Results indicated that intraspecific variability in growth and nitrogen excretion rates were more related to the composition of the diet rather than the degree of specialization, and increased with the trophic position of the diet consumed. We subsequently used microcosms and showed that critical ecosystem functions, such as primary production and community respiration, were affected by the variability in excretory products, and this effect was biomass-dependent. These results highlight the importance of considering variation within species to better assess the effects of individuals on ecosystems and, more specifically, the effects of consumer-mediated nutrient recycling because the body size and the trophic ecology of individuals are affected by a large spectrum of natural and human-induced environmental changes.</t>
  </si>
  <si>
    <t>10.1111/oik.03787</t>
  </si>
  <si>
    <t>Holdo, RM; Holt, RD; Coughenour, MB; Ritchie, ME</t>
  </si>
  <si>
    <t>Plant productivity and soil nitrogen as a function of grazing, migration and fire in an African savanna</t>
  </si>
  <si>
    <t>fire effects; fire-herbivore interactions; grazing optimization; migratory ungulates; nitrogen loss; nutrient cycling; primary productivity; Serengeti; spatial subsidies; wildebeest</t>
  </si>
  <si>
    <t>GULF-OF-CALIFORNIA; SERENGETI WILDEBEEST; MICROBIAL PROCESSES; ECOSYSTEM PROCESSES; TALLGRASS PRAIRIE; LARGE HERBIVORES; NATIONAL-PARK; DYNAMICS; NUTRIENT; GRASSLAND</t>
  </si>
  <si>
    <t>1 Herbivores can play a key role in affecting ecosystem function, but their direct and indirect effects are often confounded with each other and have rarely been dissected. Predictions for open systems, i.e. those with cross-habitat nutrient fluxes and dispersal, may differ from those expected in closed systems, where no such transfers occur, but these differences have only recently begun to be characterized. 2 We present a theoretical model of plant productivity and soil nitrogen (N) based on the Serengeti ecosystem in order to investigate the interplay among herbivore movement, nutrient transport across habitats (spatial subsidies), the fire regime and the effects of herbivores on N cycling. 3 Model results suggest that the fire regime and herbivore migration are key determinants of primary productivity and fertility, and that the impact of these factors depends on grazing intensity. At low intensity, high grass biomass leads to extensive fires and N volatilization, but this effect is reduced at high grazing intensity. Without migration, the model predicts that primary productivity and fertility initially increase, then decline with increasing grazing intensity. Conversely, seasonal migration decouples the growing and grazing seasons, leading to a monotonic increase in productivity with grazing intensity. Cross-habitat N transport has a relatively modest effect on N dynamics, and the magnitude of the seasonality effect outweighs the spatial subsidy effect. 4 Our model suggests that herbivores and fire may play key interactive roles in regulating producers and determining ecosystem functional properties in grazing systems, both through consumption and via indirect effects on nutrient availability. The direction and magnitude of these effects could potentially vary greatly among ecosystems with resident vs. migratory herbivores, suggesting that spatial coupling through animal movement can be important at both the population and ecosystem levels. 5 This study suggests that the degree to which trophic interactions influence ecosystem function may be strongly modulated by whether systems are open or closed. It also suggests that direct and indirect effects of consumers on their resources (top-down effects) may be far more important than nutrient subsidies in open terrestrial systems.</t>
  </si>
  <si>
    <t>10.1111/j.1365-2745.2006.01192.x</t>
  </si>
  <si>
    <t>Kerhoulas, LP; Umstattd, N; Koch, GW</t>
  </si>
  <si>
    <t>Seasonal water source patterns in a northern Arizona pine forest</t>
  </si>
  <si>
    <t>grasses; monsoon rain; precipitation; saplings; seedlings; stable isotopes; trees; winter snow</t>
  </si>
  <si>
    <t>PONDEROSA PINE; AMERICAN MONSOON; STAND DENSITY; RADIAL GROWTH; TREE SIZE; PLANT; RESTORATION; PRECIPITATION; EXTRACTION; THROUGHFALL</t>
  </si>
  <si>
    <t>The relationships among stand density and seasonal plant water source patterns in ponderosa pine (Pinus ponderosa) forests are important for informed management decisions in a bimodal climate with increasing variability in winter and monsoon precipitation inputs. Winter precipitation recharges soil moisture, yet it has declined over the past 20 years in the southwestern United States, and monsoon precipitation is becoming more variable in both magnitude and timing. Near Flagstaff, Arizona in August 2013 (monsoon), October 2013 (post-monsoon), and May 2014 (post winter snow melt), we measured soil moisture, soil water delta D at five depths, and xylem water delta D in Muhlenbergia montana (a perennial C-4 grass), Festuca arizonica (a perennial C-3 grass), and P. ponderosa seedlings (&lt; 2 years old), saplings (2-5 cm basal diameter), and mature trees (&gt; 60 cm diameter at breast height) in treated (thinned and burned) and untreated (no thinning, no burning) stands. We found that soil moisture was higher at all soil depths in treated stands in May, after snow melt, and this pattern persisted through August in the deepest soil (60 cm). We also found that, in all sampling months, delta D in xylem water of grasses and pine seedlings indicated use of shallower soil water than for pine saplings and mature trees, presumably due to differences in rooting depths. Additionally, in August, delta D in xylem water of pine saplings and mature trees indicated greater reliance on a deeper water source in untreated stands than in treated stands, likely due to greater competition for shallow water in untreated stands. Our isotopic data indicate that grasses and seedlings used predominantly monsoon water in August and October, while pine saplings and mature trees used predominantly winter water during all sampling months. Importantly, our data indicate that regenerating trees (seedlings and saplings) used both winter and monsoon seasonal water sources, suggesting an increasingly important role for monsoon precipitation if winter precipitation inputs continue to decline. Collectively, these findings demonstrate that management actions can benefit forests via increased soil moisture, that overstory trees rely predominantly on winter precipitation, and that monsoon precipitation is important for herbaceous species and younger, regenerating overstory trees.</t>
  </si>
  <si>
    <t>10.3389/ffgc.2023.1150413</t>
  </si>
  <si>
    <t>Barnes, C; Maxwell, D; Reuman, DC; Jennings, S</t>
  </si>
  <si>
    <t>Global patterns in predator-prey size relationships reveal size dependency of trophic transfer efficiency</t>
  </si>
  <si>
    <t>body mass; consumer-resource; feeding interaction; fish; food web; predator-prey; size spectra; transfer efficiency; trophic level</t>
  </si>
  <si>
    <t>BODY-SIZE; FOOD-CHAIN; FEEDING ECOLOGY; FISH COMMUNITY; DYNAMICS; SPECTRA; BIOMASS; LARVAL; DIET; MODEL</t>
  </si>
  <si>
    <t>Predator-prey body size relationships influence food chain length, trophic structure, transfer efficiency, interaction strength, and the bioaccumulation of contaminants. Improved quantification of these relationships and their response to the environment is needed to parameterize food web models and describe food web structure and function. A compiled data set comprising 29 582 records of individual prey eaten at 21 locations by individual predators that spanned 10 orders of magnitude in mass and lived in marine environments ranging from the poles to the tropics was used to investigate the influence of predator size and environment on predator and prey size relationships. Linear mixed effects models demonstrated that predator prey mass ratios (PPMR) increased with predator mass. The amount of the increase varied among locations and predator species and individuals but was not significantly influenced by temperature. latitude, depth, or primary production. Increases in PPMR with predator mass implied nonlinear relationships between log body mass and trophic level and reductions in transfer efficiency with increasing body size. The results suggest that very general rules determine dominant trends in PPMR in diverse marine ecosystems, leading to the ubiquity of size-based trophic Structuring and the consistency of observed relationships between the relative abundance of individuals and their body size.</t>
  </si>
  <si>
    <t>10.1890/08-2061.1</t>
  </si>
  <si>
    <t>Ugine, TA; Krasnoff, SB; Grebenok, RJ; Behmer, ST; Losey, JE</t>
  </si>
  <si>
    <t>Prey nutrient content creates omnivores out of predators</t>
  </si>
  <si>
    <t>Appetite; evolution; facultative predator; herbivory; lipid; macronutrient; nutrient; omnivory; sterol; zoophytophagy</t>
  </si>
  <si>
    <t>STEROL NUTRITION; PLANT; FOOD; REPRODUCTION; TERRESTRIAL; GENERALIST; NITROGEN; COCCINELLIDAE; ORTHOPTERA; COMPLEXITY</t>
  </si>
  <si>
    <t>The proximate forces that create omnivores out of herbivores and predators have long fascinated ecologists, but the causal reasons for a shift to omnivory are poorly understood. Determining what factors influence changes in trophic position are essential as omnivory plays a central role in theoretical and applied ecology. We used sevenspotted lady beetles (Coccinella septempunctata) to test how prey nutrient content affects beetles' propensity to engage in herbivory. We show that beetles consuming an all-prey diet demonstrate normal growth and development, but suffer a complete loss of fitness (spermatogenic failure) that is restored via herbivory and supplementation with phytosterols and cholesterol. Furthermore, we show that lady beetles possess a state-dependent sterol-specific appetite and redressed their sterol deficit by feeding on foliage. These results demonstrate that predators balance their nutrient intake via herbivory when prey quality is low, and reveal a selective force (sterol nutrition) that drives predatory taxa to omnivory.</t>
  </si>
  <si>
    <t>10.1111/ele.13186</t>
  </si>
  <si>
    <t>Vad, CF; Schneider, C; Lukic, D; Horvath, Z; Kainz, MJ; Stibor, H; Ptacnik, R</t>
  </si>
  <si>
    <t>Grazing resistance and poor food quality of a widespread mixotroph impair zooplankton secondary production</t>
  </si>
  <si>
    <t>Mixotrophic chrysophytes; Food web; Nutritional value; Dinobryon; Zooplankton</t>
  </si>
  <si>
    <t>FRESH-WATER; PHYTOPLANKTON COMMUNITIES; ECOLOGICAL STOICHIOMETRY; CRUSTACEAN ZOOPLANKTON; EUDIAPTOMUS-GRACILIS; SEASONAL PATTERNS; STABLE-ISOTOPES; ORGANISM SIZE; BACTERIVORY; LAKES</t>
  </si>
  <si>
    <t>Growing evidence suggests that global climate change promotes the dominance of mixotrophic algae especially in oligotrophic aquatic ecosystems. While theory predicts that mixotrophy increases trophic transfer efficiency in aquatic food webs, deleterious effects of some mixotrophs on consumers have also been reported. Here, using a widespread mixotrophic algal genus Dinobryon, we aimed to quantify how colonial taxa contribute to secondary production in lakes. We, therefore, studied the dietary effects of Dinobryon divergens on Cladocera (Daphnia longispina) and Copepoda (Eudiaptomus gracilis), representing two main taxonomic and functional groups of zooplankton. In feeding experiments, we showed that Dinobryon was largely grazing resistant and even inhibited the uptake of the high-quality reference food in Daphnia. Eudiaptomus could to some extent compensate with selective feeding, but a negative long-term food quality effect was also evident. Besides, Eudiaptomus was more sensitive to the pure diet of Dinobryon than Daphnia. Low lipid content and high C:P elemental ratio further supported the low nutritional value of the mixotroph. In a stable isotope approach analysing a natural plankton community, we found further evidence that carbon of Dinobryon was not conveyed efficiently to zooplankton. Our results show that the increasing dominance of colonial mixotrophs can result in reduced dietary energy transfer to consumers at higher trophic levels. In a wider perspective, global climate change favours the dominance of some detrimental mixotrophic algae which may constrain pelagic trophic transfer efficiency in oligotrophic systems, similarly to cyanobacteria in eutrophic lakes.</t>
  </si>
  <si>
    <t>10.1007/s00442-020-04677-x</t>
  </si>
  <si>
    <t>Loydi, A; Eckstein, RL; Gebauer, T; Ludewig, K; Otte, A; Reisdorff, C; Jensen, K; Donath, TW</t>
  </si>
  <si>
    <t>Opposite effects of litter and hemiparasites on a dominant grass under different water regimes and competition levels</t>
  </si>
  <si>
    <t>Drought; Festuca arundinacea Schreb; Grassland; Rhinanthus alectorolophus; Rhinanthus minor; Schedonorus arundinaceus (Schreb.) Dumort.; Stable isotopes; Tall fescue</t>
  </si>
  <si>
    <t>RHINANTHUS-MINOR L; SEMINATURAL GRASSLANDS; VEGETATION STRUCTURE; COMMUNITY STRUCTURE; SEEDLING EMERGENCE; STABLE ISOTOPES; PLANT ECOLOGY; ESTABLISHMENT; GROWTH; FACILITATION</t>
  </si>
  <si>
    <t>Direct and indirect biotic interactions may affect plant growth and development, but the magnitude of these effects may vary depending on environmental conditions. In grassland ecosystems, competition is a strong structuring force. Nonetheless, if hemiparasitic plant species are introduced the competition intensity caused by the dominant species may be affected. However, the outcome of these interactions may change between wet or dry periods. In order to study this, we performed a pot experiment with different densities of the dominant species Schedonorus arundinaceus (1, 2 or 4 individuals) under constantly moist or intermittently dry conditions. The different Schenodorus densities were crossed with presence or absence of hemiparasites (either Rhinanthus minor or R. alectorolophus). Additionally, pots remained with bare ground or received a grass litter layer (400 g m(-2)). We expected that indirect litter effects on vegetation (here Schedonorus or Rhinanthus) vary depending on soil moisture. We measured Schedonorus and Rhinanthus aboveground biomass and C stable isotope signature (delta C-13) as response variables. Overall, Schedonorus attained similar biomass under moist conditions with Rhinanthus as in pots under dry conditions without Rhinanthus. Presence of Rhinanthus also increased delta C-13 in moist pots, indicating hemiparasite-induced water stress. Litter presence increased Schedonorus biomass and reduced delta C-13, indicating improved water availability. Plants under dry conditions with litter showed similar biomass as under wet conditions without litter. Hemiparasites and litter had opposite effects: hemiparasites reduced Schedonorus biomass while litter presence facilitated grass growth. Contrary to our expectations, litter did not compensate Schedonorus biomass when Rhinanthus was present.</t>
  </si>
  <si>
    <t>10.1007/s11258-017-0783-1</t>
  </si>
  <si>
    <t>Santana, EM; Armstrong, JB</t>
  </si>
  <si>
    <t>Food habits and anthropogenic supplementation in coyote diets along an urban-rural gradient</t>
  </si>
  <si>
    <t>HUMAN-WILDLIFE INTERACTIONS</t>
  </si>
  <si>
    <t>anthropogenic feeding; Canis latrans; coyote; diet; food habits; scat analysis; urban carnivore</t>
  </si>
  <si>
    <t>WHITE-TAILED DEER; CANIS-LATRANS; SOUTH-CAROLINA; SURVIVAL; ALABAMA; POPULATION</t>
  </si>
  <si>
    <t>Coyotes (Canis latrans) are recent colonists of the southeastern United States and have broadened their niche to include exploitation of urban areas. We examined the diet of coyotes inhabiting areas of differential development by humans and assessed prevalence of anthropogenic feeding, to detect a possible shift in dietary trends by collecting and examining 159 fecal samples from urban, exurban, and rural areas of east-central Alabama, USA. Consumption of anthropogenic food did not vary along the urban-rural gradient, and foods consumed were similar among habitats. While results of our study can provide insight to guide decisions about managing populations of urban-exurban coyotes in the region, further research should be conducted in a diversity of developed areas to assist wildlife managers in evaluating strategies for managing populations of urban-exurban coyotes.</t>
  </si>
  <si>
    <t>Yurkowski, DJ; Ferguson, S; Choy, ES; Loseto, LL; Brown, TM; Muir, DCG; Semeniuk, CAD; Fisk, AT</t>
  </si>
  <si>
    <t>Latitudinal variation in ecological opportunity and intraspecific competition indicates differences in niche variability and diet specialization of Arctic marine predators</t>
  </si>
  <si>
    <t>Beluga whale; generalist; marine mammals; ringed seal; stable isotopes; trophic ecology</t>
  </si>
  <si>
    <t>SEALS PHOCA-HISPIDA; BELUGA WHALES; RINGED SEALS; STABLE-ISOTOPES; INDIVIDUAL SPECIALIZATION; INTRAPOPULATION VARIATION; DELPHINAPTERUS-LEUCAS; CLIMATE-CHANGE; PUSA-HISPIDA; POPULATION</t>
  </si>
  <si>
    <t>Individual specialization (IS), where individuals within populations irrespective of age, sex, and body size are either specialized or generalized in terms of resource use, has implications on ecological niches and food web structure. Niche size and degree of IS of near-top trophic-level marine predators have been little studied in polar regions or with latitude. We quantified the large-scale latitudinal variation of population-and individual-level niche size and IS in ringed seals (Pusa hispida) and beluga whales (Delphinapterus leucas) using stable carbon and nitrogen isotope analysis on 379 paired ringed seal liver and muscle samples and 124 paired beluga skin and muscle samples from eight locations ranging from the low to high Arctic. We characterized both within- and between-individual variation in predator niche size at each location as well as accounting for spatial differences in the isotopic ranges of potential prey. Total isotopic niche width (TINW) for populations of ringed seals and beluga decreased with increasing latitude. Higher TINW values were associated with greater ecological opportunity (i.e., prey diversity) in the prey fish community which mainly consists of Capelin (Mallotus villosus) and Sand lance (Ammodytes sp.) at lower latitudes and Arctic cod (Boreogadus saida) at high latitudes. In beluga, their dietary consistency between tissues also known as the within-individual component (WIC) increased in a near 1: 1 ratio with TINW (slope = 0.84), suggesting dietary generalization, whereas the slope (0.18) of WIC relative to TINW in ringed seals indicated a high degree of individual specialization in ringed seal populations with higher TINWs. Our findings highlight the differences in TINW and level of IS for ringed seals and beluga relative to latitude as a likely response to large-scale spatial variation in ecological opportunity, suggesting species-specific variation in dietary plasticity to spatial differences in prey resources and environmental conditions in a rapidly changing ecosystem.</t>
  </si>
  <si>
    <t>10.1002/ece3.1980</t>
  </si>
  <si>
    <t>Tuerena, RE; Hopkins, J; Ganeshram, RS; Norman, L; de la Vega, C; Jeffreys, R; Mahaffey, C</t>
  </si>
  <si>
    <t>Nitrate assimilation and regeneration in the Barents Sea: insights from nitrate isotopes</t>
  </si>
  <si>
    <t>FALL MIXED-LAYER; SOUTHERN-OCEAN; WATER MASSES; POLAR FRONT; NITROGEN; ATLANTIC; FRACTIONATION; NITRITE; IMPACT; BASIN</t>
  </si>
  <si>
    <t>While the entire Arctic Ocean is warming rapidly, the Barents Sea in particular is experiencing significant warming and sea ice retreat. An increase in ocean heat transport from the Atlantic is causing the Barents Sea to be transformed from a cold, salinity-stratified system into a warmer, less-stratified Atlantic-dominated climate regime. Productivity in the Barents Sea shelf is fuelled by waters of Atlantic origin (AW) which are ultimately exported to the Arctic Basin. The consequences of this current regime shift on the nutrient characteristics of the Barents Sea are poorly defined. Here we use the stable isotopic ratios of nitrate (delta(15) N-NO3, delta O-18-NO3) to determine the uptake and modification of AW nutrients in the Barents Sea. In summer months, phytoplankton consume nitrate, surface waters become nitrate depleted, and particulate nitrogen (delta N-15-PN) reflects the AW nitrate source. The ammonification of organic matter in shallow sediments resupplies N to the water column and replenishes the nitrate inventory for the following season. Low delta O-18-NO3 in the northern Barents Sea reveals that the nitrate in lower-temperature Arctic waters is &gt; 80 % regenerated through seasonal nitrification. During on-shelf nutrient uptake and regeneration, there is no significant change to delta N-15-NO3 or N*, suggesting that benthic denitrification does not impart an isotopic imprint on pelagic nitrate. Our results demonstrate that the Barents Sea is distinct from other Arctic shelves where benthic denitrification enriches delta N-15-NO3 and decreases N*. As nutrients are efficiently recycled in the Barents Sea and there is no significant loss of N through benthic denitrification, changes to Barents Sea productivity are unlikely to alter N availability on shelf or the magnitude of N advected to the central Arctic Basin. However, we suggest that the AW nutrient source ultimately determines Barents Sea productivity and that changes to AW delivery have the potential to alter Barents Sea primary production and subsequent nutrient supply to the central Arctic Ocean.</t>
  </si>
  <si>
    <t>10.5194/bg-18-637-2021</t>
  </si>
  <si>
    <t>Urban, P; Praebel, K; Bhat, S; Dierking, J; Wangensteen, OS</t>
  </si>
  <si>
    <t>DNA metabarcoding reveals the importance of gelatinous zooplankton in the diet of Pandalus borealis, a keystone species in the Arctic</t>
  </si>
  <si>
    <t>Barents Sea; cytochrome c oxidase I (COI); jellyfish; metabarcoding; Pandalus borealis; pelagic; trophic ecology</t>
  </si>
  <si>
    <t>NORTHERN SHRIMP; CLIMATE-CHANGE; STOMACH CONTENTS; STABLE-ISOTOPES; FOOD RESOURCE; PREDATORS; IDENTIFICATION; SCAVENGERS; DIVERSITY; JELLYFISH</t>
  </si>
  <si>
    <t>Information about the dietary composition of a species is crucial to understanding their position and role in the food web. Increasingly, molecular approaches such as DNA metabarcoding are used in studying trophic relationships, not least because they may alleviate problems such as low taxonomic resolution or underestimation of digestible taxa in the diet. Here, we used DNA metabarcoding with universal primers for cytochrome c oxidase I (COI) to study the diet composition of the northern shrimp (Pandalus borealis), an Arctic keystone species with large socio-economic importance. Across locations, jellyfish and chaetognaths were the most important components in the diet of P. borealis, jointly accounting for 40%-60% of the total read abundance. This dietary importance of gelatinous zooplankton contrasts sharply with published results based on stomach content analysis. At the same time, diet composition differed between fjord and shelf locations, pointing to different food webs supporting P. borealis in these two systems. Our study underlines the potential of molecular approaches to provide new insights into the diet of marine invertebrates that are difficult to obtain with traditional methods, and calls for a revision of the role of gelatinous zooplankton in the diet of the key Arctic species P. borealis, and in extension, Arctic food webs.</t>
  </si>
  <si>
    <t>10.1111/mec.16332</t>
  </si>
  <si>
    <t>Rosenblatt, AE; Nifong, JC; Heithaus, MR; Mazzotti, FJ; Cherkiss, MS; Jeffery, BM; Elsey, RM; Decker, RA; Silliman, BR; Guillette, LJ; Lowers, RH; Larson, JC</t>
  </si>
  <si>
    <t>Factors affecting individual foraging specialization and temporal diet stability across the range of a large generalist apex predator</t>
  </si>
  <si>
    <t>American alligator; Alligator mississippiensis; Stomach content analysis; Stable isotope analysis; Food web</t>
  </si>
  <si>
    <t>NORTH-CENTRAL FLORIDA; NICHE WIDTH; AMERICAN ALLIGATORS; STABLE-ISOTOPES; PREY SELECTION; KILLER WHALES; FOOD-HABITS; SEA OTTERS; PATTERNS; LAKE</t>
  </si>
  <si>
    <t>Individual niche specialization (INS) is increasingly recognized as an important component of ecological and evolutionary dynamics. However, most studies that have investigated INS have focused on the effects of niche width and inter-and intraspecific competition on INS in small-bodied species for short time periods, with less attention paid to INS in large-bodied reptilian predators and the effects of available prey types on INS. We investigated the prevalence, causes, and consequences of INS in foraging behaviors across different populations of American alligators (Alligator mississippiensis), the dominant aquatic apex predator across the southeast US, using stomach contents and stable isotopes. Gut contents revealed that, over the short term, although alligator populations occupied wide ranges of the INS spectrum, general patterns were apparent. Alligator populations inhabiting lakes exhibited lower INS than coastal populations, likely driven by variation in habitat type and available prey types. Stable isotopes revealed that over longer time spans alligators exhibited remarkably consistent use of variable mixtures of carbon pools (e.g., marine and freshwater food webs). We conclude that INS in large-bodied reptilian predator populations is likely affected by variation in available prey types and habitat heterogeneity, and that INS should be incorporated into management strategies to efficiently meet intended goals. Also, ecological models, which typically do not consider behavioral variability, should include INS to increase model realism and applicability.</t>
  </si>
  <si>
    <t>10.1007/s00442-014-3201-6</t>
  </si>
  <si>
    <t>Dorrance, AN; Goldstein, JS; Carloni, JT; Gutzler, BC; Watson, WH</t>
  </si>
  <si>
    <t>Sublethal behavioral and physiological effects of claw removal on Jonah crabs (Cancer borealis)</t>
  </si>
  <si>
    <t>Jonah crab; Cancer borealis; Claw removal; Hemolymph loss; Activity; Feeding</t>
  </si>
  <si>
    <t>BIOMEDICAL BLEEDING PROCESS; LOBSTER HOMARUS-AMERICANUS; HORSESHOE-CRAB; LIMB AUTOTOMY; EDIBLE CRAB; CONSEQUENCES; REGENERATION; TEMPERATURE; SURVIVAL; MENIPPE</t>
  </si>
  <si>
    <t>Jonah crabs (Cancer borealis) have been caught as incidental bycatch for over 80 years, but in recent years they have become a targeted fishery, especially in Southern New England where the American lobster (Homarus americanus) population has declined, and harvesters have begun seeking alternative fisheries. This shift has prompted the need for more biological data for Jonah crabs so that this expanding fishery can be managed more effectively. For example, in some areas of its range males have both of their claws removed at sea and only the claws are landed; however, little is known about what happens to the crabs that survive this practice. The focus of this study was to evaluate the impacts of claw removal on Jonah crab mating success, feeding ability and locomotion. In mating trials, all males, regardless of claw status, managed to successfully mate with females that molted while they were paired together (clawed n = 4, claws removed n = 8). When Jonah crab activity was measured in the laboratory, crabs with intact claws were significantly more active than crabs with both claws removed (clawed: 25.0 +/- 8.0% of each hour active, 1 claw removed: 18.1 +/- 7.3% of each hour active, clawless: 13.6 +/- 9.04% of each hour active, mean +/- SD). Similarly, based on data from a tag/recapture experiment, crabs with both claws missing moved about half the distance per day as control crabs, between the time they were released and first recaptured (clawed: 117 +/- 43.1 m/day, clawless: 50 +/- 11.3 m/day, mean +/- SE), although the difference was not significant. These changes in locomotion could be the result of the blood loss associated with claw removal. We found that hemocyanin levels dropped significantly after the removal of both claws and remained so for up to two weeks. Finally, crabs with no claws were able to feed, but they had difficulty opening mussel shells, which might influence their diet in their natural habitat. These data suggest that those Jonah crabs that do survive the claw removal process might be impaired, but should be able to forage, mate, and help sustain the population.</t>
  </si>
  <si>
    <t>10.1016/j.jembe.2021.151642</t>
  </si>
  <si>
    <t>Dwyer, RG; Campbell, HA; Cramp, RL; Burke, CL; Micheli-Campbell, MA; Pillans, RD; Lyon, BJ; Franklin, CE</t>
  </si>
  <si>
    <t>Niche partitioning between river shark species is driven by seasonal fluctuations in environmental salinity</t>
  </si>
  <si>
    <t>acoustic telemetry; bull shark; glyphis; maternal signal; osmoregulation; resource competition; shark nursery; speartooth shark</t>
  </si>
  <si>
    <t>STABLE-ISOTOPE ANALYSIS; FRESH-WATER; CARCHARHINUS-LEUCAS; FISH ASSEMBLAGES; RECTAL GLAND; BULL SHARK; OSMOREGULATION; ELASMOBRANCHS; MOVEMENT; PATTERNS</t>
  </si>
  <si>
    <t>1. Tropical rivers and estuaries are highly dynamic environments, where environmental conditions change dramatically over spatial and temporal scales. This creates both physiological and ecological challenges for euryhaline elasmobranchs, where fluctuations in salinity can impact not only osmoregulatory function but also the ability to find and acquire prey. 2. We investigated how spatial and temporal variation in environmental salinity influences physiological homoeostasis, habitat utilization and migration timing in two euryhaline carcharhinid sharks within a tropical river in northern Australia. Neonate and juvenile bull sharks Carcharhinus leucas and speartooth sharks Glyphis glyphis were tracked over a 4-year period using implanted acoustic tags and an array of hydrophone receivers. Tissue samples were also collected from captured sharks and analysed for interspecific differences in plasma osmolarity, urea and electrolyte (Na+ and K+) concentrations and the stable isotopes delta C-13 and delta N-15. 3. We discovered that immature C. leucas and G. glyphissegregate spatially along a salinity gradient between September and December, where the mean volume of intersection between species dropped as low as 0.01. While G. glyphis used higher salinity environments (mean salinity = 19.22) located between 30 and 70 km from the mouth of the estuary, C. leucas occupied freshwater reaches (mean salinity = 1.98) between 60 and 110 km upstream. Plasma osmolarities of both species were always hyperosmotic to the environment, with electrolyte concentrations maintained within a narrow range independent of environmental osmolarities. At the onset of the wet season, both C. leucas and G. glyphis undertook a coordinated downstream migration towards the lower estuary before returning upstream. 4. Carcharhinus leucas blood tissues were more enriched in d(15)N and delta C-13 than samples collected from similar sizeG. glyphis, suggesting that these species not only spatially segregate within low salinity habitats but also prey on different dietary resources. Furthermore, a loss of enriched isotopic values in fin tissue with increasing body length provides further support for marine use by adult sharks in conjunction with dependence on rivers as important nursery habitat. Our results illustrate the importance of long-term integrative studies into resource competition and the significance of discrete brackish habitats for threatened euryhaline elasmobranchs.</t>
  </si>
  <si>
    <t>10.1111/1365-2435.13626</t>
  </si>
  <si>
    <t>Parkinson, KJL; Hennin, HL; Gilchrist, HG; Hobson, KA; Hussey, NE; Love, OP</t>
  </si>
  <si>
    <t>Breeding stage and tissue isotopic consistency suggests colony-level flexibility in niche breadth of an Arctic marine bird</t>
  </si>
  <si>
    <t>Isotopic niche; Foraging flexibility; Phenology; Trophic interactions; Reproductive investment; Adaptive capacity; Carbon-13; Nitrogen-15</t>
  </si>
  <si>
    <t>EIDERS SOMATERIA-MOLLISSIMA; SEA-ICE CONDITIONS; STABLE-ISOTOPES; CLIMATE-CHANGE; INDIVIDUAL OPTIMIZATION; COMMON EIDERS; NUTRITIONAL STRESS; BODY CONDITION; SURVIVAL; REPRODUCTION</t>
  </si>
  <si>
    <t>Organisms must overcome environmental limitations to optimize their investment in life history stages to maximize fitness. Human-induced climate change is generating increasingly variable environmental conditions, impacting the demography of prey items and, therefore, the ability of consumers to successfully access resources to fuel reproduction. While climate change effects are especially pronounced in the Arctic, it is unknown whether organisms can adjust foraging decisions to match such changes. We used a 9-year blood plasma delta C-13 and delta N-15 data set from over 700 pre-breeding Arctic common eiders (Somateria mollissima) to assess breeding-stage and inter-annual variation in isotopic niche, and whether inferred trophic flexibility was related to colony-level breeding parameters and environmental variation. Eider blood isotope values varied both across years and breeding stages, and combined with only weak relationships between isotopic metrics and environmental conditions suggests that pre-breeding eiders can make flexible foraging decisions to overcome constraints imposed by local abiotic conditions. From an investment perspective, an inshore, smaller isotopic niche predicted a greater probability to invest in reproduction, but was not related to laying phenology. Proximately, our results provide evidence that eiders breeding in the Arctic can alter their diet at the onset of reproductive investment to overcome increases in the energetic demand of egg production. Ultimately, Arctic pre-breeding common eiders may have the stage- and year-related foraging flexibility to respond to abiotic variation to reproduce successfully.</t>
  </si>
  <si>
    <t>10.1007/s00442-022-05267-9</t>
  </si>
  <si>
    <t>Parnell, PE; Dayton, PK; Lennert-Cody, CE; Rasmussen, LL; Leichter, JJ</t>
  </si>
  <si>
    <t>Marine reserve design: optimal size, habitats, species affinities, diversity, and ocean microclimate</t>
  </si>
  <si>
    <t>biological-physical coupling; conservation; habitat; kelp forest; Macrocystis; marine protected area; marine reserve; reserve design; reserve size; stability</t>
  </si>
  <si>
    <t>KELP FOREST; MACROCYSTIS-PYRIFERA; GIANT-KELP; PARASTICHOPUS-PARVIMENSIS; OPHIODON-ELONGATUS; MOVEMENT PATTERNS; HOMING ROUTES; SEA-URCHINS; HOME RANGES; TIDAL FLOW</t>
  </si>
  <si>
    <t>The design of marine reserves is complex and fraught with uncertainty. However, protection of critical habitat is of paramount importance for reserve design. We present a case study as an example of a reserve design based on fine-scale habitats, the affinities of exploited species to these habitats, adult mobility, and the physical forcing affecting the dynamics of the habitats. These factors and their interaction are integrated in an algorithm that determines the optimal size and location of a marine reserve for a set of 20 exploited species within five different habitats inside a large kelp forest in southern California. The result is a reserve that encompasses similar to 42% of the kelp forest. Our approach differs fundamentally from many other marine reserve siting methods in which goals of area, diversity, or biomass are targeted a priori. Rather, our method was developed to determine how large a reserve must be within a specific area to protect a self-sustaining assemblage of exploited species. The algorithm is applicable across different ecosystems, spatial scales, and for any number of species. The result is a reserve in which habitat value is optimized for a predetermined set of exploited species against the area left open to exploitation. The importance of fine-scale habitat definitions for the exploited species off La Jolla is exemplified by the spatial pattern of habitats and the stability of these habitats within the kelp forest, both of which appear to be determined by ocean microclimate.</t>
  </si>
  <si>
    <t>10.1890/1051-0761(2006)016[0945:MRDOSH]2.0.CO;2</t>
  </si>
  <si>
    <t>Bergeron, M; Marcogliese, DJ; Magnan, P</t>
  </si>
  <si>
    <t>The parasite fauna of brook trout, Salvelinus fontinalis (Mitchill), in relation to lake morphometrics and the introduction of creek chub, Semotilus atromaculatus (Mitchill)</t>
  </si>
  <si>
    <t>fish parasites; parasite colonization; parasite exchanges; parasite communities; lake morphometrics; brook trout; creek chub; white sucker</t>
  </si>
  <si>
    <t>FRESH-WATER FISH; CATOSTOMUS-COMMERSONI; HELMINTH COMMUNITIES; INSULAR NEWFOUNDLAND; LAURENTIAN SHIELD; WHITE SUCKER; SALMO-TRUTTA; BROWN TROUT; CHARR; COLONIZATION</t>
  </si>
  <si>
    <t>Creek chub, Semotilus atromaculatus (Mitchill), has been introduced in several brook trout, Salvelinus fontinalis (Mitchill), lakes of the Laurentian Shield, Quebec, Canada. The objectives of this study were to determine (i) if creek chub parasites colonized the lakes of the Laurentian Shield, (ii) if parasites were exchanged between the two fish species, (iii) the effect of the diet shift of brook trout in the presence of creek chub on its parasite fauna, and (iv) the importance of lake mean depth as a factor responsible for parasite community structure in brook trout. Eleven parasite species were identified from creek chub and fourteen from brook trout. Eight of the eleven parasite species found in creek chub colonized the lakes with creek chub. Two creek chub parasite species were exchanged with brook trout and two brook trout parasite species were exchanged with creek chub. The mean number of brook trout parasites acquired by feeding on benthic intermediate hosts was significantly higher in allopatric brook trout populations than in sympatric creek chub and brook trout populations. Larval stages of most parasite species occurred in low abundance or were absent from brook trout found in deep lakes, indicating that bird and mammal definitive hosts were not common in those lakes. A cluster analysis also showed that lakes with similar fish communities tended to clump together, suggesting that fish community structure clearly influences parasite community structure in brook trout. Brook trout parasite community structure was affected by parasite exchange, by diet shift of brook trout when living in sympatry with creek chub and by inter-lake variation due to depth and other factors.</t>
  </si>
  <si>
    <t>10.1080/11956860.1997.11682420</t>
  </si>
  <si>
    <t>O'Brien, JM; Hamilton, SK; Podzikowski, L; Ostrom, N</t>
  </si>
  <si>
    <t>The fate of assimilated nitrogen in streams: an in situ benthic chamber study</t>
  </si>
  <si>
    <t>ammonium; denitrification; nitrate; stable isotopes; uptake</t>
  </si>
  <si>
    <t>ORGANIC-MATTER; FOREST STREAM; DENITRIFICATION; NITRATE; NITRIFICATION; COMMUNITIES; METABOLISM; PERIPHYTON; REMOVAL; CARBON</t>
  </si>
  <si>
    <t>1. Nitrogen (N) processing in streams has been investigated using whole-stream 15N addition experiments that, in general, have found that a large proportion of added nitrate removed from the water column appears to be assimilated by the stream benthos. The long-term fate of this retained N is unknown, and of particular interest is the possibility that it becomes denitrified through coupled mineralisationnitrificationdenitrification processes (indirect denitrification). 2. We used in situ chambers to produce highly 15N-enriched benthic biofilms and removed the chambers to allow biofilms to interact with ambient stream conditions. Nitrogen assimilation and direct denitrification were estimated from the first chamber deployment. Chambers were periodically reinstalled over 4 weeks to measure tracer 15N in ammonium (), nitrate () and dinitrogen (N2), from which we estimated subsequent rates of biotic N transformations, including N mineralisation (ammonification), nitrification and indirect denitrification. We also estimated rates of depuration of 15N tracer from benthic biomass compartments. 3. Nitrate uptake was roughly equivalent in the sand and cobble habitats that dominated the stream. Direct denitrification (denitrification of from the water column) was an order of magnitude higher in cobble habitats than in sand habitats, accounting for c. 26 and 2% of total nitrate uptake in cobble and sand, respectively. 4. Mean residence times of actively cycling organic N in stream benthos (algae and microbes) were 16 days in cobble habitats and 9 days in sand habitats. The difference between habitat types was driven by the influence of N residence time in epilithic biofilms (18 days) on cobbles. 5. Release of enriched 15 was the primary flux of remineralised N, while release of enriched 15 was an order of magnitude less. We detected slight 15N enrichment in dissolved nitrogen gas (N2) in post-enrichment sampling, indicating that indirect denitrification was taking place. However, indirect denitrification accounted for &lt;0.1% of the assimilated N. 6. These experiments agree with results of whole-stream 15N additions, in that most added N was assimilated rather than directly denitrified. Assimilation was primarily a short-term N retention mechanism in this stream, and indirect denitrification of assimilated N accounted for only a minor proportion of the observed 15N loss over time. 7. Remaining possible fates include export of N as particulate organic matter, which may lead to additional storage of assimilated N in downstream habitats, and consumption by grazers.</t>
  </si>
  <si>
    <t>10.1111/j.1365-2427.2012.02770.x</t>
  </si>
  <si>
    <t>Peterson, MI; Kitano, S</t>
  </si>
  <si>
    <t>Habitat dependent predation-competition interaction shifts of invasive smallmouth bass (Micropterus dolomieu) and resident cyprinids in the Chikuma River, Nagano Japan</t>
  </si>
  <si>
    <t>Freshwater fishes; Interspecific competition; Predation; Cyprinids; Inland fisheries</t>
  </si>
  <si>
    <t>SHINANO RIVER; DIET; PATTERNS; EPHEMEROPTERAISONYCHIIDAE; COMMUNITIES; POPULATION; ABUNDANCE; IMPACTS; DENSITY; FISHES</t>
  </si>
  <si>
    <t>Habitat use and diet composition of invasive smallmouth bass, Micropterus dolomieu, Japanese dace, Pseudaspius hakonensis, and pale chub, Opsariichthys platypus, were studied for two years in the Middle Chikuma River, Nagano, Japan. Habitat use of dace and chub overlapped both years but showed differences from smallmouth bass. Additionally, smallmouth bass habitat use differed greatly between years, as young smallmouth bass were found in uncharacteristically fast flowing habitat in 2018 and predominantly in more typical slow flowing habitat in 2019. This use of fast flowing habitat in 2018 appears to be influenced by the high overall fish density, especially for smallmouth bass. Diet composition, studied in 2018, overlapped significantly between the three species in riffle habitat and overlap became less significant in run and pool habitat where smallmouth bass fed increasingly on fish prey. We therefore suggest that the interactions between smallmouth bass and dace and chub shift from predominantly predation in slow flowing habitat to resource competition in faster flowing habitat.</t>
  </si>
  <si>
    <t>10.1007/s10641-021-01067-x</t>
  </si>
  <si>
    <t>SHOLTODOUGLAS, AD; FIELD, JG; JAMES, AG; VANDERMERWE, NJ</t>
  </si>
  <si>
    <t>C-13/C-12 AND N-15/N-14 ISOTOPE RATIOS IN THE SOUTHERN BENGUELA ECOSYSTEM - INDICATORS OF FOOD WEB RELATIONSHIPS AMONG DIFFERENT SIZE-CLASSES OF PLANKTON AND PELAGIC FISH - DIFFERENCES BETWEEN FISH MUSCLE AND BONE-COLLAGEN TISSUES</t>
  </si>
  <si>
    <t>ANCHOVY ENGRAULIS-CAPENSIS; STABLE CARBON; FEEDING SELECTIVITY; DIET; DELTA-C-13; INGESTION; TURNOVER; ANIMALS; MARINE; RATES</t>
  </si>
  <si>
    <t>Measurements of the stable isotope ratios of carbon and nitrogen were obtained for 3 size-fractions of plankton and 2 species of pelagic fish, Engraulis capensis Gilchrist and Etrumeus white-headi Wongratana, from the Benguela current system on the southwest coast of Africa. There was a trend towards enrichment in C-13 and N-15 with increasing plankton size. The data are consistent with the hypothesis that larger plankton feed further up the food web than smaller plankton. Fish muscle and bone collagen tissues tended to be more enriched than the plankton. There was depletion of the heavier isotopes with increasing fish length, in contrast to the opposite tendency with increasing plankton size and towards the trophic position of fish. The fractionation of C-13/C-12 and N-15/N-14 ratios during the formation of muscle tissue was different from that for bone collagen. Bone collagen was richer in C-13 than muscle tissue, whereas muscle was richer than bone collagen in N-15. For both C-13 and N-15, the less enriched tissue displayed the stronger negative correlation with fish length.</t>
  </si>
  <si>
    <t>10.3354/meps078023</t>
  </si>
  <si>
    <t>Stratton, LC; Goldstein, G; Meinzer, FC</t>
  </si>
  <si>
    <t>Temporal and spatial partitioning of water resources among eight woody species in a Hawaiian dry forest</t>
  </si>
  <si>
    <t>resource partitioning; soil water uptake; stable isotopes; species diversity; tropical dry forests</t>
  </si>
  <si>
    <t>STABLE ISOTOPE COMPOSITION; TROPICAL FOREST; SOIL-WATER; PLANTS; TREES; PHENOLOGY; MOVEMENT; BIOMASS; STEM</t>
  </si>
  <si>
    <t>Lowland dry forests are unique in Hawaii for their high diversity of tree species compared with wet forests. We characterized spatial and temporal partitioning of soil water resources among seven indigenous and one invasive dry forest species to determine whether the degree of partitioning was consistent with the relatively high species richness in these forests. Patterns of water utilization were inferred from stable hydrogen isotope ratios CFD of soil and xylem water, zones of soil water depletion, plant water status, leaf phenology, and spatial patterns of species distribution. Soil water delta D values ranged from -20 parts per thousand near the surface to -48 parts per thousand at 130 cm depth. Metrosideros polymorpha, an evergreen species, and Reynoldsia sandwicensis, a drought-deciduous species, had xylem sap delta D values of about -52 parts per thousand, and appeared to obtain their water largely from deeper soil layers. The remaining six species had xylem FD values ranging from -33 to -42 parts per thousand, and apparently obtained water from shallower soil layers. Xylem water delta D values were negatively correlated with minimum annual leaf water potential and positively correlated with leaf solute content, an integrated measure of leaf water deficit. Seasonal patterns of leaf production ranged from dry season deciduous at one extreme to evergreen with near constant leaf expansion rates at the other. Species tapping water more actively from deeper soil layers tended to exhibit larger seasonality of leaf production than species relying on shallower soil water sources. Individuals of Myoporum sandwicense were more spatially isolated than would be expected by chance. Even though this species apparently extracted water primarily from shallow soil layers, as indicated by its xylem FD values, its nearly constant growth rates across all seasons may have been the result of a larger volume of soil water available per individual. The two dominant species, Diospyros sandwicesis and Nestegis sandwicensis, exhibited low leaf water potentials during the dry season and apparently drew water mostly from the upper portion of the soil profile, which may have allowed them to exploit light precipitation events more effectively than the more deeply rooted species. Character displacement in spatial and temporal patterns of soil water uptake was consistent with the relatively high diversity of woody species in Hawaiian dry forests.</t>
  </si>
  <si>
    <t>10.1007/s004420000384</t>
  </si>
  <si>
    <t>Garcia-Tarrason, M; Becares, J; Bateman, S; Arcos, JM; Jover, L; Sanpera, C</t>
  </si>
  <si>
    <t>Sex-specific foraging behavior in response to fishing activities in a threatened seabird</t>
  </si>
  <si>
    <t>Audouin's gull; ban on discards; common fisheries policy reform; foraging behavior; habitat use; seabirds; sexual segregation</t>
  </si>
  <si>
    <t>GULLS LARUS AUDOUINII; STABLE-ISOTOPES; EBRO DELTA; FOOD; DIET; CONSERVATION; FISHERIES; PATTERNS; DISCRIMINATION; CONSEQUENCES</t>
  </si>
  <si>
    <t>Some seabird species have learnt to efficiently exploit fishing discards from trawling activities. However, a discard ban has been proposed as necessary in Europe to ensure the sustainability of the seas. It is of crucial importance for the management and conservation purposes to study the potential consequences of a discard ban on the foraging ecology of threatened seabirds. We assessed the influence of fishing activities on the feeding habits of 22 male and 15 female Audouin's gulls (Larus audouinii) from the Ebro Delta (Mediterranean Sea) during the breeding period using GPS loggers together with Stable Isotope Analysis (SIA), which provided new insights into their foraging behavior and trophic ecology, respectively. GPS data revealed different sex-specific foraging patterns between workdays and weekends. Females were highly consistent in that they foraged at sea throughout the week even though discarding stops at weekends. In contrast, males switched from foraging at sea during the week (when discards are produced) to an increased use of rice field habitats at weekends (when fishermen do not work). This sex-specific foraging behavior could be related to specific nutritional requirements associated with previous egg production, an energetically demanding period for females. However, on a broader time scale integrated by the SIA, both sexes showed a high degree of individual specialization in their trophic ecology. The need to obtain detailed information on the dependence and response of seabirds to fishing activities is crucial in conservation sciences. In this regard, sex-specific foraging behavior in relation to fisheries has been overlooked, despite the ecological and conservation implications. For instance, this situation may lead to sex differentiation in bycatch mortality in longlines when trawlers do not operate. Moreover, any new fisheries policy will need to be implemented gradually to facilitate the adaptation of a specialized species to a discard ban scenario.</t>
  </si>
  <si>
    <t>10.1002/ece3.1492</t>
  </si>
  <si>
    <t>Michael, JH</t>
  </si>
  <si>
    <t>Pacific salmon spawner escapement goals for the Skagit river watershed as determined by nutrient cycling considerations</t>
  </si>
  <si>
    <t>ONCORHYNCHUS-KISUTCH CARCASSES; ELEMENTS TRANSPORTED UPSTREAM; COHO SALMON; DELTA-C-13 EVIDENCE; STABLE ISOTOPES; EASTERN OREGON; SMALL STREAMS; BALD EAGLES; WASHINGTON; HABITAT</t>
  </si>
  <si>
    <t>Wild populations of Pacific salmon (Oncorhynchus spp.) in Washington State are generally at low levels compared to populations that were likely present before the arrival of Euro-Americans in the Pacific Northwest. Habitat loss, the introduction of non-native stocks and species, and overfishing have all contributed to the decline. Historically, huge numbers of salmonid carcasses provided entire watersheds with nutrients derived from the ocean. Diminished populations and transport of these nutrients out of watersheds has caused a nutrient deficiency compared to times when populations were large. This nutrient deficiency may be hampering recovery of salmon and other animal populations. Beginning with the premise that the Pacific Northwest ecosystem evolved to fully utilize massive numbers of spawning salmon, I estimated the biomass of salmon carcasses necessary to support nesting song birds, wintering bald eagles, and salmonid smolt production in the Skagit River watershed in Washington. The proposed spawner escapement goals thus estimated are 150% to 680% higher than current spawner escapement goals for salmon in the watershed The justifications for these proposed gears include comparison with escapement goals used in other watersheds, the actual uptake of marine-derived nutrients by fish, the impact of increased escapement on subsequent smelt production, and actual relationships between adult spawners and smolts in less intensively fished streams. Actual attainment of these goals will need to consider the physical condition of the watershed and its ability to retain and cycle the nutrients and the social and economic disruption to fisheries that may result from allowing more fish to survive to adulthood and spawn.</t>
  </si>
  <si>
    <t>Seubert, EA; Hussey, N; Powers, SP; Valentine, JF; Drymon, JM</t>
  </si>
  <si>
    <t>Assessing trophic flexibility of a predator assemblage across a large estuarine seascape using blood plasma stable isotope analysis</t>
  </si>
  <si>
    <t>Sulfur; nicheROVER; Northcentral Gulf of Mexico; Chandelcur Islands; Mississippi Sound; Bon Secour</t>
  </si>
  <si>
    <t>DRUM SCIAENOPS-OCELLATUS; GULF-OF-MEXICO; NORTHERN GULF; FOOD-WEB; LIPID EXTRACTION; FEEDING-HABITS; ECOLOGY; NICHE; SHARKS; DIET</t>
  </si>
  <si>
    <t>The northcentral Gulf of Mexico (nGoM) encompasses a range of environments that support a speciose predatory assemblage. Large predatory species are often viewed as trophically-analogous, sharing similar isotopic niches. To investigate the regional and seasonal isotopic variability of a predator assemblage across the coastal waters of the nGoM (Louisiana, Mississippi, and Alabama), we analyzed the stable isotopes of carbon, nitrogen, and sulfur using a fast turnover tissue, blood plasma, for seven dominant predator species. Carbon, nitrogen, and sulfur isotope values varied regionally, with a significant interaction between region and season for nitrogen and sulfur. Species' isotopic niches varied regionally, as well as seasonally, leading to varying levels of isotopic niche overlap among species. Blacktip sharks Carcharhinus limbatus and Atlantic sharpnose sharks Rhizoprionocton terraenovae in particular demonstrated flexibility in their isotopic relationships, whereas blacknose sharks C. acronotus maintained a more consistent isotopic niche regardless of region or season. No biologically significant overlap was observed for blacknose sharks, bull sharks C. leucas, or spinner sharks C. brevipinna, suggesting that these species occupy distinct isotopic space.Overlap calculations using two isotopes (carbon and nitrogen) produced markedly higher overlap versus three isotopes (carbon, nitrogen, and sulfur), which demonstrates that predatory roles may be oversimplified when using only carbon and nitrogen. These findings highlight the value of examining seasonal variation in trophic roles using fast turnover tissues and provide the first triple-isotope characterization of a common predatory assemblage in the northcentral Gulf of Mexico. (C) 2019 Elsevier Inc. All rights reserved.</t>
  </si>
  <si>
    <t>e00132</t>
  </si>
  <si>
    <t>10.1016/j.fooweb.2019.e00132</t>
  </si>
  <si>
    <t>He, SY; Richards, K</t>
  </si>
  <si>
    <t>Kobresia meadow degradation and its impact on water status</t>
  </si>
  <si>
    <t>evaporation; Kobresia pygmaea; meadow degradation; Qinghai-Tibetan Plateau (QTP); transpiration water stable isotopes</t>
  </si>
  <si>
    <t>TIBETAN PLATEAU; NORTHERN TIBET; SOIL-WATER; EVAPORATION; SURFACE; TRANSPIRATION; TEMPERATURE; ATMOSPHERE; ECOSYSTEM; ISOTOPE</t>
  </si>
  <si>
    <t>Alpine Kobresia meadows are valuable pasture resources on the central and eastern QinghaiTibetan Plateau that are also important in preserving local and regional water. Kobresia pygmaea is the dominant species forming a typical turf layer resistant to disturbance; however, overgrazing may have exceeded that resistance. An integrated approach, including field monitoring, soil sampling, stable isotope hydrology, and physical modelling, was used to evaluate the hydrological consequences of meadow degradation with respect to normal meadow, degraded crust, and bare soil. Multiple evidence confirms that the soil moisture condition worsens when the meadow degrades. Bare soil has the coarsest soil texture, rapid infiltration, and low soil moisture in the root zone, and soil evaporation rate is high compared to normal meadow especially in dry periods. Crusted meadow soil has the lowest surface infiltration and a larger exposure of the leaf surface because of low plant cover over a dark surface, which favours high transpiration. Crusted meadow also has a drier condition in the root zone. These suggest that degradation is a positive feedback process in which leaf and soil exposure to radiation strengthen water demand for transpiration and facilitate non-productive water loss, leaving the root zone (0-20 cm) dry and subject to further soil erosion. This positive process suggests that recovery of the Kobresia meadow is a long-term task which has to consider the different levels of degradation and the effects of local climate change, in order to adapt the rangeland management practices, to the needs of meadow conservation and restoration.</t>
  </si>
  <si>
    <t>e1844</t>
  </si>
  <si>
    <t>10.1002/eco.1844</t>
  </si>
  <si>
    <t>Koehn, LE; Essington, TE; Marshall, KN; Kaplan, IC; Sydeman, WJ; Szoboszlai, AI; Thayer, JA</t>
  </si>
  <si>
    <t>Developing a high taxonomic resolution food web model to assess the functional role of forage fish in the California Current ecosystem</t>
  </si>
  <si>
    <t>Forage fish; Food web model; California Current</t>
  </si>
  <si>
    <t>SARDINE SARDINOPS-SAGAX; TROPHIC STRUCTURE; MANAGEMENT; COMMUNITY; FISHERIES; PATTERNS; SEABIRD; DISTRIBUTIONS; VARIABILITY; COMPETITION</t>
  </si>
  <si>
    <t>Understanding the role of forage fish in marine food webs is an important part of ecosystem-based fisheries management. Food web models are a common tool used to account for important characteristics of forage fish and their trophodynamics. One primary limitation of many existing food web models is that the taxonomic resolution of forage fish and their predators is overly simplified. Here, we developed a food web model with high taxonomic resolution of forage fish and their predators in the California Current to more comprehensively describe trophic linkages involving forage fish and examine the ecological role of forage fish in this system. We parameterized a mass-balanced food web model (Ecopath) with 92 living functional groups, and used this to quantify diet dependency on forage fish, determine the main predators of forage fish, identify the topological position of forage fish in the food web, and calculate an index that identifies forage species or species aggregations that have key ecological roles (Supportive Role to Fishery ecosystem, SURF). Throughout, we characterized parameter uncertainty using a Monte Carlo approach. Though diets revealed some predators had high diet dependencies on individual forage fish species, most predators consumed multiple forage fish and also had notable diet overlap with forage fish. Consequently, no single forage fish appeared to act as a vital nexus species that is characteristic of wasp-waisted food webs in other upwelling regions. Additionally, no single forage fish was identified as key by the SURF index, but if predators and fisheries view certain pairs of forage fish as functionally equivalent, some plausible pairs would be identified as key assemblages. Specifically, sardine &amp; anchovy (Sardinops sagax &amp; Engraulis mordax) and herring &amp; anchovy (Clupea pallasii &amp; E. mordax) are key when predator populations depend on the aggregate availability of these species. This food web model can be used to support generalized equilibrium trade-off analysis or dynamic modeling to identify specific predators that would be of conservation concern under conditions of future forage fish depletion. (C) 2016 Elsevier B.V. All rights reserved.</t>
  </si>
  <si>
    <t>10.1016/j.ecolmodel.2016.05.010</t>
  </si>
  <si>
    <t>Mallela, J; Harrod, C</t>
  </si>
  <si>
    <t>delta C-13 and delta N-15 reveal significant differences in the coastal foodwebs of the seas surrounding Trinidad and Tobago</t>
  </si>
  <si>
    <t>Stable isotope; Trophic; Energetic subsidy; Filter-feeder; Grazer; Marine; Orinoco</t>
  </si>
  <si>
    <t>STABLE-ISOTOPE RATIOS; CONTINENTAL-SHELF; ORGANIC-CARBON; CORAL-REEF; NITROGEN; WATER; SEDIMENTS; MACROALGAE; ENRICHMENT; SIGNATURES</t>
  </si>
  <si>
    <t>This study assessed nearshore, marine ecosystem function around Trinidad and Tobago (TT). The coastline of TT is highly complex, bordered by the Atlantic Ocean, the Caribbean Sea, the Gulf of Paria and the Columbus Channel, and subject to local terrestrial runoff and regional riverine inputs (e.g. the Orinoco and Amazon rivers). Coastal organisms can assimilate energy from allochthonous and autochthonous Sources, We assessed whether stable isotopes delta C-13 and delta N-15 Could be used to provide a rapid assessment of trophic interactions in primary consumers around the islands. Filter-feeding (bivalves and barnacles) and grazing organisms (gastropods and chitons) were collected from 40 marine sites during the wet season. The flesh of organisms was analysed for delta C-13 and delta N-15. Results indicate significant variation in primary consumers (by feeding guild and sampling zone). This variation was linked to different energy Sources being assimilated by consumers. Results suggest that offshore production is fuelling intertidal foodwebs; for example, a depleted delta C-13 signature in grazers from the Gulf of Paria, Columbus Channel and the Caribbean and Atlantic coastline of 9 Tobago indicates that carbon with an offshore origin (e.g. phytoplankton and dissolved organic matter) is more important than benthic or littoral algae (luring the wet season. Results also confirm findings from other studies indicating that much of the coastline is subject to Cultural eutrophication. This Study revealed that ecosystem function is spatially variable around the coastline of TT, This has clear implications for marine resource management, as a single management approach is unlikely to be successful at a national level.</t>
  </si>
  <si>
    <t>10.3354/meps07589</t>
  </si>
  <si>
    <t>Durban, JW; Fearnbach, H; Burrows, DG; Ylitalo, GM; Pitman, RL</t>
  </si>
  <si>
    <t>Morphological and ecological evidence for two sympatric forms of Type B killer whale around the Antarctic Peninsula</t>
  </si>
  <si>
    <t>Predator; Cetacean; Diet; Stable isotopes; Photogrammetry</t>
  </si>
  <si>
    <t>NORTH PACIFIC; ORCINUS-ORCA</t>
  </si>
  <si>
    <t>Killer whales (Orcinus orca) are apex marine predators in Antarctica, but uncertainty over their taxonomic and ecological diversity constrains evaluations of their trophic interactions. We describe two distinct, sympatric forms sharing the characteristic pigmentation of Type B, the most common around the Antarctic Peninsula. Laser photogrammetry revealed nonoverlapping size differences among adults: Based on a body length index (BLI: blowhole to dorsal fin) adult females of the larger form (B1) were 20 % longer than the smaller form (B2), and adult males were 24 % longer on average. Dorsal fins of B1 adult females were 19 % taller than B2 females, and adult males 32 % taller. Both types were strongly sexually dimorphic, but B1 more so, including for BLI (B1 males = 1.07x females; B2 = 1.05x) and especially for dorsal fin height (B1 male fins = 2.33x female; B2 = 2.10x). The characteristically large Type B eye patch was more extensive for B1 than B2, comprising 41 and 37 % of BLI, respectively. Average group size was also significantly different, with B1s in smaller groups (mean 7, range 1-14) and B2s more gregarious (mean 36, range 8-75). Stable isotope analysis of skin biopsies indicated dietary differences: a significantly lower nitrogen N-15/N-14 ratio in B2s supported observations of feeding primarily on krill consumers (e.g., pygoscelid penguins), while B1s prey mainly on predators of krill consumers (e.g., Weddell seals Leptonychotes weddellii). These differences likely represent adaptations to distinct foraging niches, which has led to genetic divergence; their ecology now needs further study.</t>
  </si>
  <si>
    <t>10.1007/s00300-016-1942-x</t>
  </si>
  <si>
    <t>Sallon, A; Michel, C; Gosselin, M</t>
  </si>
  <si>
    <t>Summertime primary production and carbon export in the southeastern Beaufort Sea during the low ice year of 2008</t>
  </si>
  <si>
    <t>Sedimentation; Primary production; Carbon; Exopolymeric substances; Stable isotopes; Beaufort Sea; Arctic</t>
  </si>
  <si>
    <t>EXOPOLYMER PARTICLES TEP; FECAL PELLET PRODUCTION; ARCTIC-OCEAN; MACKENZIE RIVER; VERTICAL FLUX; PHYTOPLANKTON BIOMASS; SEASONAL-VARIATION; SINKING EXPORT; CLIMATE-CHANGE; ZONE</t>
  </si>
  <si>
    <t>Following the extreme low ice year of 2007, primary production and the sinking export of particulate and gel-like organic material, using short-term particle interceptor traps deployed at 100 m, were measured in the southeastern Beaufort Sea during summer 2008. The combined influence of early ice retreat and coastal upwelling contributed to exceptionally high primary production (500 +/- A 312 mg C m(-2) day(-1), n = 7), dominated by large cells (&gt; 5 mu m, 73% +/- A 15%, n = 7). However, except for one station located north of Cape Bathurst, the sinking export of particulate organic carbon (POC) was relatively low (range: 38-104 mg C m(-2) day(-1), n = 12) compared to other productive Arctic shelves. Estimates indicate that 80% +/- A 20% of the primary production was cycled through large copepods or the microbial food web. Exopolymeric substances were abundant in the sinking material but did not appear to accelerate POC sinking export. The use of isotopic signatures (delta C-13, delta N-15) and carbon/nitrogen ratios to identify sources of the sinking material was successful only at two stations with a strong marine or terrestrial signature, indicating the limitations of this approach in hydrographically and biologically complex Arctic coastal waters such as in the Beaufort Sea. At these two stations influenced by either coastal upwelling or erosion, the composition and magnitude of particulate sinking fluxes were markedly different from other stations visited during the study. These observations underscore the fundamental role of mesoscale circulation patterns and hydrodynamic singularities on the export of particulate organic material on Arctic shelves.</t>
  </si>
  <si>
    <t>10.1007/s00300-011-1055-5</t>
  </si>
  <si>
    <t>Steger, K; Premke, K; Gudasz, C; Boschker, HTS; Tranvik, LJ</t>
  </si>
  <si>
    <t>Comparative study on bacterial carbon sources in lake sediments: the role of methanotrophy</t>
  </si>
  <si>
    <t>AQUATIC MICROBIAL ECOLOGY</t>
  </si>
  <si>
    <t>Benthic microbes; Boreal lakes; Methanotrophic bacteria; Phospholipid-derived fatty acid; PLFA; Stable isotopes</t>
  </si>
  <si>
    <t>STABLE-ISOTOPE ANALYSIS; COMMUNITY STRUCTURE; MICROBIAL BIOMASS; BOREAL LAKES; FOOD WEBS; DIOXIDE SUPERSATURATION; CHIRONOMID LARVAE; BIOGENIC METHANE; TEMPERATE LAKES; NORTHERN SWEDEN</t>
  </si>
  <si>
    <t>Methane-derived carbon can be important in both benthic and pelagic food webs. Either generated in the anaerobic layers of the sediment or in the anaerobic hypolimnion of stratified eutrophic lakes, methane is an excellent carbon source for aerobic methanotrophic bacteria. The very negative methane delta C-13-signal in the methanotrophic biomass provides an excellent opportunity to trace the use of methane-derived carbon in food webs. We studied carbon sources of benthic bacteria in a range of Swedish lakes with different inputs of terrestrial organic carbon and indigenous primary production. We analyzed the C-13:C-12 ratios in phospholipid-derived fatty acids, which serve as biomarkers for specific groups of Bacteria. We demonstrate that methane is an important carbon source for sediment bacteria, not only for the methanotrophic community but also for the non-methanotrophic heterotrophic bacteria. This most likely indirect utilization of isotopically highly depleted methane masks the stable isotope signatures for terrestrial input and local primary production in the heterotrophic bacterial community.</t>
  </si>
  <si>
    <t>10.3354/ame01766</t>
  </si>
  <si>
    <t>Palmqvist, K; Franklin, O; Nasholm, T</t>
  </si>
  <si>
    <t>Symbiosis constraints: Strong mycobiont control limits nutrient response in lichens</t>
  </si>
  <si>
    <t>CN stable isotopes; lichen; nitrogen; Peltigera aphthosa (L; ) Willd; phosphorus; photosynthesis; resource allocation; symbiosis</t>
  </si>
  <si>
    <t>CARBON-ISOTOPE DISCRIMINATION; 2 TRIPARTITE LICHENS; PELTIGERA-APHTHOSA; NITROGEN-DEPOSITION; NEPHROMA-ARCTICUM; XANTHORIA-PARIETINA; PLATISMATIA-GLAUCA; GROWTH; CYANOBACTERIAL; TEMPERATURE</t>
  </si>
  <si>
    <t>Symbioses such as lichens are potentially threatened by drastic environmental changes. We used the lichen Peltigera aphthosaa symbiosis between a fungus (mycobiont), a green alga (Coccomyxa sp.), and N-2-fixing cyanobacteria (Nostoc sp.)as a model organism to assess the effects of environmental perturbations in nitrogen (N) or phosphorus (P). Growth, carbon (C) and N stable isotopes, CNP concentrations, and specific markers were analyzed in whole thalli and the partners after 4months of daily nutrient additions in the field. Thallus N was 40% higher in N-fertilized thalli, amino acid concentrations were twice as high, while fungal chitin but not ergosterol was lower. Nitrogen also resulted in a thicker algal layer and density, and a higher C-13 abundance in all three partners. Photosynthesis was not affected by either N or P. Thallus growth increased with light dose independent of fertilization regime. We conclude that faster algal growth compared to fungal lead to increased competition for light and CO2 among the Coccomyxa cells, and for C between alga and fungus, resulting in neither photosynthesis nor thallus growth responded to N fertilization. This suggests that the symbiotic lifestyle of lichens may prevent them from utilizing nutrient abundance to increase C assimilation and growth.</t>
  </si>
  <si>
    <t>10.1002/ece3.3257</t>
  </si>
  <si>
    <t>Hinke, JT; Polito, MJ; Goebel, ME; Jarvis, S; Reiss, CS; Thorrold, SR; Trivelpiece, WZ; Watters, GM</t>
  </si>
  <si>
    <t>Spatial and isotopic niche partitioning during winter in chinstrap and Adelie penguins from the South Shetland Islands</t>
  </si>
  <si>
    <t>Antarctica; geolocation; migration; niche; Pygoscelis adeliae; Pygoscelis antarctica; stable isotope; winter</t>
  </si>
  <si>
    <t>STABLE-ISOTOPES; PYGOSCELIS-ADELIAE; FORAGING AREAS; MIGRATION; REVEAL; PREDATORS; SEGREGATION; POPULATIONS; SEABIRDS; MOVEMENTS</t>
  </si>
  <si>
    <t>Closely related species with similar ecological requirements should exhibit segregation along spatial, temporal, or trophic niche axes to limit the degree of competitive overlap. For migratory marine organisms like seabirds, assessing such overlap during the non-breeding period is difficult because of long-distance dispersal to potentially diffuse foraging habitats. Miniaturization of geolocation devices and advances in stable isotope analysis (SIA), however, provide a robust toolset to quantitatively track the movements and foraging niches of wide ranging marine animals throughout much of their annual cycle. We used light-based geolocation tags and analyzed stable carbon and nitrogen isotopes from tail feathers to simultaneously characterize winter movements, habitat utilization, and overlap of spatial and isotopic niches of migratory chinstrap (Pygoscelis antarctica) and Adelie (P. adeliae) penguins during the austral winter of 2012. Chinstrap penguins exhibited a higher diversity of movements and occupied portions of the Southern Ocean from 138 degrees W to 30 degrees W within a narrow latitudinal band centered on 60 degrees S. In contrast, all tracked Adelie penguins exhibited smaller-scale movements into the Weddell Sea and then generally along a counter-clockwise path as winter advanced. Inter-specific overlap during the non-breeding season was low except during the months immediately adjacent to the summer breeding season. Intra-specific overlap by chinstraps from adjacent breeding colonies was higher throughout the winter. Spatial segregation appears to be the primary mechanism to maintain inter-and intra-specific niche separation during the non-breeding season for chinstrap and Adelie penguins. Despite low spatial overlap, however, the data do suggest that a narrow pelagic corridor in the southern Scotia Sea hosted both chinstrap and Adelie penguins for most months of the year. Shared occupancy and similar isotopic signatures of the penguins in that region suggests that the potential for inter-specific competition persists during the winter months. Finally, we note that SIA was able to discriminate eastward versus westward migrations in penguins, suggesting that SIA of tail feathers may provide useful information on population-level distribution patterns for future studies.</t>
  </si>
  <si>
    <t>10.1890/ES14-00287.1</t>
  </si>
  <si>
    <t>Billen, G; Garnier, J; Thieu, V; Silvestre, M; Barles, S; Chatzimpiros, P</t>
  </si>
  <si>
    <t>Localising the nitrogen imprint of the Paris food supply: the potential of organic farming and changes in human diet</t>
  </si>
  <si>
    <t>The Seine watershed has long been the food-supplying hinterland of Paris, providing most of the animal and vegetal protein consumed in the city. Nowadays, the shift from manure-based to synthetic nitrogen fertilisation, has made possible a strong land specialisation of agriculture in the Seine watershed: it still provides most of the cereal consumed by the Paris agglomeration, but exports 80% of its huge cereal production. On the other hand the meat and milk supply originates mainly from regions in the North and West of France, specialised in animal farming and importing about 30% of their feed from South America. As it works today, this system is responsible for a severe nitrate contamination of surface and groundwater resources. Herein two scenarios of re-localising Paris's food supply are explored, based on organic farming and local provision of animal feed. We show that for the Seine watershed it is technically possible to design an agricultural system able to provide all the plant-and animal-based food required by the population, to deliver sub-root water meeting the drinking water standards and still to export a significant proportion of its production to areas less suitable for cereal cultivation. Decreasing the share of animal products in the human diet has a strong impact on the nitrogen imprint of urban food supply.</t>
  </si>
  <si>
    <t>10.5194/bg-9-607-2012</t>
  </si>
  <si>
    <t>Hart, LM; Bond, MH; May-McNally, SL; Miller, JA; Quinn, TP</t>
  </si>
  <si>
    <t>Use of otolith microchemistry and stable isotopes to investigate the ecology and anadromous migrations of Northern Dolly Varden from the Egegik River, Bristol Bay, Alaska</t>
  </si>
  <si>
    <t>Anadromy; Life history; Char; Salmonid; Migration</t>
  </si>
  <si>
    <t>CHARR SALVELINUS-ALPINUS; LIFE-HISTORY VARIATION; SALMO-TRUTTA L.; SOCKEYE-SALMON; ARCTIC CHARR; PACIFIC SALMON; BULL TROUT; MICROSATELLITE LOCI; FRESH-WATER; POPULATION</t>
  </si>
  <si>
    <t>Dolly Varden (Salvelinus malma) is a facultatively anadromous and iteroparous salmonid species, widely distributed around the Pacific Rim. Its distribution overlaps in northern areas with the circumpolar congeneric Arctic char (S. alpinus), which shares some of its life history traits. Despite the abundance of both species in many Alaskan watersheds and the diversity of their life histories, relatively little is known about their estuarine and marine ecology and migrations. Thirty char, taken as by-catch in the sockeye salmon (Oncorhynchus nerka) gill net fishery in the Egegik District, Bristol Bay, Alaska in June and July 2013, were identified using molecular genetic techniques as Dolly Varden. Otoliths indicated that the fish, ranging from 445 to 560 mm fork length, were from 4 to 9 years old, with a modal age of 6 (40 % of the specimens). Microchemical analysis indicated that all fish had first migrated to sea at ages 2 or 3 (16 and 14 individuals, respectively), migrated annually thereafter to a maximum of eight times, and did not over-winter in marine waters. Moreover, the fish were produced by a mix of anadromous mothers (14 fish) and non-anadromous mothers (11 fish); the maternal origin of the other five fish was uncertain. Despite the fact that the fish were captured in the riverine/estuarine environment of the Egegik River, stable isotope analysis of muscle tissue samples indicated that they had relied on marine prey, and this was supported by the high Sr levels in the otoliths, indicating prior occupancy of marine rather than fresh water for all individuals tested. Together, these analyses reveal extensive use of marine resources by Dolly Varden across a wide range of sizes and ages during regular but brief migrations, and provide new information on this facultatively anadromous, long-lived salmonid.</t>
  </si>
  <si>
    <t>10.1007/s10641-015-0389-1</t>
  </si>
  <si>
    <t>Singchat, W; Kraichak, E; Tawichasri, P; Tawan, T; Suntronpong, A; Sillapaprayoon, S; Phatcharakullawarawat, R; Muangmai, N; Suntrarachun, S; Baicharoen, S; Punyapornwithaya, V; Peyachoknagul, S; Chanhome, L; Srikulnath, K</t>
  </si>
  <si>
    <t>Dynamics of telomere length in captive Siamese cobra (Naja kaouthia) related to age and sex</t>
  </si>
  <si>
    <t>age; hormone; sex; snake; telomere</t>
  </si>
  <si>
    <t>QUANTITATIVE PCR; SNAKES; ASSAY; CHROMOSOMES; EVOLUTION</t>
  </si>
  <si>
    <t>Telomeres comprise tandem repeated DNA sequences that protect the ends of chromosomes from deterioration or fusion with neighboring chromosomes, and their lengths might vary with sex and age. Here, age- and sex-related telomere lengths in male and female captive Siamese cobras (Naja kaouthia) were investigated using quantitative real-time polymerase chain reaction based on cross-sectional data. A negative correlation was shown between telomere length and body size in males but not in females. Age-related sex differences were also recorded. Juvenile female snakes have shorter telomeres relative to males at up to 5 years of age, while body size also rapidly increases during this period. This suggests that an accelerated increase in telomere length of female cobra results from sex hormone stimulation to telomerase activity, reflecting sexually dimorphic phenotypic traits. This might also result from amplification of telomeric repeats on sex chromosomes. By contrast, female Siamese cobras older than 5 years had longer telomeres than males. Diverse sex hormone levels and oxidative stress parameters between sexes may affect telomere length.</t>
  </si>
  <si>
    <t>10.1002/ece3.5208</t>
  </si>
  <si>
    <t>Wright, CL; Lima, ALA; Souza, ES; West, JB; Wilcox, BP</t>
  </si>
  <si>
    <t>Plant functional types broadly describe water use strategies in the Caatinga, a seasonally dry tropical forest in northeast Brazil</t>
  </si>
  <si>
    <t>drought stress and tolerance; ecophysiology; leaf water potential; phenology and wood density; plant functional types; seasonally dry tropical forests; stable isotope ratios; water use strategies and resource acquisition trade-offs</t>
  </si>
  <si>
    <t>STABLE-ISOTOPES REVEAL; WOOD DENSITY; DROUGHT RESISTANCE; STOMATAL CONTROL; SOIL-WATER; XYLEM; LEAF; TREES; PHENOLOGY; STEM</t>
  </si>
  <si>
    <t>In seasonally dry tropical forests, plant functional type can be classified as deciduous low wood density, deciduous high wood density, or evergreen high wood density species. While deciduousness is often associated with drought-avoidance and low wood density is often associated with tissue water storage, the degree to which these functional types may correspond to diverging and unique water use strategies has not been extensively tested. We examined (a) tolerance to water stress, measured by predawn and mid-day leaf water potential; (b) water use efficiency, measured via foliar delta C-13; and (c) access to soil water, measured via stem water delta O-18. We found that deciduous low wood density species maintain high leaf water potential and low water use efficiency. Deciduous high wood density species have lower leaf water potential and variable water use efficiency. Both groups rely on shallow soil water. Evergreen high wood density species have low leaf water potential, higher water use efficiency, and access alternative water sources. These findings indicate that deciduous low wood density species are drought avoiders, with a specialized strategy for storing root and stem water. Deciduous high wood density species are moderately drought tolerant, and evergreen high wood density species are the most drought tolerant group. Synthesis. Our results broadly support the plant functional type framework as a way to understand water use strategies, but also highlight species-level differences.</t>
  </si>
  <si>
    <t>10.1002/ece3.7949</t>
  </si>
  <si>
    <t>Salome, C; Nunan, N; Pouteau, V; Lerch, TZ; Chenu, C</t>
  </si>
  <si>
    <t>Carbon dynamics in topsoil and in subsoil may be controlled by different regulatory mechanisms</t>
  </si>
  <si>
    <t>C-13; C dynamics; microbial community structure; stable isotopes; subsoil</t>
  </si>
  <si>
    <t>SOIL MICROBIAL COMMUNITY; CALIFORNIA GRASSLAND; EXTRACTION METHOD; ORGANIC-CARBON; SURFACE; SUBSURFACE; MINERALIZATION; RESPIRATION; TEMPERATURE; EVOLUTION</t>
  </si>
  <si>
    <t>It is estimated that in excess of 50% of the soil carbon stock is found in the subsoil (below 20-30 cm). Despite this very few studies have paid attention to the subsoil. Although surface and subsurface horizons differ in pedological, environmental and physicochemical features, which are all likely to affect the mechanisms and biological actors involved, models of carbon dynamics tend to assume that the underlying processes are identical in all horizons, but with lower gross fluxes in the subsurface. The aim of this study was to test this assumption by analysing factors governing organic matter decomposition in topsoil (from depths of 5-10 cm) and subsoil (from depths of 80-100 cm). To this end, we established incubations that lasted 51 days, in which factors that were thought to control organic matter mineralization were altered: oxygen concentration, soil structure and the energetic and nutritional status. At the end of the incubation period, the microbial biomass was measured and the community level physiological profiles established. The mineralization per unit organic carbon proved to be as important in the subsoil as it was in surface samples, in spite of lower carbon contents and different catabolic profiles. Differences in the treatment effects indicated that the controls on C dynamics were different in topsoil and subsoil: disrupting the structure of the subsoil caused a 75% increase in mineralization while the surface samples remained unaffected. On the other hand, a significant priming affect was found in the topsoil but not in the subsoil samples. Spatial heterogeneity in carbon content, respiration and microbial communities was greater in subsoil than in topsoil at the field scale. These data suggest greater attention should be paid to the subsoil if global C dynamics is to be fully understood.</t>
  </si>
  <si>
    <t>10.1111/j.1365-2486.2009.01884.x</t>
  </si>
  <si>
    <t>Moore, JW; Gordon, J; Carr-Harris, C; Gottesfeld, AS; Wilson, SM; Russell, JH</t>
  </si>
  <si>
    <t>Assessing estuaries as stopover habitats for juvenile Pacific salmon</t>
  </si>
  <si>
    <t>Anadromy; Bottleneck; Corridor; Early marine; Nursery habitat; Smolt; Stable isotope; Oncorhynchus</t>
  </si>
  <si>
    <t>CHINOOK SALMON; ONCORHYNCHUS-TSHAWYTSCHA; COHO SALMON; MARINE SURVIVAL; SOCKEYE-SALMON; RIVER ESTUARY; LIFE-HISTORY; STABLE-ISOTOPES; OCEAN GROWTH; PUGET-SOUND</t>
  </si>
  <si>
    <t>Habitats along migratory routes may provide key resources for migratory species (e.g. stopover habitat). For example, migratory juvenile salmon transit through estuaries on their way from freshwaters out to the ocean, but they may also reside and feed in these habitats. Here we examined the amount of time that juvenile salmon feed and reside in the estuary of the Skeena River (British Columbia, Canada), the second-largest salmon-bearing watershed in Canada. We implemented a novel application of stable isotopes of sulfur, carbon, and nitrogen as clocks to estimate the days since estuary entry. Salmon estuary residency varied across species; 25% of individuals spent at least 33, 22, 30, and 5 d in the estuary for Chinook Oncorhynchus tshawytscha, coho O. kisutch, pink O. gorbuscha, and sockeye salmon O. nerka, respectively. Larger pink and Chinook salmon resided in the estuary for longer durations, growing at an estimated 0.2 and 0.5 mm d(-1), respectively, evidence that estuary residency provides growth opportunities. A negative relationship between size and estuary residency in coho salmon suggests the potential existence of an estuary fry life history. Genetic stock assignment indicated that different populations of sockeye salmon may reside in the estuary for different amounts of time. Collectively, these results reveal that estuaries can represent stopover habitats for salmon, and that the extent varies across salmon species and populations. These data address a knowledge gap in assessment of environmental risks of proposed industrial developments. This study indicates the importance of considering the fundamental nature of habitats through which migratory species move.</t>
  </si>
  <si>
    <t>10.3354/meps11933</t>
  </si>
  <si>
    <t>Lejeune, B; Sturaro, N; Lepoint, G; Denoel, M</t>
  </si>
  <si>
    <t>Facultative paedomorphosis as a mechanism promoting intraspecific niche differentiation</t>
  </si>
  <si>
    <t>TRITURUS-ALPESTRIS AMPHIBIA; CHARR SALVELINUS-ALPINUS; PHENOTYPIC PLASTICITY; RESOURCE POLYMORPHISM; TROPHIC POLYMORPHISM; ARCTIC CHARR; STABLE-ISOTOPES; NEWT; FISH; COMPETITION</t>
  </si>
  <si>
    <t>Organisms with complex life cycles are characterized by a metamorphosis that allows for a major habitat shift and the exploitation of alternative resources. However, metamorphosis can be bypassed in some species through a process called paedomorphosis, resulting in the retention of larval traits at the adult stage and is considered important at both micro- and macroevolutionary scales. In facultatively paedomorphic populations of newts, some individuals retain gills and a fully aquatic life at the adult stage (paedomorphs), while others undergo complete metamorphosis (metamorphs), allowing for a terrestrial life-stage. Because facultative paedomorphosis affects trophic structures and feeding mechanism of newts, one hypothesis is that it may be maintained as a trophic polymorphism, with the advantage to lessen intraspecific competition during the shared aquatic life-stage. Here, we tested this hypothesis combining stomach content data with stable isotope techniques, using carbon and nitrogen stable isotopes, in facultatively paedomorphic alpine newts Ichthyosaura alpestris. Both stomach content and stable isotope analyses showed that paedomorphs had smaller trophic niches and were more reliant on pelagic resources, while metamorphs relied more on littoral resources, corresponding to a polyphenism along the littoral-pelagic axis and the extension of the population's trophic niche to otherwise underused' pelagic resources by paedomorphs. Interestingly, stable isotopes revealed that the trophic polyphenism was less marked in males than in females and potentially linked to sexual activity. Although paedomorphosis and metamorphosis are primarily seen as results of tradeoffs between the advantages of using aquatic versus terrestrial habitats, this study provides evidence that additional forces, such as intraspecific trophic niche differences between morphs and trophic niche expansion, may play an important role in the persistence of this dimorphism in heterogeneous environments. Moreover, the different patterns found in males and females show the importance of considering sex to understand the evolutionary ecology of trophic polymorphisms.</t>
  </si>
  <si>
    <t>10.1111/oik.04714</t>
  </si>
  <si>
    <t>Roth, F; Karcher, DB; Radecker, N; Hohn, S; Carvalho, S; Thomson, T; Saalmann, F; Voolstra, CR; Kurten, B; Struck, U; Jones, BH; Wild, C</t>
  </si>
  <si>
    <t>High rates of carbon and dinitrogen fixation suggest a critical role of benthic pioneer communities in the energy and nutrient dynamics of coral reefs</t>
  </si>
  <si>
    <t>biogeochemical cycling; carbon and nitrogen stable isotopes; carbon budget; community succession; diazotrophy; photosynthesis; productivity</t>
  </si>
  <si>
    <t>NITROGEN-FIXATION; ACETYLENE-REDUCTION; PRIMARY PRODUCTIVITY; N-2 FIXATION; TROPHIC STRUCTURE; ORGANIC-MATTER; ALGAL TURFS; MARINE; PHOTOSYNTHESIS; TEMPERATURE</t>
  </si>
  <si>
    <t>Following coral mortality in tropical reefs, pioneer communities dominated by filamentous and crustose algae efficiently colonize substrates previously occupied by coral tissue. This phenomenon is particularly common after mass coral mortality following prolonged bleaching events associated with marine heatwaves. Pioneer communities play an important role for the biological succession and reorganization of reefs after disturbance. However, their significance for critical ecosystem functions previously mediated by corals, such as the efficient cycling of carbon (C) and nitrogen (N) within the reef, remains uncertain. We used 96 carbonate tiles to simulate the occurrence of bare substrates after disturbance in a coral reef of the central Red Sea. We measured rates of C and dinitrogen (N-2) fixation of pioneer communities on these tiles monthly over an entire year. Coupled with elemental and stable isotope analyses, these measurements provide insights into macronutrient acquisition, export and the influence of seasonality. Pioneer communities exhibited high rates of C and N(2)fixation within 4-8 weeks after the introduction of experimental bare substrates. Ranging from 13 to 25 mu mol C cm(-2) day(-1)and 8 to 54 nmol N cm(-2) day(-1), respectively, C and N(2)fixation rates were comparable to reported values for established Red Sea coral reefs. This similarity indicates that pioneer communities may quickly compensate for the loss of benthic productivity by corals. Notably, between 40% and 85% of fixed organic C was exported into the environment, constituting a vital source of energy for the coral reef food web. Our findings suggest that benthic pioneer communities may play a crucial, yet overlooked role in the C and N dynamics of oligotrophic coral reefs by contributing to the input of new C and N after coral mortality. While not substituting other critical ecosystem functions provided by corals (e.g. structural habitat complexity and coastal protection), pioneer communities likely contribute to maintaining coral reef nutrient cycling through the accumulation of biomass and import of macronutrients following coral loss. A freePlain Language Summarycan be found within the Supporting Information of this article.</t>
  </si>
  <si>
    <t>10.1111/1365-2435.13625</t>
  </si>
  <si>
    <t>Negishi, JN; Sakai, M; Okada, K; Iwamoto, A; Gomi, T; Miura, K; Nunokawa, M; Ohhira, M</t>
  </si>
  <si>
    <t>Cesium-137 contamination of river food webs in a gradient of initial fallout deposition in Fukushima, Japan</t>
  </si>
  <si>
    <t>Detritus; Headwater streams; Radioactive contamination; Stable isotopes</t>
  </si>
  <si>
    <t>POWER-PLANT ACCIDENT; CARBON-ISOTOPE RATIOS; RADIOACTIVE CONTAMINATION; NUCLEAR ACCIDENT; HEADWATER STREAM; AQUATIC INSECTS; FOREST SOIL; RADIOCESIUM; LITTER; ECOSYSTEMS</t>
  </si>
  <si>
    <t>We examined the cesium-137 (Cs-137) contamination of river food webs in a gradient of initial fallout deposition (net density estimates 2.5-3.5 months after the Fukushima Daiichi Nuclear Power Plant accident in March 2011), in Fukushima Prefecture, Japan. Litter, aquatic insects, and salmonid fish were collected in five headwater stream reaches (watershed-average fallout density, 368.1-1398.4 kBq/m(2)) for the measurement of Cs-137 concentration and stable isotope ratios of carbon (delta C-13) and nitrogen (delta N-15) in June 2014. The stable isotope ratios suggested that the detrital food chain was a dominant energy pathway in rivers originating from a basal resource (litter) to primary (aquatic insects) and secondary (fish) consumers. The Cs-137 concentration decreased with an increase in the trophic level, with the highest value for litter (10930 +/- 5381 Bq/kg, mean +/- SD), the lowest for fish (2825 +/- 2451 Bq/kg), and the intermediate one for dominant (numerically and biomass-wise) detritivorous insect, Ephemera japonica McLachlan (4605 +/- 1970 Bq/kg). Cs-137 concentrations of three trophic levels were linearly predicted by the initial fallout amount of Cs-137. The evacuation of the gut contents of E. japonica during field experiments led to a reduction in their Cs-137 concentration by approximately 50% within 1-2 day(s) without loss of body weight. This suggested that a substantial portion of Cs-137 contamination of E. japonica was derived from highly contaminated fine solids deposited in depositional habitats at a disproportionately high density. Overall, the initial fallout amount of Cs-137 was helpful in roughly predicting the contamination levels of headwater river-riparian ecosystems with the detrital food chain as a dominant energy pathway. Long-term monitoring of the dynamics and fates of Cs-137 associated with fine organic and inorganic particulates appears important for better prediction of Cs-137 contamination of food webs in forested headwater streams.</t>
  </si>
  <si>
    <t>10.1007/s11355-017-0328-8</t>
  </si>
  <si>
    <t>Fraser, KC; Kyser, TK; Robertson, RJ; Ratcliffe, LM</t>
  </si>
  <si>
    <t>Seasonal Patterns in Hydrogen Isotopes of Claws from Breeding Wood-Warblers (Parulidae): Utility for Estimating Migratory Origins</t>
  </si>
  <si>
    <t>The global decline in many species of migratory birds has focused attention on the extent of migratory connectivity between breeding and wintering populations. Stable-hydrogen isotope (delta D) analysis of feathers is a useful technique for measuring connectivity, but is constrained by features of molt location and timing. Claws are metabolically inert, keratinous tissues that grow continuously and can be sampled at any point in the annual cycle, thus providing potentially useful clues about an individual's previous movements. However, variation in the rate at which claws incorporate local dD values is not well described. We measured delta D values in claws of two species of Neotropical-Nearctic migrant wood-warblers (Golden-winged Warbler and Cerulean Warbler) breeding in eastern Ontario, Canada to investigate the rate of delta D change through the breeding season and the utility of claw delta D values for estimating migratory origins. delta D values of claw tips from 66 different individuals, each sampled once during the breeding season, showed an average change of -0.3% to -0.4% per day in the direction of the expected local Ontario value. There were no significant sex or species differences in the rate of change. These results suggest delta D values of claw tips in Parulids may reflect those of the non-breeding area for 3-7 weeks after arrival on the breeding grounds, and are useful estimators of non-breeding migratory origin. Our results also suggest that these species may leave the breeding ground before claw tips fully incorporate a local delta D signature, as claws sampled at the end of the breeding season did not match locally grown feather and claw delta D values. This is the first study to examine the seasonal rate of the change in delta D values of claws in long-distance, insectivorous, migratory birds.</t>
  </si>
  <si>
    <t>Twardochleb, LA; Olden, JD</t>
  </si>
  <si>
    <t>Non-native Chinese mystery snail (Bellamya chinensis) supports consumers in urban lake food webs</t>
  </si>
  <si>
    <t>Bellamya chinensis; context-dependent impact; introduced species; invasive; Lepomis gibbosus; Micropterus salmoides; Perca flavescens; prey subsidy; urban development</t>
  </si>
  <si>
    <t>POTENTIAL CONSERVATION VALUE; INVASIVE ZEBRA MUSSEL; PUMPKINSEED SUNFISH; STABLE-ISOTOPES; HYDROGEN; DIET; COMMUNITY; IMPACTS; URBANIZATION; TERRESTRIAL</t>
  </si>
  <si>
    <t>Non-native species are widely regarded as threats to ecosystem structure and function; however, these species may also provide benefits to ecosystems that have lost former functions to environmental degradation. This study evaluated whether non-native species provide prey resources or induce trophic cul-de-sacs (by diverting basal energy away from higher trophic levels) in developed ecosystems where native prey are in decline. We used stable isotopes of C-13, N-15, and H-2 to assess whether non-native Chinese Mystery snail (Bellamya chinensis) provides a prey resource to consumers, and maintains the integration of benthic resources into food webs of lakes subjected to lakeshore development. Regardless of Bellamya presence, consumers in undeveloped lakes were supported primarily by benthic resources, and lakeshore development dramatically reduced consumer reliance on these resources. This was at least partly due to a reduction in the availability of native snails, a high-quality prey item, to the dominant littoral consumer, molluscivorous pumpkinseed sunfish (Lepomis gibbosus). In developed lakes with non-native Bellamya, generalist yellow perch (Perca flavescens) and piscivorous largemouth bass (Micropterus salmoides) consumed benthic resources in proportions similar to undeveloped lakes, and pumpkinseed sunfish consumed Bellamya in higher proportions than in undeveloped lakes. Thus, Bellamya provided a prey substitute in developed lakes where native snail populations were depressed; and Bellamya's influence extended to higher trophic-level consumers. Our study provides evidence that non-native species can ameliorate some effects of environmental degradation, and we suggest that future research considers how the effects of non-native species, either positive or negative, may vary across human-modified landscapes.</t>
  </si>
  <si>
    <t>e01293</t>
  </si>
  <si>
    <t>10.1002/ecs2.1293</t>
  </si>
  <si>
    <t>Wada, E; Ishii, R; Aita, MN; Ogawa, NO; Kohzu, A; Hyodo, F; Yamada, Y</t>
  </si>
  <si>
    <t>Possible ideas on carbon and nitrogen trophic fractionation of food chains: a new aspect of food-chain stable isotope analysis in Lake Biwa, Lake Baikal, and the Mongolian grasslands</t>
  </si>
  <si>
    <t>Delta N-15-delta C-13 relationship; Food chain; Lake Biwa; Lake Baikal; Mongolian grassland</t>
  </si>
  <si>
    <t>WEB STRUCTURE; DELTA-N-15; DELTA-C-13; N-15; C-13; RATIOS; DIET; ENRICHMENT; ABUNDANCE; DYNAMICS</t>
  </si>
  <si>
    <t>Trophic fractionation of carbon and nitrogen isotopes (Delta delta C-13, Delta delta N-15) was examined using previously complied databases for food chains in Lake Biwa, Lake Baikal, and Mongolian grassland. The following two features were clarified: (1) For each ecosystem, the ratios of trophic fractionation of carbon and nitrogen isotopes (Delta delta N-15/Delta delta C-13) throughout food chain could be obtained as the slope of linear regression line on the delta N-15-delta C-13 plot. (2) Further, analysis of covariance (ANCOVA) revealed the slopes on delta N-15-delta C-13 were not significantly different among these various ecosystems and allowed us to have the regression by setting delta N-15 as the response variable: delta N-15 = 1.61 delta C-13 + [ecosystem specific constant] with standard errors of [+/- 0.41] and [+/- 9.7] for the slope and the intercept, respectively. It was suggested that the slope of the regression (or the ratio Delta delta N-15/Delta delta C-13) could be applicable to more complicated food webs in case nitrogen and carbon isotope ratios of primary producers can be assumed constant in space and time within the ecosystems. The results from simple linear regression analyses coincided well with the ANCOVA results for these ecosystems, although there was some discrepancy between the results of the two statistical analyses. Possible factors that govern the linear relationship between delta N-15 and delta C-13 along a food chain are discussed together with a new scope for the stable isotope food chain analyses.</t>
  </si>
  <si>
    <t>10.1007/s11284-012-1024-7</t>
  </si>
  <si>
    <t>Zalewski, M; Dudek, D; Tiunov, AV; Godeau, JF; Okuzaki, Y; Ikeda, H; Sienkiewicz, P; Ulrich, W</t>
  </si>
  <si>
    <t>High niche overlap in the stable isotope space of ground beetles</t>
  </si>
  <si>
    <t>ANNALES ZOOLOGICI FENNICI</t>
  </si>
  <si>
    <t>FOOD-WEB; INTERSPECIFIC COMPETITION; LIMITING SIMILARITY; CARABID BEETLES; ISLANDS; ECOLOGY; DELTA-N-15; COLEOPTERA; DELTA-C-13; COMMUNITY</t>
  </si>
  <si>
    <t>Classic theories on assembly rules and food-web structure are species-centered, so they largely ignore intraspecific variation. Intraspecific trophic variation, however, might be of key importance in understanding community organization. Here we study the variability of isotopic niche spaces of ground beetles and its consequences for the trophic structure of beetle assembly. Stable isotopes ratios (PC and o'5N) were measured in 1156 specimens of carabids belonging to 59 species inhabiting 20 island and two mainland sites of the Masuria Lakeland in northern Poland. Carabid species belonged to three different trophic guilds (named phytophages, decomposer feeders and generalist predators). However, this division is not sharp due to high intraspecific variability of i3otopic signatures, which indicates the use of very different types of resources by conspecific individuals inhabiting different sites. As a consequence, most species studied did not differ significantly in the isotopic niche space. This high niche overlap corroborates the view that resource competition is not a major factor shaping the composition of ground beetles communities. Future studies should take into account the complex trophic structure of beetle assemblages and explore the intraspecific niche variability of ground beetles.</t>
  </si>
  <si>
    <t>10.5735/086.051.0302</t>
  </si>
  <si>
    <t>Lennon, EFE; Houlton, BZ</t>
  </si>
  <si>
    <t>Coupled molecular and isotopic evidence for denitrifier controls over terrestrial nitrogen availability</t>
  </si>
  <si>
    <t>NATURAL-ABUNDANCE; SOIL; NITRATE; FRACTIONATION; BACTERIA; NIRK; N-15; COMMUNITIES; TEMPERATURE; GENES</t>
  </si>
  <si>
    <t>Denitrification removes ecologically available nitrogen (N) from the biosphere and influences both the pace and magnitude of global climate change. Disagreements exist over the degree to which this microbial process influences N-availability patterns across Earth's ecosystems. We combine natural stable isotope methods with qPCR to investigate how denitrifier gene abundance is related to variations in nitrate (NO3-) pool sizes across diverse terrestrial biomes and conditions. We analyze NO3- isotope composition (N-15/N-14, O-18/O-16) and denitrifier gene nirS in 52 soil samples from different California ecosystems, spanning desert, chaparral, oak-woodland/savanna and forest. delta N-15-NO3- correlates positively with delta O-18-NO3- (P &lt;= 0.03) and nirS abundance (P=0.00002) across sites, revealing the widespread importance of isotopic discrimination by soil denitrifiers. Furthermore, NO3- concentrations correlate negatively to nirS (P= 0.002) and delta N-15-NO3- (P= 0.003) across sites. We also observe these spatial relationships in short-term (7-day), in situ soil-incubation experiments; NO3- -depletion strongly corresponds with increased nirS, nirS/16 rRNA, and enrichment of heavy NO3- isotopes over time. Overall, these findings suggest that microbial denitrification can consume plantavailable NO3- to low levels at multiple time scales, contributing to N-limitation patterns across sites, particularly in moist, carbon-rich soils. Furthermore, our study provides a new approach for understanding the relationships between microbial gene abundance and terrestrial ecosystem functioning.</t>
  </si>
  <si>
    <t>10.1038/ismej.2016.147</t>
  </si>
  <si>
    <t>Guo, Y; Wang, QJ; Zhang, JH; Wei, K</t>
  </si>
  <si>
    <t>PREDICTION OF DRY MATTER AND YIELD OF SPRING MAIZE (ZEA MAYS L.) IN NORTHWEST CHINA BASED ON LOGISTIC MODEL</t>
  </si>
  <si>
    <t>irrigation amount; nitrogen application rate; growing degree days; harvest index</t>
  </si>
  <si>
    <t>WATER-USE EFFICIENCY; HARVEST INDEX; WHEAT GROWTH; NITROGEN; IRRIGATION; ACCUMULATION; TEMPERATURE; POTASSIUM; PRODUCTIVITY; SENSITIVITY</t>
  </si>
  <si>
    <t>Water and nitrogen are vital factors limiting dry matter accumulation (DMA) and yield formation of spring maize. Simulation of DMA in spring maize under different irrigation and nitrogen application levels is conducive to better field management. Logistic model is a simple and effective measure to simulate the DMA. However, the coupling effect of water amount and nitrogen rate on logistic model parameters for spring maize in Northwest China has received little attention thus far. In this study, regression equations between logistic model parameters, water amount (i.e. irrigation plus rainfall), and nitrogen application rate were established and validated using independent data sets from three experiment sites (Wuwei in Gansu Province, Guyuan in Ningxia Province and Bayannur in Inner Mongolia Autonomous Region). Similarly, the empirical model of harvest index was established and validated. The results showed that these regression equations can accurately predict the dry matter accumulation and yield of spring maize. Therefore, this study can provide an alternative simple method to predict DMA and yield of spring maize under various water and nitrogen treatment in this area.</t>
  </si>
  <si>
    <t>10.15666/aeer/2101_189206</t>
  </si>
  <si>
    <t>Au, RAD; Awada, T; Hiller, J; Battipaglia, G; Saurer, M; Cherubini, P</t>
  </si>
  <si>
    <t>Tree Rings of Pinus ponderosa and Juniperus virginiana Show Different Responses to Stand Density and Water Availability in the Nebraska Grasslands</t>
  </si>
  <si>
    <t>CARBON-ISOTOPE DISCRIMINATION; USE EFFICIENCY; PHOTOSYNTHETIC CAPACITY; TALLGRASS PRAIRIE; STABLE-ISOTOPES; GROWTH-RESPONSE; DROUGHT; SOIL; DYNAMICS; FIRE</t>
  </si>
  <si>
    <t>Changes in climate, land use and management have led to an increase in woody species encroachment into grasslands, threatening key ecosystem services and resilience. This study uses dendroecological techniques to investigate acclimation strategies of two native woody species, Juniperus virginiana and Pinus ponderosa, to spatial and temporal variability in precipitation and stand density in Nebraska (NE). Two locations in Eastern NE and one in Western NE, were selected and tree cores for ring-width measurements were collected. Stable Isotope ratios of carbon were analysed to investigate water use efficiency (WUE), and stable isotope ratios of oxygen were used to understand stomatal conductance and control. Our results showed trees in dense stands exhibited less intra-specific variability in response to climate and narrower tree rings than sparse open stands, with P. ponderosa being more responsive to density and climate variability than J. virginiana. Populations in the drier Sandhills grasslands of Western NE were more dependent on intra- and inter-annual precipitation and generally more impacted by drought events than those in the East. Eastern NE trees were less limited by drought and displayed lower WIT relative to Western location, even though temperatures were slightly higher, but this was compensated for by the overall higher precipitation levels in the East. Generally, above average winter temperatures were positively correlated with ring widths, while temperature extremes during the growing season were negatively correlated. Although years of extreme drought events were visible in the tree-ring width patterns for both species independent of stand density and location, it seems that once the trees are established and have access to soil moisture, the current climate variability and extremes in NE do not limit or cause a permanent it decline in growth of either species.</t>
  </si>
  <si>
    <t>10.1674/0003-0031-180.1.18</t>
  </si>
  <si>
    <t>Buren, AD; Murphy, HM; Adamack, AT; Davoren, GK; Koen-Alonso, M; Montevecchi, WA; Mowbray, FK; Pepin, P; Regular, PM; Robert, D; Rose, GA; Stenson, GB; Varkey, D</t>
  </si>
  <si>
    <t>The collapse and continued low productivity of a keystone forage fish species</t>
  </si>
  <si>
    <t>Capelin; Mallotus villosus; Acoustic survey; Regime shift; Newfoundland</t>
  </si>
  <si>
    <t>CAPELIN MALLOTUS-VILLOSUS; COD GADUS-MORHUA; BARENTS SEA; TROPHIC INTERACTIONS; GANNET ISLANDS; HARP SEALS; ABUNDANCE; NEWFOUNDLAND; DYNAMICS; RECRUITMENT</t>
  </si>
  <si>
    <t>Capelin are a focal forage species in the Northwest Atlantic ecosystem as they act as an energy conduit from lower to higher trophic levels. Fisheries and Oceans Canada determined that the Newfoundland capelin stock (Northwest Atlantic Fisheries Organization Divisions 2J3KL) suffered an order of magnitude decline in biomass in 1990-1991. This collapse was concomitant with drastic changes observed in the ecosystem during the late 1980s and early 1990s. While the results of more than a dozen studies have supported the capelin stock collapse hypothesis, an alternative non-collapse hypothesis proposed that rather than collapsing in 1990-1991, the capelin stock either (1) changed its migratory patterns while the timing of the spring capelin acoustic survey remained constant, leading to a spatio-temporal mismatch between the spring acoustic survey and the stock, or (2) became less migratory and remained inshore year-round, therefore being largely underestimated by the offshore spring and fall acoustic surveys. The collapse and non-collapse hypotheses were tested using multiple independent data sets, which included both fishery-dependent (inshore commercial catch) and fishery-independent (spring and fall acoustic and fall bottom-trawl surveys, capelin larval indices, aerial surveys, predator diet and behavior) data, and diverse statistical methods. The weight of evidence approach led us to reject the non-collapse hypothesis and conclude that the Newfoundland capelin stock did collapse in 1990-1991 with minimal recovery over the subsequent 3 decades.</t>
  </si>
  <si>
    <t>10.3354/meps12924</t>
  </si>
  <si>
    <t>Seymour, M; Perera, OP; Fescemyer, HW; Jackson, RE; Fleischer, SJ; Abel, CA</t>
  </si>
  <si>
    <t>Peripheral genetic structure of Helicoverpa zea indicates asymmetrical panmixia</t>
  </si>
  <si>
    <t>DAPC; Helicoverpa; heliothine; moth; population genetics; stable isotopes</t>
  </si>
  <si>
    <t>LONG-DISTANCE MIGRATION; ARMIGERA LEPIDOPTERA; HELIOTHIS-ZEA; CORN-EARWORM; R-PACKAGE; POPULATION-STRUCTURE; NATURAL-POPULATIONS; GENOTYPING ERRORS; HOST USE; NOCTUIDAE</t>
  </si>
  <si>
    <t>Seasonal climatic shifts create peripheral habitats that alternate between habitable and uninhabitable for migratory species. Such dynamic peripheral habitats are potential sites where migratory species could evolve high genetic diversity resulting from convergence of immigrants from multiple regionally distant areas. Migrant populations of Helicoverpa zea (Boddie) captured during two different seasons were assessed for genetic structure using microsatellite markers and for host plant type using stable carbon isotope analysis. Individuals (N = 568) were genotyped and divided into 13 putative populations based on collection site and time. Fixation indices (F-statistics), analysis of molecular variance (AMOVA), and discriminant analysis of principal components (DAPC) were used to examine within and among population genetic variation. Mean number of alleles per locus was 10.25 (+/- 3.2 SD), and allelic richness ranged from 2.38 to 5.13 (+/- 3.2 SD). The observed and expected heterozygosity ranged from 0.07 to 0.48 and 0.08 to 0.62, respectively. Low F-ST (0.01 to 0.02) and high F-IS (0.08 to 0.33) values suggest captured migrants originated from breeding populations with different allele frequencies. We postulate that high genetic diversity within migrant populations and low genetic differentiation among migrant populations of H. zea are the result of asymmetrical immigration due to the high dispersal and reproductive behavior of H. zea, which may hinder the adaptation and establishment of H. zea to peripheral habitat. These findings highlight the importance of assessing peripheral population structure in relation to ecological and evolutionary dynamics of this and other highly reproductive and dispersive species.</t>
  </si>
  <si>
    <t>10.1002/ece3.2106</t>
  </si>
  <si>
    <t>Ji, WJ; Huang, YA; Qian, X; Bai, E; Smith, CK; Li, Z</t>
  </si>
  <si>
    <t>Conversion from farmland to orchards has minor effects on nitrogen biological processes in deep loess deposits</t>
  </si>
  <si>
    <t>Stable isotopes; Nitrogen functional genes; Microbial turnover potentials; Loess Plateau; Land use conversion</t>
  </si>
  <si>
    <t>LAND-USE CHANGE; MICROBIAL FUNCTIONAL GENES; NITRATE ACCUMULATION; CRITICAL ZONE; FERTILIZER APPLICATION; SOIL-PROFILE; DENITRIFICATION; GROUNDWATER; RECHARGE; IMPACTS</t>
  </si>
  <si>
    <t>High nitrate (NO3--N) accumulation has been observed globally in vadose zones due to the overuse of synthetic fertilizer, but its impacts on nitrogen (N) biological processes remain poorly understood, especially after land use conversion from farmlands to deep-rooted apple orchards. In this study, we collected paired soil samples to determine available N contents, NO3--N isotopes, and abundances of N functional genes (NFGs) in 10-m loess profiles under cultivated farmlands and adjacent apple orchards (n = 300). The average NO3--N accumulation under orchards was 4773 kg N ha (1) (10 times higher than farmlands), with the NO3--N profiles resembling a parabolic curve within 0 -4 m below the surface. Regardless of excessive fertilizer application and welldeveloped root systems, the deep-rooted orchards had minor effects on N sources and biological processes in deep loess deposits, as indicated by our estimates of isotopes and NFGs abundances. We hypothesized that the limited and inactive microorganisms in the subsoil are more resistant to environmental disturbances, and that carbon source and ammonium substrate dominated the gene expression and occurrence of NFGs-indicated biological processes. The limited root biomass per unit depth and the inhibition effects of a dry soil horizon on root turnover and exudate release likely contributed to the less perturbed N biological processes under orchards. As the first study to explore N transformation processes in 10-m loess deposits, this study provided insights for complicated N biogeochemical cycles in arid regions with deep unsaturated soils and intensive agricultural land use.</t>
  </si>
  <si>
    <t>10.1016/j.agee.2022.108111</t>
  </si>
  <si>
    <t>Newman, SP; Handy, RD; Gruber, SH</t>
  </si>
  <si>
    <t>Ontogenetic diet shifts and prey selection in nursery bound lemon sharks, Negaprion brevirostris, indicate a flexible foraging tactic</t>
  </si>
  <si>
    <t>Carcharhinidae; Elasmobranch; Learning; Preference; Size selection</t>
  </si>
  <si>
    <t>CARCHARHINUS-PLUMBEUS; GALEOCERDO-CUVIER; FEEDING-HABITS; SANDBAR SHARK; TIGER SHARK; BODY-SIZE; FISH; BEHAVIOR; PREDATOR; ASSEMBLAGES</t>
  </si>
  <si>
    <t>Ontogenetic variations in shark diet are often qualitatively inferred from dietary analysis and hindered by high levels of unidentified prey or small sample sizes. This study focused on nursery bound lemon sharks (Negaprion brevirostris, n = 396), enabling some control over the confounding variables of prey choice associated with ontogeny. Nursery bound lemon sharks exhibited weak ontogenetic variation in dietary composition with high levels of dietary overlap. Variation in prey preference of lemon sharks with ontogeny was complex, but revealed a continuous shift from predominantly opportunistic benthic foraging as neonates to more selective piscivory with increasing shark size while in the nursery. Lemon sharks demonstrated a discrete ontogenetic shift in the number of prey consumed and stomach content weight (Kruskal-Wallis tests p &lt; 0.01), as well as prey size (ANOVA, p &lt; 0.001). All sizes of sharks exhibited positive size selection of prey (Mann-Whitney U tests, p &lt; 0.01). However, the lack of size preference by all but the largest lemon sharks for their major prey (yellowfin mojarra, Gerres cinereus), suggests neonate sharks, while capable of occasionally foraging on large prey, are relatively inept opportunistic foragers. This was evident in high diet breadth, low diversity of consumed prey and lower trophic level than larger sharks. This study represents the first quantitative analysis of ontogenetic variation in prey preference and size selection in sharks, indicating a flexible foraging tactic in lemon sharks and the importance of hunting ability and predator size in prey choice.</t>
  </si>
  <si>
    <t>10.1007/s10641-011-9828-9</t>
  </si>
  <si>
    <t>Hoffmann, BD; Kay, A</t>
  </si>
  <si>
    <t>Pisonia grandis monocultures limit the spread of an invasive ant-a case of carbohydrate quality?</t>
  </si>
  <si>
    <t>Exotic; Island; Invasion mechanism; Invertebrates; Pheidole megacephala</t>
  </si>
  <si>
    <t>PHEIDOLE-MEGACEPHALA; STABLE-ISOTOPES; ARGENTINE ANTS; NATIVE ANTS; COMMUNITIES; ECOLOGY; IMPACT; ARTHROPODS; CALIFORNIA; HONEYDEW</t>
  </si>
  <si>
    <t>The mechanisms by which invasive species are able to spread into and dominate natural communities are poorly understood and remain a focus of invasion research. In this quest, studying invasions that are limited by a controlling factor will be more informative than will studies documenting unabated spread and impacts. Some ant species are very successful invaders, and research demonstrating abiotic and biotic factors limiting their success has aided the understanding of invasion ecology. We report here a study showing the highly invasive African big headed ant Pheidole megacephala having a novel distribution on coral cays within Australia's Great Barrier Reef. These patterns displayed a clear limitation of its distribution with monocultures of the tree Pisonia grandis. This distribution was contrary to the known environmental limitations of the ant, and the limitation could not be associated with an underlying abiotic determinant of the vegetation type. We present these distributional patterns, and following consideration of all known biotic and abiotic limitations of ant invasions we discuss the potential that the peculiar ecophysiology of P. grandis is the causal factor. Specifically, we suggest that the quality of carbohydrate supply to ants is a limitation to invasive spread in much the same way that carbohydrate quantity is known to affect ant population densities in other ecosystems.</t>
  </si>
  <si>
    <t>10.1007/s10530-008-9348-5</t>
  </si>
  <si>
    <t>Schmidt, O; Curry, JP; Dyckmans, J; Rota, E; Scrimgeour, CM</t>
  </si>
  <si>
    <t>Dual stable isotope analysis (delta C-13 and delta N-15) of soil invertebrates and their food sources</t>
  </si>
  <si>
    <t>earthworms; enchytraeidae; slugs; soil food webs; trophic levels</t>
  </si>
  <si>
    <t>NATURAL-ABUNDANCE; ORGANIC-MATTER; TROPHIC POSITION; CARBON TURNOVER; FOREST SOIL; C-13; NITROGEN; RATIOS; EARTHWORMS; WEB</t>
  </si>
  <si>
    <t>More research is required to validate and refine natural abundance stable isotope ratio techniques as a tool. for the investigation of the feeding ecology of soil animals and trophic relations in soil food webs. Isotope ratios of C (delta(13)C) and N (delta(15)N) were measured in herbivorous and detritivorous invertebrate groups, namely lumbricid earthworms (7 species), enchytraeid worms (3 species), slugs Q taxa), and their potential food sources in an arable system. Intrapopulation delta(15)N variation in the slug Deroceras reticulatum (n = 52) was large (range 4.2%.), possibly reflecting spatial variability in the food sources. Significant correlations between C:N ratios and isotope ratios in earthworms suggest that factors other than feeding may influence isotopic patterns. One enchytraeid species, Enchytraeus buchholzi, was enriched in C-13 and strongly depleted in N-15 compared to all other groups. Invertebrates formed a continuum when considered in relation to C and N separately, but fell. into two distinct groups on the basis of combined C and N isotope ratios. The less enriched group represents herbivorous and titter-feeding species, while the more enriched group represents soil feeders. It is concluded that delta(13)C measurements could provide a means of assigning separate baseline delta(15)N values to primary and secondary decomposers, which in turn could improve the inference of higher trophic levels, omnivory and intraguild predation. (C) 2004 Elsevier GmbH. All rights reserved.</t>
  </si>
  <si>
    <t>10.1016/j.pedobi.2003.12.003</t>
  </si>
  <si>
    <t>Rossman, S; Ostrom, PH; Stolen, M; Barros, NB; Gandhi, H; Stricker, CA; Wells, RS</t>
  </si>
  <si>
    <t>Individual specialization in the foraging habits of female bottlenose dolphins living in a trophically diverse and habitat rich estuary</t>
  </si>
  <si>
    <t>Bottlenose dolphin; Tursiops truncatus; Individual specialization; Stable isotopes; Individual niche</t>
  </si>
  <si>
    <t>SARASOTA BAY; TURSIOPS-TRUNCATUS; STABLE-ISOTOPES; PREY; SELECTION; DELTA-C-13; PATTERNS; ECOLOGY; FITNESS</t>
  </si>
  <si>
    <t>We examine individual specialization in foraging habits (foraging habitat and trophic level) of female bottlenose dolphins (Tursiops truncatus) resident in Sarasota Bay, Florida, USA, by analyzing time series of stable isotope (delta N-15 and delta C-13) values in sequential growth layer groups within teeth. The isotope data provide a chronology of foraging habits over the lifetime of the individual and allowed us to show that female bottlenose dolphins exhibit a high degree of individual specialization in both foraging habitat and trophic level. The foraging habits used by adult females are similar to those they used as calves and may be passed down from mother to calf through social learning. We also characterized the foraging habits and home range of each individual by constructing standard ellipses from isotope values and dolphin sightings data (latitude and longitude), respectively. These data show that Sarasota Bay bottlenose dolphins forage within a subset of the habitats in which they are observed. Moreover, females with similar observational standard ellipses often possessed different foraging specializations. Female bottlenose dolphins may demonstrate individual specialization in foraging habits because it reduces some of the cost of living in groups, such as competition for prey.</t>
  </si>
  <si>
    <t>10.1007/s00442-015-3241-6</t>
  </si>
  <si>
    <t>Koning, AA; McIntyre, PB</t>
  </si>
  <si>
    <t>Grassroots reserves rescue a river food web from cascading impacts of overharvest</t>
  </si>
  <si>
    <t>Intensive fishing is altering the functioning of aquatic ecosystems worldwide, threatening both biodiversity and food security. No-fishing reserves have proven effective at restoring food-web structure and enhancing fisheries in marine ecosystems, but remain virtually untested in freshwater systems. Using experiments inside and outside of community-created riverine reserves in Thailand, we describe a trophic cascade across six trophic levels, from humans to algal responses to nutrient availability. Protection from fishing profoundly reconfigures fish communities - greatly increasing biodiversity, biomass, and body size - yet mean trophic position was unaffected. Cascade dynamics from fish to algae were observed regardless of protection status, although fishing intensified trophic interactions through strong effects on grazing insect behavior. The marked effectiveness of these small, grassroots reserves offers an important conservation-planning model for protecting food webs and augmenting fishery yields in biodiverse tropical rivers.</t>
  </si>
  <si>
    <t>10.1002/fee.2293</t>
  </si>
  <si>
    <t>Swanson, HK; Lysy, M; Power, M; Stasko, AD; Johnson, JD; Reist, JD</t>
  </si>
  <si>
    <t>A new probabilistic method for quantifying n-dimensional ecological niches and niche overlap</t>
  </si>
  <si>
    <t>arctic fish; Bayesian probabilistic analysis; Beaufort Sea; Yukon Territory; Canada; Coregonus spp; niche overlap; niche quantification; nicheROVER; stable isotopes</t>
  </si>
  <si>
    <t>STABLE-ISOTOPES; LAKE; BREADTH</t>
  </si>
  <si>
    <t>Considerable progress has been made in the development of statistical tools to quantify trophic relationships using stable isotope ratios, including tools that address size and overlap of isotopic niches. We build upon recent progress and propose a new probabilistic method for determining niche region and pairwise niche overlap that can be extended beyond two dimensions, provides directional estimates of niche overlap, accounts for species-specific distributions in niche space, and, unlike geometric methods, produces consistent and unique bivariate projections of multivariate data. We define the niche region (N-R) as a given 95% (or user-defined ) probability region in multivariate space. Overlap is calculated as the probability that an individual from species A is found in the N-R of species B. Uncertainty is accounted for in a Bayesian framework, and is the only aspect of the methodology that depends on sample size. Application is illustrated with three-dimensional stable isotope data, but practitioners could use any continuous indicator of ecological niche in any number of dimensions. We suggest that this represents an advance in our ability to quantify and compare ecological niches in a way that is more consistent with Hutchinson's concept of an n-dimensional hypervolume.</t>
  </si>
  <si>
    <t>10.1890/14-0235.1</t>
  </si>
  <si>
    <t>Dorval, E; Methot, RD; Taylor, IG; Piner, KR</t>
  </si>
  <si>
    <t>Otolith chemistry indicates age and region of settlement of immature shortspine thornyhead Sebastolobus alascanus in the eastern Pacific Ocean</t>
  </si>
  <si>
    <t>Otolith trace elements; Stable isotopes; Shortspine thornyhead; Fish settlement; Population structure</t>
  </si>
  <si>
    <t>COLUMBIA RIVER PLUME; CARBON STABLE-ISOTOPES; CALIFORNIA CURRENT; FISH OTOLITHS; BATHYMETRIC DEMOGRAPHY; GENERA SEBASTES; WATER; TEMPERATURE; BARIUM; ROCKFISH</t>
  </si>
  <si>
    <t>Shortspine thornyhead Sebastolobus alascanus are widely distributed along the eastern Pacific coast and are assessed as a demographically homogeneous stock off the coasts of California, Oregon and Washington. The validity of this assumption has been questioned because data suggest complex ontogenetic movements. Otolith microchemistry applied to immature fish was used to determine the age of settlement and the population structure of S. alascanus. Samples were collected from 2011-2013 from bottom trawl surveys in 5 areas along the coasts of (1) Washington, (2) northern Oregon, (3) southern Oregon and northern California, (4) central California and (5) southern California. The Ba:Ca ratio, measured from the primordium to the margin of otoliths, corresponds to the pelagic and benthic phases of immature fish. This ratio decreased steadily before the formation of the first annulus and increased thereafter. Water masses along the bathymetric gradient mostly correlated with the distribution of otolith trace element (Mg:Ca, Ba:Ca) and stable isotope (delta 18O and delta 13C) ratios on the continental shelf. These results indicate that the population of immature fish belongs to 2 distinct groups, distributed north and south of Cape Mendocino. Accordingly, the performance of a k-nearest-neighbor classifier was highest when structured based on these 2 regions, with 94 and 69% cross-validated classification accuracy, respectively into the northern and southern groups. These results confirm that S. alascanus settle after nearly 1 yr of pelagic life and show that otolith chemistry can be used to test critical hypotheses regarding the migration and population structure of this species.</t>
  </si>
  <si>
    <t>10.3354/meps14092</t>
  </si>
  <si>
    <t>Ryalls, JMW; Staton, T; Mullinger, NJ; Bromfield, LM; Langford, B; Pfrang, C; Nemitz, E; Blande, JD; Girling, RD</t>
  </si>
  <si>
    <t>Ozone Mitigates the Adverse Effects of Diesel Exhaust Pollutants on Ground-Active Invertebrates in Wheat</t>
  </si>
  <si>
    <t>air pollution; community structure; diesel exhaust; functional traits; insects; invertebrates; terrestrial ecosystem; tropospheric ozone</t>
  </si>
  <si>
    <t>AIR-POLLUTION; VOLATILES; BIODIVERSITY; SPECIALIST; LANDSCAPES; DECLINES</t>
  </si>
  <si>
    <t>There is growing evidence to demonstrate that air pollution is affecting invertebrates both directly (e.g., causing physiological stress responses) and indirectly (e.g., via changes in host plant chemistry and/or by disruption of communication by volatile odours). Many of the studies to-date have focused upon winged insects and disruption of in-flight foraging. Therefore, in this study we investigated how the community composition of predominantly ground-dwelling invertebrates in fields of winter wheat are affected by two of the most ubiquitous lower tropospheric air pollutants, diesel exhaust emissions (including nitrogen oxides-NOx) and ozone (O-3), both individually and in combination, over 2 years. Pitfall traps, located within the rings of a Free-Air Diesel and Ozone Enrichment (FADOE) facility, were used to sample invertebrates. The facility consisted of eight 8 m-diameter rings, which allowed elevation of the pollutants above ambient levels (ca 49-60 ppb NOx and 35-39 ppb O-3) but within levels currently defined as safe for the environment by the Environmental Protection Agency. The invertebrates collected were taxonomically identified and characterised by diet specialisation, mobility and functional group. Taxonomic richness and Shannon's diversity index were calculated. Even under the relatively low levels of air pollution produced, there were adverse impacts on invertebrate community composition, with greater declines in the abundance and taxonomic richness of invertebrates in the diesel exhaust treatment compared with O-3 treatment. In the combined treatment, pollutant levels were lower, most likely because NOx and O-3 react with one another, and consequently a lesser negative effect was observed on invertebrate abundance and taxonomic richness. Specialist-feeding and winged invertebrate species appeared to be more sensitive to the impacts of the pollutants, responding more negatively to air pollution treatments than generalist feeders and wingless species, respectively. Therefore, these results suggest a more severe pollution-mediated decline in specialist- compared with generalist-feeding invertebrates, and in more mobile (winged) individuals. Understanding how invertebrate communities respond to air pollutants alone and in combination will facilitate predictions of how terrestrial environments respond to changes in anthropogenic emissions, especially as we shift away from fossil fuel dependence and therefore manipulate the interactions between these two common pollutants.</t>
  </si>
  <si>
    <t>10.3389/fevo.2022.833088</t>
  </si>
  <si>
    <t>Wingate, L; Seibt, U; Maseyk, K; Ogee, J; Almeida, P; Yakir, D; Pereira, JS; Mencuccini, M</t>
  </si>
  <si>
    <t>Evaporation and carbonic anhydrase activity recorded in oxygen isotope signatures of net CO2 fluxes from a Mediterranean soil</t>
  </si>
  <si>
    <t>atmospheric invasion; carbonic anhydrase; drought; Mediterranean forests; oxygen isotopes; Quercus suber; soil CO2 efflux; soil evaporation; soil water delta O-18 composition</t>
  </si>
  <si>
    <t>GLOBAL 3-DIMENSIONAL MODEL; PHASE ESCHERICHIA-COLI; WATER-STABLE ISOTOPES; INORGANIC CARBON; ATMOSPHERIC CO2; SACCHAROMYCES-CEREVISIAE; INTRACELLULAR WATER; NATURAL CONDITIONS; SPRUCE FOREST; PINE FOREST</t>
  </si>
  <si>
    <t>The oxygen stable isotope composition (delta O-18) of CO2 is a valuable tool for studying the gas exchange between terrestrial ecosystems and the atmosphere. In the soil, it records the isotopic signal of water pools subjected to precipitation and evaporation events. The delta O-18 of the surface soil net CO2 flux is dominated by the physical processes of diffusion of CO2 into and out of the soil and the chemical reactions during CO2-H2O equilibration. Catalytic reactions by the enzyme carbonic anhydrase, reducing CO2 hydration times, have been proposed recently to explain field observations of the delta O-18 signatures of net soil CO2 fluxes. How important these catalytic reactions are for accurately predicting large-scale biosphere fluxes and partitioning net ecosystem fluxes is currently uncertain because of the lack of field data. In this study, we determined the delta O-18 signatures of net soil CO2 fluxes from soil chamber measurements in a Mediterranean forest. Over the 3 days of measurements, the observed delta O-18 signatures of net soil CO2 fluxes became progressively enriched with a well-characterized diurnal cycle. Model simulations indicated that the delta O-18 signatures recorded the interplay of two effects: (1) progressive enrichment of water in the upper soil by evaporation, and (2) catalytic acceleration of the isotopic exchange between CO2 and soil water, amplifying the contributions of 'atmospheric invasion' to net signatures. We conclude that there is a need for better understanding of the role of enzymatic reactions, and hence soil biology, in determining the contributions of soil fluxes to oxygen isotope signals in atmospheric CO2.</t>
  </si>
  <si>
    <t>10.1111/j.1365-2486.2008.01635.x</t>
  </si>
  <si>
    <t>Moseley, C; Gremillet, D; Connan, M; Ryan, PG; Mullers, RHE; van der Lingen, CD; Miller, TW; Coetzee, JC; Crawford, RJM; Sabarros, P; McQuaid, CD; Pichegru, L</t>
  </si>
  <si>
    <t>Foraging ecology and ecophysiology of Cape gannets from colonies in contrasting feeding environments</t>
  </si>
  <si>
    <t>Body condition; Fatty acids; GPS tracking; Pectoral muscle thickness; Seabird foraging; Stable isotopes</t>
  </si>
  <si>
    <t>FATTY-ACID SIGNATURES; MORUS-CAPENSIS; SOUTH-AFRICA; STABLE-ISOTOPES; PHENOTYPIC PLASTICITY; MARINE ECOSYSTEMS; BODY CONDITION; HERRING-GULLS; SEABIRDS; DIET</t>
  </si>
  <si>
    <t>Using a multi-disciplinary approach, we evaluated the potential consequences of long-term contrasting prey availability on the condition Cape gannets Morus capensis. We compared breeding adults from a decreasing colony on Malgas Island off the west coast of South Africa, where the abundance of small pelagic fish has decreased, with an increasing colony on Bird Island off the south coast, where pelagic fish are more abundant. We investigated (1) pelagic fish density using data from a hydro-acoustic survey, (2) gannet diet (stomach content analyses, fatty acid and stable isotope analyses), (3) gannet foraging effort and at-sea feeding areas (nest attendance patterns, GPS-tracking and blood haematocrit), (4) chick growth rates, and (5) adult body condition (morphometric measurements and breast muscle thickness). Our data confirmed contrasting prey availability between colonies, although pelagic fish were more abundant on the west coast than in previous years. Gannets exhibit dietary plasticity, feeding on pelagic fish and trawler discards, but favour natural prey when available. Stomach content samples showed that gannets from both islands mainly ate natural prey in 2009, but there were differences in their stable isotope and fatty acid signatures, supporting evidence of long-term diet differences. Nevertheless, chick growth rates and adult body condition were similar at both colonies, which was surprising for breeding adults from the west coast colony that had been feeding extensively on energy-poor fishery waste for several years. Breeding gannets' behavioural flexibility seems to have succeeded in maintaining body condition. However, this might have long-term costs, as adult survival at Malgas Island has decreased in recent years. Population decreases at this colony are exacerbated by low juvenile survival and perhaps differential recruitment to Bird Island. Higher foraging effort by adult breeding on the large colony of Bird Island compared to birds from the west coast, despite greater pelagic fish abundance on the south coast, probably suggests a greater intra-specific competition there. Monitoring of population trends, population health indices and foraging behaviour, as well as prey availability is necessary to better understand the mechanisms underlying the population trends. (C) 2012 Elsevier B.V. All rights reserved.</t>
  </si>
  <si>
    <t>10.1016/j.jembe.2012.04.002</t>
  </si>
  <si>
    <t>Tang, YK; Wu, X; Chen, YM; Wen, J; Xie, YL; Lu, SB</t>
  </si>
  <si>
    <t>Water use strategies for two dominant tree species in pure and mixed plantations of the semiarid Chinese Loess Plateau</t>
  </si>
  <si>
    <t>hydrogen stable isotope; physiological response; soil moisture pulse; water use strategy</t>
  </si>
  <si>
    <t>SOIL-WATER; SEASONAL-VARIATIONS; PLANT-COMMUNITIES; STOMATAL CONTROL; STABLE-ISOTOPES; PULSE; DROUGHT; DESERT; FOREST; PATTERNS</t>
  </si>
  <si>
    <t>Understanding the water sources and physiological responses to soil moisture pulses for plantation species, particularly in mixed plantations, are essential to assess the water use strategy and vegetation restoration in semiarid regions. We used hydrogen stable isotopes in plant and soil water to determine the potential water sources for Pinus tabuliformis and Hippophae rhamnoides in both pure and mixed plantations in the semiarid Chinese Loess Plateau during the vigorous growing season (June-August) in 2016. Stomatal conductance (g(c)), midday leaf water potential ((m)) and photosynthetic rate (P-r) were measured concurrently to analyse the physiological response. The P.tabuliformis in the pure plantation depended largely on shallow and middle soil layers regardless of precipitation amount, permitting this species to maintain stable (m) at the expense of P-r through stomatal control. In contrast, H.rhamnoides in the pure plantation shifted its water source from shallow to deep soil layers following decreases in precipitation, allowing this species to maintain stable g(c) and P-r at the expense of (m). Thus, P.tabuliformis and H.rhamnoides displayed isohydric and anisohydric behaviour, respectively. Additionally, both species in mixed plantations largely absorbed water from shallow soil layers and shifted to deep soil layers when precipitation decreased. Mixed afforestation significantly reduced (p&lt;.05) P-r for P.tabuliformis and (m) for H.rhamnoides. Although contrasting physiological responses were adopted by these species, the major proportion of water resources were competitively obtained from similar soil depthsindicating that their mixed afforestation requires further investigation.</t>
  </si>
  <si>
    <t>e1943</t>
  </si>
  <si>
    <t>10.1002/eco.1943</t>
  </si>
  <si>
    <t>Huckstadt, LA; Burns, JM; Koch, PL; McDonald, BI; Crocker, DE; Costa, DP</t>
  </si>
  <si>
    <t>Diet of a specialist in a changing environment: the crabeater seal along the western Antarctic Peninsula</t>
  </si>
  <si>
    <t>Lobodon carcinophaga; Euphausia superba; Antarctic fish; Stable isotopes; Diet; Specialization</t>
  </si>
  <si>
    <t>KRILL EUPHAUSIA-SUPERBA; NITROGEN ISOTOPE RATIOS; SOUTH SHETLAND ISLANDS; STABLE-ISOTOPES; CLIMATE-CHANGE; INDIVIDUAL SPECIALIZATION; FORAGING AREAS; FOOD-WEB; HABITAT SELECTION; OCEAN ECOSYSTEMS</t>
  </si>
  <si>
    <t>Although crabeater seals Lobodon carcinophaga are among the most abundant consumers of Antarctic krill Euphausia superba, their diet has rarely been studied throughout most of the species' range. Using delta C-13 and delta N-15 values in vibrissae from 53 seals, we examined the trophic ecology of crabeater seals from the western Antarctic Peninsula (wAP) in 2001, 2002 and 2007. We observed a wide variability in individual seal mean delta C-13 values, which ranged from -19.8 parts per thousand to -24.9 parts per thousand, whereas mean delta N-15 value varied from 5.4 parts per thousand to 7.9 parts per thousand. We identified a positive significant effect of seal mass on delta C-13 values, as well as a significant seasonal effect (higher delta C-13 values in austral winter), which likely resulted from changes in the composition of the community of primary producers. delta N-15 values for crabeater seals, on the other hand, were affected by year, with individuals in 2002 having higher delta N-15 values. The median (with range) contribution of Antarctic krill to the diet of crabeater seals, as estimated using the Bayesian mixing model MixSIR, was 87.9% (81.2 to 94.8%). During 2002, krill biomass in the wAP was at one of its lowest levels during the last 2 decades, coinciding with a slight reduction in the importance of krill for the diet of the seals that year, which reached 84.5% (75.1 to 92.4%). Despite the relative plasticity observed in the diet of crabeater seals, it is unknown to what extent, and at what rate, crabeater seals might be able to switch to a more generalized diet, which might impact their fitness, given the ongoing environmental change along the wAP.</t>
  </si>
  <si>
    <t>10.3354/meps09601</t>
  </si>
  <si>
    <t>Darnaude, AM</t>
  </si>
  <si>
    <t>Fish ecology and terrestrial carbon use in coastal areas: implications for marine fish production</t>
  </si>
  <si>
    <t>benthic food webs; flatfish; population dynamics; river run-off; stable isotopes</t>
  </si>
  <si>
    <t>PLAICE PLEURONECTES-PLATESSA; LONG-TERM CHANGES; WESTERN MEDITERRANEAN-SEA; STABLE-ISOTOPE DATA; FOOD-WEB ANALYSIS; SOLEA-SOLEA (L); ORGANIC-MATTER; RHONE RIVER; BENTHIC COMMUNITY; TROPHIC STRUCTURE</t>
  </si>
  <si>
    <t>1. To investigate the role of fish ecology in controlling terrestrial particulate organic matter (POM) uptake by benthic fish species and population responses to changes in continental inputs to coastal areas, depth distribution, diet and stable isotope (delta(13)C and delta(15)N) data from the juveniles and adults of five important flatfish species (Arnoglossus laterna, Buglossidium luteum, Citharus linguatula, Solea lascaris and S. solea) were compared off the Rhone River delta (NW Mediterranean). 2. In moderate river discharge, isotopic signatures differed with fish species and benthic life stage, suggesting intra- and interspecific differences in trophic levels and food sources. Food web analysis indicated terrestrial POM uptake in all life stages of S. solea and A. laterna (delta(13)C = -20.1 to -20.0% and -18.9 to -18.2%, respectively), in the adults of B. luteum (delta(13)C = -19.0%) and in the juveniles of S. lascaris (delta(13)C = -18.7%), whereas all life stages of C. linguatula (delta(13)C = -17.6%), S. lascaris adults (delta(13)C = -16.9%) and B. luteum juveniles (delta(13)C = -17.5%) exploited marine POM almost exclusively. 3. Fish diet and depth distribution accounted fully for the intra- and interspecific differences in terrestrial POM uptake observed. Greater terrestrial signatures were observed in fish eating larger quantities of deposit-feeding polychaetes (the main prey exploiting terrestrial POM for growth) and occurring mainly in the 30-50 m depth zone (where river POM sedimentation and its uptake by the benthos were the highest). Due to intra- and interspecific differences in fish depth distribution and diet, Rhone River floods were predicted to have little effect on C. linguatula populations but to increase the other four species' local stocks for several years, with a maximum impact on S. solea. 4. This study shows that the ability of benthic fish to exploit terrestrial POM inputs to the coastal zone depends strongly on their ecology. As this parameter will determine fish populations' reactions to river floods, it must be assessed carefully before making hypotheses about the consequences of variations in river discharge on coastal fisheries' production.</t>
  </si>
  <si>
    <t>10.1111/j.1365-2656.2005.00978.x</t>
  </si>
  <si>
    <t>Burns, CM; Fuiman, LA</t>
  </si>
  <si>
    <t>Determining the position of southern flounderParalichthys lethostigmaon the reproductive energy allocation spectrum using an essential fatty acid as a maternal dietary biomarker</t>
  </si>
  <si>
    <t>Southern flounder; Paralichthys lethostigma; Fatty acid; Maternal diet; DHA; Egg composition; Docosahexaenoic acid</t>
  </si>
  <si>
    <t>JAPANESE FLOUNDER; BROODSTOCK DIET; NORTHERN GULF; N-3 HUFA; EGG; SEASONALITY; DYNAMICS; ANCHOVY; QUALITY; MEXICO</t>
  </si>
  <si>
    <t>Energy allocation strategies of fishes during vitellogenesis fall along a spectrum from rapid transfer of ingested nutrients into yolk (income breeding) to drawing upon reserves stored in somatic tissues (capital breeding). Southern flounder,Paralichthys lethostigma, migrate from estuaries to offshore habitats to spawn, likely resulting in variability in nutrient intake. The effect of variable nutrient intake on egg composition depends upon the position of southern flounder on the income-capital breeding continuum. The essential fatty acid docosahexaenoic acid [DHA, 22:6(n-3)] was used as a biomarker to determine energy allocation strategy by measuring whether a shift in maternal diet at the start of the spawning season results in changes in the proportion of DHA in eggs. Treatment groups of flounder were fed a common diet and then switched to a high DHA diet, low DHA diet, or no change (control) diet after the first spawn, and spawned weekly for 8 weeks. DHA content of eggs changed within a few weeks of the diet change to reflect the dietary DHA content, consistent with an income breeding strategy. However, after about five weeks, females receiving the low DHA diet mobilized DHA stored in liver and white muscle tissues to reverse a decreasing trend in DHA content of eggs, evidence of a capital breeding strategy. These results suggest that southern flounder are income breeders under nutritionally favorable conditions but have the flexibility to use somatic stores to build yolk when nutrient availability is limited.</t>
  </si>
  <si>
    <t>10.1007/s10641-020-01013-3</t>
  </si>
  <si>
    <t>Cherel, Y; Xavier, JC; de Grissac, S; Trouve, C; Weimerskirch, H</t>
  </si>
  <si>
    <t>Feeding ecology, isotopic niche, and ingestion of fishery-related items of the wandering albatross Diomedea exulans at Kerguelen and Crozet Islands</t>
  </si>
  <si>
    <t>Cephalopod; Diet; Hook; Satellite tracking; Seabird; Southern Ocean; Stable isotopes</t>
  </si>
  <si>
    <t>SOUTHERN ELEPHANT SEALS; LONG-LINE FISHERIES; INDIAN-OCEAN; SATELLITE TRACKING; FORAGING ECOLOGY; CEPHALOPOD FAUNA; STABLE-ISOTOPES; MARION ISLAND; SHELF-BREAK; HABITAT USE</t>
  </si>
  <si>
    <t>Feeding ecology and isotopic niche of the wandering albatross Diomedea exulans were investigated in the poorly studied population on the Kerguelen Islands and compared to that on the Crozet Islands. Fish (48% by mass) and cephalopods (46%) were similarly important in chick food at Kerguelen, while cephalopods (87%) dominated the diet at Crozet. Fish prey included mainly deep-sea species, with the Patagonian toothfish Dissostichus eleginoides being the main item. Cephalopod beaks were identified, most of which were from adult oceanic squids. Albatrosses preyed upon the same taxa at both localities, but in different proportions. Histioteuthis atlantica (30% by number), Galiteuthis glacialis (13%), and Kondakovia longimana (10%) were the main squid prey at Kerguelen, while K. longimana (35%) and H. eltaninae (23%) dominated at Crozet. Chick feather delta N-15 values were higher in wandering albatrosses than in other oceanic seabirds of the 2 communities, indicating that the wandering albatross is an apex consumer together with the sperm whale and sleeper shark that have similar delta N-15 values. Satellite-tracked wandering albatrosses foraged in local subantarctic waters and farther north, with some Crozet birds overlapping with those from the Kerguelen population in western Kerguelen waters. Anthropogenic items (e.g. plastic fragments, hooks) were found in half the food samples. All fishery-related items were from the local toothfish fishery. The high number of hooks from Crozet indicated the presence of a fairly large number of illegal longliners in the area during the Austral winter 1998. A review of the feeding habits of Diomedea spp. highlights the need for more dietary investigations to achieve effective conservation and management of this endangered group of charismatic seabirds.</t>
  </si>
  <si>
    <t>10.3354/meps11994</t>
  </si>
  <si>
    <t>WARDLE, DA; YEATES, GW; WATSON, RN; NICHOLSON, KS</t>
  </si>
  <si>
    <t>DEVELOPMENT OF THE DECOMPOSER FOOD-WEB, TROPHIC RELATIONSHIPS, AND ECOSYSTEM PROPERTIES DURING A 3-YEAR PRIMARY SUCCESSION IN SAWDUST</t>
  </si>
  <si>
    <t>WEED-MANAGEMENT STRATEGIES; SOIL MICROBIAL BIOMASS; ASPARAGUS CROPPING SYSTEMS; METABOLIC QUOTIENT; PLANT; POPULATION; NITROGEN; CARBON; NEMATODES; PATTERNS</t>
  </si>
  <si>
    <t>There has been considerable interest in characterising the general properties of food-webs and trophic interactions but little is known as to how these develop along successional gradients. From a field study we determined how the decomposer food-web develops during a three-year primary succession of sawdust. Microfloral and microfaunal groups increased over the initial 1-2 years of the study and then reached a state of ''dynamic equilibrium'' During this period of longer-term stability there was considerable short-term instability, with severe oscillations most likely attributable to predator-prey cycles involving nematodes, bacteria and fungi. Populations of top predatory nematodes closely mirrored those of the bacterial-feeding cephalobid nematodes three months earlier, indicative of a strong trophic association. Other relatively close linkages were also detected, but the majority of links involving nematodes appeared weak, suggesting that the distribution of food web interaction strengths is strongly skewed. Food chain length and food-web complexity increased over the first three months of the study but remained invariant thereafter, demonstrating that connectedness approaches to food-webs are extremely insensitive to primary succession. While some of our findings were in broad agreement with Odum's theory of ecosystem succession (e.g. initial biomass buildup, development of connectedness food-web properties), others were not. These included: colonisation early in the succession by the largest organisms in the food-web (mites and Collembola); little difference in early colonising ability between nematodes with r-selected and K-selected traits; a short-term ''instability'' of microflora and microfauna later in the succession indicative of high nutrient exchange rates; and a detectable rise in the microbial respiration:biomass ratio over the final year probably due to nutrient limitation. Consideration of trophic dynamics aided the understanding of successional trends, and an appreciation of the complex patterns of (trophic) species interactions appears necessary for a more complete interpretation of the patterns and mechanisms of ecosystem succession.</t>
  </si>
  <si>
    <t>10.2307/3545904</t>
  </si>
  <si>
    <t>Mateo, I; Durbin, EG; Appeldoorn, RS; Adams, AJ; Juanes, F; Kingsley, R; Swart, P; Durant, D</t>
  </si>
  <si>
    <t>Role of mangroves as nurseries for French grunt Haemulon flavolineatum and schoolmaster Lutjanus apodus assessed by otolith elemental fingerprints</t>
  </si>
  <si>
    <t>Fish nursery; Otolith chemistry; Stable isotopes; Natural tags; Haemulon flavolineatum; Lutjanus apodus; Juvenile habitat</t>
  </si>
  <si>
    <t>CORAL-REEF FISHES; SOUTHWESTERN PUERTO-RICO; SHALLOW-WATER BIOTOPES; TRACE-ELEMENTS; JUVENILE FISH; SEAGRASS BEDS; ST-CROIX; SPATIAL VARIABILITY; PROBE MICROANALYSIS; MARINE NURSERIES</t>
  </si>
  <si>
    <t>Juvenile French grunt Haemulon flavolineatum and schoolmaster Lutjanus apodus were captured in mangrove and seagrass stations in St. Croix, and Puerto Rico in 2006 and 2007 to determine whether areas for juvenile fish can be discriminated by means of otolith chemistry. Concentrations of 16 elements were determined in 0-group fish otoliths using laser ablation-inductively coupled plasma mass spectrometry. Two stable isotopes, delta O-18 and delta C-13, in French grunt and schoolmaster otoliths were also analyzed. Multi-elemental signatures for both species differed significantly (p &lt; 0.001) among mangrove and seagrass stations within both islands. Furthermore, concentrations of 6 elements (Sr, Ba, Cu, Mg, Co, Na) as well as delta O-18 and delta C-13 for both species within each year differed significantly among mangrove and seagrass stations within islands (p &lt; 0.001). Classification success for French grunt and schoolmaster juvenile areas within St. Croix across years ranged from 87 to 92% and from 76 to 77%, respectively, whereas in Puerto Rico, classification success for French grunt and schoolmaster for the 2 years ranged from 80 to 84% and 84 to 87%, respectively. Classification success between mangrove and seagrass habitats (stations combined) in Puerto Rico for French grunt ranged from 84 to 91%, and for schoolmaster ranged from 94 to 99%. In St. Croix, classification success for French grunt was 95 to 96%, and for schoolmaster was 86 to 89%. The percentages of French grunt subadults collected from forereef stations in St. Croix, identified as having resided as juveniles in mangrove habitats in 2006 and 2007, were 40 and 68%, respectively, while for Puerto Rico, these percentages were 70 and 74%. By contrast, for schoolmaster almost 100% of all fish in both islands resided as juveniles in mangrove habitats in both years. This study contains the first direct evidence of postsettlement fish movement connecting mangrove habitats to the reef using otolith chemistry.</t>
  </si>
  <si>
    <t>10.3354/meps08445</t>
  </si>
  <si>
    <t>D'Ambra, I; Graham, WM; Carmichael, RH; Hernandez, FJ</t>
  </si>
  <si>
    <t>Dietary overlap between jellyfish and forage fish in the northern Gulf of Mexico</t>
  </si>
  <si>
    <t>Stomach contents; Stable isotopes; Niche overlap; SIBER; MixSIAR; Aurelia sp.; Brevoortia patronus</t>
  </si>
  <si>
    <t>MENHADEN BREVOORTIA-PATRONUS; STABLE-ISOTOPE ANALYSIS; FOOD-WEB; AURELIA-AURITA; TROPHIC INTERACTIONS; PELAGIC CNIDARIANS; CALIFORNIA CURRENT; STOMACH CONTENTS; PREDATION; DELTA-N-15</t>
  </si>
  <si>
    <t>Despite the speculations that jellyfish (hydromedusae, siphonophores, scyphomedusae and ctenophores) may compete with forage fish for prey, there are few direct comparisons of their diets. To determine the dietary overlap between Aurelia sp. (Cnidaria, Scyphozoa) and Brevoortia patronus (Goode, 1878) (Pisces, Clupeidae) in the northern Gulf of Mexico, we collected monthly samples in Louisiana, Mississippi and Alabama coastal waters (USA) during summer and early fall 2009-2010. We determined carbon and nitrogen stable isotope ratios in predators and their potential prey, including small plankton (&lt;200 mu m) and mesozooplankton (200-2000 mu m), and identified prey in the stomachs of adult Aurelia sp. and B. patronus. Trophic niche overlap was defined using the stable isotope Bayesian ellipses in R (SIBER) procedure and ranged from 0-28% for Aurelia sp. and 0-64% for B. patronus across the 3 sites. While stable isotope values in B. patronus clearly reflected the range of mesozooplankton, those for Aurelia sp. indicated a high individual variability, which likely accounted for the niche separation in Louisiana. Cope-pods were numerically the most abundant prey in the stomachs of predators at all sites, resulting in a percent similarity index of 93% in Louisiana, 87% in Mississippi and 86% in Alabama. Our results highlight that, despite local and species-specific variability, dietary overlap between Aurelia sp. and B. patronus is high across the northern Gulf of Mexico. Our data contribute to the definition of trophic interactions between jellyfish and forage fish in the Gulf of Mexico region and other ecosystems where they co-occur.</t>
  </si>
  <si>
    <t>10.3354/meps12419</t>
  </si>
  <si>
    <t>Waite, JN; Trumble, SJ; Burkanov, VN; Andrews, RD</t>
  </si>
  <si>
    <t>Resource partitioning by sympatric Steller sea lions and northern fur seals as revealed by biochemical dietary analyses and satellite telemetry</t>
  </si>
  <si>
    <t>Fatty acids; Northern fur seal; Resource partitioning; Stable isotopes; Steller sea lion; Telemetry</t>
  </si>
  <si>
    <t>SOUTHERN ELEPHANT SEALS; FATTY-ACID-COMPOSITION; PRINCE-WILLIAM-SOUND; EUMETOPIAS-JUBATUS; STABLE-ISOTOPES; CALLORHINUS-URSINUS; DIVING BEHAVIOR; OCEANOGRAPHIC FEATURES; NITROGEN ISOTOPES; NUTRITIONAL STRESS</t>
  </si>
  <si>
    <t>Over 1000 endangered Steller sea lions (SSL, Eumetopias jubatus Schreber, 1776) and approximately 14000 northern fur seals (NFS, Callorhinus ursinus L., 1758) breed sympatrically at the Lovushki Island complex, located in the northern Kuril Island chain in the Russian Far East, creating the potential for inter-specific competition for prey resources. The diets and foraging locations of both species were examined through the analysis of delta N-15 and delta C-13 stable isotope (SI) ratios of vibrissae, fatty acid (FA) profiles of blubber biopsies, and telemetry data collected during the breeding seasons of 2007 and 2008. There were significant differences in the mean delta N-15 and delta C-13 values between SSL and NFS. Adult female SSL were significantly enriched in both delta N-15 and delta C-13 over adult female NFS (by 2.04%+/- 0.23%. and 0.83%+/- 0.12%., respectively), which indicates that the sea lions were feeding at a higher trophic level and in a different geographical location than the fur seals. The higher mean delta C-13 levels found in the sea lion vibrissae suggest that they fed nearshore and benthically, while fur seals fed primarily offshore and pelagically. There were significant differences in the blubber FA profiles between SSL and NFS, indicating that the two species have different foraging strategies with respect to the types and/or proportions of prey items consumed. Foraging behavior analysis also indicated that SSL foraged nearshore and benthically and breeding NFS foraged primarily offshore and pelagically. The combination of these methodologies suggests breeding NFS and SSL partition their forage resources by prey type, as well as spatially, which likely reflected the differences in provisioning strategies of the adults and the fasting abilities of their pups. (C) 2012 Elsevier B.V. All rights reserved.</t>
  </si>
  <si>
    <t>10.1016/j.jembe.2012.02.009</t>
  </si>
  <si>
    <t>Wachendorf, C; Piepho, HP; Beuschel, R</t>
  </si>
  <si>
    <t>Determination of litter derived C and N in litterbags and soil using stable isotopes prevents overestimation of litter decomposition in alley cropping systems</t>
  </si>
  <si>
    <t>Agroforestry; Arable cropping; Grassland; Fragmentation loss; Maize litter; C-13</t>
  </si>
  <si>
    <t>LEAF-LITTER; ORGANIC-MATTER; STATISTICAL-ANALYSIS; FAUNA; CLIMATE; ACCUMULATION; RESPIRATION; ECOSYSTEMS; MACROFAUNA; DYNAMICS</t>
  </si>
  <si>
    <t>Litter decomposition is an important ecosystem process mediated by soil organisms. It has been widely estimated by determining mass loss rates of plant residues applied in litterbags. However, catabolic degradation of litter by soil organisms is overestimated when the transfer of undecomposed or partly decomposed litter outside the litterbags is not considered. To account for these constraints,C-13 and N-15 recovery rates of N-15 labeled maize leaf litter were analyzed in litterbags and in soil below litterbags in topsoils of four arable agroforestry alley cropping systems (ACS) and one grassland ACS in Germany after 28 weeks of incubation. Litterbags with 2 mm mesh size were buried in soils under trees and in intercropped alleyways at various distances from the trees. Recovery rates of litter derived C and N significantly differed between tree rows and alleyways in arable ACS. In the mean of three arable ACS, mass loss rates of litter applied in litterbags, corrected for litter C recovered in soil, was 78 and 67% under trees and arable crops, respectively. In the grassland ACS, litter C and N not recovered in litterbags and soil below the bags was more than 80%, revealing no differences between decomposition rates in tree rows and alleyways. In tree rows, the transfer of litter derived C to soil accounted for 10-15% of C mass loss in litterbags. We suggest that transfer rates of litter derived C to mineral soil have the potential to increase C sequestration.</t>
  </si>
  <si>
    <t>81-82</t>
  </si>
  <si>
    <t>10.1016/j.pedobi.2020.150651</t>
  </si>
  <si>
    <t>Anparasan, L; Hobson, KA</t>
  </si>
  <si>
    <t>Tracing sources of carbon and hydrogen to stored lipids in migratory passerines using stable isotope (delta C-13, delta H-2) measurements</t>
  </si>
  <si>
    <t>White-throated sparrow; Lipids; Isotopic tracing; Deuterium; Carbon-13</t>
  </si>
  <si>
    <t>LONG-DISTANCE MIGRANT; AQUATIC FOOD WEBS; ADIPOSE-TISSUE; BODY-COMPOSITION; OXYGEN ISOTOPES; DRINKING-WATER; FATTY-ACIDS; DEPOT FAT; BIRDS; FRACTIONATION</t>
  </si>
  <si>
    <t>Using measurements of naturally occurring stable isotopes in feathers to determine avian origin and migratory patterns is well established. However, isotopically determining nutritional origins of lipids, a major migratory fuel, has not been attempted. This study explores isotopic links between diet and stored lipids in captive white-throated sparrows (Zonotrichia albicollis) by providing isotopically distinct mixtures of carbohydrates/oils and drinking water and assessing the delta C-13 and delta H-2 values of stored lipid, breath CO2 (delta C-13) and breath water vapour (delta H-2). Stored lipid delta C-13 and delta H-2 values correlated with the isotopic values found in dietary carbohydrates/oils and drinking water treatments, respectively, indicating a clear traceable transfer of environmental dietary isotopic signals into body lipids. Dietary oils and carbohydrates contributed 80-82% of carbon and 44-46% of hydrogen, respectively, to stored lipids. Drinking water contributed 18-28% of hydrogen to stored lipids. Isotopic relationships were quantifiable using linear calibration algorithms which provide the basis for the construction of tissue isoscapes for migratory passerines. Breath CO2 delta C-13 values and breath water vapour delta H-2 values for fed and fasted birds reflected dietary sources. Breath CO2 delta C-13 values were higher for fasted birds than for fed birds by an average of 4.5 parts per thousand while breath water vapour delta H-2 values were lower for fasted birds by an average of 48.9 parts per thousand. These results indicate that lipids and metabolites from their subsequent breakdown for fuel isotopically reflect dietary sources but complicate interpretation of such data, especially for wild migrating birds. Applications and limitations of these findings to the creation of liposcapes are examined.</t>
  </si>
  <si>
    <t>10.1007/s00442-020-04827-1</t>
  </si>
  <si>
    <t>Qiu, MH; Li, HR; Lu, MX; Yang, YS; Zhang, SJ; Li, R; Chen, GK; Ren, LL</t>
  </si>
  <si>
    <t>Diversification in Feeding Pattern of Livestock in Early Bronze Age Northwestern China</t>
  </si>
  <si>
    <t>Early Bronze Age; Hexi Corridor; stable isotopes; paleodiet; human subsistence; animal husbandry; diversified management</t>
  </si>
  <si>
    <t>PREHISTORIC HEXI CORRIDOR; STABLE-ISOTOPE ANALYSIS; HEIHE RIVER-BASIN; FOOD GLOBALIZATION; CULTURAL-EXCHANGE; HISTORICAL PERIOD; ZAGROS MOUNTAINS; HUMAN SETTLEMENT; HUMAN IMPACT; NW CHINA</t>
  </si>
  <si>
    <t>Animal husbandry has been an indispensable part of human subsistence since the origin of agriculture. Along with the prehistoric cultural exchange, several kinds of major domestic animals diffused and gradually got popularized across the Eurasia. The specific geographic setting makes the Hexi Corridor in northwestern China one of the key regions to converge various types of major crops and livestock, and to witness the deep impact of novel species on local subsistence. Archeological evidence reveals an emergence of early oriental-occidental cultural communication at the opening of the local Bronze Age in Hexi Corridor, resulting in a significant shift of local subsistence. However, due to the lack of more detailed archeological evidence, the initial timing and trajectory of the transformation of livestock feeding patterns remain unclear. In this study, we reported systematic stable isotope and precise radiocarbon dating analyses on faunal remains unearthed from Huoshiliang and Ganggangwa, two Early Bronze Age settlements (ca. 4,000-3,700 BP) in middle Hexi Corridor. Our results show distinct diversification in livestock feeding patterns at similar to 3,850 cal BP; in contrast with previous periods, some omnivorous livestock appear to have consumed mainly C-3 foodstuff and some herbivorous livestock primarily consumed C-4 plants. Combined with published stable isotope data and other archeological findings in the neighboring region, a clearer trajectory of the evolution of livestock feeding patterns has been revealed with diversified strategy amid the transformation during the Early Bronze Age in Hexi Corridor. We argued that the alteration of the local livestock feeding pattern reflects the attempt to achieve more efficient economy and sustainable society, in order to withstand the harsh arid environment in Hexi Corridor.</t>
  </si>
  <si>
    <t>10.3389/fevo.2022.908131</t>
  </si>
  <si>
    <t>Tobella, AB; Hasselquist, NJ; Bazie, HR; Nyberg, G; Laudon, H; Bayala, J; Ilstedt, U</t>
  </si>
  <si>
    <t>Strategies trees use to overcome seasonal water limitation in an agroforestry system in semiarid West Africa</t>
  </si>
  <si>
    <t>agroforestry parklands; Burkina Faso; drylands; groundwater; oxygen stable isotopes; Shea tree; water source partitioning</t>
  </si>
  <si>
    <t>SOIL-WATER; VITELLARIA-PARADOXA; CROP INTERACTIONS; PLANTS; PARKLAND; DEPTH; GROUNDWATER; PATTERNS; MILLET; NERE</t>
  </si>
  <si>
    <t>Agroforestry parklands, in which annual crops are grown under scattered mature trees, constitute the most prevalent farming system in semiarid West Africa, covering vast areas of land. The most dominant tree species in these systems is Vitellaria paradoxa, an indigenous tree to West Africa. Despite the importance of this tree in the region, no study to our knowledge has examined its sources and patterns of water uptake. In this study, we used oxygen stable isotopes at natural abundance levels to investigate water sources used by V. paradoxa both in the dry and wet season in an agroforestry parkland in Burkina Faso. We found that during the wet season soil moisture was highest near the soil surface (&lt; 10 cm depth), yet during this time V. paradoxa preferentially accessed water from slightly deeper soil depths, obtaining ca. 90% of its water from 10 to 50 cm depth. In contrast, soil moisture in the upper soil layers was significantly lower during the dry season and as a result V. paradoxa shifted to deeper water sources, obtaining ca. 30% of its water from groundwater and ca. 50% from 30 to 600 cm depth. We also found a negative relationship between tree size and the contribution of groundwater during the dry season, whereas during the wet season V. paradoxa predominantly used water near the soil surface regardless of tree size. Knowledge about the sources and patterns of tree water uptake provides crucial information to better understand how trees influence the local water balance.</t>
  </si>
  <si>
    <t>e1808</t>
  </si>
  <si>
    <t>10.1002/eco.1808</t>
  </si>
  <si>
    <t>Eronen, JT; Janis, CM; Chamberlain, CP; Mulch, A</t>
  </si>
  <si>
    <t>Mountain uplift explains differences in Palaeogene patterns of mammalian evolution and extinction between North America and Europe</t>
  </si>
  <si>
    <t>Palaeogene; mammals; North America; tectonics; precipitation estimates; terrestrial environments</t>
  </si>
  <si>
    <t>EOCENE-OLIGOCENE TRANSITION; CLIMATE-CHANGE; DIVERSITY DYNAMICS; HIGH-RESOLUTION; HISTORY; PRECIPITATION; TOPOGRAPHY; BASIN; PALEOELEVATION; ISOTOPES</t>
  </si>
  <si>
    <t>Patterns of late Palaeogene mammalian evolution appear to be very different between Eurasia and North America. Around the Eocene-Oligocene (EO) transition global temperatures in the Northern Hemisphere plummet: following this, European mammal faunas undergo a profound extinction event (the Grande Coupure), while in North America they appear to pass through this temperature event unscathed. Here, we investigate the role of surface uplift to environmental change and mammalian evolution through the Palaeogene (66-23 Ma). Palaeogene regional surface uplift in North America caused large-scale reorganization of precipitation patterns, particularly in the continental interior, in accord with our combined stable isotope and ecometric data. Changes in mammalian faunas reflect that these were dry and high-elevation palaeoenvironments. The scenario of Middle to Late Eocene (50-37 Ma) surface uplift, together with decreasing precipitation in higher-altitude regions of western North America, explains the enigma of the apparent lack of the large-scale mammal faunal change around the EO transition that characterized western Europe. We suggest that North American mammalian faunas were already pre-adapted to cooler and drier conditions preceding the EO boundary, resulting from the effects of a protracted history of surface uplift.</t>
  </si>
  <si>
    <t>10.1098/rspb.2015.0136</t>
  </si>
  <si>
    <t>Ramirez, MD; Miller, JA; Parks, E; Avens, L; Goshe, LR; Seminoff, JA; Snover, ML; Heppell, SS</t>
  </si>
  <si>
    <t>Reconstructing sea turtle ontogenetic habitat shifts through trace element analysis of bone tissue</t>
  </si>
  <si>
    <t>Barium; Strontium; Stable nitrogen isotopes; Habitat use; Sea turtle; Migration; Bone chemistry</t>
  </si>
  <si>
    <t>SKELETAL GROWTH MARKS; STABLE-ISOTOPES; OTOLITH CHEMISTRY; STOCK DISCRIMINATION; LEPIDOCHELYS-KEMPII; CARETTA-CARETTA; MINKE WHALES; STRONTIUM; MARINE; BARIUM</t>
  </si>
  <si>
    <t>Trace element analysis has emerged as a powerful tool to elucidate past movement and habitat use in aquatic animals, but has been underutilized in studies of non-fish species. When applied to sequentially deposited tissues (e.g. fish otoliths, sea turtle humerus bone), the technique can be used to infer aspects of an individual's ecology through time. The goal of this study was to evaluate whether trace elements could be used to reconstruct transitions between oceanic and neritic life stages in 2 species of sea turtle. We sampled the annual humerus bone growth layers of loggerhead Caretta caretta and Kemp's ridley Lepidochelys kemph sea turtles for concentrations of 7 elements (Mg, Ca, Mn, Cu, Zn, Sr, Ba) using laser ablation-inductively coupled plasma-mass spectrometry. Previous studies have demonstrated that stable nitrogen isotope (delta N-15) values can be used to reconstruct ontogenetic shifts between oceanic (offshore) and neritic (nearshore) habitats in these species; therefore, bone delta N-15 data were also collected for comparison. Bone strontium to calcium (Sr:Ca) and barium to calcium (Ba:Ca) ratios were significantly higher in oceanic versus neritic life stages for both species. Changes in bone elemental ratios within individuals coincided with known changes in resource use, as indicated by delta N-15 values, and fell within the range of body sizes and ages typical for oceanic-to-neritic ontogenetic shifts in each species. We conclude that bone Sr:Ca and Ba:Ca ratios may identify oceanic versus neritic resource use in sea turtles, but that additional studies are needed to identify the specific mechanisms underpinning these differences.</t>
  </si>
  <si>
    <t>10.3354/meps12796</t>
  </si>
  <si>
    <t>Kelly, DJ; Hawes, I</t>
  </si>
  <si>
    <t>Effects of invasive macrophytes on littoral-zone productivity and foodweb dynamics in a New Zealand high-country lake</t>
  </si>
  <si>
    <t>littoral zone; productivity; food web; benthic invertebrates; adventive macrophytes; benthic fish; stable isotopes; Lagarosiphon major; Elodea canadensis; Gobiomorphus cotidanus; Potamopyrgus antipodarum</t>
  </si>
  <si>
    <t>AQUATIC MACROPHYTES; LAGAROSIPHON-MAJOR; MACROINVERTEBRATES; BIOMASS; FISH; INVERTEBRATES; FRESH; ARCHITECTURE; SELECTION; HABITAT</t>
  </si>
  <si>
    <t>Invasion of littoral zones by adventive macrophyte species can facilitate major changes in the ecology of lakes. In Lake Wanaka, a large alpine New Zealand lake, the macrophytes Lagarosiphon major and Elodea canadensis (Hydrocharitaceae) have invaded parts of the lake where they form tall dense plant beds throughout mid-depths (2-7 m) of the littoral zone. We investigated differences in plants, benthic invertebrates, fish, and food webs characterizing native and exotic plant beds in mid-depths of the littoral zone. The 3X higher plant biomass and 2X higher plant surface area in exotic than in native plant beds (quillworts, milfoils, and charophytes) contributed to greater standing stocks and productivity of epiphyton in the exotic plant beds. Invertebrate communities were less dense (1890/m(2) vs 4030/m(2)) and less diverse (richness = 9 vs 12) in native than in exotic plant beds because of differences in biomass, productivity, and physical structure of native and exotic plant communities. Invertebrate communities in native beds were dominated by snails, oligochaetes, and nematodes, whereas chironomids, snails, and caddisflies were dominant in exotic beds. Stable isotope signatures (C-13 and N-15) and dietary analyses indicated that Potamopyrgus antipodarum, the dominant invertebrate taxon in both bed types, consumed mostly epiphyton. In native beds, consumption of sedimentary fine benthic organic matter by oligochaetes and nematodes made significant contributions to C flow, whereas, in exotic beds, consumption of epiphyton by grazers (e.g., snails, caddisflies, and chironomids) was an important pathway for C flow. Macrophytes made only small contributions to C flow in either bed type. The dominant native fish in Lake Wanaka, the bully Gobiomorphus cotidianus, was more abundant in exotic than in native beds, but bully predation rates on snails were significantly lower in exotic than in native beds. Invasion by adventive macrophyte species can cause significant shifts in lake productivity, species composition, and foodweb dynamics.</t>
  </si>
  <si>
    <t>10.1899/03-097.1</t>
  </si>
  <si>
    <t>Radinger, J; Holker, F; Wolter, C</t>
  </si>
  <si>
    <t>Assessing how uncertainty and stochasticity affect the dispersal of fish in river networks</t>
  </si>
  <si>
    <t>Aleatory uncertainty; Epistemic uncertainty; Latin hypercube sampling; River fish dispersal; Sensitivity analysis; Spatial habitat heterogeneity</t>
  </si>
  <si>
    <t>INDIVIDUAL-BASED MODELS; RANGE EXPANSION; MOVEMENT; INVASIONS; DYNAMICS; HABITAT; SPREAD; VARIABILITY; DISTURBANCE; RECOVERY</t>
  </si>
  <si>
    <t>Species dispersal and population dynamics determine the spatio-temporal patterns of species spread and thus, species invasions and recolonization following habitat restorations. However, the effects of stochasticity and spatial habitat heterogeneity on species spread are poorly understood. By coupling a fish dispersal model and a population growth model in GIS, we simulated the spread of a model fish species (Salmo trutta) over five years in river networks of varying habitat heterogeneity. Replicated model runs and a sampling-based sensitivity analysis allowed us to disentangle the uncertainty in the rate of spread related to (i) specific model input parameters and (ii) stochasticity inherent to the dispersal process. Our results revealed the spread of the model species being particularly sensitive to the choice of parameters determining fish dispersal (e.g. fish size) and less to demographic parameters (e.g. reproductive rate). Moreover, the spread of fish is strongly affected by stochasticity inherent to dispersal and the availability and spatial arrangement of suitable habitats patches. Stochastic effects cause considerable variations in the predictability of up to 120% of the median dispersal distance whereof 52% is solely attributed to stochasticity inherent to dispersal decisions. Our findings demonstrate that process-based models combining individual dispersal, population dynamics and spatial habitat heterogeneity as well as carefully selected model input parameters are crucial for reasonably simulating the spread of fishes in river networks. Moreover, we suggest considering stochasticity inherent to dispersal in models of species spread as this contributes to a considerable variation in the predictability of movement distances. (C) 2017 Elsevier B.V. All rights reserved.</t>
  </si>
  <si>
    <t>10.1016/j.ecolmodel.2017.05.029</t>
  </si>
  <si>
    <t>Middleton, AD; Morrison, TA; Fortin, JK; Robbins, CT; Proffitt, KM; White, PJ; McWhirter, DE; Koel, TM; Brimeyer, DG; Fairbanks, WS; Kauffman, MJ</t>
  </si>
  <si>
    <t>Grizzly bear predation links the loss of native trout to the demography of migratory elk in Yellowstone</t>
  </si>
  <si>
    <t>aquatic subsidies; cutthroat trout; elk; grizzly bears; invasive species; lake trout</t>
  </si>
  <si>
    <t>AMERICAN BLACK BEARS; CUTTHROAT TROUT; NATIONAL-PARK; URSUS-ARCTOS; BROWN BEARS; ONCORHYNCHUS-CLARKI; PACIFIC SALMON; CALF SURVIVAL; WOLF; ECOSYSTEM</t>
  </si>
  <si>
    <t>The loss of aquatic subsidies such as spawning salmonids is known to threaten a number of terrestrial predators, but the effects on alternative prey species are poorly understood. At the heart of the Greater Yellowstone ecosystem, an invasion of lake trout has driven a dramatic decline of native cutthroat trout that migrate up the shallow tributaries of Yellowstone Lake to spawn each spring. We explore whether this decline has amplified the effect of a generalist consumer, the grizzly bear, on populations of migratory elk that summer inside Yellowstone National Park (YNP). Recent studies of bear diets and elk populations indicate that the decline in cutthroat trout has contributed to increased predation by grizzly bears on the calves of migratory elk. Additionally, a demographic model that incorporates the increase in predation suggests that the magnitude of this diet shift has been sufficient to reduce elk calf recruitment (4-16%) and population growth (2-11%). The disruption of this aquatic-terrestrial linkage could permanently alter native species interactions in YNP. Although many recent ecological changes in YNP have been attributed to the recovery of large carnivores-particularly wolves-our work highlights a growing role of human impacts on the foraging behaviour of grizzly bears.</t>
  </si>
  <si>
    <t>10.1098/rspb.2013.0870</t>
  </si>
  <si>
    <t>Molina, GAR; Poggio, SL; Ghersa, CM</t>
  </si>
  <si>
    <t>Epigeal arthropod communities in intensively farmed landscapes: Effects of land use mosaics, neighbourhood heterogeneity, and field position</t>
  </si>
  <si>
    <t>Biodiversity; Landscape homogenisation; Neighbouring effects; Rolling pampas; Spatial scale; Spillover</t>
  </si>
  <si>
    <t>AGRICULTURAL INTENSIFICATION; TROPHIC INTERACTIONS; NATURAL ENEMIES; BIODIVERSITY; DIVERSITY; HABITAT; PARASITISM; SPILLOVER; RESPONSES; WEED</t>
  </si>
  <si>
    <t>Trophic guilds of epigeal arthropods regulating insect pest populations may be affected by factors acting across spatial scales. Although the influence of landscape factors associated with farming effects on arthropod assemblages has received increasing attention in the last decades, most research was carried out in fine-grain landscapes by comparing conventional and organic cropping systems. Here, we aimed at identifying the role of fencerows and crop heterogeneity in defining arthropod diversity in intensively farmed, coarse-grain landscapes. Hence, we developed a multi-scale heterogeneity approach based on fitting linear-mixed models to elucidate the effects of three spatial scales (local, neighbouring crop types, and landscape) on arthropod diversity. Mixed models were fitted to arthropod data obtained by pitfall trap samplings in 22 field pairs. Field position was a major determinant of arthropod species diversity at local scale, due to the contrasting disturbance regimes of fencerows and adjoining field edges. Fence density at landscape scale contributed to retain diverse arthropod assemblages in farmland mosaics by supplying habitats and refuges. In addition, extended fence network may function as corridors for dispersal, increasing connectivity between dissimilar habitats. Fence habitats, as well as their density in the landscapes, enhance both richness and abundance of beneficial arthropods. Our findings indicate that the overall arthropod diversity was benefited by landscape complexity, being the presence and density of fencerows key landscape attributes. Contrasting disturbance regimes at different field positions emerged as a major driver modulating arthropod species diversity in intensively managed farmland mosaics. Non-cropped habitats associated with fencerows and field margins play key ecological functions that are of vital importance for providing ecosystem services in agro-ecosystems. Complex landscapes may help to conserve overall plant diversity in agro-ecosystems, as well as the spillover of arthropod species from fencerows towards crop fields. Even in heavily intensified landscapes, where crop diversity is the main source of heterogeneity, promoting measures intended for both restoring and managing fencerow and non-cropped habitats through landscape planning will contribute to maintain arthropod richness (almost 70% of total richness) across the entire landscape. (C) 2014 Elsevier B.V. All rights reserved.</t>
  </si>
  <si>
    <t>10.1016/j.agee.2014.04.013</t>
  </si>
  <si>
    <t>Kang, CK; Kim, JB; Lee, KS; Kim, JB; Lee, PY; Hong, JS</t>
  </si>
  <si>
    <t>Trophic importance of benthic microalgae to macrozoobenthos in coastal bay systems in Korea: dual stable C and N isotope analyses</t>
  </si>
  <si>
    <t>stable isotope ratios; food webs; benthic microalgae; tidal flat; macrozoobenthos; Korean coast</t>
  </si>
  <si>
    <t>FOOD-WEB STRUCTURE; ORGANIC-MATTER; CARBON-ISOTOPE; SPARTINA-ALTERNIFLORA; RELATIVE IMPORTANCE; DELTA-C-13 EVIDENCE; TIDAL RESUSPENSION; NITROGEN ISOTOPES; CRASSOSTREA-GIGAS; BROWN SHRIMP</t>
  </si>
  <si>
    <t>The role of benthic microalgae as the source of primary organic matter for the macrozoobenthos community was examined in 3 bay systems of the south coast of the Korean peninsula using stable carbon and nitrogen isotope ratios (delta(13)C and delta(15)N) as a dual tracer. The delta(13)C and delta(15)N of riverine particulate inputs, primary producers and macrozoobenthos collected from the intertidal and subtidal habitats of the bays were measured and compared with those from adjacent offshore waters. Extensive intertidal flats occurred with wide marsh plains (primarily Phragmites australis) at the uppermost part of the intertidal zone in all 3 bay systems, but different hydrologic features were exhibited among bay systems. There were no systematic variations in delta(13)C for the same plant taxa, but different producer groups were clearly separated by their delta(13)C values. Benthic microalgae and macroalgae, which had similar delta(13)C values, were separated by their delta(15)N values. The VC values of macrozoobenthos collected from the offshore areas were similar to those of phytoplankton. Macrorzoobenthos collected from all 3 bay habitats had simila delta(13)C ranges, and their delta(13)C values (means of all consumers, feeding types and species) were less negative than those of the offshore macrozoobenthos. Isotopic linkage between sources and benthic consumers, based on the documented trophic fractionation for C and N, indicated that benthic microalgae and phytoplankton are the major sources of organic matter supporting macrobenthic consumers in the bay systems. A 2-source mixing model revealed that pelagic feeders in both the intertidal and subtidal habitats subsisted in equal shares on marine phytoplankton and benthic microalgae, whereas the food source of benthic feeders was derived predominantly from benthic microalgae. Phragmites or riverine particulate inputs appeared to have made little contribution to the diets of consumers in the bay systems. Our collective isotopic data set suggested that benthic microalgae, along with phytoplankton, constituted the organic matter that forms the trophic base of pelagic as well as benthic food webs in the coastal bays, despite differing vegetational composition and hydrology.</t>
  </si>
  <si>
    <t>10.3354/meps259079</t>
  </si>
  <si>
    <t>Hill, JM; Jones, RW; Hill, MP; Weyl, OLF</t>
  </si>
  <si>
    <t>Comparisons of isotopic niche widths of some invasive and indigenous fauna in a South African river</t>
  </si>
  <si>
    <t>diet; ecological impacts; Nseleni River; Pterygoplichthys disjunctivus; Tarebia granifera</t>
  </si>
  <si>
    <t>STABLE-ISOTOPES; FOOD-WEB; PTERYGOPLICHTHYS; LORICARIIDAE; CATFISH; CARBON; STREAM; IDENTIFICATION; COMMUNITIES; TELEOSTEI</t>
  </si>
  <si>
    <t>1. Biological invasions threaten ecosystem integrity and biodiversity, with numerous adverse implications for native flora and fauna. Established populations of two notorious freshwater invaders, the snail Tarebia granifera and the fish Pterygoplichthys disjunctivus, have been reported on three continents and are frequently predicted to be in direct competition with native species for dietary resources. Using comparisons of species' isotopic niche widths and stable isotope community metrics, we investigated whether the diets of the invasive T.granifera and P.disjunctivus overlapped with those of native species in a highly invaded river. We also attempted to resolve diet composition for both species, providing some insight into the original pathway of invasion in the Nseleni River, South Africa. Stable isotope metrics of the invasive species were similar to or consistently mid-range in comparison with their native counterparts, with the exception of markedly more uneven spread in isotopic space relative to indigenous species. Dietary overlap between the invasive P.disjunctivus and native fish was low, with the majority of shared food resources having overlaps of &lt;0.26. The invasive T.granifera showed effectively no overlap with the native planorbid snail. However, there was a high degree of overlap between the two invasive species (0.86). Bayesian mixing models indicated that detrital mangrove Barringtonia racemosa leaves contributed the largest proportion to P.disjunctivus diet (0.12-0.58), while the diet of T.granifera was more variable with high proportions of detrital Eichhornia crassipes (0.24-0.60) and Azolla filiculoides (0.09-0.33) as well as detrital Barringtonia racemosa leaves (0.00-0.30). Overall, although the invasive T.granifera and P.disjunctivus were not in direct competition for dietary resources with native species in the Nseleni River system, their spread in isotopic space suggests they are likely to restrict energy available to higher consumers in the food web. Establishment of these invasive populations in the Nseleni River is thus probably driven by access to resources unexploited or unavailable to native residents.</t>
  </si>
  <si>
    <t>10.1111/fwb.12542</t>
  </si>
  <si>
    <t>BJOSTAD, LB; ROELOFS, WL</t>
  </si>
  <si>
    <t>SEX-PHEROMONE BIOSYNTHESIS IN THE RED-BANDED LEAFROLLER MOTH, STUDIED BY MASS-LABELING WITH STABLE ISOTOPES AND ANALYSIS WITH MASS-SPECTROMETRY</t>
  </si>
  <si>
    <t>JOURNAL OF CHEMICAL ECOLOGY</t>
  </si>
  <si>
    <t>10.1007/BF01020565</t>
  </si>
  <si>
    <t>Ren, HY; Xu, ZW; Isbell, F; Huang, JH; Han, XG; Wan, SQ; Chen, SP; Wang, RZ; Zeng, DH; Jiang, Y; Fang, YT</t>
  </si>
  <si>
    <t>Exacerbated nitrogen limitation ends transient stimulation of grassland productivity by increased precipitation</t>
  </si>
  <si>
    <t>increased precipitation; nitrogen deposition; nitrogen losses; nitrogen stable isotopes; plant productivity; plant species abundance</t>
  </si>
  <si>
    <t>NET PRIMARY PRODUCTIVITY; CARBON SEQUESTRATION; TEMPERATE GRASSLAND; TERRESTRIAL ECOSYSTEMS; WATER ADDITION; RESPONSES; CLIMATE; PULSES; DYNAMICS; METAANALYSIS</t>
  </si>
  <si>
    <t>Given that plant growth is often water-limited in grasslands, it has been proposed that projected increases in precipitation could increase plant productivity and carbon sequestration. However, the existing evidence for this hypothesis comes primarily from observational studies along natural precipitation gradients or from short-term manipulative experiments. It remains unclear whether long-term increased precipitation persistently stimulates grassland productivity. In the world's largest remaining temperate grassland, we found that experimentally increased precipitation enhanced net primary production, soil-available nitrogen and foliar nitrogen concentrations during the first six years, but it ceased to do so in the following four years, unless nitrogen was simultaneously added with water. The N-15 enrichment of plant and soil nitrogen pools in later years indicates increased nitrogen losses, which exacerbated nitrogen limitation and ended the stimulation of productivity by increased precipitation. Changes in species abundance might have contributed little to the changes in water treatment effects. Our study demonstrates that the long-term response of grassland ecosystems to increased precipitation will be mediated by nitrogen availability. Our results also point to a shift from co-limitation by water and nitrogen early to perhaps limitation by nitrogen only later in this temperate grassland, highlighting significant variations in the type of resource limitation induced by climate change.</t>
  </si>
  <si>
    <t>10.1002/ecm.1262</t>
  </si>
  <si>
    <t>Oczkowski, AJ; Pilson, MEQ; Nixon, SW</t>
  </si>
  <si>
    <t>A marked gradient in delta C-13 values of clams Mercenaria mercenaria across a marine embayment may reflect variations in ecosystem metabolism</t>
  </si>
  <si>
    <t>Carbon; Stable isotope; Ecosystem metabolism; pH; Greenwich Bay; Narragansett Bay</t>
  </si>
  <si>
    <t>CARBON-ISOTOPE FRACTIONATION; ORGANIC-MATTER; NARRAGANSETT BAY; STABLE-ISOTOPES; SPARTINA-ALTERNIFLORA; BENTHIC MICROALGAE; PRIMARY PRODUCERS; SURFACE WATERS; FOOD-WEB; NITROGEN</t>
  </si>
  <si>
    <t>Although stable isotopes of organic carbon (delta C-13) are typically used as indicators of terrestrial, intertidal, and offshore organic carbon sources to coastal ecosystems, there is evidence that delta C-13 values are also sensitive to in situ ecosystem metabolism. To investigate this phenomenon, we examined delta C-13 values of filter-feeding hard clams Mercenaria mercenaria from 13 locations in Greenwich Bay, a sub-estuary of Narragansett Bay, Rhode Island (USA). The delta C-13 values of the clams showed a marked linear gradient of 2 parts per thousand over the 4 km length of Greenwich Bay (-19 to 17 %parts per thousand), from lower delta C-13 values in the inner bay to higher values at the mouth, where Greenwich Bay joins Narragansett Bay proper (R-2 = 0.94, p &lt; 0.0001). This is in contrast to previous work that has shown that delta C-13 values of clams in Narragansett Bay proper (over 40 km long) are homogenous (mean +/- SD, -16.8 +/- 0.6 parts per thousand, n = 247). Mean daily pH, temperature, and salinity data from 2 fixed monitoring stations were used to estimate aqueous CO2 (CO2(aq)) concentrations in the surrounding water. CO2(aq) concentrations were higher in inner Greenwich Bay than immediately outside of the bay, suggesting that the dissolved inorganic carbon sources supporting phytoplankton production are quite different across the bay. The outer Greenwich Bay clams appear to feed on Narragansett Bay phytoplankton with higher delta C-13 values that are grown in a higher pH, more bicarbonate-rich environment. In contrast, the inner Greenwich Bay clams may feed on phytoplankton grown in lower pH water with a greater availability of CO2(aq). The lower delta C-13 of CO2(aq) relative to HCO3- is reflected in the phytoplankton and in the clams that feed on them. Our work suggests that delta C-13 values may be sensitive to changes in inorganic C in estuarine systems, which may confound attempts to use stable isotopes to identify organic carbon sources.</t>
  </si>
  <si>
    <t>10.3354/meps08737</t>
  </si>
  <si>
    <t>Abrantes, KG; Barnett, A; Marwick, TR; Bouillon, S</t>
  </si>
  <si>
    <t>Importance of terrestrial subsidies for estuarine food webs in contrasting East African catchments</t>
  </si>
  <si>
    <t>Africa; Bayesian mixing models; catchment; estuaries; stable isotopes; terrestrial subsidies</t>
  </si>
  <si>
    <t>NITROGEN STABLE-ISOTOPES; RIVER-DOMINATED ESTUARY; ORGANIC-MATTER; APALACHICOLA BAY; CARBON ISOTOPES; TANA RIVER; BETSIBOKA ESTUARY; TROPICAL ESTUARY; MARINE; WATER</t>
  </si>
  <si>
    <t>Little is known on the degree to which terrestrial organic matter delivered to tropical estuaries contributes to estuarine consumers. Here, stable isotope analysis is used to constrain this contribution for contrasting east African estuaries whose catchments differ in relative C3/C4 vegetation cover. As these two types of vegetation differ strongly in delta C-13, we anticipated that terrestrial subsidies would be reflected in a gradient in estuarine consumer delta C-13 values, following the relative importance of C3 (characterised by low delta C-13) vs. C4 (characterised by high delta C-13) cover. Five estuaries were sampled for aquatic biogeochemical parameters, primary producers and consumers of different trophic ecologies: the Zambezi (catchment with a C3/C4 cover of 61/39%) in Mozambique, the Tana in Kenya (36/64%) and the Betsiboka (42/58%), Rianila (85/15%) and Canal des Pangalanes (C3-dominated) in Madagascar. Sampling was done before and after the 2010/2011 wet season. There were positive relationships between the proportion of C4 cover in the catchment and turbidity, delta C-13(DIC), delta C-13(DOC), delta C-13(POC) and delta N-15(PN). There were also significant positive relationships between delta C-13(POC) and consumer delta C-13 and between delta N-15(PN) and consumer delta N-15 for all consumer trophic guilds, confirming the incorporation of organic material transported from the catchments by estuarine consumers, and implying that this material is transported up to high trophic level fish. Bayesian mixing models confirmed that C4 material was the most important source for the highly turbid, C4-dominated estuaries, contributing up to 61-91% (95% CI) to phytodetritivorous fish in the Betsiboka, whereas for the less turbid C3-dominated estuaries terrestrial subsidies were not as important and consumers relied on a combination of terrestrial and aquatic sources. This shows that the ecology of the overall catchment affects the estuaries at the most basic, energetic level, and activities that alter the turbidity and productivity of rivers and estuaries can affect food webs well beyond the area of impact.</t>
  </si>
  <si>
    <t>10.1890/ES12-00322.1</t>
  </si>
  <si>
    <t>Implications of trophic discrimination factor selection for stable isotope food web models of low trophic levels in the Arctic nearshore</t>
  </si>
  <si>
    <t>Trophic; Enrichment; Fractionation; Carbon; Nitrogen; Fish; Plankton</t>
  </si>
  <si>
    <t>TURNOVER RATES; NITROGEN; CARBON; FRACTIONATION; DIET; DELTA-C-13; PATTERNS; VALUES</t>
  </si>
  <si>
    <t>Stable isotope analysis (SIA) has become a useful tool to investigate food web structures in Arctic marine ecosystems. This method requires assumptions about how isotopes are assimilated from food into tissues. Few controlled lab experiments have determined the appropriate trophic discrimination factors (TDFs) for Arctic marine species, thus many studies have resorted to using global averages or values determined from species in different habitats or taxa. We examined the trophic niche space for prey resources predicted from the isotopic ratios of fish collected in the coastal Beaufort and Chukchi Seas using several published Arctic marine TDFs. The different predictions were compared to highlight the implications of selecting appropriate TDFs in Arctic marine food web models. Predicted trophic niche space of prey resources differed greatly depending on the TDFs used, and the most appropriate TDFs from those that are currently available were identified for modeling Arctic nearshore lower trophic levels.</t>
  </si>
  <si>
    <t>10.3354/meps12893</t>
  </si>
  <si>
    <t>Gong, Y; Ruiz-Cooley, RI; Hunsicker, ME; Li, YK; Chen, XJ</t>
  </si>
  <si>
    <t>Sexual dimorphism in feeding apparatus and niche partitioning in juvenile jumbo squid Dosidicus gigas</t>
  </si>
  <si>
    <t>Dosidicus gigas; Stable isotope analysis; Compound-specific isotope analysis; Amino acid; Niche partitioning; Energy allocation</t>
  </si>
  <si>
    <t>STABLE-ISOTOPE ANALYSIS; NEON FLYING SQUID; TROPHIC POSITION; RANGE EXPANSION; HUMBOLDT SQUID; AMINO-ACIDS; NITROGEN; FOOD; SIZE; CEPHALOPODS</t>
  </si>
  <si>
    <t>In a wide range of sexually reproducing marine organisms, males and females coexist through niche separation to reduce intraspecific competition and maximize survival; however, sexual segregation in mesopelagic cephalopods is poorly understood. To evaluate ontogenetic differences in diet and habitat partitioning between juvenile female and male jumbo squid Dosidicus gigas, we determined age and maturity, quantified stable isotope ratios along gladii bulk tissue and individual amino acids (AAs), and analyzed morphometrics of feeding apparatuses. D. gigas of 24 to 33 cm gladius length (GL) were collected in the northern Humboldt Current. Results showed that females had larger feeding apparatuses than males and higher delta N-15 values in bulk tissue and trophic AAs, but relatively similar source-AA delta N-15 values at same GLs. These results indicate that females catch prey of higher trophic position at earlier maturing stages than males, but tend to share similar habitat. This behavior likely reduces intraspecific competition, promotes ontogeny of sexual niche partitioning, and maximizes energy intake. Our study reveals that sexual segregation in feeding habits occurs in juvenile D. gigas during ontogenesis in the northern Humboldt Current, a strategy that can help elucidate its complex population dynamics and adaptation to fluctuating environmental conditions.</t>
  </si>
  <si>
    <t>10.3354/meps12768</t>
  </si>
  <si>
    <t>Hayes, NM; Patoine, A; Haig, HA; Simpson, GL; Swarbrick, VJ; Wiik, E; Leavitt, PR</t>
  </si>
  <si>
    <t>Spatial and temporal variation in nitrogen fixation and its importance to phytoplankton in phosphorus-rich lakes</t>
  </si>
  <si>
    <t>delta N-15; cyanobacteria; nitrogen demand; nutrient limitation; stable isotopes</t>
  </si>
  <si>
    <t>HARD-WATER LAKES; N-2 FIXATION; FRESH-WATER; COMMUNITY COMPOSITION; MARINE ECOSYSTEMS; STABLE-ISOTOPES; CARBON FLUX; EUTROPHICATION; CYANOBACTERIA; VARIABILITY</t>
  </si>
  <si>
    <t>Limnological theory posits that phosphorus (P) limits primary production in freshwater lakes, in part because fixation of atmospheric nitrogen (N-2) can compensate for limitations in nitrogen (N) supply to phytoplankton. However, quantitative estimates of the degree to which N-2 fixation satisfies planktonic N demand are rare. Here we used biweekly sampling during summer in seven lakes over 2 decades to estimate both planktonic N-2 fixation and phytoplankton N demand. We further assessed the ability of biologically fixed N to satisfy N needs of primary producers in productive hardwater lakes. Phytoplankton N requirements, derived from estimates of phytoplankton productivity and N content, were moderately synchronous (S = 0.41) among lakes (ca. 0.1-9.2 mg N m(-3) hr(-1)). In contrast, rates of N-2 fixation determined using isotopic natural abundance method (NAM; 0.002-3.2 mg N m(-3) hr(-1)), or heterocyte-based calculations (0.10-1.78 mg N m(-3) hr(-1)), varied asynchronously (S-NAM = -0.03 and S-Heterocyte = -0.11) among basins, accounted for a median of 3.5% (mean 11.3% +/- 21.6) of phytoplankton demand, and were correlated to the abundance of Nostocales cyanobacteria when analysed using generalised additive models. Overall, the total mass of fixed N accounted for a median of only 3.0% of the spring standing stock of total dissolved N in study lakes (mean 7.5 +/- 12.1%), with higher relative importance of fixed N in highly productive downstream lakes. Thus, while fixed N helps sustain primary productivity, particularly in years with high rates of N-2-fixation, it does not appear to eliminate N limitation of phytoplankton growth in these P-rich hardwater lakes.</t>
  </si>
  <si>
    <t>10.1111/fwb.13214</t>
  </si>
  <si>
    <t>Campbell, MA; Udyawer, V; Jardine, TD; Fukuda, Y; Kopf, RK; Bunn, SE; Campbell, HA</t>
  </si>
  <si>
    <t>Dietary shifts may underpin the recovery of a large carnivore population</t>
  </si>
  <si>
    <t>stable isotope analysis; Crocodylus porosus; estuarine crocodile; dietary niche; trophic cascade; apex predator</t>
  </si>
  <si>
    <t>STABLE-ISOTOPES; CROCODYLUS-POROSUS; BONE-COLLAGEN; CROCODILE; DISTURBANCE; TURNOVER; NITROGEN; MARINE; RATES</t>
  </si>
  <si>
    <t>Supporting the recovery of large carnivores is a popular yet challenging endeavour. Estuarine crocodiles in Australia are a large carnivore conservation success story, with the population having extensively recovered from past heavy exploitation. Here, we explored if dietary changes had accompanied this large population recovery by comparing the isotopes delta C-13 and delta N-15 in bones of crocodiles sampled 40 to 55 years ago (small population) with bones from contemporary individuals (large population). We found that delta C-13 and delta N-15 values were significantly lower in contemporary crocodiles than in the historical cohort, inferring a shift in prey preference away from marine and into terrestrial food webs. We propose that an increase in intraspecific competition within the recovering crocodile population, alongside an increased abundance of feral ungulates occupying the floodplains, may have resulted in the crocodile population shifting to feed predominantly upon terrestrial food sources. The number of feral pigs consumed to sustain and grow crocodile biomass may help suppress pig population growth and increase the flow of terrestrially derived nutrients into aquatic ecosystems. The study highlights the significance of prey availability in contributing to large carnivore population recovery.</t>
  </si>
  <si>
    <t>10.1098/rsbl.2021.0676</t>
  </si>
  <si>
    <t>Norman, JD; Whitledge, GW</t>
  </si>
  <si>
    <t>Recruitment sources of invasive Bighead carp (Hypopthalmichthys nobilis) and Silver carp (H-molitrix) inhabiting the Illinois River</t>
  </si>
  <si>
    <t>Asian carp; Natal environment; Stable isotopes; Microchemistry; delta O-18; Sr:Ca; Otoliths</t>
  </si>
  <si>
    <t>TROUT SALVELINUS-NAMAYCUSH; ASIAN CARP; STABLE-ISOTOPE; MISSISSIPPI RIVER; TRACE-ELEMENT; OTOLITH; FISH; LAKE; MISSOURI; POPULATION</t>
  </si>
  <si>
    <t>Knowledge of natal environments and dispersal of invasive Bighead carp (Hypopthalmichthys nobilis) and Silver carp (H. molitrix) inhabiting the Illinois River would be valuable for directing population reduction efforts intended to supplement electrical barriers in the Chicago Sanitary and Ship Canal and limit the probability of these species invading the Great Lakes. However, the extent to which Bighead carp and Silver carp (collectively referred to as bigheaded carps) stocks in the Illinois River are derived from recruits that originate within the Illinois River itself versus immigrants from the Mississippi and Missouri rivers is unknown. Bigheaded carps are also known to use connected floodplain lakes during early life, but the contribution of these habitats to recruitment of Bighead and Silver carps in the Illinois River is also unknown. The aim of this study was to identify natal environment of adult bigheaded carps collected from the Illinois River during 2010-2011 using stable isotope and trace element analyses of otolith cores. Both water and otolith strontium:calcium ratios (Sr:Ca) and water and otolith oxygen isotope ratios (expressed as delta O-18) were strongly correlated for known-origin bigheaded carps, consistent with other fish species. Most Bighead and Silver carps collected from the Illinois River used river channel rather than floodplain lake habitats during early life. The majority of adult Silver carp originated in the Illinois River, although 11-39 % were immigrants from the Missouri or middle Mississippi Rivers. In contrast, 97 % of the Bighead carp originated in the Illinois River. Our results indicate that efforts to substantially reduce abundance of bigheaded carps in the Illinois River drainage should continue to focus on the Illinois River itself, but will likely need to be expanded to include the middle Mississippi and Missouri Rivers for sustainable control of Silver carp.</t>
  </si>
  <si>
    <t>10.1007/s10530-015-0929-9</t>
  </si>
  <si>
    <t>Jeffers, ES; Bonsall, MB; Froyd, CA; Brooks, SJ; Willis, KJ</t>
  </si>
  <si>
    <t>The relative importance of biotic and abiotic processes for structuring plant communities through time</t>
  </si>
  <si>
    <t>climate change; competition; determinants of plant community diversity and structure; drivers of change; facilitation; native pine woodland; palaeoecology; population and community dynamics; stable isotopes of nitrogen</t>
  </si>
  <si>
    <t>STRESS-GRADIENT HYPOTHESIS; SPECIES INTERACTIONS; CLIMATE-CHANGE; POSITIVE INTERACTIONS; AIR TEMPERATURES; COMPETITION; DYNAMICS; FACILITATION; SUCCESSION; ECOSYSTEM</t>
  </si>
  <si>
    <t>The question of the relative importance of biotic interactions versus abiotic drivers for structuring plant communities is highly debated but largely unresolved. Here, we investigate the relative importance of mean July air temperature, nitrogen (N) availability and direct plant interactions in determining the millennial-scale population dynamics through the Holocene (10700-5200cal.yearsbp) for four temperate tree taxa in the Scottish Highlands. A variety of dynamic population models were fitted to our palaeoecological time-series data to determine the mechanism(s) by which each driver affected the population biomass dynamics of Betula (birch), Pinus (pine), Alnus (alder) and Quercus (oak). Akaike information criterion weights identified the best model(s) for describing the relationship between each population and driver. The relative importance of these drivers was then assessed by the ability of each model to predict the observed population biomass dynamics. We also measured the change in goodness-of-fit of each model over time. We found that models of intra- and interspecific plant interactions described the plant population dynamics better than temperature- or N-dependent population growth models over the 5000-year study period. The best-fitting models were constant over time for pine, alder and oak. However, the plant-N availability and plant-temperature models provided a progressively better fit to the birch data when temperatures rose and N availability declined, suggesting increasing importance of these abiotic factors coincident with changing conditions.Synthesis. Multiple mechanistic models were applied to palaeoecological data to infer the most likely processes driving millennial-scale plant biomass dynamics in a woodland ecosystem. Direct plant interactions provided a better explanation for population biomass dynamics than growing season temperature or N availability over the full study period. The relative importance of all drivers we assessed here varied by species and - in the case of birch - over time in response to warming and reduced N availability.</t>
  </si>
  <si>
    <t>10.1111/1365-2745.12365</t>
  </si>
  <si>
    <t>Brooks, JR; Coulombe, R</t>
  </si>
  <si>
    <t>Physiological responses to fertilization recorded in tree rings: isotopic lessons from a long-term fertilization trial</t>
  </si>
  <si>
    <t>carbon isotope; Douglas-fir; growth; leaf area dynamics; nitrogen additions; oxygen isotope; photosynthesis; Pseudotsuga menziesii; stable isotopes; stomatal conductance; tree rings</t>
  </si>
  <si>
    <t>DOUGLAS-FIR TREES; WATER-USE EFFICIENCY; NORTHWEST CONIFEROUS FORESTS; LEAF WATER; STOMATAL CONDUCTANCE; PACIFIC-NORTHWEST; GROWTH-RESPONSE; STABLE OXYGEN; LOBLOLLY-PINE; GAS-EXCHANGE</t>
  </si>
  <si>
    <t>Nitrogen fertilizer applications are common land use management tools, but details on physiological responses to these applications are often lacking, particularly for long-term responses over decades of forest management. We used tree ring growth patterns and stable isotopes to understand long-term physiological responses to fertilization using a controlled fertilization experiment begun in 1964 in Washington State (USA), in which three levels of nitrogen fertilizer were applied: 157, 314, and 471 kg/ha. Basal area increment (BAI) increased more than fourfold in the highest treatment to twofold in the lowest, and a significant increase in BAI was observed for 20 years. Latewood Delta(13)C sharply decreased by 1.4% after fertilization and was significantly lower than controls for four years, but no differences existed between fertilization levels, and the effect disappeared after four years, indicating that intrinsic water use efficiency (A/gs) increased in response to fertilization. Earlywood D 13 C showed similar trends but was more variable. Latewood delta(18)O increased significantly above controls by similar to 2%omicron in all treatments, but the duration differed with treatment level, with the effect being longer for higher levels of fertilization and lasting as long as nine years after fertilization. Because source water and relative humidity were the same between experimental plots, we interpreted the delta(18)O increase with treatment as a decrease in leaf-level transpiration. Earlywood delta(18)O did not show any treatment effects. Because the Pacific Northwest has a mediterranean climate with dry summers, we speculated that fertilization caused a substantial increase in leaf area, causing the trees to transpire themselves into drought stress during the late summer. We estimate from the delta(18)O data that stomatal conductance (g(s)) was reduced by similar to 30%. Using the Delta(13)C data to estimate assimilation rates (A), A during the late season was also reduced by 20-30%. If leaf-level A decreased, but BAI increased, we estimated that leaf area on those trees must have increased by fourfold with the highest level of treatment within this stand. This increase in leaf area resulting from fertilization caused a hydraulic imbalance within the trees that lasted as long as nine years after treatment at the highest levels of fertilization.</t>
  </si>
  <si>
    <t>10.1890/08-0310.1</t>
  </si>
  <si>
    <t>Antunes, C; Diaz-Barradas, MC; Zunzunegui, M; Vieira, S; Maguas, C</t>
  </si>
  <si>
    <t>Water source partitioning among plant functional types in a semi-arid dune ecosystem</t>
  </si>
  <si>
    <t>coexistence; drought; dry conditions; functional groups; groundwater use; Mediterranean; sandy coastal ecosystem; soil water partitioning; stable isotope mixing model; water sources segregation; water-use shifts</t>
  </si>
  <si>
    <t>SPECIES COEXISTENCE; SOIL-WATER; HALIMIUM-HALIMIFOLIUM; EXPERIMENTAL DROUGHT; USE-EFFICIENCY; RESPONSES; COMMUNITIES; COMPETITION; STRATEGIES; MORTALITY</t>
  </si>
  <si>
    <t>Question(s)The aim of this work was to characterize the main water sources used by the woody plant community of a semi-arid coastal dune ecosystem. We ask: Do the seasonal water sources used by plants differ between functional types? Does the seasonal drought promote shifts towards deeper soil layers in all plants? Does greater use of deep soil water enables the maintenance of a more favorable plant water status? Do water-sources-use strategies mirror overall drought strategies? LocationSemi-arid coastal dune system in Donana Biological Reserve, southwest Spain. MethodsWe analyzed the oxygen isotope composition of xylem water of fourteen coexisting woody species and compared it to water sources (soil water at different depths, rain and groundwater), both in spring and dry summer. Bayesian isotope mixing models were used to estimate the proportion of each water source used by plants. We tested the influence of different (categorical) traits on plants' water-source-use. We evaluated the relationships between the use of deep soil water and ecophysiological parameters related to water economy (leaf C-13 and reflectance water-index). ResultsA greater similarity between species was found in periods of higher water availability (spring). Contrastingly, during the dry period the traits considered showed a significant effect on the water sources used and a high inter-specific differentiation was observed. Accordingly, species clustered in five water-use functional groups, exploring water from shallower to deeper soil layers. Greater use of deep soil layers in the dry season was linked to a better seasonal maintenance of plant water status. ConclusionsCoexisting plant functional types segregated along a spectrum of water-source-use under extremely dry conditions, evidencing great soil water partitioning. Relevant seasonal water-use shifts towards deeper soil layers were observed, but not in all species. Furthermore, we confirmed that the water-source-use behavior accompanied broader strategies of drought resistance.</t>
  </si>
  <si>
    <t>10.1111/jvs.12647</t>
  </si>
  <si>
    <t>Manzanilla-Verde, B; Villegas-Sanchez, CA; Cabanillas-Teran, N; Castro-Perez, JM; Rosas-Luis, R</t>
  </si>
  <si>
    <t>Insight into the trophic niche and prey contribution in the diet of Lutjanus griseus (Linnaeus, 1758) captured by artisanal fishing fleet in the central and southwest Gulf of Mexico</t>
  </si>
  <si>
    <t>Trophic ecology; Lutjanus griseus; Stable isotopes analysis; Diet; Gulf of Mexico; Grey snapper</t>
  </si>
  <si>
    <t>STABLE-ISOTOPES; RED SNAPPER; FARFANTEPENAEUS-AZTECUS; FEEDING ECOLOGY; COASTAL LAGOON; CAMPECHE; VARIABILITY; HABITS; SHRIMP; VEGETATION</t>
  </si>
  <si>
    <t>Lutjanus griseus is a common species for fisheries of the Gulf of Mexico, and it is an effective vehicle to transport energy from low to top trophic levels in the ecosystem. The management of fish populations is based on the modeling and prediction of abundances. To accomplish this, trophic ecology results allow the understanding of habitat use and population expansions. To increase the knowledge in the trophic ecology of L. griseus, this study described its trophic niche, diet composition, and the prey contribution in the formation of muscle tissue. Results showed that the trophic niche in Veracruz was wider than in Campeche, this related to the consumption of prey in different habitats, coral reefs areas in Veracruz and seagrass beds in Campeche. According to the delta 13C y delta 15N values, in both regions the crustaceans were the most important group in the contribution of muscle tissue, however, it contrasted with the stomach content results, which suggested that the diet in Campeche was mainly composed of crustaceans, and in Veracruz of fishes. This difference could be related to the snapper's movements, as they can be found in sea bottoms covered with seagrass, with high abundance of crustaceans, and sea bottoms composed of coral reefs with high diversity of fishes and other preys. Results highlight the generalist and opportunistic feeding strategy of L. griseus, this strategy allowed its population expansion to the north, consuming the available food source in the different habitats it occupied.(c) 2023 Elsevier B.V. All rights reserved.</t>
  </si>
  <si>
    <t>10.1016/j.rsma.2023.103005</t>
  </si>
  <si>
    <t>Beauvieux, A; Queiros, Q; Metral, L; Dutto, G; Gasset, E; Criscuolo, F; Fromentin, JM; Saraux, C; Schull, Q</t>
  </si>
  <si>
    <t>Energy allocation trade-offs between life-history traits in the Mediterranean sardine: an ecophysiological approach</t>
  </si>
  <si>
    <t>Compensatory growth; Capital breeder; Individual quality; Oxidative stress; Reproduction; Maintenance; Sardina pilchardus</t>
  </si>
  <si>
    <t>SMALL PELAGIC FISH; OXIDATIVE STRESS; COMPENSATORY GROWTH; INDIVIDUAL QUALITY; R-PACKAGE; PHENOTYPIC PLASTICITY; POPULATION-DYNAMICS; TELOMERE DYNAMICS; BODY-SIZE; RED DEER</t>
  </si>
  <si>
    <t>Since 2008, there has been a major decrease in the numbers of old and large sardines in the Gulf of Lions, which has had a major effect on regional fisheries. A bottom-up process involving a shift in diet towards smaller planktonic prey has been suggested as the main driver of this development. Yet, the reproductive capacities of the sardines have not changed, suggesting potential modifications in energy allocation trade-offs. Whether this could also affect maintenance, in particular at the end of the winter reproductive period, and explain the lower adult survival and the disappearance of older individuals remains unclear. We therefore experimentally investigated the consequences of seasonal food availability (summer vs. winter) on life-history traits and energy allocation trade-offs at the individual and population levels. Our results indicate that food resources during summer had a major effect on energy reserves and growth, limiting the maximum size and body condition reached at the end of reproduction. In addition, food restrictions during growth and/or reproduction periods led to physiological costs mediated by increased oxidative damage. Mediterranean sardines did not show any ability for compensatory growth and did not appear to be capital breeders. Instead, they displayed individual differences in coping with physiological constraints and displayed various life-history strategies regardless of food availability. We highlighted 3 main individual energy allocation strategies: (1) preferential allocation to body condition or (2) to growth, or (3) simultaneous allocation to reproduction and growth. These issues are key, as climate change is expected to favour smaller phytoplankton, which might amplify the deterioration in the condition of pelagic fish.</t>
  </si>
  <si>
    <t>10.3354/meps14183</t>
  </si>
  <si>
    <t>Scott, BE; Sharples, J; Ross, ON; Wang, J; Pierce, GJ; Camphuysen, CJ</t>
  </si>
  <si>
    <t>Sub-surface hotspots in shallow seas: fine-scale limited locations of top predator foraging habitat indicated by tidal mixing and sub-surface chlorophyll</t>
  </si>
  <si>
    <t>Biological hotspots; Foraging habitats; Marine top predators; Predator-prey interactions; Shallow sea; Sub-surface chlorophyll maximum; Tidal mixing; Topography</t>
  </si>
  <si>
    <t>EASTERN TROPICAL PACIFIC; FISH LARVAE; FRONTS; SEABIRDS; ZOOPLANKTON; ECOSYSTEM; DYNAMICS; PATTERNS; BEHAVIOR; FEATURES</t>
  </si>
  <si>
    <t>The foraging habitats of 7 species of marine apex predators were observed simultaneously in a shallow sea, with continuous measurements taken of the detailed bio-physical water column characteristics to determine habitat preferences. We found the occurrence of small-scale 'hotspots', where 50% of all animals were actively foraging in less than 5% of the 1000 km of transects surveyed. By investigating a contrasting range of foraging strategies across a variety of fish-eating seabirds and marine mammals, we determined which habitat characteristics were consistently important across species. A static habitat variable, tidal stratification, log(10)(h/U-3) (h = water depth, U = tidal current amplitude), was found to be the best indicator of the probability of presence and abundance of individual species. All 7 mobile top-predators preferentially foraged within habitats with small-scale (2 to 10 km) patches having (1) high concentrations of chlorophyll in the sub-surface chlorophyll maximum (CHLmax) and (2) high variance in bottom topography, with different species preferring to forage in different locations within these habitats. Patchiness of CHLmax was not associated with the locations of strong horizontal temperature gradients (fronts) or high surface chlorophyll values, but instead may be related to areas of high sub-surface primary production due to locally increased vertical mixing. These small-scale areas represent a newly identified class of spatially important location that may play a critical role within the trophic coupling of shallow seas. Such subsurface hotspots may represent the limited locations where the majority of predator-prey interactions occur, despite making up only a small percentage of the marine environment.</t>
  </si>
  <si>
    <t>10.3354/meps08552</t>
  </si>
  <si>
    <t>Page, GFM; Merchant, A; Grierson, PE</t>
  </si>
  <si>
    <t>Inter-specific differences in the dynamics of water use and pulse-response of co-dominant canopy species in a dryland woodland</t>
  </si>
  <si>
    <t>Water potential; Carbon isotopes; Arid; Niche; Acacia</t>
  </si>
  <si>
    <t>CARBON-ISOTOPE DISCRIMINATION; LEAF GAS-EXCHANGE; PRECIPITATION PULSES; STABLE-ISOTOPE; WOODY LEGUME; GROWTH FORM; C-3 PLANTS; DELTA-C-13; DROUGHT; XYLEM</t>
  </si>
  <si>
    <t>Differences in the magnitude and timing of rainfall pulse-response among plant species in dryland ecosystems may facilitate the maintenance of species diversity, but this hypothesis remains untested among species that appear to occupy the same ecological niche. Here, we examined the pulse-response of co-dominant Acacia species forming the canopy of a dryland woodland. Trees received natural precipitation and supplemental irrigation equivalent to a similar to 105 mm rainfall pulse over four days. The pulse-response was large and rapid irrespective of species or differences in minimum water potential during drought. Branch water potential increased from similar to-8 MPa to &gt; -1 MPa at pre-dawn and foliage relative water content increased from 43.4% to 98.6% within five days of drought-break Differences in midday water potential among species following the water pulse reflected differences in rates of stomatal conductance (g(s)) and likely as a consequence of differences in specific leaf area (SLA). We conclude there is no temporal partitioning of resources among the canopy species in the study woodland. Instead, water relations in these three closely related species were anisohydric and tightly coupled to soil water availability. (C) 2015 Elsevier Ltd. All rights reserved.</t>
  </si>
  <si>
    <t>10.1016/j.jaridenv.2015.09.004</t>
  </si>
  <si>
    <t>Limm, EB; Simonin, KA; Bothman, AG; Dawson, TE</t>
  </si>
  <si>
    <t>Foliar water uptake: a common water acquisition strategy for plants of the redwood forest</t>
  </si>
  <si>
    <t>Leaf wetness; Water absorption; Nocturnal conductance; Stable isotopes; Deuterium</t>
  </si>
  <si>
    <t>SEMPERVIRENS D. DON; LEAF WATER; FOG PRECIPITATION; ABSORPTION; DEW; LEAVES; SHOOT; TRANSPIRATION; CONDUCTANCE; POTENTIALS</t>
  </si>
  <si>
    <t>Evaluations of plant water use in ecosystems around the world reveal a shared capacity by many different species to absorb rain, dew, or fog water directly into their leaves or plant crowns. This mode of water uptake provides an important water subsidy that relieves foliar water stress. Our study provides the first comparative evaluation of foliar uptake capacity among the dominant plant taxa from the coast redwood ecosystem of California where crown-wetting events by summertime fog frequently occur during an otherwise drought-prone season. Previous research demonstrated that the dominant overstory tree species, Sequoia sempervirens, takes up fog water by both its roots (via drip from the crown to the soil) and directly through its leaf surfaces. The present study adds to these early findings and shows that 80% of the dominant species from the redwood forest exhibit this foliar uptake water acquisition strategy. The plants studied include canopy trees, understory ferns, and shrubs. Our results also show that foliar uptake provides direct hydration to leaves, increasing leaf water content by 2-11%. In addition, 60% of redwood forest species investigated demonstrate nocturnal stomatal conductance to water vapor. Such findings indicate that even species unable to absorb water directly into their foliage may still receive indirect benefits from nocturnal leaf wetting through suppressed transpiration. For these species, leaf-wetting events enhance the efficacy of nighttime re-equilibration with available soil water and therefore also increase pre-dawn leaf water potentials.</t>
  </si>
  <si>
    <t>10.1007/s00442-009-1400-3</t>
  </si>
  <si>
    <t>Cavallo, C; Chiaradia, A; Deagle, BE; Hays, GC; Jarman, S; McInnes, JC; Ropert-Coudert, Y; Sanchez, S; Reina, RD</t>
  </si>
  <si>
    <t>Quantifying prey availability using the foraging plasticity of a marine predator, the little penguin</t>
  </si>
  <si>
    <t>diet analysis; DNA barcoding; ecological indicators; eDNA; fish stock; foraging success; gelatinous plankton; phenotypic plasticity</t>
  </si>
  <si>
    <t>EUDYPTULA-MINOR; ENVIRONMENTAL VARIABLES; BREEDING SUCCESS; ADELIE PENGUINS; PHILLIP-ISLAND; UNIT EFFORT; DIET; ABUNDANCE; STRATEGIES; SEABIRDS</t>
  </si>
  <si>
    <t>1. Detecting changes in marine food webs is challenging, but top predators can provide information on lower trophic levels. However, many commonly measured predator responses can be decoupled from prey availability by plasticity in predator foraging effort. This can be overcome by directly measuring foraging effort and success and integrating these into a measure of foraging efficiency analogous to the catch per unit effort (CPUE) index employed by fisheries. 2. We extended existing CPUE methods so that they would be applicable to the study of generalist foragers, which introduce another layer of complexity through dietary plasticity. Using this method, we inferred species-specific patterns in prey availability and estimated taxon-specific biomass consumption. 3. We recorded foraging trip duration and body mass change of breeding little penguins Eudyptula minor and combined these with diet composition identified via non-invasive faecal DNA metabarcoding to derive CPUE indices for individual prey taxa. 4. We captured weekly patterns of availability of key fish prey in the penguins' diet and identified a major prey shift from sardine Sardinops sagax to red cod Pseudophycis bachus between years. In each year, predation on a dominant fish species (similar to 150 g/day) was replaced by greater diversity of fish in the diet as the breeding season progressed. We estimated that the colony extracted similar to 1,300 tonnes of biomass from their coastal ecosystem over two breeding seasons, including 219 tonnes of the commercially important sardine and 215 tonnes of red cod. 5. This enhanced pCPUE is applicable to most central-placed foragers and offers a valuable alternative to existing metrics. Informed prey-species biomass estimates extracted by apex and meso predators will be a useful input for mass-balance ecosystem models and for informing ecosystem-based management.</t>
  </si>
  <si>
    <t>10.1111/1365-2435.13605</t>
  </si>
  <si>
    <t>Latli, A; Michel, LN; Lepoint, G; Kestemont, P</t>
  </si>
  <si>
    <t>River habitat homogenisation enhances trophic competition and promotes individual specialisation among young of the year fish</t>
  </si>
  <si>
    <t>conservation/biodiversity; food webs; Ontogeny; river regulation; stable isotopes</t>
  </si>
  <si>
    <t>0+YEAR JUVENILE FISHES; CONNECTED WATERBODIES; FEEDING RELATIONSHIPS; LOWLAND RIVERS; MEUSE RIVER; LARVAL; COMMUNITIES; RESOURCE; FOOD; POPULATION</t>
  </si>
  <si>
    <t>In large rivers, fish ontogenic development success is mainly influenced by resource availability and by the possibility of species to adapt their diet (i.e. trophic niche). Humans have drastically modified freshwater habitats, notably for navigation purposes. Such modifications may reduce food availability for young of the year (YOY) fish and, consequently, influence their ability to reach the adult age. In the Meuse River, decrease of fish abundance is thought to be linked to a drastic reduction of phytoplankton biomass. In this context of decreasing phytoplankton biomass, we studied trophic niches of three cyprinid species (common bleak Alburnus alburnus, chub Squalius cephalus, and roach Rutilus rutilus) and one percid species (European perch Perca fluviatilis) at various stages of development, using stable isotope analysis in order to compare intra- and interspecific competition between sites differing in degree of channelisation. Two reaches of the Meuse River differing by their degree of regulation were investigated. We hypothesised that habitat homogenisation would (1) decrease food resource availability and diversity and (2) increase trophic competition, particularly among earlier ontogenic stages, and promote individual specialisation. Our study provides evidence that in the context of low planktonic biomass, most YOY relied on benthic food sources. Furthermore, the Meuse River flow and depth regulation significantly impacted the abundance and species richness of YOY. In the heavily channelised reach, between-stages competition and low resource diversity lead to an increase in diet partitioning between cyprinid larvae, as well as consumption of non-optimal energetic food sources such as aquatic vegetation by some individuals. By contrast, in the less channelised reach, larvae displayed a generalist feeding habit focusing on high energy content prey such as different taxa of macroinvertebrates, suggesting that the diversity of habitat reduces the food competition within and between stages. Intraspecific resource repartition is a key point for YOY fish having to cope with plankton-depleted conditions. Younger cyprinid stages seem more affected by intra- and inter-specific competition in the more channelised reach. YOY fish communities were also less diversified and abundant in the more altered site, which highlight the importance of limiting channelisation to better conserve fish communities.</t>
  </si>
  <si>
    <t>10.1111/fwb.13239</t>
  </si>
  <si>
    <t>Oerter, EJ; Siebert, G; Bowling, DR; Bowen, G</t>
  </si>
  <si>
    <t>Soil water vapour isotopes identify missing water source for streamside trees</t>
  </si>
  <si>
    <t>critical zone; ecohydrologic separation; isotope hydrology; plant water use; pore water; soil water</t>
  </si>
  <si>
    <t>STABLE-ISOTOPES; PORE-WATER; HYDRAULIC CONDUCTIVITY; PEDOGENIC CARBONATE; EXTRACTION; PLANT; ZONE; SEPARATION; FRACTIONATION; ENVIRONMENTS</t>
  </si>
  <si>
    <t>In a seminal study, Dawson and Ehleringer used deuterium measurements on water to show that boxelder (Acer negundo) and bigtooth maple (Acer grandidentatum) trees growing directly next to a perennial stream in a mountain meadow did not use the stream water for transpiration, nor could they identify any other potential water source. Since then, similar observations of plant water isotopic signatures that do not match any available water source have been reported from a range of ecosystems worldwide. Here, we use a combination of non-destructive in situ isotopic soil water sampling along with destructive soil sampling and cryogenic water extraction to demonstrate that isotopically distinct water pools can be identified in soils at the same site as the 1991 study during parts of the summer growing season. Water extracted from xylem tissues shows that streamside boxelder and bigtooth maple at the sites were predominantly using soil water with an isotopic composition similar to that measured by the in situ soil measurement technique. We introduce the use of water vapour probes that were directly attached to intact tree roots in situ to measure the isotopic composition of root xylem water and how it varies through the growing season and evaluate their potential and utility.</t>
  </si>
  <si>
    <t>e2083</t>
  </si>
  <si>
    <t>10.1002/eco.2083</t>
  </si>
  <si>
    <t>Hodara, K; Poggio, SL</t>
  </si>
  <si>
    <t>Frogs taste nice when there are few mice: Do dietary shifts in barn owls result from rapid farming intensification?</t>
  </si>
  <si>
    <t>Agricultural intensification; Agroecosystems; Biodiversity; Land-use change; Landscape homogenization; Prey-predator relationships; Trophic relationships</t>
  </si>
  <si>
    <t>TYTO-ALBA; AKODON-AZARAE; HETEROGENEITY; BIODIVERSITY; AMPHIBIANS; DIVERSITY; ECOSYSTEM; FARMLAND; RODENTS; HABITS</t>
  </si>
  <si>
    <t>Biodiversity ecosystem services in agroecosystems are negatively affected by farmland homogenisation due to intensive agriculture. The Pampas, an important worldwide region producing commodity crops, have been greatly homogenised with the expansion no-tillage and herbicide-tolerant transgenic soybeans since the 1990s. Here, we tested the hypothesis of that dietary changes in barn owls will be associated with the loss of semi-natural habitats derived from farming intensification. We characterised the dietary habits of western barn owls by analysing their pellets between two sampling periods (2004-2005 and 2010-2012). We also assessed the habitat loss due to cropping intensification through fencerow removal and pasture conversion to annual crops during the same period. We observed that barn owls shifted from eating mostly rodents in the first sampling period to eating a higher proportion of anurans in the second sampling period. Between sampling, rodent proportion in pellets decreased from 80% to 61.6%, while anuran proportion increased from 20% to 37.7%. A rapid farming intensification occurred on the farm between both sampling periods. Pastures were ploughed to grow annual crops. Thus, the annually cropped area increased by 60% from 2004 to 2012, while the area with pastures was reduced in about 80%. During the same period, nearly two-thirds of fences on the farm were removed to enlarge the cropped area. Our findings suggest that dietary habits of barn owls may shift to consume more anurans when rodent availability declines in association with the loss of semi-natural habitats, which resulted from rapid farming intensification on the studied farm. We suggest monitoring the population size and diet of barn owls for evaluating environmental changes produced in agroecosystems by farming intensification, as well as the adaptive responses of different rodent and anuran species to such changes. (C) 2016 Elsevier B.V. All rights reserved.</t>
  </si>
  <si>
    <t>10.1016/j.agee.2016.05.027</t>
  </si>
  <si>
    <t>Javal, M; Terblanche, JS; Benoit, L; Conlong, DE; Lloyd, JR; Smit, C; Chapuis, MP</t>
  </si>
  <si>
    <t>Does Host Plant Drive Variation in Microbial Gut Communities in a Recently Shifted Pest?</t>
  </si>
  <si>
    <t>Host shift; Cerambycidae; Southern Africa; Sugarcane; Digestive physiology; Microbiome</t>
  </si>
  <si>
    <t>DEVELOPMENTAL-STAGE; SOUTH-AFRICA; DIVERSITY; INSECTS; DIET</t>
  </si>
  <si>
    <t>Biotic interactions can modulate the responses of organisms to environmental stresses, including diet changes. Gut microbes have substantial effects on diverse ecological and evolutionary traits of their hosts, and microbial communities can be highly dynamic within and between individuals in space and time. Modulations of the gut microbiome composition and their potential role in the success of a species to maintain itself in a new environment have been poorly studied to date. Here we examine this question in a large wood-boring beetle Cacosceles newmannii (Cerambycidae), that was recently found thriving on a newly colonized host plant. Using 16S metabarcoding, we assessed the gut bacterial community composition of larvae collected in an infested field and in common garden conditions, fed under laboratory-controlled conditions on four either suspected or known hosts (sugarcane, tea tree, wattle, and eucalyptus). We analysed microbiome variation (i.e. diversity and differentiation), measured fitness-related larval growth, and studied host plant lignin and cellulose contents, since their degradation is especially challenging for wood-boring insects. We show that sugarcane seems to be a much more favourable host for larval growth. Bacterial diversity level was the highest in field-collected larvae, whereas lab-reared larvae fed on sugarcane showed a relatively low level of diversity but very specific bacterial variants. Bacterial communities were mainly dominated by Proteobacteria, but were significantly different between sugarcane-fed lab-reared larvae and any other hosts or field-collected larvae. We identified changes in the gut microbiome associated with different hosts over a short time frame, which support the hypothesis of a role of the microbiome in host switches.</t>
  </si>
  <si>
    <t>10.1007/s00248-022-02100-x</t>
  </si>
  <si>
    <t>Menichetti, L; Houot, S; van Oort, F; Katterer, T; Christensen, BT; Chenu, C; Barre, P; Vasilyeva, NA; Ekblad, A</t>
  </si>
  <si>
    <t>Increase in soil stable carbon isotope ratio relates to loss of organic carbon: results from five long-term bare fallow experiments</t>
  </si>
  <si>
    <t>Stable carbon isotope ratio; Isotope fractionation; Rayleigh distillation; Natural abundance; Soil organic carbon</t>
  </si>
  <si>
    <t>PARTICLE-SIZE FRACTIONS; MICROBIAL RESPIRATION; C-13 FRACTIONATION; C-13/C-12 RATIOS; FIELD EXPERIMENT; BALTIC SEA; MATTER; CO2; DELTA-C-13; RECORD</t>
  </si>
  <si>
    <t>Changes in the C-12/C-13 ratio (expressed as delta C-13) of soil organic C (SOC) has been observed over long time scales and with depth in soil profiles. The changes are ascribed to the different reaction kinetics of C-12 and C-13 isotopes and the different isotopic composition of various SOC pool components. However, experimental verification of the subtle isotopic shifts associated with SOC turnover under field conditions is scarce. We determined delta C-13 and SOC in soil sampled during 1929-2009 in the Ap-horizon of five European long-term bare fallow experiments kept without C inputs for 27-80 years and covering a latitudinal range of 11A degrees. The bare fallow soils lost 33-65 % of their initial SOC content and showed a mean annual delta C-13 increase of 0.008-0.024 aEuro degrees. The C-13 enrichment could be related empirically to SOC losses by a Rayleigh distillation equation. A more complex mechanistic relationship was also examined. The overall estimate of the fractionation coefficient (epsilon) was -1.2 +/- A 0.3 aEuro degrees. This coefficient represents an important input to studies of long-term SOC dynamics in agricultural soils that are based on variations in C-13 natural abundance. The variance of epsilon may be ascribed to site characteristics not disclosed in our study, but the very similar kinetics measured across our five experimental sites suggest that overall site-specific factors (including climate) had a marginal influence and that it may be possible to isolate a general mechanism causing the enrichment, although pre-fallow land use may have some impact on isotope abundance and fractionation.</t>
  </si>
  <si>
    <t>10.1007/s00442-014-3114-4</t>
  </si>
  <si>
    <t>Borer, ET; Paseka, RE; Peace, A; Asik, L; Everett, R; Frenken, T; Gonzalez, AL; Strauss, AT; Van de Waal, DB; White, LA; Seabloom, EW</t>
  </si>
  <si>
    <t>Disease-mediated nutrient dynamics: Coupling host-pathogen interactions with ecosystem elements and energy</t>
  </si>
  <si>
    <t>autotrophs; feedbacks; global change; infectious disease; nitrogen; nutrient recycling; pathogens; phosphorus; primary producers</t>
  </si>
  <si>
    <t>SPECIES-DIVERSITY; NITROGEN DEPOSITION; POPULATION BIOLOGY; EMILIANIA-HUXLEYI; PLANT-POPULATIONS; FUNGAL PARASITES; MARINE VIRUSES; ELEVATED CO2; CELL-SIZE; STOICHIOMETRY</t>
  </si>
  <si>
    <t>Autotrophs play an essential role in the cycling of carbon and nutrients, yet disease-ecosystem relationships are often overlooked in these dynamics. Importantly, the availability of elemental nutrients like nitrogen and phosphorus impacts infectious disease in autotrophs, and disease can induce reciprocal effects on ecosystem nutrient dynamics. Relationships linking infectious disease with ecosystem nutrient dynamics are bidirectional, though the interdependence of these processes has received little attention. We introduce disease-mediated nutrient dynamics (DND) as a framework to describe the multiple, concurrent pathways linking elemental cycles with infectious disease. We illustrate the impact of disease-ecosystem feedback loops on both disease and ecosystem nutrient dynamics using a simple mathematical model, combining approaches from classical ecological (logistic and Droop growth) and epidemiological (susceptible and infected compartments) theory. Our model incorporates the effects of nutrient availability on the growth rates of susceptible and infected autotroph hosts and tracks the return of nutrients to the environment following host death. While focused on autotroph hosts here, the DND framework is generalizable to higher trophic levels. Our results illustrate the surprisingly complex dynamics of host populations, infection patterns, and ecosystem nutrient cycling that can arise from even a relatively simple feedback between disease and nutrients. Feedback loops in disease-mediated nutrient dynamics arise via effects of infection and nutrient supply on host stoichiometry and population size. Our model illustrates how host growth rate, defense, and tissue chemistry can impact the dynamics of disease-ecosystem relationships. We use the model to motivate a review of empirical examples from autotroph-pathogen systems in aquatic and terrestrial environments, demonstrating the key role of nutrient-disease and disease-nutrient relationships in real systems. By assessing existing evidence and uncovering data gaps and apparent mismatches between model predictions and the dynamics of empirical systems, we highlight priorities for future research intended to narrow the persistent disciplinary gap between disease and ecosystem ecology. Future empirical and theoretical work explicitly examining the dynamic linkages between disease and ecosystem ecology will inform fundamental understanding for each discipline and will better position the field of ecology to predict the dynamics of disease and elemental cycles in the context of global change.</t>
  </si>
  <si>
    <t>e1510</t>
  </si>
  <si>
    <t>10.1002/ecm.1510</t>
  </si>
  <si>
    <t>Martin, GR; Twigg, LE; Zampichelli, L</t>
  </si>
  <si>
    <t>Seasonal changes in the diet of the European rabbit (Oryctolagus cuniculus) from three different Mediterranean habitats in south-western Australia</t>
  </si>
  <si>
    <t>SOUTHWESTERN AUSTRALIA; SEEDLING RECRUITMENT; WILD RABBITS; WATER; POPULATIONS; GRASSLAND; ENVIRONMENT; HERBIVORES; VEGETATION; TURNOVER</t>
  </si>
  <si>
    <t>Seasonal changes in the diet of rabbits from three temperate (Mediterranean) areas in south-western Australia were identified using microscopic determination of the percentage occurrence of various food groups in sampled stomachs. The sites differed in soil type and in the availability of summer perennials, native vegetation bush remnants ( size of, and number of plant species), improved pastures, and summer rainfall, and hence, enabled a comparison of the diet of rabbits from the different vegetation communities. Although the diet of these rabbits was quite flexible, with some switching in food items occurring between seasons, there were marked differences in the proportion of monocotyledonous and dicotyledonous species eaten in each habitat. There was a strong reliance on seeds (1-5 species) during late spring and summer in all three habitats. Guildford grass (Romulea rosea) leaf and corms were a major component of the diet in the two habitats where this species was common. Further, as a result of the summer die-off of pasture species, there was a shift in where rabbits sourced food items during winter and summer. Pasture species were eaten during winter, but rabbits fed mainly on those dicotyledons found only in the surrounding scrub during summer. This suggests that rabbits may impact negatively upon such remnant vegetation at this time. Rabbits in all three habitats consumed several plant species with high water content (&gt; 54%) during summer, presumably to help maintain their water balance. Rabbits also consumed the seeds and foliage of several weed/ nuisance species in each habitat, but any role of rabbits in weed dispersal was not determined.</t>
  </si>
  <si>
    <t>10.1071/WR06044</t>
  </si>
  <si>
    <t>Bottrell, S; Novak, M</t>
  </si>
  <si>
    <t>Sulphur isotopic study of two pristine Sphagnum bogs in the western British Isles</t>
  </si>
  <si>
    <t>Sphagnum; stable isotopes; sulphur uptake; sulphur</t>
  </si>
  <si>
    <t>SULFUR; PEAT; DEPOSITION; OXIDATION; PROFILES; BRITAIN</t>
  </si>
  <si>
    <t>1 The sulphur content and sulphur isotopic composition of Sphagnum as well as anionic compositions and sulphur isotope ratios of sulphate in rainwater inputs and of bog waters were measured in two areas in the western British Isles. 2 Since rainwater sulphate isotopic composition can distinguish between natural and pollutant sulphur sources the results show that during the summer months a significant proportion of sulphur is derived from anthropogenic pollution. 3 Sulphur is present in Sphagnum at around 0.1% by weight and is depleted by P 12 parts per thousand in the heavier S-34 isotope relative to the sulphate in environmental water. Sulphur uptake into growing Sphagnum accounts for 5-10% of the total sulphur input to the bogs. Bog surface waters are more strongly depleted in sulphate and more strongly enriched in S-34 than can be accounted for by Sphagnum sulphur uptake alone. 4 Strong depletion of sulphate (very low SO42-/Cl-) accompanied by strong enrichment in S-34 occurs at depth in the bogs due to bacterial sulphate reduction. Transport of sulphate into the deeper part of the bog along a concentration gradient (which is steeper for the S-32 isotope) can account for the sulphate depletion and S-34 enrichment observed in the bog surface waters.</t>
  </si>
  <si>
    <t>10.2307/2960644</t>
  </si>
  <si>
    <t>Chung, MT; Jorgensen, KEM; Trueman, CN; Knutsen, H; Jorde, PE; Gronkjaer, P</t>
  </si>
  <si>
    <t>First measurements of field metabolic rate in wild juvenile fishes show strong thermal sensitivity but variations between sympatric ecotypes</t>
  </si>
  <si>
    <t>metabolic range; otolith; phenotypic performance; stable carbon isotope; stable oxygen isotope</t>
  </si>
  <si>
    <t>COD GADUS-MORHUA; ATLANTIC COD; BODY-SIZE; DYNAMIC ACTION; TEMPERATURE; CLIMATE; RESPONSES; SCOPE; FRACTIONATION; OTOLITHS</t>
  </si>
  <si>
    <t>The relationship between physiology and temperature has a large influence on population-level responses to climate change. In natural settings, direct thermal effects on metabolism may be exaggerated or offset by behavioural responses influencing individual energy balance. Drawing on a newly developed proxy, we provide the first estimates of the thermal performance curve of field metabolism in a wild fish. We investigate the thermal sensitivity of field metabolic rate in two sympatric, genetically distinct ecotypes of Atlantic cod from the Skagerrak coast of southern Norway. The combined ecotype median of field metabolic rate increased with increasing temperature until around 16 degrees C, coincident with the thermal optimum for growth for juvenile Atlantic cod. Individual cod experienced temperatures in excess of the thermal optimum for field metabolic rate, indicating some degree of thermal limitation of field metabolism in a complex natural environment with the potential for thermal refugia. The two cod ecotypes showed different thermal performance curves for field metabolic rate, revealing that genetic components to temperature sensitivity persist beyond acclimation effects. The cold-adapted fjord ecotype maintained higher field metabolic rates at cooler temperatures than the warm-adapted North Sea ecotype, which showed clear preference for warmer waters around the thermal optimum. Field metabolic rates of the two ecotypes were strongly influenced by year and location of sampling, implying more complex behavioural responses to environmental conditions. We emphasise that the energy uses reflecting physiological conditions in the field should be considered in the evaluation of the effect of climatic variables on fish population dynamics and demonstrate that otolith isotopes provide an analytical framework to answer this question.</t>
  </si>
  <si>
    <t>10.1111/oik.07647</t>
  </si>
  <si>
    <t>Rennella, AM; Geronazzo, MD; Romero, ME; Boveri, M; Rosso, JJ</t>
  </si>
  <si>
    <t>Hydrological variability, zooplankton availability and the shift between planktivore-benthivore feeding behaviour in the visual predator fish, Odontesthes bonariensis</t>
  </si>
  <si>
    <t>Hydrology; Inland silverside; Predation; Selectivity; Flushed lakes; Zooplankton</t>
  </si>
  <si>
    <t>SHALLOW LAKES; PAMPA PLAIN; TROPHIC RELATIONSHIPS; COMMUNITY STRUCTURE; SPECIES COMPOSITION; BIOMASS; PLANKTON; RIVER; PHYTOPLANKTON; PATTERNS</t>
  </si>
  <si>
    <t>Hydrology is a key factor in the dynamic of zooplankton community in lakes with high water renewal rate. Crustaceans' zooplankton biomass can sharply decline during flooding periods as consequence of wash-out effect. The hydrologically induced changes in zooplankton community may certainly affect the feeding behaviour of planktivorous fishes, but this has not been studied yet. The inland silverside, Odontesthes bonariensis (Valenciennes, 1835), is the main visual planktivorous fish in temperate shallow lakes of South America. We analyzed the diet composition and feeding strategy of O. bonariensis in a large run-of-the-river shallow lake, along two consecutive spring-summer periods with contrasting hydrological conditions. Water residence time varied one order of magnitude between flood and drought period. As it was expected, silversides showed size selective feeding on large cladocerans during drought period when zooplankton biomass was high. On the other hand, during high flushing period, zooplankton abundance decreased noticeable and silversides drastically changes its feeding behaviour from visual planktivore to benthivore. The analysis of the feeding strategy of O. bonariensis showed that this species largely behaves as a specialist irrespective of the hydrological conditions. However, the main involved prey varied from large Daphnia during low flow conditions to large Ostracoda during floods. Our study reveals that the variation in the availability of suitable prey induced by hydrological variability is associated with a drastic change in feeding grounds and prey selection of O. bonariensis. This flexible predatory behaviour may have consequences on food web dynamics of shallow lakes that are further discussed.</t>
  </si>
  <si>
    <t>10.1007/s10641-019-00865-8</t>
  </si>
  <si>
    <t>Senar, OE; Creed, IF; Strandberg, U; Arts, MT</t>
  </si>
  <si>
    <t>Browning reduces the availability-but not the transfer-of essential fatty acids in temperate lakes</t>
  </si>
  <si>
    <t>climate change; food webs; nutrient cycling; phytoplankton; zooplankton</t>
  </si>
  <si>
    <t>DISSOLVED ORGANIC-CARBON; FOOD-WEB; FRESH-WATER; CYANOBACTERIAL BIOMASS; PHYTOPLANKTON; TERRESTRIAL; ZOOPLANKTON; DAPHNIA; QUALITY; MATTER</t>
  </si>
  <si>
    <t>Atmospheric changes are leading to the browning of northern lakes (i.e. increases in catchment-derived dissolved organic matter [DOM]), consequently altering phytoplankton biomass and community composition. We hypothesised that lake browning and the concurrent increase in nutrients drive a shift towards greater cyanobacteria biomass. We further hypothesised that, as a consequence of this shift in phytoplankton, the content of omega-3 (n-3) essential fatty acids (EFA) in seston would decline, affecting the subsequent transfer of EFA to consumers across the plant-animal interface in pelagic regions of lakes. We tested these hypotheses in the epilimnion of 30 temperate lakes in Ontario (Canada), representing a gradient of lake browning, with dissolved organic carbon (DOC) ranging from 2 to 10 mg/L and total phosphorus ranging from 6.0 to 48.5 mu g/L. In each of these lakes, the concentration and composition of DOM, the biomass of phytoplankton and cyanobacteria, and the EFA content of seston, cladocerans, and copepods were measured. An increase in aromatic DOM was associated with increased phytoplankton and cyanobacteria biomass. Due to the lower content of the EFA eicosapentaenoic acid (EPA; 20:5n-3) and docosahexaenoic acid (DHA; 22:6n-3) in cyanobacteria, this increase in phytoplankton biomass was associated with a decline in EPA and DHA content in lake seston. However, there was no significant change in EFA content of cladocerans and copepods. This homeostatic (diet-independent) EFA composition in zooplankton suggested that, as the phytoplankton community shifted towards more cyanobacteria with lower EFA content, the cladocerans and copepods may have met their nutritional requirements by relying on alternative food sources (e.g. heterotrophic ciliates and flagellates) capable of either trophically upgrading phytoplankton-produced EPA and DHA, or synthesising EPA and DHA de novo. Results from this study indicate that increasing DOC from low (2 mg DOC/L) to moderate levels (15 mg DOC/L) may increase the importance of the microbial pathway in the trophic transfer of EPA and DHA from basal resources to zooplankton. However, this supplementary transfer of EFA through the microbial food web may not sustain high EPA and DHA levels in zooplankton when lake browning starts to limit primary production (&amp;&gt;15 mg DOC/L).</t>
  </si>
  <si>
    <t>10.1111/fwb.13399</t>
  </si>
  <si>
    <t>Peiman, KS; Lin, HY; Power, M; Hinch, SG; Patterson, DA; Cooke, SJ</t>
  </si>
  <si>
    <t>Effects of short-term decomposition on isotope values of fish tissues under natural conditions</t>
  </si>
  <si>
    <t>Decomposition; Pink salmon; Scale; Stable isotope; Tissue</t>
  </si>
  <si>
    <t>STABLE-CARBON; PRESERVATION METHODS; MUSCLE-TISSUE; RATIOS; DELTA-C-13; FRACTIONATION; DELTA-N-15; SIGNATURES; BACTERIA; SALMON</t>
  </si>
  <si>
    <t>Dead animals may be an important or the only source of tissues to analyze for stable isotopes, with the goal of making inferences about an animal's past ecological history. However, in nature, stable isotope values may be affected by myriad decomposition processes, such as abiotic environmental conditions and bacterial and fungal decay, potentially reducing the accuracy of derived ecological conclusions. We used Pacific salmon carcasses left in air or submerged under water to test whether stable isotope values of metabolically active (skin, muscle, and adipose fin) and inactive (scale) tissues changed over time. We found that the delta C-13 values of active tissues were all affected by decomposition but not in a predictable direction, and hard scale tissue was not. In contrast, there was no effect on delta N-15 values for any tissue up to 4 days under water or 8 days in air. This suggests that tissues can be analyzed for nitrogen stable isotope values even after several days in water and even if covered in fungus on the surface. For populations within which dead animals are frequently encountered, e.g., salmonid carcass surveys, hard tissues of fish (scales, otoliths) and other animals (baleen, bone, hair, feathers) will likely yield relevant biological information even if soft tissue is rotting, providing another avenue to collect important data about the life history of those animals.</t>
  </si>
  <si>
    <t>10.1007/s10452-021-09907-9</t>
  </si>
  <si>
    <t>Ludwig, F; Dawson, TE; de Kroon, H; Berendse, F; Prins, HHT</t>
  </si>
  <si>
    <t>Hydraulic lift in Acacia tortilis trees on an East African savanna</t>
  </si>
  <si>
    <t>competition; facilitation; stable isotopes; tree-grass interactions; soil water</t>
  </si>
  <si>
    <t>WATER-UPTAKE; SOIL-WATER; ARTEMISIA-TRIDENTATA; GRASS INTERACTIONS; ROOTING PATTERNS; HUMID SAVANNA; PLANTS; WOODY; KENYA; NUTRIENTS</t>
  </si>
  <si>
    <t>Recent studies suggest that savanna trees in semi-arid areas can increase understorey plant production. We hypothesized that one of the mechanisms that explains the facilitation between trees and grasses in East African savannas is hydraulic lift (HL). HL in large Acacia tortilis trees was studied during the first 3 months of the dry season during a relatively wet year (1998) and a very dry year (2000). In 1998, we found distinct diel fluctuation in soil water potential (psi(S)), with increasing values during the night and decreasing again the following day. These fluctuations in psi(S), are consistent with other observations of HL and in A tortilis were found up to 10 in from the tree. In 2000, during a severe drought, fs measurements indicated that HL was largely absent. The finding that HL occurred in wetter years and not in drier years was supported by data obtained on the 5180 values in soil, rain and groundwater. The 6180 of water extracted from the xylem water of grasses indicated that when they grew near trees they had values similar to those of groundwater. This could be because they either (1) use water from deeper soil layers or (2) use hydraulically lifted water provided by the tree; this was not seen in the same grass species growing outside tree canopies. While our data indicate that HL indeed occurs under Acacia trees, it is also true that psi(S) was consistently lower under trees when compared to outside tree canopies. We believe that this is because tree-grass mixtures take up more water from the upper soil layers than is exuded by the tree each night. This limits the beneficial effect of HL for understorey grasses and suggests that in savannas both facilitation via HL and competition are active processes. The importance of each process may depend upon how wet or dry that particular site or year is.</t>
  </si>
  <si>
    <t>10.1007/s00442-002-1119-x</t>
  </si>
  <si>
    <t>Chen, Q; Xu, GR; Zhang, S; Ma, KM</t>
  </si>
  <si>
    <t>Consumption of an exotic plant (Spartina alterniflora) by the macrobenthic fauna in a mangrove wetland at Zhanjiang, China</t>
  </si>
  <si>
    <t>Spartina alterniflora; Macrobenthic fauna; Stable isotope; Diet; MixSIR model</t>
  </si>
  <si>
    <t>ISOTOPE MIXING MODELS; STABLE-ISOTOPE; SALT-MARSH; BIOLOGICAL INVASIONS; RIVER ESTUARY; FOOD WEBS; ECOSYSTEM ENGINEERS; COMMUNITY STRUCTURE; DIETARY SOURCES; ORGANIC-MATTER</t>
  </si>
  <si>
    <t>Exotic species can affect food webs and cause cascading effects on ecosystem functioning. The exotic cordgrass, Spartina alterniflora, is an increasing threat to mangrove forests in eastern Asia. However, limited knowledge is available about the effects of S. alterniflora on the diet of macrobenthic fauna and food webs in mangrove wetlands. The stable carbon and nitrogen isotopes of primary producers and 11 common native macrobenthic fauna were examined to determine whether exotic S. alterniflora has become a food source for macrobenthic fauna in a mangrove wetland in Zhanjiang, China. The MixSIR mixing model revealed that exotic S. alterniflora served as a new food source for native macrobenthic fauna, and even as the main food source for many macrobenthic fauna. These findings suggest that this invasive plant is now part of the local benthic food web, i.e., it serves as a nutrient source for macrobenthic fauna in local mangrove wetlands. This study provides strong evidence that invasive plants can contribute to the diet of native consumers and change their diet patterns, ultimately altering the materials entering local food webs.</t>
  </si>
  <si>
    <t>10.1007/s13157-017-0970-9</t>
  </si>
  <si>
    <t>Kruger, L; Paiva, VH; Petry, MV; Ramos, JA</t>
  </si>
  <si>
    <t>Strange lights in the night: using abnormal peaks of light in geolocator data to infer interaction of seabirds with nocturnal fishing vessels</t>
  </si>
  <si>
    <t>Antarctica; Light sensor data; Remote sensing; Seabird ecology; Spatial ecology; Squid fisheries</t>
  </si>
  <si>
    <t>GIANT PETRELS MACRONECTES; PELAGIC LONGLINE FISHERY; STABLE-ISOTOPES; GPS-TRACKING; HABITAT USE; ALBATROSSES; MORTALITY; OVERLAP; BYCATCH; PATAGONIA</t>
  </si>
  <si>
    <t>Many seabird species forage at night and potentially interact with nocturnal fishing activities. Jigging fisheries use powerful lights to attract squid, and such high intensity lights can be recorded using global location-sensing loggers (geolocators) attached to seabirds. We use this potential source of information as evidence for interaction of southern giant petrels Macronectes giganteus with night fisheries during the non-breeding season. We compared the number of light spikes at night between sexes and evaluated whether the intensity of the light on those geolocator records matched periods of water immersion (wet-dry) of geolocators, as a measure of foraging activity. Females had more night light spikes than males, and although the activity on water was higher during nights with light spikes than nights without light spikes for both sexes, females had a higher probability to be resting on the water when peaks of light were higher. Females moved further north than males and used areas of higher squid fishery activities within Patagonian waters. This type of information is useful to record potential interactions with night fisheries and proposes that future studies should relate the accurate distribution of individuals (from GPS loggers) with light information (geolocators data) to highlight this undocumented interaction. Southern giant petrels are recognized as interacting intensively with fisheries off Patagonia waters with consequences for population dynamics (e.g. mortality through bycatch events).</t>
  </si>
  <si>
    <t>10.1007/s00300-016-1933-y</t>
  </si>
  <si>
    <t>Smith, CB; Erdner, DL</t>
  </si>
  <si>
    <t>Saxitoxin delta N-15 as a species-specific tracer of the source of nitrogen used by the toxin-producing dinoflagellate Alexandrium tamarense</t>
  </si>
  <si>
    <t>Alexandrium tamarense; delta N-15; Harmful algal blooms; Isotopic analysis; Saxitoxin; Stable nitrogen isotopes</t>
  </si>
  <si>
    <t>HARMFUL ALGAL BLOOMS; ISOTOPIC COMPOSITION; STABLE-ISOTOPES; NITRATE; BIOSYNTHESIS; MARINE; GROWTH; EUTROPHICATION; FRACTIONATION; ADAPTATION</t>
  </si>
  <si>
    <t>Alexandrium tamarense Balech is a harmful, bloom-forming dinoflagellate which can produce saxitoxins (STXs), a suite of powerful neurotoxins that bioaccumulate up the food chain and can have severe economic and health impacts. Being nitrogen-rich, STX is ideal for studying the relationship between its producer and the nitrogen used for growth. In this study, we measured the delta N-15 of medium nitrate, algal cells and toxin in batch cultures of A. tamarense. In nitrate-replete conditions, cells were 1.5% depleted relative to the source, and STX was 1.5% depleted relative to the cells. In nitrogen-limiting cultures the isotopic difference between cells and STX changed as nitrate in the growth medium was depleted, indicating uncoupled toxin synthesis and cell growth under changing external nutrient conditions. Our results show that toxin-specific nitrogen stable isotope analysis may provide a tool that can help to identify the nitrogen sources supporting toxic Alexandrium blooms.</t>
  </si>
  <si>
    <t>10.3354/meps09360</t>
  </si>
  <si>
    <t>Cherel, Y; Jaeger, A; Alderman, R; Jaquemet, S; Richard, P; Wanless, RM; Phillips, RA; Thompson, DR</t>
  </si>
  <si>
    <t>A comprehensive isotopic investigation of habitat preferences in nonbreeding albatrosses from the Southern Ocean</t>
  </si>
  <si>
    <t>AT-SEA DISTRIBUTION; WANDERING ALBATROSSES; POPULATION-DYNAMICS; LONGLINE FISHERIES; DIOMEDEA-EXULANS; STABLE-ISOTOPES; D-CHRYSOSTOMA; SATELLITE TRACKING; ACTIVITY PATTERNS; FORAGING AREAS</t>
  </si>
  <si>
    <t>Albatrosses are among the world's most endangered seabirds. Threats during the nonbreeding period have major impacts on their population dynamics, but for most species, detailed information on distribution and ecology remains essentially unknown. We used stable isotope values (13C and 15N) in feathers to infer and compare the moulting (nonbreeding) habitats of 35 populations that include all the 20 species and subspecies (444 individuals) of albatrosses breeding within the Southern Ocean and in fringing subtropical waters. Isotopic values together with a review of available information show that the 20 albatrosses can be categorized into three groups depending on their favoured moulting grounds: 12 (60%) taxa forage primarily in warm neritic waters, six (30%) in northern oceanic waters and two (10%) in oceanic waters of the Southern Ocean. Stable isotopes indicate that habitat preferences during the nonbreeding period vary much less among different breeding populations in some species (wandering, Salvin's, grey-headed and light-mantled sooty albatrosses), than others (black-browed, Indian yellow-nosed and sooty albatrosses). The major finding of our isotopic investigation is that the great majority of albatrosses spend the nonbreeding period outside the Southern Ocean, with only three species (and in the sooty albatross, just one of the breeding populations) favouring oceanic subantarctic waters at that time. Hence, the study highlights the overwhelming importance of subtropical waters for albatrosses, where the birds are known to interact with human activities and are more likely to be negatively affected by the diverse range of fisheries operating in both neritic and oceanic waters.</t>
  </si>
  <si>
    <t>10.1111/j.1600-0587.2012.07466.x</t>
  </si>
  <si>
    <t>Shlepr, KR; Ronconi, RA; Hayden, B; Allard, KA; Diamond, AW</t>
  </si>
  <si>
    <t>Estimating the relative use of anthropogenic resources by Herring Gull (Larus argentatus) in the Bay of Fundy, Canada</t>
  </si>
  <si>
    <t>diet; ecosystem-based management; foraging; GPS tracking; habitat use; nuisance species; population decline; stable-isotope analysis; urban ecology; wildlife management</t>
  </si>
  <si>
    <t>BLACK-BACKED GULLS; LONG-TERM SHIFTS; STABLE-ISOTOPES; REPRODUCTIVE OUTPUT; BREEDING SUCCESS; NORTH-AMERICA; NEW-BRUNSWICK; KENT-ISLAND; WITLESS BAY; DIET</t>
  </si>
  <si>
    <t>Gulls (Larus spp.) are described as generalist, opportunistic feeders that show great flexibility in habitat use. Despite an apparent advantage in changing landscapes, many Larus populations have declined in eastern North America since the 1990s. The main hypothesis explaining gull declines at a broad scale is a decrease in total food availability, especially anthropogenically derived fisheries discards and human refuse as industries and cities have improved their management practices. However, it is difficult to quantify the total proportion of gull diet subsidized by humans to test this hypothesis because many common prey items can be traced to both anthropogenic and nonanthropogenic sources. Our aim was to estimate the proportion of diet derived from anthropogenic food sources for Herring Gull (L. argentatus) during the breeding season at the two largest colonies in the Bay of Fundy, Canada, which are located 36 km apart. GPS loggers were deployed to quantify spatiotemporal movement patterns, and whole blood and feather samples were collected for delta C-13 and delta N-15 stable-isotope analysis to estimate diet composition during the incubation and chick-rearing stages of the breeding season. Results indicate that there is spatial segregation in the foraging areas used by gulls from the two colonies. All gulls relied on a variety of anthropogenic food sources, with some individuals selecting heavily on fisheries (i.e., active town wharfs, fish packaging plants, aquaculture pens) and mink (Neovison vison) fur farms. Landfills were not a significant source of food during the breeding season. Our study provides valuable information about the relative reliance of gulls on anthropogenic food subsidies, providing insight into how changing industry practices may affect patterns in nesting and foraging by gulls in the region.</t>
  </si>
  <si>
    <t>10.5751/ACE-01739-160102</t>
  </si>
  <si>
    <t>Lee, YC; Chang, PH; Shih, CH; Shiao, JC; Tzeng, TD; Chang, WC</t>
  </si>
  <si>
    <t>The impact of religious release fish on conservation</t>
  </si>
  <si>
    <t>Hatchery-reared; Released; Religious release; Natural mark; Stable isotopes; Otolith; Black porgy; Conservation</t>
  </si>
  <si>
    <t>BLACK-SEA BREAM; STABLE-ISOTOPES; BROOK TROUT; POPULATIONS; STOCKING; WILD; TEMPERATURE; OTOLITHS; OXYGEN; PORGY</t>
  </si>
  <si>
    <t>In Taiwan, many hatchery-reared fish are released into wild waters for various reasons. Among those released individuals, few are documented by government agencies and academics, with almost no documentation by religious groups. Religious release data is scarce and the influence of released fish on the environment is not fully understood by the government, academics or religious groups. This study aimed to (1) investigate public cognition surrounding the relationship between the religious release of fish and conservation via questionnaire, (2) conduct two batches of mark and recapture studies fish used for religious release and (3) assess the impact of religious release fish on conservation based on the natural marks of recaptured specimens. Beginning in 2015, two batches of prayer black porgy (Acanthopagrus schlegelii), which were marked, released and recaptured were surveyed in cooperation with a Buddhist group. The results for overall respondents surveyed by questionnaire, 45% indicated that they were unsure of the impact of religious release fish on conservation. Based on the values of oxygen stable isotope in the core area of the otoliths discrimination, the hatchery-reared stock is thought to contribute to approximately 61% of the total black porgy population in the northern waters of Taiwan. The length distribution between hatchery-reared stocks and wild stocks was similar, suggesting that the two stocks that survive at sea may not interact with each other. The results of this study can be used as evidence for the impact of a religious release fish on environmental conservation. (c) 2021 The Author(s). Published by Elsevier B.V. CC_BY_NC_ND_4.0</t>
  </si>
  <si>
    <t>e01556</t>
  </si>
  <si>
    <t>10.1016/j.gecco.2021.e01556</t>
  </si>
  <si>
    <t>Oguz, T; Salihoglu, B; Fach, B</t>
  </si>
  <si>
    <t>A coupled plankton-anchovy population dynamics model assessing nonlinear controls of anchovy and gelatinous biomass in the Black Sea</t>
  </si>
  <si>
    <t>Black Sea; Population dynamics; Trophic levels; Intraguild predation; Anchovy; Nutrient enrichment; Overfishing; Density-dependent feedbacks</t>
  </si>
  <si>
    <t>ENGRAULIS-ENCRASICOLUS L.; INDIVIDUAL-BASED MODEL; EARLY-LIFE-HISTORY; CTENOPHORE MNEMIOPSIS; INTRAGUILD PREDATION; REPRODUCTIVE CHARACTERISTICS; PELAGIC ECOSYSTEM; AURELIA-AURITA; FISH; LARVAE</t>
  </si>
  <si>
    <t>A coupled model of lower trophic levels and anchovy Engraulis encrasicolus ponticus population dynamics was developed to analyze the mechanisms controlling sharp anchovy and gelatinous zooplankton biomass transitions from the 1960s to the 1980s in the Black Sea. An increase in anchovy stocks from estimated low (similar to 300 kt) to moderate (similar to 700 kt) in the late 1960s was related to weakening piscivore predation pressure, slight nutrient enrichment of the basin during an early eutrophication phase, and competitive exclusion of gelatinous carnivores. The transition to high stocks (similar to 1500 kt) from 1979 to 1980 was caused by additional nutrient enrichment. With enhanced enrichment, gelatinous carnivores started to coexist with anchovy at low biomass levels (&lt;1.0 gC m(-2)), but they did not yet exert a strong control on anchovy because of their competitive disadvantage of consuming prey at low carrying capacity. The third transition (1989-1990) returned the anchovy stock to the low regime and increased the biomass of the alien gelatinous species Mnemiopsis leidyi (hereafter Mnemiopsis) to 3.0 gC m(-2). The anchovy-Mnemiopsis shift was pre-conditioned by nutrient accumulation in the subsurface layer and triggered by their more effective transport into the productive surface layer following the switch of regional climate into a severe winter phase during 1985-1987. The resulting enhanced resource carrying capacity, together with decreasing adult anchovy stocks, led to a competitive advantage of Mnemiopsis in food exploitation relative to anchovy, growth and reproductive advantages relative to the native gelatinous species Aurelia aurita, and stronger predation on anchovy eggs and larvae. The anchovy stock depletion was caused by increasing fishing pressure and by competition with and predation by Mnemiopsis. While nonlinear coupling of these 2 independent processes amplified the anchovy collapse, neither would be able to individually impose such a severe anchovy stock change under the observed environmental conditions of the Black Sea.</t>
  </si>
  <si>
    <t>10.3354/meps07540</t>
  </si>
  <si>
    <t>Illuminati, A; Querejeta, JI; Pias, B; Escudero, A; Matesanz, S</t>
  </si>
  <si>
    <t>Coordination between water uptake depth and the leaf economic spectrum in a Mediterranean shrubland</t>
  </si>
  <si>
    <t>coexistence; drylands; ecohydrological niche segregation; leaf economic spectrum; Mediterranean shrublands; plant-soil (below-ground) interactions; stable isotopes; water-use strategy; water uptake depth</t>
  </si>
  <si>
    <t>STABLE-ISOTOPES; ROOTING DEPTH; SOIL-WATER; PRECIPITATION PULSES; GLOBAL PATTERNS; PLANTS; OXYGEN; TRAITS; COEXISTENCE; DROUGHT</t>
  </si>
  <si>
    <t>Water is the most limiting resource for plant survival and growth in arid environments, but the diversity of water-use strategies among coexisting species in dryland communities is not well understood. There is also growing interest in assessing whether a whole-plant coordination exists between traits related to water-use and the leaf economic spectrum (LES). We used water stable isotopes (delta H-2, delta O-18) to quantify water uptake proportions from different soil depths by 24 species in a Mediterranean shrubland. Leaf traits associated with water-use efficiency, stomatal regulation (delta C-13, delta O-18) and the LES (SLA, N, P, K concentrations) were also measured. We assessed potential trade-offs between the above-mentioned leaf traits, water uptake depth and their relationship with species abundance. We found distinct ecohydrological niche segregation among coexisting species. Bayesian models showed that our shrubland species used a median of 37% of shallow soil water (0-30 cm) and 63% of deep water (30-100 cm). Still, water source proportions varied considerably among species, as shallow soil water-use ranged from a minimum of 6.4% to a maximum of 68%. Interspecific variability in foliar carbon investment (SLA) and nutrient concentrations was remarkably high, indicating diverse nutrient-use strategies along the LES. Leaf delta O-18, delta C-13 and delta N-15 values also differed widely among species, revealing differences in stomatal regulation, water-use efficiency and nitrogen acquisition mechanisms. After accounting for evolutionary history effects, water uptake depth was coordinated with the LES: species using shallower soil water from fertile topsoil layers exhibited a more acquisitive carbon- and nutrient-use strategy, whereas water uptake from deeper but less fertile soil layers was linked to a more conservative nutrient-use strategy. Leaf-level water-use traits significantly influenced species abundance, as water-savers with tight stomatal regulation and high water-use efficiency were dominant. Synthesis. Greater utilisation of water stored in nutrient-rich topsoil layers favoured a more acquisitive nutrient-use strategy, whereas a deeper water uptake pattern appeared to constrain access to nutrients. Our findings thus suggest a largely inescapable trade-off and coordination between soil water uptake depth and carbon- and nutrient-use strategies in low-fertility drylands.</t>
  </si>
  <si>
    <t>10.1111/1365-2745.13909</t>
  </si>
  <si>
    <t>Burton, JI; Perakis, SS; McKenzie, SC; Lawrence, CE; Puettmann, KJ</t>
  </si>
  <si>
    <t>Intraspecific variability and reaction norms of forest understorey plant species traits</t>
  </si>
  <si>
    <t>functional traits; herbaceous layer; Pacific Northwest; stable isotopes; water-use efficiency</t>
  </si>
  <si>
    <t>CARBON-ISOTOPE DISCRIMINATION; CLIMATE-CHANGE; ROOT LENGTH; LEAF TRAITS; NITROGEN; LAYER; AVAILABILITY; DISTURBANCE; PHYSIOLOGY; ADAPTATION</t>
  </si>
  <si>
    <t>1. Trait-based models of ecological communities typically assume intraspecific variation in functional traits is not important, although such variation can change species trait rankings along gradients in resources and environmental conditions, and thus influence community structure and function. 2. We examined the degree of intraspecific relative to interspecific variation, and reaction norms of 11 functional traits for 57 forest understorey plant species, including: intrinsic water-use efficiency (iWUE), Delta N-15, five leaf traits, two stem traits and two root traits along gradients in light, nitrogen, moisture and understorey cover. 3. Our results indicate that interspecific trait variation exceeded intraspecific variation by at least 50% for most, but not all traits. Intraspecific variation in Delta N-15, iWUE, leaf nitrogen content (LNC) and root traits was high (47-70%) compared with most leaf traits and stem traits (13-38%). 4. Delta N-15 varied primarily along gradients in abiotic conditions, while light and understorey cover were relatively less important. Intrinsic water-use efficiency was related primarily to light transmission, reflecting increases in photosynthesis relative to stomatal conductance. Leaf traits varied mainly as a function of light availability, with some reaction norms depending on understorey cover. Plant height increased with understorey cover, while stem-specific density was related primarily to light. Resources, environmental conditions and understorey cover did not contribute strongly to the observed variation in root traits. 5. Gradients in resources, environmental conditions and competition all appear to control intraspecific variability in most traits to some extent. However, our results suggest that species cross-over (i.e. trait rank reversals) along the gradients measured here are generally not a concern. 6. Intraspecific variability in understorey plant species traits can be considerable. However, trait data collected under a narrow range of environmental conditions appears sufficient to establish species rankings and scale between community and ecosystem levels using trait-based models. Investigators may therefore focus on obtaining a sufficient sample size within a single set of conditions rather than characterizing trait variation across entire gradients to optimize sampling efforts.</t>
  </si>
  <si>
    <t>10.1111/1365-2435.12898</t>
  </si>
  <si>
    <t>Tye, DRC; Drake, DC</t>
  </si>
  <si>
    <t>An exotic Australian Acacia fixes more N than a coexisting indigenous Acacia in a South African riparian zone</t>
  </si>
  <si>
    <t>Invasion biology; Isotope ecology; Nitrogen isotopes; Riparian; Riparian ecology; Nitrogen fixation</t>
  </si>
  <si>
    <t>N-15 NATURAL-ABUNDANCE; LOCUST ROBINIA-PSEUDOACACIA; NITROGEN-FIXATION; IMPACTS; SOIL; ECOSYSTEMS; PATTERNS; INPUTS; TREES; WATER</t>
  </si>
  <si>
    <t>Acacia mearnsii is an introduced Australian acacia in South Africa and has invaded more than 2.5 million ha, primarily establishing in rangeland and riparian areas. Because acacias have the capability to fix N, A. mearnsii invasions may fundamentally change N dynamics in invaded systems. This study compares biological N-2-fixation in the alien invasive A. mearnsii and the native A. caffra growing in a grassland riparian zone in the Komati Gorge Reserve, Mpumalanga, South Africa. A N-15 natural abundance field survey suggested that both mature alien and native acacias fix N under current conditions in the riparian zone. Significantly depleted delta N-15 was observed in both acacias relative to reference species, although variation in delta N-15 was not correlated with N concentrations. Calculated contributions of N-2-fixation (%Ndfa) suggest that alien acacias fix significantly more of their N than native acacias (similar to 75 +/- A 5% SE and 53 +/- A 9% SE, respectively). There was a larger variation in delta N-15 and %Ndfa in the native acacia, suggesting relatively high plasticity in its N-2-fixation contributions. This plasticity was interpreted as a facultative N-2-fixation strategy for the native acacia, while the N-2-fixation strategy of the alien acacia remained unclear. Our results emphasize the importance of potentially elevated N inputs through N-2-fixation by invasive legumes in invaded landscapes. Furthermore, they suggest that N-2-fixation by invasive acacias may not respond to fine-scale patchiness in soil N in the same manner as native acacias, making them potential contributors to N excess in Southern Africa.</t>
  </si>
  <si>
    <t>10.1007/s11258-011-9971-6</t>
  </si>
  <si>
    <t>Espinasse, B; Hunt, BPV; Batten, SD; Pakhomov, EA</t>
  </si>
  <si>
    <t>Defining isoscapes in the Northeast Pacific as an index of ocean productivity</t>
  </si>
  <si>
    <t>food web; migration pathways; secondary productivity; stable isotopes; trophic baseline; zooplankton</t>
  </si>
  <si>
    <t>NITROGEN STABLE-ISOTOPES; SCALE SPATIAL VARIATION; ZOOPLANKTON DISTRIBUTION; COASTAL ORIGIN; FOOD-CHAIN; FRACTIONATION; DYNAMICS; PATTERNS; CARBON; MESOZOOPLANKTON</t>
  </si>
  <si>
    <t>Aim We modelled isoscapes in the Northeast (NE) Pacific using satellite-based data, with the main objective of testing whether isoscapes defined by a few key parameters can be used as a proxy for secondary productivity. Location Northeast Pacific; 46-60 degrees N and 125-165 degrees W. Time period From 1998 to 2017 (ongoing). Major taxa studied Zooplankton, with a focus on large herbivores. Methods Approximately 280 summer zooplankton samples were analysed for carbon (delta C-13) and nitrogen (delta N-15) stable isotope (SI) ratios. Environmental conditions experienced by zooplankton organisms were extracted from satellite, in situ sensor and model databases. A generalized additive model approach was used to explain the spatial variability of delta C-13 and delta N-15 values and to predict isoscapes. Results Sea surface temperature (SST), sea level anomaly (SLA) and chlorophyll-a concentration emerged as the significant SI predictors. Modelled isoscapes reproduced patterns observed in delta C-13 and delta N-15 value distribution, such as a decrease from the coast to offshore. The contribution of eddies in enhancing local production in the open ocean was also well captured by the models. In the central part of the NE Pacific, higher SI values were correlated with higher large copepod biomass measured by the North Pacific Continuous Plankton Recorder (CPR) survey. However, in the area off the coast of British Columbia, high delta N-15 variability appeared to be associated with episodic intrusions of coastal waters, demonstrating that caution is needed when interpreting sharp changes in SI ratios. Main conclusions Although the mechanisms driving SI ratio variability are complex, we demonstrate that a few parameters used as a proxy for some of these major mechanisms are able to produce successful isoscape models. This approach was proved useful to provide a qualitative estimate of secondary production, which can be particularly valuable in a region where few data are available.</t>
  </si>
  <si>
    <t>10.1111/geb.13022</t>
  </si>
  <si>
    <t>Lasley-Rasher, RS; Brady, DC; Smith, BE; Jumars, PA</t>
  </si>
  <si>
    <t>It takes guts to locate elusive crustacean prey</t>
  </si>
  <si>
    <t>Fish feeding; Northwest Atlantic; Pandalidae; Mysidae; Euphausiidae; Crangonidae; Migration</t>
  </si>
  <si>
    <t>COD GADUS-MORHUA; CONTINENTAL-SHELF ECOSYSTEM; DIEL HORIZONTAL MIGRATION; NEOMYSIS-AMERICANA; GEORGES BANK; LONG-TERM; CRANGON-SEPTEMSPINOSA; SPATIAL-DISTRIBUTION; VERTICAL MIGRATION; PANDALUS-BOREALIS</t>
  </si>
  <si>
    <t>Mobile crustacean prey, i.e. crangonid, euphausiid, mysid, and pandalid shrimp, are vital links in marine food webs. Their intermediate sizes and characteristic caridoid escape responses lead to chronic underestimation when sampling at large spatial scales with either plankton nets or large trawl nets. Here, as discrete sampling units, we utilized individual fish diets (i.e. fish biosamplers) collected by the US National Marine Fisheries Service and Northeast Fisheries Science Center to examine abundance and location of these prey families over large spatial and temporal scales in the northeastern US shelf large ecosystem. We found these prey families to be important to a wide variety of both juvenile and adult demersal fishes from Cape Hatteras to the Scotian Shelf. Fish biosamplers further revealed significant spatial shifts in prey in early spring. Distributions of mysids and crangonids in fish diets shoaled significantly from February to March. Distributions of euphausiids and pandalids in fish diets shifted northward during March. Of multiple hypotheses for these shifts, prey migration is most strongly supported. Rather than only the classic ontogenetic shift from feeding on shrimp to piscivory, of the 25 identified diet shifts in fish predators, 12 shifts were toward increased shrimp feeding frequency with increasing body length.</t>
  </si>
  <si>
    <t>10.3354/meps11481</t>
  </si>
  <si>
    <t>Morzaria-Luna, HN; Ainsworth, CH; Scott, RL</t>
  </si>
  <si>
    <t>Impacts of deep-water spills on mesopelagic communities and implications for the wider pelagic food web</t>
  </si>
  <si>
    <t>Mesopelagic; Atlantis ecosystem model; Oil spill; Uncertainty; Gulf of Mexico</t>
  </si>
  <si>
    <t>HORIZON OIL-SPILL; DIET COMPOSITION; SPECIES COMPOSITION; ECOSYSTEM MODEL; FISHES; ATLANTIS; ECOLOGY; MANAGEMENT; DIVERSITY; TRANSPORT</t>
  </si>
  <si>
    <t>Mesopelagic fishes link lower trophic levels and higher predators, as well as production at the surface to the deep sea. Mesopelagic fish may be vulnerable to deep entrained oil plumes of the type seen in the 2010 Deepwater Horizon spill; even at low concentrations, exposure to polycyclic aromatic hydrocarbons (PAHs) may cause lethal and sublethal effects, such as endocrine disruption, growth inhibition, and genetic damage. A reduction in the abundance of mesopelagic fish could potentially shift predation pressure by large pelagics to epipelagic forage or other species, with potential fisheries consequences. We explored this hypothesis on the West Florida Shelf using an Atlantis model for the Gulf of Mexico. Atlantis is a 3-dimensional, spatially explicit marine and coastal modeling framework that incorporates multiple submodels integrating biophysical, chemical, ecological, and fisheries dynamics. We found that biomass, trophic niche width, and predation mortality exerted by mesopelagic predators showed small but varied responses across different contributions of mesopelagics to predator fish diet under oil impacts. We observed shifts in the diet of pelagic predators with increasing availability of mesopelagic fish prey, suggesting that pelagic fish predator populations are more vulnerable to oil exposure if they are tightly coupled to the mesopelagic food web. These results suggest that when measured at the population level, oil-spill impacts may be harder to detect due to the response of individual fish species.</t>
  </si>
  <si>
    <t>10.3354/meps13900</t>
  </si>
  <si>
    <t>Tsunogai, U; Miyauchi, T; Ohyama, T; Komatsu, DD; Nakagawa, F; Obata, Y; Sato, K; Ohizumi, T</t>
  </si>
  <si>
    <t>Accurate and precise quantification of atmospheric nitrate in streams draining land of various uses by using triple oxygen isotopes as tracers</t>
  </si>
  <si>
    <t>STABLE-ISOTOPES; CHEMICAL CONVERSION; COUPLED NITROGEN; FRESH-WATER; FRACTIONATION; NITRIFICATION; DELTA-O-18; O-18; DENITRIFICATION; EUTROPHICATION</t>
  </si>
  <si>
    <t>Land use in a catchment area has significant impacts on nitrate eluted from the catchment, including atmospheric nitrate deposited onto the catchment area and remineralised nitrate produced within the catchment area. Although the stable isotopic compositions of nitrate eluted from a catchment can be a useful tracer to quantify the land use influences on the sources and behaviour of the nitrate, it is best to determine these for the remineralised portion of the nitrate separately from the unprocessed atmospheric nitrate to obtain a more accurate and precise quantification of the land use influences. In this study, we determined the spatial distribution and seasonal variation of stable isotopic compositions of nitrate for more than 30 streams within the same watershed, the Lake Biwa watershed in Japan, in order to use 17O excess (Delta O-17) of nitrate as an additional tracer to quantify the mole fraction of atmospheric nitrate accurately and precisely. The stable isotopic compositions, including Delta O-17 of nitrate, in precipitation (wet deposition; n = 196) sampled at the Sadoseki monitoring station were also determined for 3 years. The deposited nitrate showed large O-17 excesses similar to those already reported for midlatitudes: Delta O-17 values ranged from +18.6 to +32.4% with a 3-year average of +26.3 %. However, nitrate in each inflow stream showed small annual average Delta O-17 values ranging from +0.5 to +3.1 %, which cor-responds to mole fractions of unprocessed atmospheric nitrate to total nitrate from (1.8 +/- 0.3) to (11.8 +/- 1.8)% respectively, with an average for all inflow streams of (5.1 +/- 0.5) %. Although the annual average Delta O-17 values tended to be smaller in accordance with the increase in annual average stream nitrate concentration from 12.7 to 106.2 mu mol L-1, the absolute concentrations of unprocessed atmospheric nitrate were almost stable at (2.3 +/- 1.1) mu mol L-1 irrespective of the changes in population density and land use in each catchment area. We conclude that changes in population density and land use between each catchment area had little impact on the concentration of atmospheric nitrate and that the total nitrate concentration originated primarily from additional contributions of remineralised nitrate. By using the average stable isotopic compositions of atmospheric nitrate, we excluded the contribution of atmospheric nitrate from the determined delta N-15 and delta O-18 values of total nitrate and estimated the delta N-15 and delta O-18 values of the remineralised portion of nitrate in each stream to clarify the sources. We found that the remineralised portion of the nitrate in the streams could be explained by mixing between a natural source with values of (+4.4 +/- 1.8) and (-2.3 +/- 0.9)% for delta N-15 and delta O-18 respectively and an anthropogenic source with values of (+9.2 +/- 1.3) and (-2.2 +/- 1.1)% for delta N-15 and delta O-18 respectively. In addition, both the uniform absolute concentration of atmospheric nitrate and the low and uniform delta O-18 values of the remineralised portion of nitrate in the streams imply that in-stream removal of nitrate through assimilation or denitrification had little impact on the concentrations and stable isotopic compositions of nitrate in the streams, except for a few streams in summer with catchments of urban/suburban land uses.</t>
  </si>
  <si>
    <t>10.5194/bg-13-3441-2016</t>
  </si>
  <si>
    <t>Barbar, F; Lambertucci, SA</t>
  </si>
  <si>
    <t>Invasive herbivores shape food web structure: European rabbit and hare acting as primary prey are conservation challenges</t>
  </si>
  <si>
    <t>Lagomorphs; Invasive species; Trophic interactions; Primary prey; Dietary shift</t>
  </si>
  <si>
    <t>BIOTIC HOMOGENIZATION; INTERACTION STRENGTHS; ECOLOGICAL NETWORKS; EXOTIC HERBIVORES; LEPUS-EUROPAEUS; RAPTOR; DIET; CONSEQUENCES; CARNIVORES; POPULATION</t>
  </si>
  <si>
    <t>As part of the current global change scenario, invasive species have caused many direct impacts on native biodiversity and the interactions among species. European rabbits and hares are two herbivore species that have been introduced worldwide, displacing native species within their trophic level, but also affecting native predators. Both species have become extremely abundant in their exotic distributions, becoming primary prey for many predators, a function that they also play in their native ranges. These relatively new and strong interaction links created with their consumers have the potential to destabilize food webs by precluding the occurrence of weaker links. Here, we have compiled the diet of 32 predator species from three food webs and compared them: one in Europe, where these species are native, and two where they are introduced, in South America and Oceania. We found that these lagomorphs are the primary prey in all study sites, generating a dietary shift of predators in the invaded regions. In all food webs studied, these two preys channeled most of the biomass input towards the higher trophic level, generating the strongest interaction links, affecting the food web configuration and stability. They destabilize food web structure by homogenizing predators' diets, augmenting their niche overlap and web vulnerability. Moreover, rapid population changes of these prey, either natural (e.g., diseases) or anthropic (e.g., control measures), create new conservation challenges for predators and scavengers. This highlights that invasive species can strongly affect interactions among species and it should be considered in management and conservation actions.</t>
  </si>
  <si>
    <t>10.1016/j.biocon.2023.110016</t>
  </si>
  <si>
    <t>Yanai, S; Kochi, K</t>
  </si>
  <si>
    <t>Effects of salmon carcasses on experimental stream ecosystems in Hokkaido, Japan</t>
  </si>
  <si>
    <t>artificial channel; Goerodes sotoi; salmon carcasses; stable isotopes; leaf bag</t>
  </si>
  <si>
    <t>ELEMENTS TRANSPORTED UPSTREAM; MARINE-DERIVED NUTRIENTS; JUVENILE COHO SALMON; PACIFIC SALMON; SOUTHEASTERN ALASKA; LEAF DECOMPOSITION; STABLE ISOTOPES; TERRESTRIAL ECOSYSTEMS; ONCORHYNCHUS-KISUTCH; DELTA-C-13 EVIDENCE</t>
  </si>
  <si>
    <t>The effects of salmon carcasses on dissolved nutrients, epilithic production, leaf decomposition rates. and aquatic invertebrates were examined using 10-m-long, artificial channels fed by an adjacent natural stream in Hokkaido, northern Japan. Bags containing maple leaf litter were placed in nine channels, each of which was assigned to one of three treatments with three replicates, for 6 weeks in fall 2002. The three treatments were: (1) salmon carcasses+invertebrates, (2) invertebrates only. and (3) control (no salmon carcasses or invertebrates added). Nutrient concentrations, biomass of epilithic algae (chlorophyll), leaf weight loss, abundance and biomass of invertebrates in the leaf packs were compared among the three treatments at 14, 27, and 40 days after the beginning of the experiment. The NH4+ in stream water and chlorophyll concentrations of epilithic algae were higher in the salmon treatment than the other treatments, and the maple leaves decomposed faster in the salmon treatment than in the other treatments. Moreover. the N content of the leaves was highest and the C/N ratio was lowest in the salmon treatment. although not significantly so. The abundance and biomass of the dominant leaf-shredding invertebrate Goerodes satoi did not differ between the first two treatments. However, the stable N isotope ratio in G. satoi was nearly 3 parts per thousand higher in the salmon treatment, suggesting that around 20% of salmon-derived N was taken up by this shredder. Our results indicate that salmon carcasses affect stream ecosystems directly by enhancing primary production, indirectly by accelerating woody leaf decomposition, and finally by incorporating into the food web primary consumers that utilize fertilized woody leaves.</t>
  </si>
  <si>
    <t>10.1007/s11284-005-0056-7</t>
  </si>
  <si>
    <t>Giorgis, MA; Cingolani, AM; Teich, I; Renison, D; Hensen, I</t>
  </si>
  <si>
    <t>Do Polylepis australis trees tolerate herbivory? Seasonal patterns of shoot growth and its consumption by livestock</t>
  </si>
  <si>
    <t>Browsing; Compensation; Consumption; Growth; Livestock; Polylepis australis; Tolerance</t>
  </si>
  <si>
    <t>POPULUS-TREMULOIDES; CENTRAL ARGENTINA; MOUNTAIN FORESTS; PLANT TOLERANCE; OVERCOMPENSATION; OPTIMIZATION; RESISTANCE; WOODLANDS; BIOMASS; DAMAGE</t>
  </si>
  <si>
    <t>Browsing is one of the main factors determining survival, growth rate, woodland structure, and distribution of the high mountain tree Polylepis australis. This species has a substantial regrowth capacity, which may function as a mechanism to tolerate herbivory, but it is unknown to what extent it may compensate for the impact of herbivory. In 15 low-density tree stands subject to exclusion, moderate, and heavy livestock pressure, we selected 12 P. australis individuals &lt; 2 m tall, tagged four new shoots per tree and measured shoot length every month during a year. At the stand and at the tree level, we analyzed monthly dynamics of growth and browsing, and the annual output in terms of total browsing and total gross and net growth (not discounting and discounting consumption, respectively). In addition, we assessed the influence of stand, tree and microsite characteristics on growth and browsing patterns. Polylepis australis fully compensated for herbivory in terms of shoot gross growth at moderate, but not at heavy livestock pressure. In terms of net growth, this species did not fully compensate for herbivory at any stocking rate. We found a strong coupling between browsing and growth along the year, suggesting that regrowth attracts browsing, and browsing promotes regrowth. At the stand level, annual gross growth was not affected by habitat characteristics, while at the tree level, annual gross growth decreased on more rocky microsites for browsed but not for unbrowsed trees. We concluded that stocking densities should be limited to allow for a reasonable annual net growth, as its nitrogen rich leaves are a valuable food resource and P. australis forests provide important ecosystem services.</t>
  </si>
  <si>
    <t>10.1007/s11258-009-9674-4</t>
  </si>
  <si>
    <t>Faiman, R; Dao, A; Yaro, AS; Diallo, M; Djibril, S; Sanogo, ZL; Ousmane, Y; Sullivan, M; Veru, L; Krajacich, BJ; Krishna, A; Matthews, J; France, CAM; Hamer, G; Hobson, KA; Lehmann, T</t>
  </si>
  <si>
    <t>Marking mosquitoes in their natural larval sites using H-2-enriched water: A promising approach for tracking over extended temporal and spatial scales</t>
  </si>
  <si>
    <t>Anopheles gambiae; deuterium; mark-capture; stable isotopes; vector dispersal</t>
  </si>
  <si>
    <t>ANOPHELES-GAMBIAE DIPTERA; RELEASE-RECAPTURE; NONEXCHANGEABLE HYDROGEN; POPULATION-SIZE; CULICIDAE; DISPERSAL; DENSITY; EQUILIBRATION; FUNESTUS; SURVIVAL</t>
  </si>
  <si>
    <t>Tracking mosquitoes using current methods of mark-release-recapture are limited to small spatial and temporal scales exposing major gaps in understanding long-range movements and extended survival. Novel approaches to track mosquitoes may yield fresh insights into their biology which improves intervention activities to reduce disease transmission. Stable isotope enrichment of natural mosquito breeding sites allows large-scale marking of wild mosquitoes absent human handling. Mosquito larvae that develop in H-2-enriched water are expected to be detectable for over 4 months using tissue mass fraction H-2 measurements, providing opportunities for long-term mark-capture studies on a large scale. A laboratory study followed by a field experiment of mosquito larval habitat H-2 enrichment was conducted in Mali, to evaluate potential labelling of wild mosquitoes. Twelve natural larval sites were enriched using [H-2] deuterium oxide (D2O, 99%). Enrichment level was maintained by supplementation following dilution by rains. Availability of H-2 to mosquito larvae was enhanced by locally collected and cultured microorganisms (i.e. protozoa, algae and bacteria) reared in deuterated water, and provided as larval diet. Putative natural predators were removed from the larval sites and first instar larvae Anopheles gambiae s.l. larvae were added every other day. Emergence traps enabled collection of eclosing adults. Adult mosquitoes were kept at laboratory conditions for analysis of label attrition with age. Deuterium enrichment of wild mosquitoes above background levels (maximum = 143.1 ppm) became apparent 5-6 days after initial exposure, after which H-2 values increased steadily until c. 24 days later (to a mean of c. 220 ppm). Anopheles and Culex mosquitoes showed significantly different H-2 values (211 and 194.2 ppm, respectively). Both genera exhibited exponential label attrition (e((-x))) amounting to 21.6% by day 30 post-emergence, after which attrition rate continuously decreased. Males of both taxa exhibited a higher mean H-2 value compared to females. Deuterium oxide proved useful in marking mosquitoes in their natural larval sites and although costly, may prove valuable for studies of mosquitoes and other aquatic insects. Based on our field study, we provide a protocol for marking mosquito larval sites using deuterium oxide.</t>
  </si>
  <si>
    <t>10.1111/2041-210X.13210</t>
  </si>
  <si>
    <t>Njiru, M; Okeyo-Owuor, JB; Muchiri, M; Cowx, IG</t>
  </si>
  <si>
    <t>Shifts in the food of Nile tilapia, Oreochromis niloticus (L.) in Lake Victoria, Kenya</t>
  </si>
  <si>
    <t>diet; ecosystem changes; insectivorous; Nile perch; haplochromines; herbivorous</t>
  </si>
  <si>
    <t>LATES-NILOTICUS; PERCH</t>
  </si>
  <si>
    <t>Studies of the food of introduced Nile tilapia, Oreochromis niloticus (L.) with respect to size, habitat and season were conducted between November 1998 and October 2000 in Kenyan waters of Lake Victoria. Stomach contents of 1980 specimens collected by demersal trawl and seining were analysed. Nile tilapia originally known to be herbivorous, feeding mostly on algae has diversified its diet to include insects, fish, algae and plant materials. The major diet of fish &lt; 5 cm total length was zooplankton whereas bigger fish included a wider range of food items in their diet. There was spatial variation in diet with insects and algae dominating in the gulf and open water habitats respectively. There was no seasonal variation in the food items ingested and diel feeding regime indicated that O. niloticus is a diurnal feeder. The shift in diet could be due to ecological and environmental changes in Lake Victoria, which have been associated with changes in composition and diversity of fish and invertebrate fauna, emergence and dominance of different flora including water hyacinth Eichhornia crassipes ( Mart.) Solms-Laub., and algae communities. The feeding habit of O. niloticus is discussed in the context of changes occurring in the lake.</t>
  </si>
  <si>
    <t>10.1111/j.1365-2028.2004.00503.x</t>
  </si>
  <si>
    <t>Allgeier, JE; Andskog, MA; Hensel, E; Appaldo, R; Layman, C; Kemp, DW</t>
  </si>
  <si>
    <t>Rewiring coral: Anthropogenic nutrients shift diverse coral-symbiont nutrient and carbon interactions toward symbiotic algal dominance</t>
  </si>
  <si>
    <t>coral reefs; eutrophication; fish nutrient supply; marine conservation; nitrogen; phase shift; phosphorus; Symbiodiniaceae; symbiosis</t>
  </si>
  <si>
    <t>REEF PRIMARY PRODUCTIVITY; ENVIRONMENTAL-STRESS; ARTIFICIAL REEFS; FISH; ENRICHMENT; DYNAMICS; ZOOXANTHELLAE; HETEROTROPHY; INCREASES; COMMUNITY</t>
  </si>
  <si>
    <t>Improving coral reef conservation requires heightened understanding of the mechanisms by which coral cope with changing environmental conditions to maintain optimal health. We used a long-term (10 month) in situ experiment with two phylogenetically diverse scleractinians (Acropora palmataandPorites porites) to test how coral-symbiotic algal interactions changed under real-world conditions that were a priori expected to be beneficial (fish-mediated nutrients) and to be harmful, but non-lethal, for coral (fish + anthropogenic nutrients). Analyzing nine response variables of nutrient stoichiometry and stable isotopes per coral fragment, we found that nutrients from fish positively affected coral growth, and moderate doses of anthropogenic nutrients had no additional effects. While growing, coral maintained homeostasis in their nutrient pools, showing tolerance to the different nutrient regimes. Nonetheless, structural equation models revealed more nuanced relationships, showing that anthropogenic nutrients reduced the diversity of coral-symbiotic algal interactions and caused nutrient and carbon flow to be dominated by the symbiont. Our findings show that nutrient and carbon pathways are fundamentally rewired under anthropogenic nutrient regimes in ways that could increase corals' susceptibility to further stressors. We hypothesize that our experiment captured coral in a previously unrecognized transition state between mutualism and antagonism. These findings highlight a notable parallel between how anthropogenic nutrients promote symbiont dominance with the holobiont, and how they promote macroalgal dominance at the coral reef scale. Our findings suggest more realistic experimental conditions, including studies across gradients of anthropogenic nutrient enrichment as well as the incorporation of varied nutrient and energy pathways, may facilitate conservation efforts to mitigate coral loss.</t>
  </si>
  <si>
    <t>10.1111/gcb.15230</t>
  </si>
  <si>
    <t>Gerard, T; Malca, E; Muhling, BA; Mateo, I; Lamkin, JT</t>
  </si>
  <si>
    <t>Isotopic signatures in the otoliths of reef-associated fishes of southern Florida: Linkages between nursery grounds and coral reefs</t>
  </si>
  <si>
    <t>Otoliths; Snappers; Stable isotopes; Nursery habitat; Coral reefs; Connectivity</t>
  </si>
  <si>
    <t>SNAPPER LUTJANUS-GRISEUS; GRAY SNAPPER; MANGROVE HABITATS; FAMILY LUTJANIDAE; MARINE NURSERIES; SEAGRASS BEDS; BACK-REEF; GROWTH; PATTERNS; SETTLEMENT</t>
  </si>
  <si>
    <t>Ecologically and economically important coral reef fishes are believed to migrate to reefs from juvenile nursery areas such as sea grass and mangrove habitats. Little is known about the migration corridors that exist between nursery and coral reefs, or the timing of these migrations. This study investigated the possibility of identifying connections between juvenile nursery areas and nearby coral reef adult habitats using stable isotope analysis of the otoliths of gray snapper (Lutjanus griseus) (n = 71) and yellowtail snapper (Ocyurus chrysurus) (n = 60), collected from 10 sites along the Florida Keys coral reef tract in 2003. Measurements of carbon and oxygen isotope ratios were compared to existing isotopic signatures of juvenile snapper from nursery areas around southern Florida. Data showed overlap for C-13 and O-18 isotope measurements for the juvenile portion of sub-adult otoliths to isotope values for the middle and lower Florida Keys regions, thereby suggesting a migratory connection. Specific nursery habitats contributed approximately 93 % of individuals sampled for yellowtail and approximately 98 % for gray snapper to the Florida Keys coral reef tract. Results from this study indicate locally important source regions and habitats for the successful recruitment of fish to the Florida Keys coral reef tract. Published by Elsevier B.V.</t>
  </si>
  <si>
    <t>10.1016/j.rsma.2015.08.014</t>
  </si>
  <si>
    <t>Rutschmann, S; Matschiner, M; Damerau, M; Muschick, M; Lehmann, MF; Hanel, R; Salzburger, W</t>
  </si>
  <si>
    <t>Parallel ecological diversification in Antarctic notothenioid fishes as evidence for adaptive radiation</t>
  </si>
  <si>
    <t>disparity-through-time; marine speciation; niche overlap; pelagization; phylogeny; stable nitrogen and carbon isotopes</t>
  </si>
  <si>
    <t>STABLE-ISOTOPE ANALYSES; FOOD-WEB; ARTEDIDRACONIDAE PISCES; TROPHIC RELATIONSHIPS; PHYLOGENETIC ANALYSIS; POPULATION-STRUCTURE; ELEPHANT ISLAND; CICHLID FISH; MITOCHONDRIAL; EVOLUTION</t>
  </si>
  <si>
    <t>Antarctic notothenioid fishes represent a rare example of a marine species flock. They evolved special adaptations to the extreme environment of the Southern Ocean including antifreeze glycoproteins. Although lacking a swim bladder, notothenioids have diversified from their benthic ancestor into a wide array of water column niches, such as epibenthic, semipelagic, cryopelagic and pelagic habitats. Applying stable carbon (C) and nitrogen (N) isotope analyses to gain information on feeding ecology and foraging habitats, we tested whether ecological diversification along the benthic-pelagic axis followed a single directional trend in notothenioids, or whether it evolved independently in several lineages. Population samples of 25 different notothenioid species were collected around the Antarctic Peninsula, the South Orkneys and the South Sandwich Islands. The C and N stable isotope signatures span a broad range (mean delta C-13 and delta N-15 values between -25.4 parts per thousand and -21.9 parts per thousand and between 8.5 parts per thousand and 13.8 parts per thousand, respectively), and pairwise niche overlap between four notothenioid families was highly significant. Analysis of isotopic disparity-through-time on the basis of Bayesian inference and maximum-likelihood phylogenies, performed on a concatenated mitochondrial (cyt b) and nuclear gene (myh6, Ptr and tbr1) data set (3148 bp), showed that ecological diversification into overlapping feeding niches has occurred multiple times in parallel in different notothenioid families. This convergent diversification in habitat and trophic ecology is a sign of interspecific competition and characteristic for adaptive radiations.</t>
  </si>
  <si>
    <t>10.1111/j.1365-294X.2011.05279.x</t>
  </si>
  <si>
    <t>Chew, LL; Chong, VC; Tanaka, K; Sasekumar, A</t>
  </si>
  <si>
    <t>Phytoplankton fuel the energy flow from zooplankton to small nekton in turbid mangrove waters</t>
  </si>
  <si>
    <t>Stable isotopes; Stomach contents; Phytoplankton; Zooplankton; Nekton; Turbid mangrove waters</t>
  </si>
  <si>
    <t>STABLE-ISOTOPE RATIO; TROPHIC RELATIONSHIPS; NEARSHORE HABITATS; FISH ASSEMBLAGES; COASTAL WATERS; ESTUARINE; CARBON; DETRITUS; CRABS; AUSTRALIA</t>
  </si>
  <si>
    <t>Fish, zooplankton, seston, benthic microalgae and mangrove leaves were examined to investigate the trophic role of zooplankton in the food web of Matang estuaries. Despite the high turbidity and large amounts of detrital material in the water column, the study reveals that phytoplankton fuel the energy flow to zooplankton and small nekton in mangrove-fringed estuaries. The stable carbon isotope (delta C-13) values and C/N ratios (7.2 to 8.2) of fine seston (&lt;63 mu m) in estuaries indicate the importance of phytoplankton (delta C-13: -22.8 +/- 0.6 parts per thousand) to zooplankton (-23.4 to -18.2 parts per thousand) nutrition, with a trophic contribution of 70 to 84%, whereas mangroves contributed &lt;11%. In adjacent coastal waters, zooplankton (-19.2 to -15.1 parts per thousand) grazed on both phytoplankton and benthic diatoms (-17.3 +/- 1.24 parts per thousand). Aggregated or mucilage-secreting diatoms (giving depleted delta C-13 values) were abundant in the estuarine seston, but did not appear to be consumed or assimilated by zooplankton. Stomach content analysis showed significant consumption of zooplankton, especially copepods (mainly Pseudodiaptomus annandalei), sergestids (Acetes spp.) and mysids by young and small nekton (&lt;14 cm standard length) in mangrove estuaries, while delta C-13 values indicate the increasing importance of mangrove carbon to juvenile fish nutrition (8 to 44%). The range of delta N-15 values from primary producers to small predatory fish indicates 4 trophic levels (excluding true piscivores) in Matang estuaries, with zooplankton at the second and third trophic level.</t>
  </si>
  <si>
    <t>10.3354/meps09997</t>
  </si>
  <si>
    <t>Nagelkerken, I; Bothwell, J; Nemeth, RS; Pitt, JM; van der Velde, G</t>
  </si>
  <si>
    <t>Interlinkage between Caribbean coral reefs and seagrass beds through feeding migrations by grunts (Haemulidae) depends on habitat accessibility</t>
  </si>
  <si>
    <t>Haemulon flavolineatum; Coral reef; Seagrass; Feeding migrations; Habitat linkages; Stable isotopes; Diet analysis</t>
  </si>
  <si>
    <t>SHALLOW-WATER BIOTOPES; COMMUNITY STRUCTURE; FISH ASSEMBLAGES; JUVENILE FRENCH; MANGROVE FOREST; PUERTO-RICO; PATTERNS; FOOD; BAY; FLAVOLINEATUM</t>
  </si>
  <si>
    <t>Tropical marine habitats are often energetically linked through feeding migrations by fish. A widely accepted assumption is that species of Haemulidae (grunts) undertake nocturnal feeding migrations from coral reefs to seagrass beds. This has been based on studies investigating migrations between small patch reefs and surrounding seagrass beds located in lagoons. Due to the size and location of these patch reefs, we argue that this does not represent migration from coral reef to seagrass ecosystems, and a literature search shows limited proof for such migration. We hypothesised that the spatial arrangement of these habitats in the seascape may have profound effects on the degree to which Such migrations occur. Haemulon flavolineatum caught from seagrass beds located in semi-enclosed embayments, and thus isolated to a high degree from adjacent reefs, showed a diet and stable isotope signature of muscle tissue that differed from those collected from the coral reef. In contrast, fishes from open seagrass systems without restricted access from the reef showed the same stable isotope signature as those collected from the coral reef, suggesting feeding from the same habitat, viz. the seagrass beds. Additional visual census data showed that. semi-enclosed seagrass beds did not have elevated densities of large-sized fish at night, which would be expected if large individuals from the reef migrated to the seagrass beds to feed. The data thus show that interlinkages between coastal ecosystems, such as coral reefs and seagrass beds, by fishes may strongly depend on the spatial arrangement. of habitats within the seascape.</t>
  </si>
  <si>
    <t>10.3354/meps07528</t>
  </si>
  <si>
    <t>St John, J</t>
  </si>
  <si>
    <t>Ontogenetic changes in the diet of the coral reef grouper Plectropomus leopardus (Serranidae): patterns in taxa, size and habitat of prey</t>
  </si>
  <si>
    <t>feeding ecology; coral reef fish; Serranidae; dietary analyses; size-related predation</t>
  </si>
  <si>
    <t>GREAT-BARRIER-REEF; LARGEMOUTH BASS; FISH SIZE; TROUT; SELECTION; AUSTRALIA; PREDATION; PISCES; GROWTH; POPULATIONS</t>
  </si>
  <si>
    <t>Stomach contents and diet of a wide range of sizes (4.7 to 57.3 cm standard length [SL]I) of the predatory coral trout Plectropomus leopardus (Fam. Serranidae) collected mostly from the northern Great Barrier Reef during the summers of 1991 and 1992 were examined. Overall, 422 prey in 28 families of fishes were identified of which 3 families, Clupeidae, Pomacentridae and Labridae, represented more than 60% of the diet. Average daily consumption of prey in P. leopardus was 2.8% of relative body weight and fish of 20 to 49.9 mm SL were eaten by all size classes. Juvenile (up to 20 cm SL) and adult P. leopardus have distinct diets. The major dietary shift in the type, species composition, length and shape of prey occurs at approximately 20 cm SL, just prior to the onset of maturity. Juveniles consumed a high proportion of benthic dwelling crustaceans, mostly penaeid shrimps, whereas adults were almost entirely piscivorous. The number of families of fishes in the diet did not increase with the size of predator as some families were eaten exclusively by juveniles or adults. Abundances of fish families in the diet varied ontogenetically and among size classes in small adults. Predation was related to size of prey in juvenile and small adults. Up to 35 cm SL, the range of prey sizes widened with increases in predator length, as larger fish ate larger prey, concomitantly feeding on small fishes, especially schooling species. However, the composition of the diet and length of fish prey did not change in P. leopardus after 35 cm SL and prey did not deepen after 45 cm SL. Body depth of prey was more important than length in size-related feeding on 2 common families of fishes with different shapes. In general, larger P. leopardus appeared to feed optimally on deep-bodied fish, whereas juveniles avoided gape limitation by consuming more slender fish. All size-related predation in P. leopardus, however, was easily decoupled by the presence of highly abundant small fishes in large visible schools.</t>
  </si>
  <si>
    <t>10.3354/meps180233</t>
  </si>
  <si>
    <t>Hobson, KA; Garcia-Rubio, OR; Carrera-Trevino, R; Anparasan, L; Kardynal, KJ; McNeil, JN; Garcia-Serrano, E; Alvarez, BXM</t>
  </si>
  <si>
    <t>Isotopic (delta H-2) Analysis of Stored Lipids in Migratory and Overwintering Monarch Butterflies (Danaus plexippus): Evidence for Southern Critical Late-Stage Nectaring Sites?</t>
  </si>
  <si>
    <t>lipids; overwintering; stable isotopes; deuterium; carbon-13; nectar corridors; migratory fueling</t>
  </si>
  <si>
    <t>NATAL ORIGINS; HYDROGEN; MEXICO; BIRDS</t>
  </si>
  <si>
    <t>Monarch butterflies (Danaus plexippus) fuel their migration and overwinter energy needs through accumulated fat stores derived from plant nectars. Determining origins of these fuels is crucial to effective conservation programs. We used stable-hydrogen (delta H-2) and carbon (delta C-13) isotope measurements in stored lipids of monarchs raised under laboratory conditions as a proof of principle for the isotopic spatial sourcing of stored lipids. We then applied this approach to wild specimens collected from 2015 to 2018 to infer spatial information on nectaring by fall migrants through northeast Mexico and at the Mexican overwinter sites. Migrating monarchs derived from wide geographic natal origins but lipid delta H-2 values from migratory cohorts were not related to natal origin. Instead, migrants exploited isotopically similar nectar sources. Distributions of lipid delta H-2 values in overwintering monarchs were broader and more negative by similar to 40 parts per thousand suggesting more transport of lipids from higher latitudes or additional nectaring while migrating at higher elevations though northeastern to central Mexico. Our work establishes a new isotopic technique for tracking origins of stored lipids in monarchs and other migratory animals and emphasizes the importance of nectar availability in the southern portion of the range, and especially the nectar corridor through central Mexico.</t>
  </si>
  <si>
    <t>10.3389/fevo.2020.572140</t>
  </si>
  <si>
    <t>Tuerena, RE; Ganeshram, RS; Humphreys, MP; Browning, TJ; Bouman, H; Piotrowski, AP</t>
  </si>
  <si>
    <t>Isotopic fractionation of carbon during uptake by phytoplankton across the South Atlantic subtropical convergence</t>
  </si>
  <si>
    <t>PARTICULATE ORGANIC-MATTER; MARINE PLANKTON; ANTHROPOGENIC CO2; GROWTH-RATE; COMMUNITY STRUCTURE; STABLE-ISOTOPES; CLIMATE-CHANGE; DRIVEN TRENDS; DISSOLVED CO2; CELL-SIZE</t>
  </si>
  <si>
    <t>The stable isotopic composition of particulate organic carbon (delta C-13(POC)) in the surface waters of the global ocean can vary with the aqueous CO2 concentration ([CO2(aq)]) and affects the trophic transfer of carbon isotopes in the marine food web. Other factors such as cell size, growth rate and carbon concentrating mechanisms decouple this observed correlation. Here, the variability in delta C-13(POC) is investigated in surface waters across the south subtropical convergence (SSTC) in the Atlantic Ocean, to determine carbon isotope fractionation (epsilon(p)) by phytoplankton and the contrasting mechanisms of carbon uptake in the subantarctic and subtropical water masses. Our results indicate that cell size is the primary determinant of delta C-13(POC) across the Atlantic SSTC in summer. Combining cell size estimates with CO2 concentrations, we can accurately estimate epsilon(p) within the varying surface water masses in this region. We further utilize these results to investigate future changes in epsilon(p) with increased anthropogenic carbon availability. Our results suggest that smaller cells, which are prevalent in the subtropical ocean, will respond less to increased [CO2(aq)] than the larger cells found south of the SSTC and in the wider Southern Ocean. In the subantarctic water masses, isotopic fractionation during carbon uptake will likely increase, both with increasing CO2 availability to the cell, but also if increased stratification leads to decreases in average community cell size. Coupled with decreasing delta C-13 of [CO2(aq)] due to anthropogenic CO2 emissions, this change in isotopic fractionation and lowering of delta C-13(POC) may propagate through the marine food web, with implications for the use of delta C-13(POC) as a tracer of dietary sources in the marine environment.</t>
  </si>
  <si>
    <t>10.5194/bg-16-3621-2019</t>
  </si>
  <si>
    <t>Weiss, C; Weiss, J; Boy, J; Iskandar, I; Mikutta, R; Guggenberger, G</t>
  </si>
  <si>
    <t>Soil organic carbon stocks in estuarine and marine mangrove ecosystems are driven by nutrient colimitation of P and N</t>
  </si>
  <si>
    <t>Ecosystem functioning; global change; Indonesia; marine and estuarine mangroves; nitrogen; phosphorus; soil organic carbon; stable isotopes</t>
  </si>
  <si>
    <t>PRIMARY PRODUCTIVITY; NITROGEN; FORESTS; CONSERVATION; BAY; SEQUESTRATION; EVERGLADES; DYNAMICS; BIOMASS</t>
  </si>
  <si>
    <t>Mangroves play an important role in carbon sequestration, but soil organic carbon (SOC) stocks differ between marine and estuarine mangroves, suggesting differing processes and drivers of SOC accumulation. Here, we compared undegraded and degraded marine and estuarine mangroves in a regional approach across the Indonesian archipelago for their SOC stocks and evaluated possible drivers imposed by nutrient limitations along the land-to-sea gradients. SOC stocks in natural marine mangroves (271-572Mgha(-1)m(-1)) were much higher than under estuarine mangroves (100-315Mgha(-1)m(-1)) with a further decrease caused by degradation to 80-132Mgha(-1)m(-1). Soils differed in C/N ratio (marine: 29-64; estuarine: 9-28), N-15 (marine: -0.6 to 0.7 parts per thousand; estuarine: 2.5 to 7.2 parts per thousand), and plant-available P (marine: 2.3-6.3mgkg(-1); estuarine: 0.16-1.8mgkg(-1)). We found N and P supply of sea-oriented mangroves primarily met by dominating symbiotic N-2 fixation from air and P import from sea, while mangroves on the landward gradient increasingly covered their demand in N and P from allochthonous sources and SOM recycling. Pioneer plants favored by degradation further increased nutrient recycling from soil resulting in smaller SOC stocks in the topsoil. These processes explained the differences in SOC stocks along the land-to-sea gradient in each mangrove type as well as the SOC stock differences observed between estuarine and marine mangrove ecosystems. This first large-scale evaluation of drivers of SOC stocks under mangroves thus suggests a continuum in mangrove functioning across scales and ecotypes and additionally provides viable proxies for carbon stock estimations in PES or REDD schemes.</t>
  </si>
  <si>
    <t>10.1002/ece3.2258</t>
  </si>
  <si>
    <t>Franssen, NR; Gido, KB; Propst, DL</t>
  </si>
  <si>
    <t>Flow regime affects availability of native and nonnative prey of an endangered predator</t>
  </si>
  <si>
    <t>Colorado pikeminnow; match-mismatch hypothesis; ontogenetic diet shift; hydrologic regime; spawning chronology; predator-prey relationship</t>
  </si>
  <si>
    <t>SAN-JUAN RIVER; PIKEPERCH STIZOSTEDION-LUCIOPERCA; YOUNG COLORADO SQUAWFISH; GREEN RIVER; NEW-MEXICO; HABITAT USE; FISH ASSEMBLAGES; LIFE-HISTORY; UTAH; CALIFORNIA</t>
  </si>
  <si>
    <t>Understanding how altered flow regimes mediate interactions among native and nonnative species is necessary for the conservation of aquatic systems. Anthropogenic alteration of natural flows and establishment of nonnative fishes coincided with near extirpation of Colorado pikeminnow (Ptychocheilus lucius) from the San Juan River, NM, USA. Despite major efforts to re-establish this species, recruitment of young individuals into the adult population has not been documented in several decades. A potential reason for apparent recruitment failure is that modified flow regimes and nonnative species have affected reproductive success of native prey, thus limiting potentially critical resources for young (&lt;age-2) P. lucius. To assess the susceptibility of native and nonnative fishes as prey, we used field and mesocosm experiments to quantify gape limitation, functional response, and prey preferences of age-1 P. lucius. These observations were used to parameter:ize an individualbased predation model to predict the availability of native and nonnative prey for age-1 P. lucius across 3 years with different levels of spring discharge. Whereas gape dimensions of age-1 P. lucius were limiting for deeper-bodied nonnative prey, consumption rates decreased with prey length for both native and nonnative prey. Thus, in early summer prior to spawning of nonnatives, age-1 P. lucius showed a strong preference for smaller age-0 native prey in predation experiments. The predation model predicted that in moderate and high flow years, a large proportion of the diet of P. lucius was native prey, despite the numerical dominance of nonnative red shiner (Cyprinella lutrensis). In low flow years, however, nonnative C. lutrensis are predicted to dominate the diet of age-1 P. lucius. Because discharge from a major impoundment on the San Juan River partly regulates the abundance and temporal availability of native and nonnative prey, it is possible dam output might be used as a management tool to maximize prey availability for endangered P. lucius. (C) 2007 Elsevier Ltd. All rights reserved.</t>
  </si>
  <si>
    <t>10.1016/j.biocon.2007.04.028</t>
  </si>
  <si>
    <t>Grigor, JJ; Marais, AE; Falk-Petersen, S; Varpe, O</t>
  </si>
  <si>
    <t>Polar night ecology of a pelagic predator, the chaetognath Parasagitta elegans</t>
  </si>
  <si>
    <t>Predator-prey interactions; Polar night; Foraging; Chaetognaths; Arctic; Zooplankton</t>
  </si>
  <si>
    <t>SAGITTA-ELEGANS; HYPERBENTHIC ZONE; LIPID-COMPOSITION; EUKROHNIA-HAMATA; ATLANTIC WATER; CONCEPTION BAY; ARCTIC FJORD; BARENTS SEA; LATE WINTER; PREY SIZE</t>
  </si>
  <si>
    <t>The annual routines and seasonal ecology of herbivorous zooplankton species are relatively well known due to their tight coupling with their pulsed food source, the primary production. For higher trophic levels of plankton, these seasonal interactions are less well understood. Here, we study the mid-winter feeding of chaetognaths in high-Arctic fjord ecosystems. Chaetognaths are planktivorous predators which comprise high biomass in high-latitude seas. We investigated the common species Parasagitta elegans around the Svalbard archipelago (78-81A degrees N) during the winters of 2012 and 2013. Our samples consisted of individuals (body lengths 9-55 mm) from three fjords, which were examined for gut contents (n = 903), stable isotopes, fatty acid composition, and maturity status (n = 352). About a quarter of the individuals contained gut contents, mainly lipid droplets and chitinous debris, whilst only 4 % contained identifiable prey, chiefly the copepods Calanus spp. and Metridia longa. The delta N-15 content of P. elegans, and its average trophic level of 2.9, confirmed its carnivorous position and its fatty acid profile [in particular its high levels of 20:1(n-9) and 22:1(n-11)] confirmed carnivory on Calanus. Observations of undeveloped gonads in many of the larger P. elegans, and the absence of small individuals &lt; 10 mm, suggested that reproduction had not started this early in the year. Its average feeding rate across fjords and years was 0.12 prey ind.(-1) day(-1), which is low compared to estimates of spring and summer feeding in high-latitude environments. Our findings suggest reduced feeding activity during winter and that predation by P. elegans had little impact on the mortality of copepods.</t>
  </si>
  <si>
    <t>10.1007/s00300-014-1577-8</t>
  </si>
  <si>
    <t>Lenanton, RCJ; Valesini, F; Bastow, TP; Nowara, GB; Edmonds, JS; Connard, MN</t>
  </si>
  <si>
    <t>The use of stable isotope ratios in whitebait otolith carbonate to identify the source of prey for Western Australian penguins</t>
  </si>
  <si>
    <t>isotope ratios; penguins; prey; whitebait</t>
  </si>
  <si>
    <t>FISH OTOLITHS; GROUNDWATER; DISCHARGE; SNAPPER; OXYGEN; WATERS; C-13</t>
  </si>
  <si>
    <t>A methodology has been developed and used to investigate a direct link between juvenile whitebait (Hyperlophus vittatus), the key prey species sampled from the stomachs of Little Penguins (Eudyptula minor), and the specific nursery area of that prey. A unique application of existing methodology initially involved the measurement of the stable isotopes of oxygen (delta(18)O:delta(16)O) and carbon (delta(13)C:delta(12)C) in sagittal otolith carbonate, using standard mass spectrometric techniques. The results indicated that the inshore distribution of juvenile (0+ year old) whitebait between Cockburn Sound and Koombana Bay, Western Australia consisted of a number of separate assemblages. Measured differences in stable oxygen isotope ratios were attributed to variations in freshwater input to the embayments that provided the whitebait habitats. In contrast, the measured stable carbon isotope ratios probably resulted from the different isotopic compositions of the food webs in the various habitats. Secondly, a comparison of the average value of carbon and oxygen isotope signatures of pooled otoliths from samples of whitebait from a number of different nearshore coastal sites (assemblages), with that of whitebait obtained from the stomachs of penguins at their main breeding site (Penguin Island) indicated that the values from the penguins resemble most closely those of the average otolith values obtained from whitebait from only one site (Becher Point). Assuming that the whitebait sampled were representative of the whitebait in the nearshore habitats and the diets of the penguins, then these results imply that at the time of sampling the penguins were feeding on whitebait from only one site. (C) 2003 Elsevier Science B.V. All rights reserved.</t>
  </si>
  <si>
    <t>10.1016/S0022-0981(03)00096-0</t>
  </si>
  <si>
    <t>Rankovic, A; Geslin, B; Perrard, A; Barbillon, A; Vaury, V; Abbadie, L; Dajoz, I</t>
  </si>
  <si>
    <t>Urbanization effects on wild bee carbon and nitrogen stable isotope ratios in the Paris region</t>
  </si>
  <si>
    <t>Wild pollinators; Urbanization; C-13; N-15; Lasioglossum sp</t>
  </si>
  <si>
    <t>URBAN-RURAL GRADIENTS; N-15 ABUNDANCE; GLOBAL CHANGE; NATURAL N-15; CITY; ECOLOGY; CYCLES; ORIGIN; LAND</t>
  </si>
  <si>
    <t>Urban environments have been shown to have profound, yet still poorly understood effects on key ecosystem processes such as carbon (C) and nitrogen (N) cycling, as well as for key aspects of organism ecology, such as community assembly and network interactions. The study of natural abundances of C and N stable isotopes, C-13 and N-15, can help infer mechanistic hypotheses on ecosystem processes at play in urban environments. No existing study has investigated whether a visible urban effect on soil and plant C and N biogeochemistry is being transferred to the animal compartment of urban ecosystems through trophic interactions. Here, we report C-13 and N-15 natural abundance values measured on three pollinating species of wild bees (Lasioglossum laticeps, Lasioglossum morio, and Lasioglossum nitidulum) sampled in 12 locations along an urbanization gradient in the Ile-de-France region (Paris area, France). Our objective was to test whether already recorded isotopic patterns in urban soils and plants in the Paris area would also be visible in pollinators, and to reflect on whether this would be indicative of an urban isotopic signal being transferred to pollinators. Results indicate a significant effect of urbanization on the delta C-13 and delta N-15 for all three bee species, with enrichment for both C-13 and N-15 linked to increased urbanization. This could be linked to an urban imprint on the diverse plants on which pollinating insects forage on in the Paris area, or to other factors linked to the physiology and foraging strategies of insects. A better understanding of the drivers influencing pollinator delta C-13 and delta N-15 could help better understand urban biogeochemistry and trophic chains, as well as elucidate the origin of specimens and the migratory capacities of bee species, an important yet still elusive question considering the increase of habitat fragmentation.</t>
  </si>
  <si>
    <t>10.1016/j.actao.2020.103545</t>
  </si>
  <si>
    <t>Ferraton, F; Harmelin-Vivien, M; Mellon-Duval, C; Souplet, A</t>
  </si>
  <si>
    <t>Spatio-temporal variation in diet may affect condition and abundance of juvenile European hake in the Gulf of Lions (NW Mediterranean)</t>
  </si>
  <si>
    <t>Merluccius merluccius; stomach contents; stable isotopes; carbon; nitrogen; relative condition factor; recruitment</t>
  </si>
  <si>
    <t>MERLUCCIUS-MERLUCCIUS L.; CELTIC SEA; DELTA-N-15; RECRUITMENT; DELTA-C-13; NITROGEN; ANIMALS; FISHERY; CARBON; FRACTIONATION</t>
  </si>
  <si>
    <t>Variations in space and time of juvenile hake diet (5 to 19 cm total length, TL) were investigated in the Gulf of Lions (NW Mediterranean) and related to variation in C and N stable isotope ratios, condition and abundance. Crustaceans (mysids and euphausiids) dominated the diet of the smallest juvenile hake (5 to 9 cm. TL), and fishes (sardines and anchovies) of the largest juveniles (15 to 19 cm TL). The transition from a crustacean- to a fish-based diet occurred in medium-sized juveniles (10 to 14 cm TL), which preyed on both crustaceans and fishes (gobiids). These juveniles preyed on fishes when living in shallow waters (30 to 50 m), and crustaceans when located in deep waters (70 to 150 m). Although hake diet did not change over time in shallow waters (fish-based diet), in deep waters it was dominated by mysids and euphausiids in 2002 and natantids in 2003. In the size range analysed, no correlation was found between juvenile hake length and their delta C-13 and delta N-15 values, but a significant correlation with depth was observed, with higher values in shallow waters. The condition factor of medium-sized juveniles did not vary with depth in 2002, but was significantly lower in deep waters in 2003 when they fed on natantids instead of small crustaceans. Abundance of juvenile hake in the Gulf of Lions drastically decreased from 2002 to 2003, particularly in deep waters. The lower condition factor of juvenile hake in deep waters in 2003, probably owing to a lack of suitable food, might have negatively affected their survival. These results support the hypothesis that food resources influence condition and survival of juvenile hake when settled, and thus affect NW Mediterranean fisheries.</t>
  </si>
  <si>
    <t>10.3354/meps337197</t>
  </si>
  <si>
    <t>Cruz, J; Sutherland, DR; Martin, GR; Leung, LKP</t>
  </si>
  <si>
    <t>Are smaller subspecies of common brushtail possums more omnivorous than larger ones?</t>
  </si>
  <si>
    <t>brushtail possum; diet; feeding habit; omnivory; Trichosurus vulpecula</t>
  </si>
  <si>
    <t>TRICHOSURUS-VULPECULA KERR; BODY-SIZE; ORONGORONGO VALLEY; SECONDARY METABOLITES; DIET; MARSUPIALIA; EVOLUTION; PHALANGERIDAE; AVAILABILITY; CONSEQUENCES</t>
  </si>
  <si>
    <t>Body size is often associated with a dietary divergence within taxonomically related groups so that large animals are often folivorous, while smaller species shift progressively towards omnivory or carnivory. This trend may be influenced by allometric constrains which result in relatively high energetic requirements, but low gut capacities in small animals, compared to their large counterparts. The common brushtail possum (Trichosurus vulpecula, Phalangeridae) has six subspecies ranging widely in weight (14 kg). They are not strictly folivorous, but supplement their diet with more nutritious, non-foliar foods. We predicted that T. vulpecula subspecies diverged in diet in association with body size, with smaller subspecies consuming higher proportions of non-foliar foods. We assessed this with a review and a meta-analysis of previous Australian studies. We also investigated the previously unquantified diet of T. v. hypoleucus at three sites in the northern jarrah forest of Western Australia. Results from the meta-analysis and the review supported our prediction. However, the large variability in the data highlighted their limitations and those of the techniques commonly used to quantify the diet of T. vulpecula. Nonetheless, small subspecies of T. vulpecula appear to consume higher proportions of non-foliar foods. These results should encourage further research into the body size/diet relationship within T. vulpecula and other possum species. Results from the dietary study of T. v. hypoleucus emphasized their omnivorous diet, which was dominated by foliage and flowers and smaller proportions of invertebrates, seeds and fruits. The common brushtail possum is seldom an exclusive arboreal folivore, but rather ranges from folivory to omnivory.</t>
  </si>
  <si>
    <t>10.1111/j.1442-9993.2011.02346.x</t>
  </si>
  <si>
    <t>Vilhena, MPSP; Costa, ML; Berredo, JF; Paiva, RS; Moreira, MZ</t>
  </si>
  <si>
    <t>Trace elements and delta C-13 and delta N-15 isotopes in sediments, phytoplankton and oysters as indicators of anthropogenic activities in estuaries in the Brazilian Amazon</t>
  </si>
  <si>
    <t>Bioaccumulation; Food chain; Trophic transfer; Bioindicators; Chemical composition</t>
  </si>
  <si>
    <t>This study investigated two estuaries on the northern coast of Brazil submitted to different anthropic activities. The main objective was to assess the use of oysters (Crassostrea gasar and Paxyodon ponderosus) and phytoplankton as bioindicators of environmental contamination. Water, sediments, phytoplankton and oysters were chemically analyzed by ICP-OES and ICP-MS. The source for metal bioaccumulation in oysters and phytoplankton was assessed using BSAF (Biota Sediment Accumulation Factor) and the isotropic relations of stable carbon (delta C-13 and delta N-15). The oyster-sediment BSAF showed bioaccumulation of Mn, Cu, Zn, Se, Sr, As, Cd and Ba, which was supported by the correlations of Fe, Mn, Cu, Zn, Se, Sr, Al, Ba and Pb with the isotopes (delta N-15 and delta C-13), which confirmed bioaccumulation as well as biodilution and biomagnification in oysters and phytoplankton. That reflects the efficiency of organisms in bioconcentrating metals and their capacity as bioindicators of contamination. (c) 2021 Elsevier B.V. All rights reserved.</t>
  </si>
  <si>
    <t>10.1016/j.rsma.2021.101618</t>
  </si>
  <si>
    <t>Chaalali, A; Brind'Amour, A; Dubois, SF; Le Bris, H</t>
  </si>
  <si>
    <t>Functional roles of an engineer species for coastal benthic invertebrates and demersal fish</t>
  </si>
  <si>
    <t>coastal nurseries; fish community; Haploops nirae; isotopic diversity indices; stable isotopes</t>
  </si>
  <si>
    <t>LENGTH-WEIGHT RELATIONSHIPS; CONCARNEAU SOUTH BRITTANY; TRISOPTERUS-MINUTUS L; COD GADUS-MORHUA; NIRAE KAIM-MALKA; ECOSYSTEM ENGINEERS; FEEDING ECOLOGY; POOR-COD; POPULATION-STRUCTURE; STABLE ISOTOPES</t>
  </si>
  <si>
    <t>Through their tissues or activities, engineer species create, modify, or maintain habitats and alter the distribution and abundance of many plants and animals. This study investigates key ecological functions performed by an engineer species that colonizes coastal ecosystems. The gregarious tubiculous amphipod Haploops nirae is used as a biological model. According to previous studies, the habitat engineered by H.nirae (i.e., Haploops habitat) could provide food and natural shelter for several benthic species such as benthic diatoms belonging to the gender Navicula, the micrograzer Geitodoris planata, or the bivalve Polititapes virgineus. Using data from scientific surveys conducted in two bays, this study explored whether (1) the Haploops sandy-mud community modifies invertebrate and ichthyologic community structure (diversity and biomass); (2) H.nirae creates a preferential feeding ground; and (3) this habitat serves as a refuge for juvenile fish. Available Benthic Energy Coefficients, coupled with more traditional diversity indices, indicated higher energy available in Haploops habitat than in two nearby habitats (i.e., Sternaspis scutata and Amphiura filiformis/Owenia fusiformis habitats). The use of isotopic functional indices (IFIs) indicated (1) a higher functional richness in the Haploops habitat, related to greater diversity in food sources and longer food chains; and (2) a higher functional divergence, associated with greater consumption of a secondary food source. At the invertebrate-prey level, IFIs indicated little specialization and little trophic redundancy in the engineered habitat, as expected for homogenous habitats. Our results partly support empirical knowledge about engineered versus nonengineered habitats and also add new perspectives on habitat use by fish and invertebrate species. Our analyses validated the refuge-area hypothesis for a few fish species. Although unique benthic prey assemblages are associated with Haploops habitat, the hypothesis that it is a preferential feeding area was not verified. However, specialist feeding behavior was observed for predators, which calls for further investigation.</t>
  </si>
  <si>
    <t>10.1002/ece3.2857</t>
  </si>
  <si>
    <t>Yokoyama, H; Tamaki, A; Harada, K; Shimoda, K; Koyama, K; Ishihi, Y</t>
  </si>
  <si>
    <t>Variability of diet-tissue isotopic fractionation in estuarine macrobenthos</t>
  </si>
  <si>
    <t>stable isotopes; trophic enrichment; feeding experiment; callianassid shrimp; bivalve</t>
  </si>
  <si>
    <t>STABLE-ISOTOPES; FOOD-WEB; CALLIANASSA-JAPONICA; TEMPERATE ESTUARY; SPATIAL VARIATION; CARBON ISOTOPES; FECAL PELLETS; NITROGEN; RATIOS; DELTA-C-13</t>
  </si>
  <si>
    <t>Juveniles of bivalves Mactra veneriformis and Ruditapes philippinarum, and ghost shrimps Nihonotrypaea japonica and N.harmandi were reared on a microalga of a constant isotopic value to quantify their diet-tissue isotopic fractionation. The weights of the animals increased by &gt; 7-fold, resulting in isotopic equilibria with their diet. Fractionation for bivalve soft tissues was 0.6 to 0.9 parts per thousand for carbon and 3.4 to 3.6 parts per thousand for nitrogen, which fell within the range of the currently accepted fractionation values (0 to 1 and 3 to 4 parts per thousand.). Examinations of acid-treated or untreated whole body, muscle and exoskeleton of the ghost shrimps showed (1) large variations in delta(13)C for untreated exoskeletons, (2) reduced delta(13)C for acid-treated exoskeletons by 3.5 to 6.2 parts per thousand, (3) confined ranges in C-13 and N-15 fractionations for muscles (2.0 to 2.2 and 3.6 to 4.0 parts per thousand), (4) only slight effects of acid treatment on C-13 and N-15 fractionation for muscles (&lt;= 0.3 parts per thousand differences), (5) a significant difference in C-13 fractionation for acid-treated whole bodies between N. japonica (-0.3 parts per thousand) and N. harmandi (-1.7 parts per thousand), and (6) 2.3 to 3.0 parts per thousand of N-15 fractionation for whole bodies, which were smaller than for muscles due to negative fractionation for exoskeletons (-3.0 to -1.9 parts per thousand.). These findings suggest that carbonates in exoskeletons should be removed by acid and that muscle is the most appropriate tissue for isotopic analysis. Although 15 N fractionation for ghost-shrimp muscle was within the above-mentioned accepted range, 13C fractionation was outside this range. The present study highlights that fractionation is species and tissue-specific, and that the accepted fractionation values may not be universally applicable.</t>
  </si>
  <si>
    <t>10.3354/meps296115</t>
  </si>
  <si>
    <t>Einbinder, S; Mass, T; Brokovich, E; Dubinsky, Z; Erez, J; Tchernov, D</t>
  </si>
  <si>
    <t>Changes in morphology and diet of the coral Stylophora pistillata along a depth gradient</t>
  </si>
  <si>
    <t>Corals; Zooxanthellae; delta C-13; Deep coral reef; Light; Calcification; Skeleton</t>
  </si>
  <si>
    <t>CARBON ISOTOPE FRACTIONATION; MADRACIS-MIRABILIS; SCLERACTINIAN CORALS; MONTASTREA-CAVERNOSA; FIELD ENCLOSURE; RED-SEA; PHOTOSYNTHESIS; PLASTICITY; DELTA-C-13; LIGHT</t>
  </si>
  <si>
    <t>The light-limited environment of tropical coral reefs has not been intensively studied due to technical limitations. Studying this vast part of the coral reef is paramount to understanding the ecological and physiological significance of coral-algae symbiosis and defining the boundaries imposed on its bathymetric distribution by the underwater light field. In the present study we describe morphological changes in colonies of the coral Stylophora pistillata and track changes in its carbon sources (autotrophic/heterotrophic behavior) along its full bathymetric distribution. The growth form of hermatypic corals must compromise between an optimal light-trapping surface facilitating photosynthesis and other structures and/or mechanisms that enhance exploitation of nutrient-rich sources such as zooplankton. That architectural modulation is constrained within the species-specific structural and biological characteristics. We found that the profusely branched S. pistillata colonies shift between subspherical morphology at high-light environments to a planar structure at depth. The stable carbon isotopic composition (delta C-13) of the host coral tissue changed from a value of -15 parts per thousand in shallow water to -23 parts per thousand, at the deep reef. The latter value indicates either a carbon source with a stable isotope composition equal or below -23 parts per thousand or, alternatively, internal carbon cycling between host and algae that involves isotopic fractionation (epsilon). The delta C-13 values showed significant correlation to morphological traits, but contradicting trends were found within the traits. A clear shift to heterotrophy was not apparent, which, therefore, suggests that the internal cycling and Rubisco activity are the dominant processes determining isotopic composition.</t>
  </si>
  <si>
    <t>10.3354/meps07908</t>
  </si>
  <si>
    <t>Kopittke, PM; Hernandez-Soriano, MC; Dalal, RC; Finn, D; Menzies, NW; Hoeschen, C; Mueller, CW</t>
  </si>
  <si>
    <t>Nitrogen-rich microbial products provide new organo-mineral associations for the stabilization of soil organic matter</t>
  </si>
  <si>
    <t>nano-scale secondary ion mass spectrometry; organo-mineral interactions; soil carbon cycling; soil carbon storage; stable isotopes</t>
  </si>
  <si>
    <t>FOREST SOIL; CARBON; NANOSIMS; STXM; FRACTIONATION; LIMITATIONS; MECHANISMS; PARTICLES; STABILITY; SURFACES</t>
  </si>
  <si>
    <t>Understanding the cycling of C and N in soils is important for maintaining soil fertility while also decreasing greenhouse gas emissions, but much remains unknown about how organic matter (OM) is stabilized in soils. We used nano-scale secondary ion mass spectrometry (NanoSIMS) to investigate the changes in C and N in a Vertisol and an Alfisol incubated for 365days with C-13 and N-15 pulse labeled lucerne (Medicago sativa L.) to discriminate new inputs of OM from the existing soil OM. We found that almost all OM within the free stable microaggregates of the soil was associated with mineral particles, emphasizing the importance of organo-mineral interactions for the stabilization of C. Of particular importance, it was also found that N-15-rich microbial products originating from decomposition often sorbed directly to mineral surfaces not previously associated with OM. Thus, we have shown that N-rich microbial products preferentially attach to distinct areas of mineral surfaces compared to C-dominated moieties, demonstrating the ability of soils to store additional OM in newly formed organo-mineral associations on previously OM-free mineral surfaces. Furthermore, differences in N-15 enrichment were observed between the Vertisol and Alfisol presumably due to differences in mineralogy (smectite-dominated compared to kaolinite-dominated), demonstrating the importance of mineralogy in regulating the sorption of microbial products. Overall, our findings have important implications for the fundamental understanding of OM cycling in soils, including the immobilization and storage of N-rich compounds derived from microbial decomposition and subsequent N mineralization to sustain plant growth.</t>
  </si>
  <si>
    <t>10.1111/gcb.14009</t>
  </si>
  <si>
    <t>Guo, JS; Hungate, BA; Kolb, TE; Koch, GW</t>
  </si>
  <si>
    <t>Water source niche overlap increases with site moisture availability in woody perennials</t>
  </si>
  <si>
    <t>Coexistence; Niche overlap; Water source; Stable isotopes; Plant communities; Moisture gradient</t>
  </si>
  <si>
    <t>SOIL-WATER; TREE MORTALITY; SUMMER PRECIPITATION; PLANT MORTALITY; PONDEROSA PINE; USE STRATEGIES; ROOTING DEPTH; MIXED-CONIFER; DROUGHT; RESOURCE</t>
  </si>
  <si>
    <t>Classical niche partitioning theory posits increased competition for and partitioning of the most limiting resource among coexisting species. Coexisting plant species may vary in rooting depth, reflecting niche partitioning in water source use. Our goal was to assess the soil water partitioning of woody plant communities across northern Arizona along an elevational moisture gradient using stem and soil water isotopes from two sampling periods to estimate the use of different water sources. We hypothesized that niche overlap of water sources would be higher and monsoon precipitation uptake would be lower at sites with higher moisture availability. Pairwise niche overlap of coexisting species was calculated using mixing model estimates of proportional water use for three sources. Across the moisture gradient, niche overlap increased with site moisture index (precipitation/potential evapotranspiration) across seasons, and site moisture index explained 37% of the variation in niche overlap of intermediate and deeper sources of water. Desert trees utilized more winter source water than desert shrubs, suggesting the partitioning of water sources between functional groups. However, seasonal differences in surface water use were primarily found at intermediate levels of site moisture availability. Our findings support classical niche partitioning theory in that plants exhibit higher overlap of water sources when water is not a limiting resource.</t>
  </si>
  <si>
    <t>10.1007/s11258-018-0829-z</t>
  </si>
  <si>
    <t>Schofield, PJ; Chapman, LJ</t>
  </si>
  <si>
    <t>Interactions between Nile perch, Lates niloticus, and other fishes in Lake Nabugabo, Uganda</t>
  </si>
  <si>
    <t>Lake Victoria basin; introduced species; ecotone; predator-prey interactions; haplochromine cichlids; hypoxia</t>
  </si>
  <si>
    <t>HABITAT USE; HYPOXIA TOLERANCE; ENDANGERED FISHES; STREAM FISHES; VICTORIA; PREDATION; PREY; REFUGIA; CICHLIDS; KYOGA</t>
  </si>
  <si>
    <t>The introduction of the predatory Nile perch, Lates niloticus, into the Lake Victoria basin coincided with a dramatic decline in fish species richness and diversity. This study focused on interactions between Nile perch and indigenous fishes in Lake Nabugabo, Uganda, a small satellite lake of Lake Victoria. We evaluated how the foraging impact of juvenile Nile perch on prey fishes varied with the size of the predator. We also evaluated the role of wetland ecotones in minimizing interaction between Nile perch and indigenous fishes. Wetland ecotones in Lake Nabugabo were characterized by complex structure (e.g., dense vegetation) and lower dissolved oxygen levels than non-wetland (exposed) areas. Nile perch (8.6-42.2 cm, TL) were 3.7 times more abundant in offshore exposed areas than in inshore areas near wetland ecotones, and the proportion of Nile perch using wetland and exposed areas was independent of their body size. However, species richness was higher in waters at wetland ecotones than in exposed areas. Nile perch (5-35 cm, TL) exhibited a shift in diet at approximately 30 cm TL from feeding primarily on invertebrates to piscivory. Although the shift to piscivory occurred at approximately the same body size for Nile perch from both wetland and exposed habitats, the shift to piscivory was less abrupt in Nile perch captured near wetland ecotones. Nile perch from wetland areas consumed a greater diversity and a larger percentage of fish prey than those from exposed sites. However, the low abundance of Nile perch in wetland ecotones suggested that interaction between predator and prey in these areas is much reduced.</t>
  </si>
  <si>
    <t>10.1023/A:1007544017989</t>
  </si>
  <si>
    <t>Teoh, HW; Chong, VC</t>
  </si>
  <si>
    <t>Versatile hermit crabs harness multiple-source energy from coastal mudflats: implications for fish production</t>
  </si>
  <si>
    <t>Diogenes; Mangroves; Stable isotope; Primary sources; Coastal mudflat; Sciaenid fish</t>
  </si>
  <si>
    <t>STABLE-ISOTOPE RATIOS; MANGROVE DETRITUS; SILVER CROAKER; FOOD-WEB; INVERTEBRATES; NUTRITION; CARBON; PHYTOPLANKTON; PURIFICATION; ORGANIZATION</t>
  </si>
  <si>
    <t>The versatile hermit crabs, Diogenes moosai and Diogenes lopochir, are hypothesised to utilise multiple primary sources of energy in the coastal mudflat. Stable carbon and nitrogen isotopes were analysed to determine the primary sources of nutrition (mangrove, benthic microalgae and phytoplankton) and trophic contribution of mudflat hermit crabs to fish predators in Matang mangrove estuary, Peninsular Malaysia. Stable isotope analysis in R showed that benthic microalgae are the major contributor of the total carbon assimilated by diogenid hermit crabs, followed by phytoplankton and mangrove. Interestingly, hermit crabs are one of the few marine organisms that can digest and assimilate lignocellulosic carbon of the mangrove. However, the relative contribution of the primary sources is site dependent and varies along the estuarine gradient with increasing dependency on mangrove-derived carbon by hermit crabs from offshore waters to estuary. The Sciaenidae is the major group of predatory fish of hermit crabs; the implication is that the dense population of hermit crabs with their versatile feeding habits channels energy from three basal sources to support coastal fish production.</t>
  </si>
  <si>
    <t>10.1007/s10452-015-9503-x</t>
  </si>
  <si>
    <t>Nackoney, J; Rybock, D; Dupain, J; Facheux, C</t>
  </si>
  <si>
    <t>Coupling participatory mapping and GIS to inform village-level agricultural zoning in the Democratic Republic of the Congo</t>
  </si>
  <si>
    <t>Participatory mapping; GIS; Zoning; Land use planning; Agriculture; Central Africa</t>
  </si>
  <si>
    <t>MANAGEMENT; SYSTEMS</t>
  </si>
  <si>
    <t>Participatory methods that consider the land use of local communities are critical to resource planning. In the Maringa-Lopori-Wamba (MLW) Landscape located in northern Democratic Republic of the Congo (DRC), the African Wildlife Foundation (AWF) is leading efforts to engage the DRC Government in developing strategies for sustainable forest management and micro-zoning. In developing these strategies, we used participatory mapping to determine collaboratively with the local communities the delimitation of village-level agricultural zones for 16 villages located in easterncentral MLW Landscape. For this, we developed methods that combined participatory mapping, satellite image interpretation and GPS data collection. To inform the dynamics of agricultural land use, we collected human population data at the village level and calculated the maximum distance from each agricultural area to the nearest road. The surface area of the delineated village-level agricultural boundaries ranged from 241 ha to 2616 ha. We found a significant and positive relationship between the villages' human population and the surface area of their agricultural limits (r(2) = 0.43, p = 0.005). There was also a significant and positive relationship between the villages' population and the maximum distance that their agricultural limits extended from the road. We highlight observations from our participatory mapping experiences and explain the applicability of our findings to participative micro-zoning and understanding agricultural land use in the DRC. (C) 2012 Elsevier B.V. All rights reserved.</t>
  </si>
  <si>
    <t>10.1016/j.landurbplan.2012.11.004</t>
  </si>
  <si>
    <t>Embling, CB; Illian, J; Armstrong, E; van der Kooij, J; Sharples, J; Camphuysen, KCJ; Scott, BE</t>
  </si>
  <si>
    <t>Investigating fine-scale spatio-temporal predator-prey patterns in dynamic marine ecosystems: a functional data analysis approach</t>
  </si>
  <si>
    <t>Ammodytes spp; biological-physical coupling; black-legged kittiwake; foraging ecology; functional data analysis; North Sea; Rissa tridactyla; sandeel; tidal currents</t>
  </si>
  <si>
    <t>KITTIWAKE RISSA-TRIDACTYLA; NORTH-SEA; FORAGING HABITAT; BAHIA-MAGDALENA; ABUNDANCE; FISHERIES; IDENTIFICATION; AGGREGATIONS; ZOOPLANKTON; CHLOROPHYLL</t>
  </si>
  <si>
    <t>1. Spatial management of marine ecosystems requires detailed knowledge of spatio-temporal mechanisms linking physical and biological processes. Tidal currents, the main driver of ecosystem dynamics in temperate coastal ecosystems, influence predator foraging ecology by affecting prey distribution and ecology. The mechanistic links between tidal currents and how they influence predatorprey behaviour and interactions at a fine scale are poorly understood. 2. Studies of fine-scale changes in oceanography, prey and predator behaviour with tidal currents require repeated surveys of the same location over brief time-scales. Such data are highly temporally and spatially autocorrelated and require appropriate analytical tools. 3. We used functional data analysis (FDA), specifically functional principal component analysis (FPCA), to analyse repeated, fine-scale, survey data collected in the North Sea. FPCA was used to explore the relationship between the behaviour of an important North Sea prey species (sandeel Ammodytes spp.) and a vulnerable surface-foraging predator (black-legged kittiwake Rissa tridactyla) with fine-scale tidally driven changes in bio-physical characteristics (temperature stratification and maximumsubsurface chlorophyll concentration). 4. The FPCA indicated that sandeels were aggregated close to the surface at maximum ebb (ME) currents. Surface-feeding kittiwakes were also found in highest numbers during ME in locations of both high subsurface chlorophyll concentration and shallow sandeel aggregations. We suggest that the combination of a well-stratified water column with the movement of tidal currents over uneven topography results in surface aggregations of sandeels which kittiwakes exploit. 5. Synthesis and applications. Functional Data Analysis provides a useful tool for examining spatio-temporal patterns in natural ecosystems. In combination with fine-scale repeated survey design, we identified the importance of tide in driving prey behaviour and hence predator foraging behaviour. This has implications both for critical marine habitat identification for Marine Protected Area selection and for fisheries stock assessments. We therefore recommend that tidal aspects should be taken into account when designing marine surveys in temperate coastal ecosystems both to ensure the best identification of critical marine habitat and to improve the accuracy of fish stock assessments.</t>
  </si>
  <si>
    <t>10.1111/j.1365-2664.2012.02114.x</t>
  </si>
  <si>
    <t>Francis, TB; Schindler, DE</t>
  </si>
  <si>
    <t>Shoreline urbanization reduces terrestrial insect subsidies to fishes in North American lakes</t>
  </si>
  <si>
    <t>RESIDENTIAL DEVELOPMENT GRADIENT; LENGTH-MASS RELATIONSHIPS; PELAGIC FOOD WEBS; TEMPERATE LAKES; LARGEMOUTH BASS; MICROPTERUS-SALMOIDES; GASTRIC EVACUATION; SUBALPINE LAKE; CHINOOK SALMON; UNITED-STATES</t>
  </si>
  <si>
    <t>Despite growing recognition of the energetic connections between aquatic and riparian habitats of streams and lakes, there have been few efforts to quantify the importance of terrestrial insect subsidies to fish in lakes. Further, it is unclear whether lakeshore urbanization alters the magnitude of these fluxes. Because lakeshore development has been found to be negatively correlated with riparian vegetation that serves as habitat for terrestrial invertebrates, we expected that shoreline urbanization would reduce the prevalence of terrestrial invertebrates in fish diets. We quantified the effects of lakeshore urbanization on terrestrial insect subsidies to fish at three scales: a focused comparison of annual patterns in four lakes in the Pacific Northwest, a one-time field survey of 28 Pacific Northwest lakes, and a literature survey of 24 North American lakes. At all geographical scales, terrestrial invertebrate subsidies to fish were negatively correlated with shoreline development. Terrestrial insects comprised up to 100% of fish diet mass in undeveloped lakes, versus an average of 2% of fish diet mass in developed lakes. Trout, Oncorhynchus spp., in undeveloped lakes had an average of 50% greater daily energy intake, up to 50% of which was represented by terrestrial prey. Temporal variability of the terrestrial subsidy suggests that these inputs are distinctly pulsed, and this subsidy is absent or temporally rare in undeveloped lakes.</t>
  </si>
  <si>
    <t>10.1111/j.1600-0706.2009.17723.x</t>
  </si>
  <si>
    <t>Bartels, P; Ask, J; Andersson, A; Karlsson, J; Giesler, R</t>
  </si>
  <si>
    <t>Allochthonous Organic Matter Supports Benthic but Not Pelagic Food Webs in Shallow Coastal Ecosystems</t>
  </si>
  <si>
    <t>climate change; terrestrial organic carbon; stable isotope analysis; autochthonous production; benthic-pelagic coupling; food webs; Bothnian Sea</t>
  </si>
  <si>
    <t>STABLE-ISOTOPE ANALYSIS; BACTERIOPLANKTON PRODUCTION; TERRESTRIAL CARBON; BACTERIAL PRODUCTION; ENVIRONMENTAL WATER; FRESH-WATER; BALTIC SEA; RIVER; HABITAT; RESPIRATION</t>
  </si>
  <si>
    <t>Rivers transport large amounts of allochthonous organic matter (OM) to the ocean every year, but there are still fundamental gaps in how allochthonous OM is processed in the marine environment. Here, we estimated the relative contribution of allochthonous OM (allochthony) to the biomass of benthic and pelagic consumers in a shallow coastal ecosystem in the northern Baltic Sea. We used deuterium as a tracer of allochthony and assessed both temporal variation (monthly from May to August) and spatial variation (within and outside river plume). We found variability in allochthony in space and time and across species, with overall higher values for zoobenthos (26.2 +/- 20.9%) than for zooplankton (0.8 +/- 0.3%). Zooplankton allochthony was highest in May and very low during the other months, likely as a result of high inputs of allochthonous OM during the spring flood that fueled the pelagic food chain for a short period. In contrast, zoobenthos allochthony was only lower in June and remained high during the other months. Allochthony of zoobenthos was generally higher close to the river mouth than outside of the river plume, whereas it did not vary spatially for zooplankton. Last, zoobenthos allochthony was higher in deeper than in shallower areas, indicating that allochthonous OM might be more important when autochthonous resources are limited. Our results suggest that climate change predictions of increasing inputs of allochthonous OM to coastal ecosystems may affect basal energy sources supporting coastal food webs.</t>
  </si>
  <si>
    <t>10.1007/s10021-018-0233-5</t>
  </si>
  <si>
    <t>Arismendi, I; Gonzalez, J; Soto, D; Penaluna, B</t>
  </si>
  <si>
    <t>Piscivory and diet overlap between two non-native fishes in southern Chilean streams</t>
  </si>
  <si>
    <t>alien species; native species; predation; South America; stable isotope</t>
  </si>
  <si>
    <t>EXOTIC RAINBOW-TROUT; BROWN TROUT; INTRODUCED SALMONIDS; TROPHIC INTERACTIONS; CUTTHROAT TROUT; STABLE-ISOTOPES; NATIVE FISHES; IMPACTS; PREDATION; HABITAT</t>
  </si>
  <si>
    <t>Trophic relations among introduced species may induce highly variable and complex effects in communities and ecosystems. However, studies that identify the potential impacts for invaded systems and illuminate mechanisms of coexistence with native species are scarce. Here, we examined trophic relations between two introduced fishes in streams of NW Patagonia, rainbow trout (Oncorhynchus mykiss) and brown trout (Salmo trutta). These species originate from different regions of the Northern Hemisphere but they now coexist as invading species over the world. We used gastric contents and stable isotopes analysis to compare the diets of two size-classes of these two invaders in three localities of southern Chile. Both species displayed similar ontogenic diet shifts with smaller trout consuming mostly invertebrates and larger trout being more piscivorous and epibenthic feeders. However, piscivory was more prevalent in brown trout than in rainbow trout and highest at the site with the greatest density of native fishes suggesting that the availability of native fishes as trout prey may limit the occurrence of trout piscivory. We found an elevated dietary overlap between the two trout species at larger sizes while at smaller size a higher intraspecific dietary overlap occurred suggesting a potential interference competition among the two fish invaders especially at larger sizes. Our results highlight that the impacts of invading species on non-native fishes are context specific (i.e. species and ontogenic stages) and thus, difficult to generalize.</t>
  </si>
  <si>
    <t>10.1111/j.1442-9993.2011.02282.x</t>
  </si>
  <si>
    <t>Ainley, DG; Santora, JA; Capitolo, PJ; Field, JC; Beck, JN; Carle, RD; Donnelly-Greenan, E; McChesney, GJ; Elliott, M; Bradley, RW; Lindquist, K; Nelson, P; Roletto, J; Warzybok, P; Hester, M; Jahncke, J</t>
  </si>
  <si>
    <t>Ecosystem-based management affecting Brandt's Cormorant resources and populations in the central California Current region</t>
  </si>
  <si>
    <t>Alcatraz Island; Ano Nuevo Island; Brandt's Cormorant; California Current; Colony protection; Ecosystem-based fishery management; Farallon Islands; Gulf of the Farallones; Monterey Bay; Harmful algae bloom; Northern anchovy; Population resilience; Rockfish</t>
  </si>
  <si>
    <t>PHALACROCORAX-PENICILLATUS; GEOGRAPHIC STRUCTURE; PREDATORS; PREY; COMPETITION; DYNAMICS; DIET; ABUNDANCE; FISHERIES; COLONIES</t>
  </si>
  <si>
    <t>The Brandt's Cormorant of the California Current is a boom-or-bust species like its congeners in other eastern boundary, upwelling driven ecosystems, and like many of the prey upon which they depend. These birds produce many recruits when fish availability is high, leading to rapidly increasing populations, but few recruits, and may even exhibit die-offs, when the opposite is true. Unlike cormorants in the Peru and Benguela currents, however, Brandt's Cormorant population changes have yet to be correlated with those of its prey. Herein, using multi-decadal time series of cormorant colony size, diet, prey availability and mortality, in the context of changes in breeding site and fishery management, we provide insight into why central California colonies near San Francisco - a major portion of this species' global population expanded from principally one offshore island in the 1960-70s to include a large mainland component by the 1990s. Involved were increases and decreases, respectively, of northern anchovy, a coastal forage species, and young-of-the year rockfish, more prevalent offshore. With protection of breeding sites and a shift towards ecosystem-based fisheries management by the 1990s, variations of the central California Brandt's Cormorant population are now driven naturally by forage fish availability, and perhaps inter- and intraspecific competition for prey and space when population sizes are high. This species, owing to its boom-or-bust natural history and the relative ease of assessing breeding population size and diet, may be ideal for monitoring the state of the central California Current food web.</t>
  </si>
  <si>
    <t>10.1016/j.biocon.2017.11.021</t>
  </si>
  <si>
    <t>Segura, AM; Wiff, R; Jaureguizar, AJ; Milessr, AC; Perera, G</t>
  </si>
  <si>
    <t>A macroecological perspective on the fluctuations of exploited fish populations</t>
  </si>
  <si>
    <t>Macroecology; Fish community fluctuations; Species abundance; Taylor's law; Variance-mass allometry</t>
  </si>
  <si>
    <t>STOCK-RECRUITMENT RELATIONSHIP; TAYLORS LAW; BODY-SIZE; FISHERIES MANAGEMENT; EGG-PRODUCTION; POWER-LAWS; VARIANCE; PATTERNS; ASSEMBLAGES; ABUNDANCE</t>
  </si>
  <si>
    <t>The natural variability of fish populations is increased by exploitation, but the specific mechanisms driving this variability are still debated. We propose a macroscopic approach combining the size-density relationship and Taylor's law to predict the temporal variance of exploited and unexploited fish populations. Using information from 11 years of fishery-independent abundance surveys, we showed that the body-size dependence of the variance of exploited (targeted) and unexploited (non-targeted or bycatch) fish populations can be accurately predicted. Targeted fish populations showed a variability that was 2 orders of magnitude greater than that of non-targeted fish populations. Such variability was explained solely by the higher relative abundance of the former, regardless of their specific trophic position, while aggregated community fluctuation was lower in a high trophic position group. This study showed the usefulness of the macroscopic approach to predict fish variability and fishing effect in the whole community. This approach is complementary to other modeling strategies and seems to be useful in tackling the problem of variability in population fluctuations of exploited fish, particularly in cases where specific details of the interacting species are lacking.</t>
  </si>
  <si>
    <t>10.3354/meps13662</t>
  </si>
  <si>
    <t>Hopkins, WA; Bodinof, C; Budischak, S; Perkins, C</t>
  </si>
  <si>
    <t>Nondestructive indices of mercury exposure in three species of turtles occupying different trophic niches downstream from a former chloralkali facility</t>
  </si>
  <si>
    <t>Chelydra serpentina; Graptemys geographica; Sternotherus odoratus; Stable isotopes; Reptile</t>
  </si>
  <si>
    <t>SNAPPING TURTLES; DIETARY METHYLMERCURY; CHELYDRA-SERPENTINA; BIOACCUMULATION; CONTAMINATION; MONITORS; TISSUE; BLOOD; ACCUMULATION; ISOTOPES</t>
  </si>
  <si>
    <t>Turtles are useful for studying bioaccumulative pollutants such as mercury (Hg) because they have long life spans and feed at trophic levels that result in high exposure to anthropogenic chemicals. We compared total Hg concentrations in blood and toenails of three species of turtles (Chelydra serpentina, Sternotherus odoratus, and Graptemys geographica) with different feeding ecologies from locations up- and downstream of a superfund site in Virginia, USA. Mercury concentrations in turtle tissues were low at the reference site (average +/- A 1SE: blood = 48 +/- A 6 ng g(-1); nail = 2,464 +/- A 339 ng g(-1) FW) but rose near the contamination source to concentrations among the highest ever reported in turtles [up to 1,800 ng g(-1) (blood) and 42,250 ng g(-1) (nail) FW]. Tissue concentrations remained elevated similar to 130 km downstream from the source compared to reference concentrations. Tissue Hg concentrations were higher for C. serpentina and S. odoratus than G. geographica, consistent with the feeding ecology and our stable isotope (delta C-13 and delta N-15) analyses of these species. In addition, we suggest that toenails were a better indication of Hg exposure than blood, probably because this keratinized tissue represents integrated exposure over time. Our results demonstrate that downstream transport of Hg from point sources can persist over vast expanses of river thereby posing potential exposure risks to turtles, but relative exposure varies with trophic level. In addition, our study identifies turtle toenails as a simple, cost-efficient, and minimally invasive tissue for conservation-minded sampling of these long-lived vertebrates.</t>
  </si>
  <si>
    <t>10.1007/s10646-012-0999-8</t>
  </si>
  <si>
    <t>Jobbagy, EG; Nosetto, MD; Villagra, PE; Jackson, RB</t>
  </si>
  <si>
    <t>Water subsidies from mountains to deserts: their role in sustaining groundwater-fed oases in a sandy landscape</t>
  </si>
  <si>
    <t>algarrobo woodlands; arid oasis; central Monte Desert, western Argentina; Cordillera de los Andes; groundwater recharge/discharge; Larrea shrublands; Mendoza River; Monte Desert; phreatophytes; Prosopis flexuosa woodlands; Telteca Provincial Reserve (Argentina)</t>
  </si>
  <si>
    <t>POPULUS-EUPHRATICA; ROOTING DEPTH; GREAT-BASIN; VEGETATION; PHREATOPHYTE; RECHARGE; CLIMATE; EVAPOTRANSPIRATION; VARIABILITY; RESOURCES</t>
  </si>
  <si>
    <t>In arid regions throughout the world, shallow phreatic aquifers feed natural oases of much higher productivity than would be expected solely from local rainfall. In South America, the presence of well-developed Prosopis flexuosa woodlands in the Monte Desert region east of the Andes has puzzled scientists for decades. Today these woodlands provide crucial subsistence to local populations, including descendants of the indigenous Huarpes. We explore the vulnerability and importance of phreatic groundwater for the productivity of the region, comparing the contributions of local rainfall to that of remote mountain recharge that is increasingly being diverted for irrigated agriculture before it reaches the desert. We combined deep soil coring, plant measurements, direct water-table observations, and stable-isotopic analyses (H-2 and O-18) of meteoric, surface, and ground waters at three study sites across the region, comparing woodland stands, bare dunes, and surrounding shrublands. The isotopic composition of phreatic groundwaters (delta H-2: -137% +/- 5%) closely matched the signature of water brought to the region by the Mendoza River (-137% +/- 6%), suggesting that mountain-river infiltration rather than in situ rainfall deep drainage (-39% +/- 19%) was the dominant mechanism of recharge. Similarly, chloride mass balances determined from deep soil profiles (&gt;6 m) suggested very low recharge rates. Vegetation in woodland ecosystems, where significant groundwater discharge losses, likely &gt;100 mm/yr occurred, relied on regionally derived groundwater located from 6.5 to 9.5 m underground. At these locations, daily water-table fluctuations of similar to 10 mm, and stable-isotopic measurements of plant water, indicated groundwater uptake rates of 200-300 mm/yr. Regional scaling suggests that groundwater evapotranspiration reaches 18-42 mm/yr across the landscape, accounting for 71-7% of the Mendoza River flow regionally. Our study highlights the reliance of ecosystem productivity in natural oases on Andean snowmelt, which is increasingly being diverted to one of the largest irrigated regions of the continent. Understanding the ecohydrological coupling of mountain and desert ecosystems here and elsewhere should help managers balance production agriculture and conservation of unique woodland ecosystems and the rural communities that rely on them.</t>
  </si>
  <si>
    <t>10.1890/09-1427.1</t>
  </si>
  <si>
    <t>Venkiteswaran, JJ; Schiff, SL; Taylor, WD</t>
  </si>
  <si>
    <t>Linking aquatic metabolism, gas exchange, and hypoxia to impacts along the 300-km Grand River, Canada</t>
  </si>
  <si>
    <t>metabolism; photosynthesis; respiration; oxygen; wastewater treatment plant; agriculture; nutrients; cumulative impacts</t>
  </si>
  <si>
    <t>OXYGEN-ISOTOPE FRACTIONATION; DISSOLVED-OXYGEN; REAERATION EQUATIONS; ECOSYSTEM METABOLISM; STABLE-ISOTOPES; NITROUS-OXIDE; WATER; RESPIRATION; O-2; MARINE</t>
  </si>
  <si>
    <t>The Grand River is a 7th-order 300-km river draining the largest watershed (6800 km(2)) in southern Ontario, Canada. The watershed has experienced large landuse changes during a period &gt; 100 y, resulting in increasing agricultural and urban nutrient inputs to the river. As a result, the Grand River is highly degraded from its source to mouth. We studied longitudinal and temporal changes in aquatic community metabolism (photosynthesis and respiration) and O2 gas exchange over 3 seasons using O-2 and delta O-18-O-2. Diel changes in O-2 saturation were &gt; 50 percentage points along the river. In some parts, the diel O-2 change was &gt; 10 mg/L. Strong daily variation in delta O-18-O-2, up to 22%, was observed at all 23 sampling sites in the river. Despite consistently high nutrient levels and high productivity from headwaters to mouth, wastewater treatment plant (WWTP) effluents strongly affected O-2 saturation in all seasons. Modifications to river flow or nutrient inputs that affect the O-2 gas-exchange coefficient or O-2 demand could exacerbate current nighttime hypoxia problems. Strong diel variability in O-2 may not directly indicate changes in metabolic rates because changes in gas-exchange coefficients alone are enough to mask changes in metabolic rates. Photosynthetic rates immediately downstream of WWTPs did not increase because nutrients were already high because of agricultural nutrient loading upstream of WWTPs. As a result, WWTP nutrients were exported downstream rather than used immediately below the WWTPs and the zone of impact from WWTP nutrients extended farther downstream than would otherwise be expected. O-2 is the measure used by ecosystem managers, but metabolism and gas exchange must be managed to achieve the desired O-2 outcomes.</t>
  </si>
  <si>
    <t>10.1086/683241</t>
  </si>
  <si>
    <t>Chesus, KA; Ocheltree, TW</t>
  </si>
  <si>
    <t>Analyzing root traits to characterize juniper expansion into rangelands</t>
  </si>
  <si>
    <t>Juniper encroachment; Root traits; Artemisia tridentata; Juniperus osteosperma; Rooting depth; Water isotopes</t>
  </si>
  <si>
    <t>OSTEOSPERMA UTAH JUNIPER; WATER-USE; ARTEMISIA-TRIDENTATA; SOIL-MOISTURE; PINUS-EDULIS; PINYON; TRANSPORT; DROUGHT; GROWTH; PLANT</t>
  </si>
  <si>
    <t>Juniper expansion into sagebrush-dominated communities is a phenomenon occurring across large regions of the western U.S. in the past century. We investigated the competitive abilities for belowground resources of Juniperus osteosperma (Utah juniper) and Artemisia tridentata (big sagebrush) based on fine root traits and spatial patterns of water uptake inferred from stem and soil stable oxygen isotopes (delta O-18). Data were collected from neighboring J. osteosperma and A. tridentata plants in northern Colorado and included measurements of different size classes of J. osteosperma: short (&lt; 30 cm), intermediate (30 cm(-3) m), and tall (&gt; 3 m). Short J. osteosperma switched from utilizing shallow to primarily deep water sources across the growing season. Artemisia tridentata had root traits associated with faster root proliferation and resource acquisition (significantly greater specific root length and smaller root diameter, p &lt;.01), but greater J. osteosperma fine root biomass (p &lt;.01) resulted in similar root length densities between the two species at most soil depths (p &gt;.1). Additionally, we found that short J. osteosperma individuals can quickly develop deep root systems, but there is little difference in below ground foraging between individuals of J. osteosperma and A. tridentata based on the depth of water uptake and root length density.</t>
  </si>
  <si>
    <t>10.1016/j.jaridenv.2017.12.010</t>
  </si>
  <si>
    <t>Rushing, CS; Dudash, MR; Studds, CE; Marra, PP</t>
  </si>
  <si>
    <t>Annual variation in long-distance dispersal driven by breeding and non-breeding season climatic conditions in a migratory bird</t>
  </si>
  <si>
    <t>POPULATION DECLINES; PHENOLOGY; METAPOPULATION; RAINFALL; ARRIVAL; EVENTS; MODELS; ORIGIN; RATIOS; SPREAD</t>
  </si>
  <si>
    <t>Long-distance dispersal is a fundamental process in ecology and evolution but the factors that influence these movements remain poorly understood in most species. We used stable hydrogen isotopes to quantify the rate and direction of long-distance immigration in a breeding population of American redstarts and to test whether the settlement decisions that result in long-distance dispersal are driven by habitat saturation or by the phenology of breeding-season resources. Our results provide evidence that both natal dispersal and breeding dispersal were influenced by the timing of breeding-season phenology, with both age classes more likely to disperse north in years when the onset of breeding-season phenology occurs earlier than normal. Yearlings were also more likely to disperse north following winters with poor habitat quality on their non-breeding grounds, demonstrating that carry-over effects from the non-breeding season influence natal dispersal in this species. Collectively, these results are consistent with the hypothesis that American redstarts use the phenology of breeding season resources as a cue to select breeding sites. Our results suggest that long-distance dispersal may allow individuals to rapidly respond to advancing phenology caused by global climate change, though their ability to do so may be constrained by long-term decline in habitat quality predicted for their tropical non-breeding grounds.</t>
  </si>
  <si>
    <t>10.1111/ecog.01196</t>
  </si>
  <si>
    <t>Brame, AB; McIvor, CC; Peebles, EB; Hollander, DJ</t>
  </si>
  <si>
    <t>Site fidelity and condition metrics suggest sequential habitat use by juvenile common snook</t>
  </si>
  <si>
    <t>Centropomus undecimalis; Habitat complexity; Mesohabitat; Nursery habitat; Stable isotopes; Tidal creek; Estuarine pond; Ontogenetic shifts; Landscape ecology</t>
  </si>
  <si>
    <t>CENTROPOMUS-UNDECIMALIS; MARINE NURSERIES; LIFE-HISTORY; SALT-MARSH; FISH; ESTUARINE; CONNECTIVITY; RIVER; FOOD; ABUNDANCE</t>
  </si>
  <si>
    <t>The common snook Centropomus undecimalis is an estuarine-dependent fish that relies on landward wetlands as nursery habitat. Despite its economic importance, portions of the snook's early life history are poorly understood. We compared habitat use of young-of-the-year (YOY) snook in 2 geomorphic mesohabitats (tidal pond and tidal creek) along an estuarine gradient (upstream vs. downstream) within a single wetland during fall recruitment. We used abundance, length, condition indices, and stable isotopes to assess ontogenetic mesohabitat use and site fidelity. We found that (1) YOY snook were more abundant within the upstream creek and ponds; (2) the smallest snook were found only in ponds; (3) snook from ponds had lower condition (Fulton's K and hepatosomatic index); (4) snook began moving from ponds to the creek at similar to 40 mm standard length; and (5) snook from the 2 mesohabitats were isotopically distinct, indicating high site fidelity at rather small spatial scales. Collectively, these data identified sequential use of mesohabitats, wherein seaward-spawned YOY snook moved landward and recruited to pond habitats, where they dedicated energy to growth (as length) before making an ontogenetic habitat shift to the creek. Once in the creek, YOY snook condition improved as they approached maturity and started the downstream return towards seaward locations. The wetland network that was previously viewed as generalized nursery habitat instead consists of mesohabitats that support different life stages in sequence. This represents ontogenetic habitat complementation, in which lower availability of a required mesohabitat type may limit the entire wetland's contribution to the adult population.</t>
  </si>
  <si>
    <t>10.3354/meps10902</t>
  </si>
  <si>
    <t>Kuch, M; Rohland, N; Betancourt, JL; Latorre, C; Steppan, S; Poinar, HN</t>
  </si>
  <si>
    <t>Molecular analysis of a 11 700-year-old rodent midden from the Atacama Desert, Chile</t>
  </si>
  <si>
    <t>ancient DNA; Atacama Desert; climate change; fossil middens; Phyllotis; phylogeography</t>
  </si>
  <si>
    <t>SEQUENCE; GENETICS; RECORD; LIMITS; DIET</t>
  </si>
  <si>
    <t>DNA was extracted from an 11 700-year-old rodent midden from the Atacama Desert, Chile and the chloroplast and animal mitochondrial DNA (mtDNA) gene sequences were analysed to investigate the floral environment surrounding the midden, and the identity of the midden agent. The plant sequences, together with the macroscopic identifications, suggest the presence of 13 plant families and three orders that no longer exist today at the midden locality, and thus point to a much more diverse and humid climate 11 700 years ago. The mtDNA sequences suggest the presence of at least four different vertebrates, which have been putatively identified as a camelid (vicuna), two rodents (Phyllotis and Abrocoma ), and a cardinal bird (Passeriformes). To identify the midden agent, DNA was extracted from pooled faecal pellets, three small overlapping fragments of the mitochondrial cytochrome b gene were ampli-fied and multiple clones were sequenced. These results were analysed along with com-plete cytochrome b sequences for several modern Phyllotis species to place the midden sequence phylogenetically. The results identified the midden agent as belonging to an ancestral P. limatus. Today, P. limatus is not found at the midden locality but it can be found 100 km to the north, indicating at least a small range shift. The more extensive sampling of modern Phyllotis reinforces the suggestion that P. limatus is recently derived from a peripheral isolate.</t>
  </si>
  <si>
    <t>10.1046/j.1365-294X.2002.01492.x</t>
  </si>
  <si>
    <t>Morris, JL; Mueller, JR; Nurse, A; Long, CJ; McLauchlan, KK</t>
  </si>
  <si>
    <t>Holocene fire regimes, vegetation and biogeochemistry of an ecotone site in the Great Lakes Region of North America</t>
  </si>
  <si>
    <t>Charcoal; Deciduous forest; Disturbance; Lake sediments; Nitrogen; Prairie; Wildfire</t>
  </si>
  <si>
    <t>BRITISH-COLUMBIA; CLIMATE-CHANGE; CHARCOAL MORPHOTYPES; FERRY LAKE; FOREST; HISTORY; LANDSCAPE; WISCONSIN; RECONSTRUCTION; DISTURBANCE</t>
  </si>
  <si>
    <t>QuestionAs anthropogenic change pushes ecosystems towards historically novel states, understanding how landscape disturbances interact with climate variability becomes increasingly important. We reconstructed the Holocene vegetation and fire history of a small watershed to investigate the linkages among disturbance regimes, biogeochemical cycling and ecosystem structure. Specifically we asked: (i) how do compositional and structural changes in forest ecosystems modify fire regimes; and (ii) how do changes in fuel type and fire regimes impact biogeochemical cycling? LocationComstock Lake, Wisconsin, USA, a small kettle lake at the modern prairie-forest ecotone in the Great Lakes Region of North America. MethodsWe analysed a lacustrine sediment core from Comstock Lake, Wisconsin, for paleoecological proxies including charcoal quantity and morphotype, pollen composition, magnetic susceptibility, organic matter concentration and stable carbon and nitrogen isotopes. These paleoecological variables were used to reconstruct climate-mediated shifts in vegetation, fire disturbance and biogeochemical cycling during the last 13200calendar years before present (cal yr BP). ResultsForest composition in the landscape surrounding Comstock Lake varied among coniferous forest, deciduous forest and savanna over the Holocene. Independent of the vegetation changes, five distinct fire regimes were identified, ranging from frequent, low-intensity surface fires to infrequent, high-intensity crown fires. The main feature of our vegetation reconstruction is a shift from Pinus to Quercus forest that occurred between 10000 and 11000calyr BP. However, changes in fuel source and forest structure were apparently more important than shifts of species composition in determining fire regimes. We observed an inverse relationship between non-arboreal fuel sources and biomass burning throughout all five fire regimes. The biogeochemical consequences of fires were apparent during some, but not all regime transitions. Generally, the sediments were composed of relatively small clastic inputs from the catchment and mostly autochthonous organic sources. ConclusionThe location of Comstock Lake on the prairie-forest boundary meant that regional climate signals during the Holocene were filtered through vegetation. Both compositional changes in dominant tree taxa and structural changes in canopy openness influenced fire regimes.</t>
  </si>
  <si>
    <t>10.1111/jvs.12202</t>
  </si>
  <si>
    <t>Arostegui, MC; Hovel, RA; Quinn, TP</t>
  </si>
  <si>
    <t>Schistocephalus solidus parasite prevalence and biomass intensity in threespine stickleback vary by habitat and diet in boreal lakes</t>
  </si>
  <si>
    <t>Gasterosteus aculeatus; Threespine stickleback; Schistocephalus solidus; Heterogeneity; Parasite; Foraging; Host manipulation</t>
  </si>
  <si>
    <t>GASTEROSTEUS-ACULEATUS L; 1ST INTERMEDIATE HOST; 3-SPINED STICKLEBACK; EXPERIMENTAL-INFECTION; SHOALING BEHAVIOR; FOOD-INTAKE; PREDATION; GROWTH; SYSTEM; RISK</t>
  </si>
  <si>
    <t>Trophically-transmitted parasites can affect intermediate host behaviors, resulting in spatial differences in parasite prevalence and distribution that shape the dynamics of hosts and their ecosystems. This variability may arise through differences in physical habitats or biological interactions between parasites and their hosts, and may occur on very fine spatial scales. Using a pseudophyllidean cestode (Schistocephalus solidus) and the threespine stickleback (Gasterosteus aculeatus) as a model parasite-host complex, we investigated the association of infection with host diet composition and stomach fullness in different habitats of two large lakes in southwest Alaska. To become infected, the fish must consume pelagic copepods infected with the parasite's procercoid stage, so we predicted higher infection rates of fish in offshore habitats (where zooplankton are the primary prey) compared to fish from the littoral zone. Sticklebacks collected from the littoral and limnetic zones were assayed for parasites and their stomach contents were classified, counted, and weighed. Contrary to our prediction, permutational multivariate analysis of variance and principal components analysis revealed that threespine sticklebacks in the littoral zone, which consumed a generalist diet (pelagic zooplankton and benthic invertebrates), had higher parasite prevalence and biomass intensity than conspecifics in the limnetic zone, which consumed zooplankton. These results, consistent in two different lakes, suggest that differences in parasite prevalence between habitats may have been determined by a shift in host habitat due to infection, differential host mortality across habitats, differential procercoid prevalence in copepods across habitats, or a combination of the three factors. This paradoxical result highlights the potential for fine spatial variability in parasite abundance in natural systems.</t>
  </si>
  <si>
    <t>10.1007/s10641-018-0719-1</t>
  </si>
  <si>
    <t>Gratton, C; Donaldson, J; vander Zanden, MJ</t>
  </si>
  <si>
    <t>Ecosystem linkages between lakes and the surrounding terrestrial landscape in northeast Iceland</t>
  </si>
  <si>
    <t>allochthonous resources; subsidy; food webs; landscape ecology; spatial flows; emergent aquatic insects</t>
  </si>
  <si>
    <t>FOOD WEBS; AQUATIC INSECTS; POPULATION-DYNAMICS; TROPHIC CASCADES; NUTRIENT FLUXES; DESERT STREAM; RIVER LAXA; DIPTERA; MYVATN; NITROGEN</t>
  </si>
  <si>
    <t>Despite a recent emphasis on understanding cross-habitat interactions, few studies have examined the ecological linkages between lakes and surrounding terrestrial habitats. The current paradigm of land-lake interactions is typically unidirectional: the view is that nutrients and matter are transported downslope from the surrounding watershed to their ultimate lacustrine destination. Emergent aquatic insects, which spend their larval stages in lake sediments and emerge as adults to mate over land, can act as vectors of material, energy and nutrients from aquatic to terrestrial habitats. In this study, we document a gradient of midge (Diptera: Chironomidae) infall rates into terrestrial habitats (measured as g dw midges m(-2) d(-1)) surrounding eight lakes in Northern Iceland (approximate to 6 degrees N latitude). Lakes ranged from having virtually no midge infall (for example, Helluvaostjorn, 0.03 g m(-2) d(-1)) to extreme levels (for example, Myvatn, 19 g m(-2) d(-1)) with abundances of midges decreasing logarithmically with distance from shore. Annual midge input rates are estimated as high as 1200-2500 kg midges ha(-1) y(-1). As midges are approximately 9.2% total N, this can result in a significant fertilization effect of terrestrial habitats with consequences for plant quality and community structure. In addition, we used naturally-occurring delta(13)C and delta(15)N isotopes to examine food web structure and diet sources of terrestrial arthropod consumers surrounding lakes with differing amounts of midge input. Terrestrial arthropods showed increased utilization of aquatic-derived (that is, midge) C relative to terrestrial sources as midge infall increased. This pattern was particularly pronounced for predators, such as spiders and opiliones, and some detritivores (Collembola). These findings suggest that, despite being largely ignored, aquatic-to-terrestrial linkages can be large and midges can fuel terrestrial communities by directly serving as resources for predators and decomposers.</t>
  </si>
  <si>
    <t>10.1007/s10021-008-9158-8</t>
  </si>
  <si>
    <t>Liancourt, P; Song, X; Macek, M; Santrucek, J; Dolezal, J</t>
  </si>
  <si>
    <t>Plant's-eye view of temperature governs elevational distributions</t>
  </si>
  <si>
    <t>biophysical traits; carbon stable isotope ratio; decoupling; leaf dry matter content; mountain; oxygen stable isotope ratio; plant height; temperature</t>
  </si>
  <si>
    <t>OXYGEN-ISOTOPE RATIOS; TREE-RING CELLULOSE; FUNCTIONAL TRAITS; LEAF TEMPERATURES; STABLE-ISOTOPES; VASCULAR PLANTS; O-18 ENRICHMENT; WATER; VEGETATION; HYDROGEN</t>
  </si>
  <si>
    <t>Explaining species geographic distributions by macroclimate variables is the most common approach for getting mechanistic insights into large-scale diversity patterns and range shifts. However, species' traits influencing biophysical processes can produce a large decoupling from ambient air temperature, which can seriously undermine biogeographical inference. We combined stable oxygen isotope theory with a trait-based approach to assess leaf temperature during carbon assimilation (T-L) and its departure (Delta T) from daytime free air temperature during the growing season (T-gs) for 158 plant species occurring from 3,400 to 6,150 m a.s.l. in Western Himalayas. We uncovered a general extent of temperature decoupling in the region. The interspecific variation in Delta T was best explained by the combination of plant height and delta(13) C, and leaf dry matter content partly captured the variation in T-L. The combination of T-L and Delta T, with Delta T contributing most, explained the interspecific difference in elevational distributions. Stable oxygen isotope theory appears promising for investigating how plants perceive temperatures, a pivotal information to species biogeographic distributions.</t>
  </si>
  <si>
    <t>10.1111/gcb.15129</t>
  </si>
  <si>
    <t>Tayasu, I</t>
  </si>
  <si>
    <t>Use of carbon and nitrogen isotope ratios in termite research</t>
  </si>
  <si>
    <t>decomposition; detritivore; humification; Isoptera; trophic enrichment</t>
  </si>
  <si>
    <t>SOIL ORGANIC-MATTER; NATURAL N-15 ABUNDANCE; PARTICLE-SIZE FRACTIONS; MBALMAYO-FOREST-RESERVE; FOOD WEB; STABLE ISOTOPES; DELTA-C-13 MEASUREMENTS; XYLOPHAGOUS TERMITES; GUT BACTERIA; ISOPTERA</t>
  </si>
  <si>
    <t>In this paper, I review carbon and nitrogen isotopic (natural abundance levels) studies of termites. The carbon isotope ratio of CH4 emitted from termites, together with the emission rates of CO2, CH4 and HZ, Showed several trends corresponding to the kinds of symbiotic microbes and feeding habits. The fraction of methane oxidized in the nest structure was estimated by comparing carbon isotope ratio of CH4 emitted from the nest with that produced by termites in the nest. Symbiotic nitrogen fixation in the gut of termites has been shown to have a significant contribution to the nitrogen economy in some wood-feeding termites. The carbon isotope ratio distinguishes between C4 from C3 plants, and the fractional contribution of grass in the diet can thereby be estimated. The carbon and nitrogen isotope ratios in termites are discernible among soil-feeders, fungus cultivators and wood-feeders. Wood/soil-interface feeders have intermediate values between wood- and soil-feeders, and thus carbon and nitrogen stable isotope ratios are assumed to characterize the degree of humification of the material consumed by termites. It is suggested that carbon and nitrogen isotope ratios are useful indicators of the functional position of termites in the decomposition process. A similar isotope pattern has been obtained in earthworms, suggesting that isotope signatures might be useful parameters in investigating detritivorous animals in general.</t>
  </si>
  <si>
    <t>10.1046/j.1440-1703.1998.00268.x</t>
  </si>
  <si>
    <t>Cox, SL; Scott, BE; Camphuysen, CJ</t>
  </si>
  <si>
    <t>Combined spatial and tidal processes identify links between pelagic prey species and seabirds</t>
  </si>
  <si>
    <t>Predator-prey interaction; Physical-biological coupling; Spatio-temporal variability; Foraging ecology; Critical marine habitat; Trophic relationship</t>
  </si>
  <si>
    <t>ECOSYSTEM-BASED MANAGEMENT; NORTH PACIFIC; PHYTOPLANKTON MOTILITY; FORAGING BEHAVIOR; PRIBILOF ISLANDS; HABITAT HOTSPOTS; MARINE PREDATOR; AVIAN PREDATORS; SCHOOLING FISH; MIXING FRONT</t>
  </si>
  <si>
    <t>To gain further insight into the foraging behaviour of predator species, it is essential that interactions between predators, their prey and the surrounding environment are better understood. The primary purpose of this study was to determine the underlying processes, both physical and biological, driving variation in the times and locations of seabird foraging events. Using fine-scale simultaneous measurements of seabird abundance, prey density and oceanographic variability collected during an at-sea survey in the Firth of Forth region of the North Sea, zero-inflated negative binomial models were applied to identify the underlying processes driving foraging behaviour in 2 seabird species: the common guillemot Uria aalge and the black-legged kittiwake Rissa tridactyla. Both guillemot and kittiwake models showed consistency in their results; specific tidal states and thermal stratification levels explained observed increases in abundance. The secondary purpose of this study was to identify key oceanographic processes driving variability in prey density and determine if these were comparable to those underlying the behaviour of foraging seabirds. Log-transformations of 2 measures of prey density, NASC-40-50(MAX) and NASC-50-70(MAX), were modelled using generalised least squares. Similar tidal conditions and thermal stratification levels explained distributional patterns, suggesting that these processes act to increase prey availability, creating profitable foraging opportunities for predators to exploit. This has been termed the tidal coupling hypothesis and identifies that critical marine habitats occur not only at limited spatial locations but also within specific temporal intervals relating to the tidal cycle. Further more, by incorporating this oceanographic influence on foraging habitat, fine-scale predator-prey relationships were also identified. Foraging guillemots and kittiwakes displayed a Type II functional response to increasing values of NASC-40-50(MAX).</t>
  </si>
  <si>
    <t>10.3354/meps10176</t>
  </si>
  <si>
    <t>Gao, YW</t>
  </si>
  <si>
    <t>Otoliths speak out: why the Pacific halibut in Puget sound are different</t>
  </si>
  <si>
    <t>Stable isotopes; delta O-18 versus delta C-13; Otolith nuclei; Sample location difference; Sample year difference; Washington State</t>
  </si>
  <si>
    <t>ISOTOPIC COMPOSITION; POPULATION-STRUCTURE; GENETIC-VARIATION; FISH OTOLITHS; COD; IDENTIFICATION; ATLANTIC; OXYGEN</t>
  </si>
  <si>
    <t>Pacific halibut, Hippoglossus stenolepis, is one of the most important commercial groundfish and is managed as a single coast-wide population from Alaska to northern California. Nevertheless, genetic investigations did not show success in detecting the population structure of the species. Here I report stable oxygen and carbon isotope analyses (delta O-18 and delta C-13) in otoliths to discriminate the stock differences from two sample locations between the Washington coast (WC) and the northern Puget Sound (PS), and two sample years in 2007 and 2008. In general the delta O-18 values of halibut otoliths from WC ranged from -0.2 to 1.8aEuro degrees, higher than the PS samples from -0.5 to 1.4aEuro degrees. In contrast, the delta C-13 values from WC ranged from -3.6 to -1.0aEuro degrees, lower than the PS samples from -3.2 to -1.2aEuro degrees. Results from the otolith nuclei (age-0 halibut) and the 8(th) (the earliest maturity age for male halibut) and edge otolith rings (the latest location where the fish lived) showed significant differences between halibut samples from PS and WC. In particular, the sample location difference (between PS and WC) in both delta C-13 and delta O-18 data was significant and markedly larger than the sample year difference (between 2007 and 2008). These isotopic signatures provide evidence that the PS halibut may belong to a distinct stock that is significantly different from WC halibut.</t>
  </si>
  <si>
    <t>10.1007/s10641-012-0057-7</t>
  </si>
  <si>
    <t>Morrien, E; Duyts, H; Van der Putten, WH</t>
  </si>
  <si>
    <t>Effects of native and exotic range-expanding plant species on taxonomic and functional composition of nematodes in the soil food web</t>
  </si>
  <si>
    <t>PARASITIC NEMATODES; AMMOPHILA-ARENARIA; ECOSYSTEM FUNCTION; NATURAL ENEMIES; CLIMATE-CHANGE; DIVERSITY; COMMUNITIES; BIODIVERSITY; TOLERANCE; FEEDBACK</t>
  </si>
  <si>
    <t>Due to climate warming, many plant species shift ranges towards higher latitudes. Plants can disperse faster than most soil biota, however, little is known about how range-expanding plants in the new range will establish interactions with the resident soil food web. In this paper we examine how the soil nematode community from the new range responds to range-expanding plant species compared to related natives. We focused on nematodes, because they are important components in various trophic levels of the soil food web, some feeding on plant roots, others on microbes or on invertebrates. We expected that range expanding plant species have fewer root-feeding nematodes, as predicted by enemy release hypothesis. We therefore expected that range expanders affect the taxonomic and functional composition of the nematode community, but that these effects would diminish with increasing trophic position of nematodes in the soil food web. We exposed six range expanders (including three intercontinental exotics) and nine related native plant species to soil from the invaded range and show that range expanders on average had fewer root-feeding nematodes per unit root biomass than related natives. The range expanders showed resistance against rather than tolerance for root-feeding nematodes from the new range. On the other hand, the overall taxonomic and functional nematode community composition was influenced by plant species rather than by plant origin. The plant identity effects declined with trophic position of nematodes in the soil food web, as plant feeders were influenced more than other feeding guilds. We conclude that range-expanding plant species can have fewer root-feeding nematodes per unit root biomass than related natives, but that the taxonomic and functional nematode community composition is determined more by plant identity than by plant origin. Plant species identity effects decreased with trophic position of nematodes in the soil food web.</t>
  </si>
  <si>
    <t>10.1111/j.1600-0706.2011.19773.x</t>
  </si>
  <si>
    <t>LeBrun, EG; Tillberg, CV; Suarez, AV; Folgarait, PJ; Smith, CR; Holway, DA</t>
  </si>
  <si>
    <t>An experimental study of competition between fire ants and Argentine ants in their native range</t>
  </si>
  <si>
    <t>Argentina; Argentine ant; competition; fire ant; invasion; Linepithema humile; removal experiment; Solenopsis invicta</t>
  </si>
  <si>
    <t>SOLENOPSIS-INVICTA; LINEPITHEMA-HUMILE; INVASIVE PLANTS; HYMENOPTERA; COMMUNITIES; PARASITOIDS; FORMICIDAE; NITROGEN; MECHANISMS; ISOTOPES</t>
  </si>
  <si>
    <t>An understanding of why introduced species achieve ecological success in novel environments often requires information about the factors that limit the abundance of these taxa in their native ranges. Although numerous recent studies have evaluated the importance of natural enemies in this context, relatively few have examined how ecological success may result from differences in the magnitude of interference competition between communities in the native and introduced ranges of nonnative species. Here we examine how native-range competitive environments may relate to invasion success for two important invasive species, the red imported. re ant ( Solenopsis invicta) and the Argentine ant ( Linepithema humile), in a region of native-range sympatry. At two study sites in northern Argentina, we used stable-isotope analysis, a variety of observational approaches, and two different reciprocal removal experiments to test ( 1) whether S. invicta competes asymmetrically with L. humile ( as suggested by the 20th century pattern of replacement in the southeastern United States) and ( 2) the extent to which these two species achieve behavioral and numerical dominance. Stable-isotope analysis and activity surveys indicated that S. invicta and L. humile are both omnivores and forage during broadly overlapping portions of the diel cycle. Short-term removal experiments at baits revealed no competitive asymmetry between S. invicta and L. humile. Longer-term colony removal experiments illustrated that S. invicta and L. humile experience an approximately equal competitive release upon removal of the other. Our results indicate that neither S. invicta nor L. humile achieves the same degree of behavioral or ecological dominance where they co-occur in native populations as they do in areas where either is common in their introduced range. These results strongly suggest that interspecific competition is an important limiting factor for both S. invicta and L. humile in South America.</t>
  </si>
  <si>
    <t>10.1890/0012-9658(2007)88[63:AESOCB]2.0.CO;2</t>
  </si>
  <si>
    <t>Jackson, MC; Britton, JR</t>
  </si>
  <si>
    <t>Divergence in the trophic niche of sympatric freshwater invaders</t>
  </si>
  <si>
    <t>Global change; Niche width; Invasive species; Trophic relationships; Freshwater ecosystems</t>
  </si>
  <si>
    <t>PSEUDORASBORA-PARVA; ECOLOGICAL IMPACTS; STABLE-ISOTOPES; FOOD-CHAINS; INVASIONS; CRAYFISH; COMPETITION; COMMUNITY; LENGTH; LAKES</t>
  </si>
  <si>
    <t>When present in sympatry, invasive species have the potential to amplify or mitigate their ecological impacts through their trophic interactions. Their trophic niches may overlap, limiting impacts to specific trophic levels or functional groups; alternatively, they may diverge, with this niche differentiation resulting in contrasting impacts between species on the ecosystem. Here, we tested the trophic consequences for the global freshwater invaders common carp Cyprinus carpio, signal crayfish Pacifastacus leniusculus and topmouth gudgeon Pseudorasbora parva when their populations were in sympatry and under varying population biomass across six adjacent and identical ponds. Through using corrected values of delta C-13 and delta N-15, stable isotope niche metrics revealed that when the species were analysed together across all of the ponds, the output indicated their potential to share trophic resources. This was because niche overlap was evident at the species level: P. parva shared 19.6 and 30.4 % of their isotopic niche with C. carpio and P. leniusculus respectively. At the population level, however, the invaders had no niche overlap when present in sympatry and, instead, diverged in their trophic niche space, with C. carpio occupying the highest trophic levels, followed by P. parva and then P. leniusculus. We suggest that at the population level within in each pond, niche differentiation was facilitated by each species being plastic in their resource use, allowing their co-existence in ponds that may otherwise have limited their ability to co-exist through resource limitation.</t>
  </si>
  <si>
    <t>10.1007/s10530-013-0563-3</t>
  </si>
  <si>
    <t>Entrekin, SA; Rosi, EJ; Tank, JL; Hoellein, TJ; Lamberti, GA</t>
  </si>
  <si>
    <t>Quantitative Food Webs Indicate Modest Increases in the Transfer of Allochthonous and Autochthonous C to Macroinvertebrates Following a Large Wood Addition to a Temperate Headwater Stream</t>
  </si>
  <si>
    <t>headwaters; large woody debris; restoration; stable isotopes; organic matter</t>
  </si>
  <si>
    <t>ORGANIC-MATTER DYNAMICS; STABLE-ISOTOPE RATIOS; SECONDARY PRODUCTION; NUTRIENT ENRICHMENT; TEMPORAL VARIATION; NORTH-CAROLINA; TROPHIC BASIS; CARBON; RESTORATION; RESPONSES</t>
  </si>
  <si>
    <t>Headwaters suffer from reduced leaf and wood inputs and retention capacity from historical land actions like watershed logging and agriculture. When in-stream wood is reduced, stream retention capacity declines and subsequent changes in streamwater flow-paths and patterns of deposition alter decomposition and primary production that influence secondary invertebrate production via modified habitat and resources. Wood additions are commonly used as stream restoration tools for habitat improvements that can restore or strengthen food web connections; however, changes in carbon (C) flow through food webs are rarely measured because of time and expense. We quantified allochthonous and autochthonous C flow through aquatic macroinvertebrate communities 1 year before and 2 years after an experimental addition of large wood, compared to macroinvertebrates in an upstream control, in a temperate headwater stream. We predicted wood additions increase macroinvertebrate consumption and assimilation of allochthonous and autochthonous C through retention of leaves and altered flow-paths that expose more gravel and cobble for periphyton colonization. Macroinvertebrate allochthonous C assimilation tended to increase in years with greater organic matter retention and autochthonous C increased with more exposed gravel and cobble across seasons and between reaches. While the effect of wood addition on C flow through the macroinvertebrate community was minimal, it increased by similar to 20% relative to the control from an increase in production and C assimilation of common mayfly and caddisfly scrapers, Baetis and Glossossoma. Because the amount of organic matter retained and coarse substrate exposed corresponded with C form and amount consumed, restoration of large wood has the potential to increase organic matter C trophic transfer.</t>
  </si>
  <si>
    <t>10.3389/fevo.2020.00114</t>
  </si>
  <si>
    <t>Natsumeda, T; Tsuruta, T; Kameda, K; Iguchi, K</t>
  </si>
  <si>
    <t>Winter Feeding of the Common Cormorant (Phalacrocorax carbo hanedae) in a Temperate River System in Japan</t>
  </si>
  <si>
    <t>GRAYLING THYMALLUS-THYMALLUS; TROUT SALMONIDAE POPULATIONS; FORAGING DISTRIBUTION; STABLE-ISOTOPES; GREAT CORMORANT; PREDATION; FISHES; DIET</t>
  </si>
  <si>
    <t>In Japan, the numbers of common cormorants (Phalacrocorax carbo hanedae) feeding in inland waters have shown a rapid increase since the 1980s, which has resulted in concerns of predation impacts on inland fisheries. We had an opportunity to examine stomach contents of cormorants in an inland area during winter, 2007-2008, Of the 23 cormorants examined, 19 had fish in their stomachs. The mean wet weight of identifiable prey fish in stomachs (129.3 g) amounted to 25.7 % of the daily food requirement of the cormorants. Of the four fish species found in the stomachs of the cormorants, pale chub (Zacco platypus) and Japanese dace (Tribolodon hakonensis), school-forming species, numerically dominated. Sixteen of 19 cormorants had either or both of these two species in their stomachs; only four cormorants preyed upon the barbel steed (Hemibarbus labeo), which implies a benthic foraging mode. A calculated index of relative importance indicated that pale chub and Japanese dace were important prey for the cormorants. Coefficient of variation of prey fish size was large for crucian carp (19.0), pale chub (18.8), and Japanese dace (15.9). We conclude that fish forming dense size-structured schools are vulnerable to predation by the cormorants, and cormorants may have started to use inland pools of the Chikuma River during winter as feeding environments.</t>
  </si>
  <si>
    <t>10.1080/02705060.2010.9664355</t>
  </si>
  <si>
    <t>Marohn, C; Troost, C; Warth, B; Bateki, C; Zijlstra, M; Anwar, F; Williams, B; Descheemaeker, K; Berger, T; Asch, F; Dickhoefer, U; Birner, R; Cadisch, G</t>
  </si>
  <si>
    <t>Coupled biophysical and decision-making processes in grassland systems in East African savannahs-A modelling framework</t>
  </si>
  <si>
    <t>Coupled plant -animal -human model; Social -ecological system; Grazing model; Savanna landscape model; Agent -based model</t>
  </si>
  <si>
    <t>SMALLHOLDER FARMERS; CLIMATE VARIABILITY; ECOSYSTEM SERVICES; RESOURCE USE; AGRICULTURE; STRATEGIES; DYNAMICS; ETHIOPIA</t>
  </si>
  <si>
    <t>Increasing livestock densities on limited grazing areas in African savannahs lead to resource degradation through overgrazing, aggravated by drought. Assessing herd management strategies over longer periods at landscape scale is important to propose options for sustainable land use. This requires an understanding of processes related to hydrology, nutrient cycling, herd movement, pasture degradation, and animal resilience that involve dynamic soil-plant-animal interactions and human decisions about stocking rates, livestock purchases and sales.We present the coupled model system MPMAS-LUCIA-LIVSIM (MLL), the combination of a spatially explicit agent-based model for human decision-making (MPMAS), a spatially distributed landscape model for water flows, nutrient cycles and plant growth (LUCIA), and a herd model (LIVSIM) representing grazing, body weight, nutrition and excreta of individual animals. MLL represents daily vegetation growth in response to grazing and organic inputs, monthly animal performance influenced by forage availability and quality, and herders' man-agement in response to resource status. New modules for selective grazing, resprouting of pasture, herd move-ment and model coupling were developed for MLL.The test case of a pastoral system in the Ethiopian Borana region demonstrates the capabilities of MLL to simulate key soil-plant-animal-human interactions under climate-related management scenarios with varying access to grazing land, changing cattle prices and different spending / saving behaviour of herders. 20-year simulations showed the negative impact of consecutive drought years on vegetation biomass, on herd devel-opment and movement and how reserving grazing areas for dry seasons could mitigate overgrazing and improve income. Seasonality and drought response of vegetation growth, selective grazing of different plant parts, resprouting after grazing, calving intervals, milk yields and lactation in response to forage supply and quality as well as herder reactions to shocks were plausibly represented.Building upon this successful proof-of-concept, MLL can be used to identify robust management options for improved grazing systems in savannahs in follow-up research.</t>
  </si>
  <si>
    <t>10.1016/j.ecolmodel.2022.110113</t>
  </si>
  <si>
    <t>Dolezal, J; Kopecky, M; Dvorsky, M; Macek, M; Rehakova, K; Capkova, K; Borovec, J; Schweingruber, F; Liancourt, P; Altman, J</t>
  </si>
  <si>
    <t>Sink limitation of plant growth determines tree line in the arid Himalayas</t>
  </si>
  <si>
    <t>alpine tree line; carbon limitation; densitometry; earlywood; latewood; low temperature; source-sink balance; wood anatomy</t>
  </si>
  <si>
    <t>FROST RING FORMATION; CAMBIAL ACTIVITY; RADIAL GROWTH; CARBON; DYNAMICS; WATER; XYLOGENESIS; EVERGREEN; CONIFERS; ALTITUDE</t>
  </si>
  <si>
    <t>Understanding what determines the high elevation limits of trees is crucial for predicting how tree lines may shift in response to climate change. Tree line formation is commonly explained by a low-temperature restriction of meristematic activity (sink limitation) rather than carbon assimilation (source limitation). In arid mountains, however, trees face simultaneously low temperature and drought, both potentially restricting their growth and thus setting range limits. However, the mechanisms of tree line formation in high arid mountains are largely unknown. We studied Myricaria elegans, one of the world's highest growing winter-deciduous woody species, endemic to the arid Himalayas. We hypothesized that the upper elevation limit of Myricaria is associated with low temperatures during the early growing season affecting earlywood formation, while later in the season drought is constraining earlywood maturation and latewood formation. To test this hypothesis, we studied the quantitative anatomy of tree rings at different developmental stages across the entire species elevation range (3,200-4,400 m). We also explored daily stem increment and rehydration rates, seasonal dynamics of non-structural carbohydrates and stable C isotopes as a proxy for possible drought constraints. Both earlywood and latewood increments decreased towards the tree line, while NSC in leaves, twigs and stem sapwood did not change, indicating a sink limitation as a main driver of the tree line. At tree line, low temperatures restricted earlywood formation more than latewood formation. Tree line individuals had-compared to individuals from lower elevations-smaller and fewer earlywood vessels, frequent frost rings and shorter periods with positive daily increments, but comparable night-time stem rehydration rates and latewood density. All these results suggest a sink limitation as a main mechanism behind the tree line formation in high arid mountains. In the arid Himalayas, the tree line is set by the drastic growth reduction (sink limitation) caused by low temperature and short growing season under otherwise sufficient carbon and water supply. At the tree line, spring freezing and high summer temperatures further constrain annual stem increment. The mean 6.9 degrees C temperature during the growing season places the Myricaria tree line within the thermal range of other high elevation tree lines worldwide and supports a common mechanism of alpine tree line formation.</t>
  </si>
  <si>
    <t>10.1111/1365-2435.13284</t>
  </si>
  <si>
    <t>Stricker, CA; Rode, KD; Taras, BD; Bromaghin, JF; Horstmann, L; Quakenbush, L</t>
  </si>
  <si>
    <t>Summer/fall diet and macronutrient assimilation in an Arctic predator</t>
  </si>
  <si>
    <t>Isotopes; Protein; Lipid; Chukchi Sea; Polar bear</t>
  </si>
  <si>
    <t>BEARS URSUS-MARITIMUS; CARBON-ISOTOPE FRACTIONATION; SOUTHERN BEAUFORT SEA; FEMALE POLAR BEARS; STABLE-ISOTOPE; DISCRIMINATION FACTORS; NITROGEN ISOTOPES; FORAGING STRATEGY; MULTIPLE TISSUES; LIPID EXTRACTION</t>
  </si>
  <si>
    <t>Free-ranging predator diet estimation is commonly achieved by applying molecular-based tracers because direct observation is not logistically feasible or robust. However, tracers typically do not represent all dietary macronutrients, which likely obscures resource use as prey proximate composition varies and tissue consumption can be specific. For example, polar bears (Ursus maritimus) preferentially consume blubber, yet diets have been estimated using fatty acids based on prey blubber or stable isotopes of lipid-extracted prey muscle, neither of which represent both protein and lipid macronutrient contributions. Further, additional bias can be introduced because dietary fat is known to be flexibly routed beyond short-term energy production and storage. We address this problem by simultaneously accounting for protein and lipid assimilation using carbon and nitrogen isotope compositions of lipid-containing prey muscle and blubber to infer summer/fall diet composition and macronutrient proportions from Chukchi Sea polar bear guard hair (n = 229) sampled each spring between 2008 and 2017. Inclusion of blubber (85-95% lipid by dry mass) expanded the isotope mixing space and improved separation among prey species. Ice-associated seals, including nutritionally dependent pups, were the primary prey in summer/fall diets with lower contributions by Pacific walruses (Odobenus rosmarus) and whales. Percent blubber estimates confirmed preferential selection of this tissue and represented the highest documented lipid assimilation for any animal species. Our results offer an improved understanding of summer/fall prey macronutrient usage by Chukchi Sea polar bears which likely coincides with a nutritional bottleneck as the sea ice minimum is approached.</t>
  </si>
  <si>
    <t>10.1007/s00442-022-05155-2</t>
  </si>
  <si>
    <t>Miller, EA; Lisin, SE; Smith, CM; Van Houtan, KS</t>
  </si>
  <si>
    <t>Herbaria macroalgae as a proxy for historical upwelling trends in Central California</t>
  </si>
  <si>
    <t>seaweed; historical ecology; herbaria; stable isotopes; upwelling; ocean memory</t>
  </si>
  <si>
    <t>GELIDIUM-SESQUIPEDALE; NITROGEN-SOURCES; BAJA-CALIFORNIA; CLIMATE-CHANGE; GROWTH; PACIFIC; OCEAN; RHODOPHYTA; COASTAL; NITRATE</t>
  </si>
  <si>
    <t>Planning for future ocean conditions requires historical data to establish more informed ecological baselines. To date, this process has been largely limited to instrument records and observations that begin around 1950. Here, we show how marine macroalgae specimens from herbaria repositories may document long-term ecosystem processes and extend historical information records into the nineteenth century. We tested the effect of drying and pressing six macroalgae species on amino acid, heavy metal and bulk stable isotope values over 1 year using modern and archived paper. We found historical paper composition did not consistently affect values. Certain species, however, had higher variability in particular metrics while others were more consistent. Multiple herbaria providedGelidium(Rhodophyta) samples collected in southern Monterey Bay from 1878 to 2018. We examined environmental relationships and found delta N-15 correlated with the Bakun upwelling index, the productivity regime of this ecosystem, from 1946 to 2018. Then, we hindcasted the Bakun index using its derived relationship withGelidium delta N-15 from 1878 to 1945. This hindcast provided new information, observing an upwelling decrease mid-century leading up to the well-known sardine fishery crash. Our case study suggests marine macroalgae from herbaria are an underused resource of the marine environment that precedes modern scientific data streams.</t>
  </si>
  <si>
    <t>10.1098/rspb.2020.0732</t>
  </si>
  <si>
    <t>Killengreen, ST; Lecomte, N; Ehrich, D; Schott, T; Yoccoz, NG; Ims, RA</t>
  </si>
  <si>
    <t>The importance of marine vs. human-induced subsidies in the maintenance of an expanding mesocarnivore in the arctic tundra</t>
  </si>
  <si>
    <t>allochthonous spillover; arctic fox; lemming; population cycles; red fox; reindeer; stable isotopes; vole</t>
  </si>
  <si>
    <t>STABLE-CARBON ISOTOPES; FOX ALOPEX-LAGOPUS; VULPES-VULPES; INTERSPECIFIC COMPETITION; POPULATION-DYNAMICS; RODENT DYNAMICS; CLIMATE-CHANGE; SMALL MAMMALS; RED; DIET</t>
  </si>
  <si>
    <t>1. Most studies addressing the causes of the recent increases and expansions of mesopredators in many ecosystems have focused on the top-down, releasing effect of extinctions of large apex predators. However, in the case of the northward expansion of the red fox into the arctic tundra, a bottom-up effect of increased resource availability has been proposed, an effect that can counteract prey shortage in the low phase of the multi-annual rodent cycle. Resource subsidies both with marine and with terrestrial origins could potentially be involved. 2. During different phases of a multi-annual rodent cycle, we investigated the seasonal dynamics and spatial pattern of resource use by red foxes across a coast to inland low arctic tundra gradient, Varanger Peninsula, Norway. We employed two complementary methods of diet analyses: stomach contents and stable isotope analysis. 3. We found that inland red foxes primarily subsisted on reindeer carrions during the low phase of a small rodent population cycle. Lemmings became the most important food item towards the peak phase of the rodent cycle, despite being less abundant than sympatric voles. Isotopic signatures of tissue from both predator and prey also revealed that red foxes near the coast used marine-derived subsidies in the winter, but these allochthonous resources did not spillover to adult foxes living beyond 20-25 km from the coast. 4. Although more needs to be learned about the link between increasing primary productivity due to climatic warming and trophic dynamics in tundra ecosystems, we suggest that changes in reindeer management through a bottom-up effect, at least regionally, may have paved the way towards the establishment of a new mesopredator in the tundra biome.</t>
  </si>
  <si>
    <t>10.1111/j.1365-2656.2011.01840.x</t>
  </si>
  <si>
    <t>Schmidt, NM; Roslin, T; Hansen, LH; Gilg, O; Lang, JHN; Sittler, B; Hansen, J; Bollache, L</t>
  </si>
  <si>
    <t>Spatio-temporal patterns in arctic fox (Vulpes alopex) diets revealed by molecular analysis of scats from Northeast Greenland</t>
  </si>
  <si>
    <t>Greenland; Metabarcoding; Predation; Trophic interactions; Tundra</t>
  </si>
  <si>
    <t>POPULATION-DYNAMICS; PREY AVAILABILITY; LAGOPUS; SUMMER; RESPONSES; PREDATORS; HABITS</t>
  </si>
  <si>
    <t>The arctic fox (Vulpes lagopus) is endemic to the Arctic where it holds a central position in the trophic interactions. The diet of the species has previously been described as being highly flexible, but whether this flexibility is a constant trait through time, or merely reflects fast temporal changes in abundance among prey taxa, has so far been poorly resolved. Using molecular analyses of arctic fox scats from Northeast Greenland, we first examined the temporal dynamics of arctic fox diets during the short snow-free season, and then examined whether local food availability at different sites affected arctic fox dependence on lemmings. Arctic fox diets included most terrestrial vertebrate species found in the region, and exhibited substantial temporal changes, generally reflecting the dynamic changes in prey availability from late winter through autumn. This dietary flexibility was also reflected geographically, with arctic foxes consuming a variety of local prey (mainly waterfowl and lemmings) in summer. Moreover, the dietary response of arctic foxes to changes in lemming abundance depended on access to non-lemming prey. Based on these findings, we discuss whether varying degrees of lemming-dependency, combined with geographical differences in winter food availability, may explain previously published differences in arctic fox breeding patterns in high arctic Greenland.</t>
  </si>
  <si>
    <t>10.1016/j.polar.2022.100838</t>
  </si>
  <si>
    <t>Sakai, O; Yamamura, O; Sakurai, Y; Azumaya, T</t>
  </si>
  <si>
    <t>Temporal variation in chum salmon, Oncorhynchus keta, diets in the central Bering Sea in summer and early autumn</t>
  </si>
  <si>
    <t>Bering Sea; Chum salmon; Feeding habits; Oncorhynchus keta; Seasonal diet shift</t>
  </si>
  <si>
    <t>POLLOCK THERAGRA-CHALCOGRAMMA; SUB-ARCTIC PACIFIC; FEEDING-HABITS; STENOBRACHIUS-LEUCOPSARUS; VERTICAL-DISTRIBUTION; SEASONAL-VARIATIONS; ATLANTIC-OCEAN; MIGRATION; ALASKA; FISH</t>
  </si>
  <si>
    <t>Seasonal, ontogenetic, and diel variations in the diets of chum salmon, Oncorhynchus keta, were examined by analyzing the stomach contents of 1398 fish (300-755 mm fork length) collected in the Bering Sea during summer and early autumn of 2002. Whereas mesozooplankton, including euphausiids, hyperiids, and gastropods, constituted the greatest portion of the stomach contents during the summer, forage fishes (Stenobrachius leucopsarus and Atka mackerel, Pleurogrammus monopterygius) were the most important items during early autumn. Although no apparent diel trend was found in feeding intensity, distinct diel differences in prey composition were observed. Chum salmon caught in the morning contained Stenobrachius leucopsarus, whereas those caught in the afternoon had mainly fed on euphausiids. Thus, chum salmon diets change temporally because of changes in prey availability that result from differences in the annual life cycles and diurnal vertical migrations of prey species.</t>
  </si>
  <si>
    <t>10.1007/s10641-011-9916-x</t>
  </si>
  <si>
    <t>Eyayu, A; Getahun, A</t>
  </si>
  <si>
    <t>Feeding strategy and diet overlap in major fish stocks of Ayima and Gelegu Rivers, northwestern Ethiopia</t>
  </si>
  <si>
    <t>feeding habit; niche width; prey importance; relative measure of prey quantity</t>
  </si>
  <si>
    <t>STOMACH CONTENTS ANALYSIS; PREY IMPORTANCE; CATFISH; HABITS; FOOD</t>
  </si>
  <si>
    <t>Riverine ecosystems contribute considerable fisheries production. However, in Ethiopia, there is a lack of comprehensive biological studies on such ecosystems. This study assessed the feeding habits of commercially important fishes of the Ayima and Gelegu Rivers. Fishes' guts were sampled seasonally from April 2017 to November 2018 using gill nets, cast nets and electrofishing. Four hundred and forty-nine stomachs were analysed. Niche breadth and overlap indices were estimated using Levin and Schoener indices, respectively. The data indicated that Clarias gariepinus (Burchell, 1822), Bagrus docmak (Forsskal, 1775) and Hydrocynus forskahlii (Cuvier, 1819) mostly preyed on fish, whereas Heterotis niloticus (Cuvier, 1829) and Labeobarbus bynni (Forsskal, 1775) consumed detritus and macrophytes. H. niloticus, L. bynni and H. forskahlii were generalist feeders. There was a slight ontogenetic dietary shift observed in some predator fishes. In smaller sized L. bynni (6-20 cm, TL), insects and ostracods were important preys and their contribution differed significantly (p &lt; 0.05). In H. forskahlii, the volumetric contribution of bivalves and detritus differed significantly amongst the different size classes. Generally, resource availability had little effect on the feeding behaviour of most fishes. This implies that fishes in floodplain rivers can forage any available prey without preference and accustom to a general feeding strategy to form biologically insignificant dietary overlap.</t>
  </si>
  <si>
    <t>10.1111/aje.13036</t>
  </si>
  <si>
    <t>Roberts, P; Gaffney, D; Lee-Thorp, J; Summerhayes, G</t>
  </si>
  <si>
    <t>Persistent tropical foraging in the highlands of terminal Pleistocene/Holocene New Guinea</t>
  </si>
  <si>
    <t>ISOTOPIC COMPOSITION; EARLY AGRICULTURE; KUK SWAMP; CLIMATE; VEGETATION; ENVIRONMENTS; RESOURCES; HOLOCENE; HOMININS; ORIGINS</t>
  </si>
  <si>
    <t>The terminal Pleistocene/Holocene boundary (approximately 12-8 thousand years ago) represented a major ecological threshold for humans, both as a significant climate transition and due to the emergence of agriculture around this time. In the highlands of New Guinea, climatic and environmental changes across this period have been highlighted as potential drivers of one of the earliest domestication processes in the world. We present a terminal Pleistocene/Holocene palaeoenvironmental record (12-0 thousand years ago) of carbon and oxygen isotopes in small mammal tooth enamel from the site of Kiowa. The results show that tropical highland forest and open mosaics, and the human subsistence focused on these environments, remained stable throughout the period in which agriculture emerged at nearby Kuk Swamp. This suggests the persistence of tropical forest foraging among highland New Guinea groups and highlights that agriculture in the region was not adopted as a unilinear or dramatic, forced event but was locally and historically contingent.</t>
  </si>
  <si>
    <t>10.1038/s41559-016-0044</t>
  </si>
  <si>
    <t>Mobley, ML; Lajtha, K; Kramer, MG; Bacon, AR; Heine, PR; Richter, DD</t>
  </si>
  <si>
    <t>Surficial gains and subsoil losses of soil carbon and nitrogen during secondary forest development</t>
  </si>
  <si>
    <t>land use change; loblolly pine; long-term experiment; reforestation; secondary forest development; soil fractionation; soil nitrogen; soil organic carbon</t>
  </si>
  <si>
    <t>ORGANIC-CARBON; DENSITY FRACTIONATION; TURNOVER TIME; ELEVATED CO2; 3 DECADES; ACCUMULATION; MATTER; AFFORESTATION; DEEP; SEQUESTRATION</t>
  </si>
  <si>
    <t>Reforestation of formerly cultivated land is widely understood to accumulate above- and belowground detrital organic matter pools, including soil organic matter. However, during 40years of study of reforestation in the subtropical southeastern USA, repeated observations of above- and belowground carbon documented that significant gains in soil organic matter (SOM) in surface soils (0-7.5cm) were offset by significant SOM losses in subsoils (35-60cm). Here, we extended the observation period in this long-term experiment by an additional decade, and used soil fractionation and stable isotopes and radioisotopes to explore changes in soil organic carbon and soil nitrogen that accompanied nearly 50years of loblolly pine secondary forest development. We observed that accumulations of mineral soil C and N from 0 to 7.5cm were almost entirely due to accumulations of light-fraction SOM. Meanwhile, losses of soil C and N from mineral soils at 35 to 60cm were from SOM associated with silt and clay-sized particles. Isotopic signatures showed relatively large accumulations of forest-derived carbon in surface soils, and little to no accumulation of forest-derived carbon in subsoils. We argue that the land use change from old field to secondary forest drove biogeochemical and hydrological changes throughout the soil profile that enhanced microbial activity and SOM decomposition in subsoils. However, when the pine stands aged and began to transition to mixed pines and hardwoods, demands on soil organic matter for nutrients to support aboveground growth eased due to pine mortality, and subsoil organic matter levels stabilized. This study emphasizes the importance of long-term experiments and deep measurements when characterizing soil C and N responses to land use change and the remarkable paucity of such long-term soil data deeper than 30cm.</t>
  </si>
  <si>
    <t>10.1111/gcb.12715</t>
  </si>
  <si>
    <t>Matthews, CJD; Ferguson, SH</t>
  </si>
  <si>
    <t>Seasonal foraging behaviour of Eastern Canada-West Greenland bowhead whales: an assessment of isotopic cycles along baleen</t>
  </si>
  <si>
    <t>Arctic; Balaena mysticetus; Diet; Fasting; Isoscape; Marine mammal; Stable isotopes; Sulfur; Time series</t>
  </si>
  <si>
    <t>AMINO-ACID-METABOLISM; BALAENA-MYSTICETUS; STABLE-CARBON; NITROGEN-ISOTOPE; POLAR BEARS; FIN WHALES; FOOD-WEB; TROPHIC RELATIONSHIPS; SATELLITE TRACKING; FOXE BASIN</t>
  </si>
  <si>
    <t>Eastern Canada-West Greenland (EC-WG) bowhead whales Balaena mysticetus migrate seasonally between northwestern Hudson Bay/Foxe Basin and Gulf of Boothia in summer and Hudson and Davis Straits in winter. Despite recent advances in knowledge of summer diet composition, determining seasonal variation in foraging behaviour of EC-WG bowhead whales remains a priority for understanding how annual metabolic requirements are met, as well as identifying factors driving seasonal habitat selection. We measured stable nitrogen, carbon, and sulfur isotope composition (delta N-15, delta C-13, and delta S-34) along continuously growing baleen plates (n = 14) to assess alternative seasonal foraging hypotheses, namely winter fasting vs. year-round foraging. Synchronous delta N-15 and delta C-13 cycles, with periods of N-15 enrichment corresponding to foraging on the summer grounds, were inconsistent with standard fasting predictions, although delta N-15 cycles could reflect changes in diet-tissue delta N-15 discrimination between periods of intense foraging throughout the open-water season and supplemental protein intake during winter/spring. Correlations between delta N-15 and delta S-34 values, potentially meditated through amino acid metabolism, support this interpretation. Reasonable agreement between baleen isotope oscillations and regional baseline delta N-15 and delta C-13 variation also indicated foraging occurs within isotopically distinct food webs across the summer and winter ranges. We conclude that EC-WG bowhead whales forage throughout their distribution, and conservatively interpret delta N-15 and delta S-34 cycles to reflect reduced food consumption during winter. Foraging outside of periods of peak productivity likely contributes to annual metabolic requirements and winter habitat selection.</t>
  </si>
  <si>
    <t>10.3354/meps11145</t>
  </si>
  <si>
    <t>Nakano, S; Fausch, KD; Kitano, S</t>
  </si>
  <si>
    <t>Flexible niche partitioning via a foraging mode shift: a proposed mechanism for coexistence in stream-dwelling charrs</t>
  </si>
  <si>
    <t>behavioural mechanisms of interference competition; foraging mode shifts; mechanistic approach; resource partitioning; stream salmonids</t>
  </si>
  <si>
    <t>TROUT SALMO-GAIRDNERI; INTERSPECIFIC COMPETITION; DOMINANCE HIERARCHIES; COMMUNITY ECOLOGY; NATURAL HABITAT; SIZE; TACTICS; GROWTH; SIMILARITY; SELECTION</t>
  </si>
  <si>
    <t>1, Foraging behaviour, diet and interference competition were examined for two morphologically similar charrs, Salvelinus malma (Dolly Varden) and S. leucomaenis (white-spotted charr), under varying food resource conditions over four summers in a Japanese mountain stream. Data were used to test predictions from a mechanistic model of resource partitioning developed from an earlier field experiment. 2, The charrs adopted one of two distinct foraging modes, ambushing drifting invertebrates from relatively fixed foraging positions or actively searching for benthic prey over large areas, The proportion of benthos foragers increased markedly when drifting prey declined, and was much greater in S. malma than S, leucomaenis when drift was lean, upholding predictions made from our earlier experiment. 3. For drift foragers of both species, frequency of foraging attempts decreased as drift rate declined, and aggressive encounters increased. In contrast, for benthos foragers of both species the frequency of foraging attempts was essentially constant across the range of benthos biomass measured, and aggressive encounters remained low. 4. Salvelinus leucomaenis ate larger drifting prey than S, malma, even though the former charr were smaller. In contrast, S, malma foraged on benthic prey at a higher rate than S, leucomaenis, although there was no difference in prey mass. Thus, the optimal point to shift to benthic foraging is at a higher drift threshold for S. malma than S, leucomaenis, most probably due to differences in jaw morphology. Moreover, because dominance for favourable drift foraging positions was based on size alone, S, malma shifted to benthos foraging at a larger size than S. leucomaenis, as predicted by a simple model. 5, Charr consumed distinct prey types according to their foraging mode. Drift foragers primarily ate terrestrial invertebrates, whereas benthos foragers ate mainly chironomid larvae. Consequently, diet overlap was high when drift was abundant and both species were drift foragers, but declined as drift declined and S. malma shifted to benthos foraging. Therefore, species-specific differences in foraging mode shifts across the resource gradient explained the flexible resource partitioning we observed, and probably account for the coexistence of these congeneric charrs in zones of sympatry in northern Japan.</t>
  </si>
  <si>
    <t>10.1046/j.1365-2656.1999.00355.x</t>
  </si>
  <si>
    <t>Sturrock, AM; Hunter, E; Milton, JA; Johnson, RC; Waring, CP; Trueman, CN</t>
  </si>
  <si>
    <t>Quantifying physiological influences on otolith microchemistry</t>
  </si>
  <si>
    <t>biochemistry; fisheries management; migration; oxygen isotopes; population structure; reproductive cycle; trace metal; vital effect</t>
  </si>
  <si>
    <t>FLOUNDER PSEUDOPLEURONECTES-AMERICANUS; PLAICE PLEURONECTES-PLATESSA; ROCKFISH SEBASTES-MELANOPS; HERRING CLUPEA-HARENGUS; STABLE OXYGEN ISOTOPES; ELEMENTAL COMPOSITION; WATER TEMPERATURE; FISH OTOLITHS; BLOOD-PLASMA; STRIPED BASS</t>
  </si>
  <si>
    <t>Trace element concentrations in fish earstones (otoliths') are widely used to discriminate spatially discrete populations or individuals of marine fish, based on a commonly held assumption that physiological influences on otolith composition are minor, and thus variations in otolith elemental chemistry primarily reflect changes in ambient water chemistry. We carried out a long-term (1-year) experiment, serially sampling seawater, blood plasma and otoliths of mature and immature European plaice (Pleuronectes platessa L.) to test relationships between otolith chemistry and environmental and physiological variables. Seasonal variations in otolith elemental composition did not track seawater concentrations, but instead reflected physiological controls on metal transport and biokinetics, which are likely moderated by ambient temperature. The influence of physiological factors on otolith composition was particularly evident in Sr/Ca ratios, the most widely used elemental marker in applied otolith microchemistry studies. Reproduction also triggered specific variations in otolith and blood plasma metal chemistry, especially Zn/Ca ratios in female fish, which could potentially serve as retrospective spawning indicators. The influence of physiology on the trace metal composition of otoliths may explain the success of microchemical stock discrimination in relatively homogenous marine environments, but could complicate alternative uses for trace element compositions in biominerals of higher organisms.</t>
  </si>
  <si>
    <t>10.1111/2041-210X.12381</t>
  </si>
  <si>
    <t>Schoombie, S; Connan, M; Dilley, BJ; Davies, D; Makhado, AB; Ryan, PG</t>
  </si>
  <si>
    <t>Non-breeding distribution, activity patterns and moulting areas of Sooty Albatrosses (Phoebetria fusca) inferred from geolocators, satellite trackers and biochemical markers</t>
  </si>
  <si>
    <t>Stable isotopes; Prince Edward Islands; Activity data; Southern Ocean; Lunar cycles</t>
  </si>
  <si>
    <t>STABLE-ISOTOPE ANALYSES; WANDERING ALBATROSS; POPULATION TRENDS; NONBREEDING ALBATROSSES; SYMPATRIC ALBATROSSES; GIANT PETRELS; HABITAT USE; AT-SEA; TRACKING; LIFE</t>
  </si>
  <si>
    <t>Sooty Albatrosses (Phoebetria fusca; Endangered) are biennially breeding birds with successful breeders typically spending at least 15 months at-sea ('sabbatical') before returning to their breeding grounds on sub-Antarctic islands. Stable isotope analysis of feathers suggests that non-breeding adult Sooty Albatrosses moult in sub-tropical waters, north of the Sub-Tropical Front (STF). The Prince Edward Islands (Marion and Prince Edward) provide nesting grounds for ca 24% of the world's Sooty Albatrosses. We tracked 20 adult Sooty Albatrosses from Marion Island with geolocators (GLS loggers) and satellite transmitters (PTT) during their non-breeding sabbaticals between 2008 and 2014. Stable isotope analysis also was performed on feathers collected from GLS-tracked birds upon device retrieval. Adult birds mostly remained within international waters in the southern Indian Ocean during their sabbatical period, splitting their time between sub-tropical and sub-Antarctic waters. Sooty Albatrosses were more active during the day on average but spent similar time in flight during full moon periods. Periods of reduced flight activity, measured by time on water, suggest that moulting occurs mainly around the STF. Breeding success influenced moult phenology, with unsuccessful birds moulting in late summer, immediately following a failed breeding attempt (Feb-Mar), whilst successful breeders moulted early the following summer (Oct-Dec). Failed breeders spent more time flying between breeding attempts than successful breeders, particularly whilst moulting. Our study identifies key areas utilised by non-breeding Sooty Albatrosses, which is critical to implement appropriate management strategies that may help population recovery of this endangered species.</t>
  </si>
  <si>
    <t>10.1007/s00300-021-02969-3</t>
  </si>
  <si>
    <t>O'Gorman, EJ; Yearsley, JM; Crowe, TP; Emmerson, MC; Jacob, U; Petchey, OL</t>
  </si>
  <si>
    <t>Loss of functionally unique species may gradually undermine ecosystems</t>
  </si>
  <si>
    <t>trophic interactions; predator-prey; marine; Weddell Sea; Lough Hyne; coral reef</t>
  </si>
  <si>
    <t>COMPLEX FOOD WEBS; INTERACTION STRENGTH; BODY-SIZE; TROPHIC INTERACTIONS; BIODIVERSITY; STABILITY; DIVERSITY; COMMUNITIES; EXTINCTION; RESOLUTION</t>
  </si>
  <si>
    <t>Functionally unique species contribute to the functional diversity of natural systems, often enhancing ecosystem functioning. An abundance of weakly interacting species increases stability in natural systems, suggesting that loss of weakly linked species may reduce stability. Any link between the functional uniqueness of a species and the strength of its interactions in a food web could therefore have simultaneous effects on ecosystem functioning and stability. Here, we analyse patterns in 213 real food webs and show that highly unique species consistently tend to have the weakest mean interaction strength per unit biomass in the system. This relationship is not a simple consequence of the interdependence of both measures on body size and appears to be driven by the empirical pattern of size structuring in aquatic systems and the trophic position of each species in the web. Food web resolution also has an important effect, with aggregation of species into higher taxonomic groups producing a much weaker relationship. Food webs with fewer unique and less weakly interacting species also show significantly greater variability in their levels of primary production. Thus, the loss of highly unique, weakly interacting species may eventually lead to dramatic state changes and unpredictable levels of ecosystem functioning.</t>
  </si>
  <si>
    <t>10.1098/rspb.2010.2036</t>
  </si>
  <si>
    <t>Kobayashi, S; Akamatsu, F; Amano, K; Nakanishi, S; Oshima, Y</t>
  </si>
  <si>
    <t>Longitudinal changes in delta C-13 of riffle macroinvertebrates from mountain to lowland sections of a gravel-bed river</t>
  </si>
  <si>
    <t>carbon stable isotopes; epilithic biofilm; macroinvertebrates; river continuum; trophic base</t>
  </si>
  <si>
    <t>CARBON-ISOTOPE RATIOS; STABLE-ISOTOPE; FOOD-WEB; BACTERIAL PRODUCTION; WATER VELOCITY; BENTHIC ALGAE; STREAM; PERIPHYTON; CONTINUUM; ECOSYSTEM</t>
  </si>
  <si>
    <t>1. To understand longitudinal changes in the trophic base of benthic macroinvertebrates from mountain to lowland river sections, we investigated carbon stable isotopic compositions (delta C-13) of macroinvertebrates and their food resources in riffles for four seasons at 14 sites along the main stem of the Toyo River, Japan. 2. At each site, delta C-13 was usually highest or nearly highest for periphyton (epilithic biofilm) and was lowest for transported leaf materials. Among macroinvertebrate groups, grazers usually had higher delta C-13 values than filterers or predators. 3. During all seasons, delta C-13 of periphyton and all macroinvertebrate groups increased downstream from mountain to upland sections, but decreased downstream from upland to lowland sections. In addition, the difference between grazer delta C-13 and filterer delta C-13 decreased from mountain to upland sections, but increased from upland to lowland sections. 4. The observed changes in delta C-13 of periphyton and macroinvertebrates from mountain to upland sections agree with previous reports: the delta C-13 of periphyton and consumers increased with stream size and productivity. The decrease in delta C-13 of periphyton and macroinvertebrates from upland to lowland sections has not been reported previously, and this may have resulted from an increased importance of terrestrial detritus relative to periphyton production in the lowland section, where riffles were infrequent and pools dominated the reach. 5. A simple mixing model of delta C-13 showed that grazers rely mostly on periphyton at all sites, whereas the importance of periphyton for filterers changed longitudinally increasing from mountain to upland sections and decreasing from upland to lowland sections. This longitudinal trend for filterers is possibly associated with the changes in the availability or quality of terrestrial detritus in transported particulate organic matter. 6. Longitudinal changes in the relative importance of autochthonous production and allochthonous detritus appear to be reflected in delta C-13 of riffle benthic communities. The longitudinal changes were not monotonic, and specific reach characteristics may be responsible for the greater importance of allochthonous detritus in mountain and lowland sections.</t>
  </si>
  <si>
    <t>10.1111/j.1365-2427.2011.02582.x</t>
  </si>
  <si>
    <t>Yamaguchi, A; Furumitsu, K; Tanaka, S; Kume, G</t>
  </si>
  <si>
    <t>Dietary habits of the fanray Platyrhina tangi (Batoidea: Platyrhinidae) in Ariake Bay, Japan</t>
  </si>
  <si>
    <t>Ontogenetic dietary shift; Dental sexual dimorphism; Elasmobranch; Platyrhina tangi</t>
  </si>
  <si>
    <t>FOOD-HABITS; SINENSIS BATOIDEA; SEXUAL-DIMORPHISM; MATING-BEHAVIOR; FEEDING-HABITS; TROPHIC LEVELS; SKATE; RAJIDAE; RAY; ELASMOBRANCHS</t>
  </si>
  <si>
    <t>The dietary habits of the fanray Platyrhina tangi were investigated by analyzing the stomach contents of specimens collected in Ariake Bay, Japan. Of 334 stomach specimens, 324 contained food and 10 (3.0%) were empty. The mean percentage weight of stomach contents per unit of body weight was 0.59%. Thirty-seven taxonomic levels of prey were identified. The most common prey was shrimp, followed by fish and mysids. There were no differences in the composition of the diet between sexes, but an ontogenetic dietary shift was observed. Shrimps were the most common prey in all size classes. In addition, smaller individuals frequently ate mysids, and larger individuals often consumed fish. Dietary breadth values increased with size. Trophic level analysis revealed that trophic level increased with size; however, this species is consistently a secondary consumer. Dental sexual dimorphism was also observed. Specifically, mature males had much longer and sharper cusps than females and immature males. Since males and females had similar diets, dental sexual dimorphism may be related to their reproductive behaviour.</t>
  </si>
  <si>
    <t>10.1007/s10641-011-9792-4</t>
  </si>
  <si>
    <t>Miller, MJ; Bermingham, E; Turner, BL; Touchon, JC; Johnson, AB; Winker, K</t>
  </si>
  <si>
    <t>Demographic consequences of foraging ecology explain genetic diversification in Neotropical bird species</t>
  </si>
  <si>
    <t>diet; genetic differentiation; population demographics; stable isotopes; trophic level; tropical biodiversity</t>
  </si>
  <si>
    <t>BARRO-COLORADO ISLAND; RAIN-FOREST BIRDS; BODY-SIZE; MOVEMENT PATTERNS; STABLE-ISOTOPES; DISPERSAL; SPECIATION; PASSERINE; PHYLOGEOGRAPHY; MIGRATION</t>
  </si>
  <si>
    <t>Despite evidence that species' traits affect rates of bird diversification, biogeographic studies tend to prioritise earth history in Neotropical bird speciation. Here we compare mitochondrial genetic differentiation among 56 co-distributed Neotropical bird species with varying ecologies. The trait 'diet' best predicted divergence, with plant-dependent species (mostly frugivores and nectivores) showing lower levels of genetic divergence than insectivores or mixed-diet species. We propose that the greater vagility and demographic instability of birds whose diets rely on fruit, seeds, or nectar - known to vary in abundance seasonally and between years - relative to birds that eat primarily insects, drives episodic re-unification of otherwise isolated populations, resetting the divergence 'clock'. Testing this prediction using coalescent simulations, we find that plant-dependent species show stronger signals of recent demographic expansion compared to insectivores or mixed-diet species, consistent with this hypothesis. Our study provides evidence that localised ecological phenomena scale up to generate larger macroevolutionary patterns.</t>
  </si>
  <si>
    <t>10.1111/ele.13674</t>
  </si>
  <si>
    <t>Barboza, PS; Shively, RD; Gustine, DD; Addison, JA</t>
  </si>
  <si>
    <t>Winter Is Coming: Conserving Body Protein in Female Reindeer, Caribou, and Muskoxen</t>
  </si>
  <si>
    <t>arctic; herbivore; protein; stable isotopes; ungulate</t>
  </si>
  <si>
    <t>RANGIFER-TARANDUS; OVIBOS-MOSCHATUS; NITROGEN ISOTOPES; MIGRATORY CARIBOU; WOODLAND CARIBOU; REPRODUCTION; DIET; BALANCE; HYPERPHAGIA; METABOLISM</t>
  </si>
  <si>
    <t>Northern ungulates undergo pregnancy in winter when food supplies are low. Consequently, females employ a capital breeding strategy that relies upon maternal body stores of energy and protein for fetal growth. We studied captive female reindeer (Rangifer tarandus tarandus;n= 6; 118 kg), caribou (Rangifer tarandus granti;n= 6; 97 kg), and muskoxen (Ovibos moschatus;n= 8; 205 kg) in late winter (February to April) to track body protein use in late pregnancy when feeding is often interrupted by snow storms and when wild animals begin movements to spring and summer ranges where they give birth. We used high and low protein rations (14-16 and 8% protein) as complete diets forRangiferand high protein ration as a supplement (500 g/day) to hay (7.3% protein; delta N-15 = 1.1 parts per thousand) forOvibos. Animals were fasted for 2 days to evaluate isotopic responses to an acute deficit of energy and protein on each diet in a sequence from delta N-15 1.6 parts per thousand, to 6.9 parts per thousand to 3.2 parts per thousand over 58 days. Dietary shifts in delta N-15 were reflected in plant fibers in the feces (fecal fiber) but not in blood cells (Rangifer6.5 +/- 0.3 parts per thousand;Ovibos5.2 +/- 0.1 parts per thousand). Serum proteins were higher in delta N-15 than blood cells whereas serum amino acids were lower in delta N-15 than blood cells and more responsive to changes in dietary delta N-15 indicated by fecal fiber. Fasting did not affect delta N-15 of serum proteins or serum amino acids. Values for delta N-15 in urea were strongly affected by both shifts in diet and by fasting, which indicated that excretory urea N was derived from cellular proteins and isotopically heavy proteins released from organs into the serum. Inter-organ exchanges of transport proteins may minimize oxidation of stored amino acids and conserve body protein stores for fetal growth and milk production inRangiferandOvibos. A capital breeding strategy in these long-lived, iteroparous herbivores relies upon routing of body proteins to simultaneously sustain maternal function and maternal investment through common metabolic pathways that conserve lean body mass for survival.</t>
  </si>
  <si>
    <t>10.3389/fevo.2020.00150</t>
  </si>
  <si>
    <t>Mangipane, LS; Belant, JL; Lafferty, DJR; Gustine, DD; Hiller, TL; Colvin, ME; Mangipane, BA; Hilderbrand, GV</t>
  </si>
  <si>
    <t>Dietary plasticity in a nutrient-rich system does not influence brown bear (Ursus arctos) body condition or denning</t>
  </si>
  <si>
    <t>Behavioral plasticity; Body condition; Brown bear; Diet; Stable isotopes; Ursus arctos</t>
  </si>
  <si>
    <t>FEMALE POLAR BEARS; NICHE VARIATION HYPOTHESIS; GRIZZLY BEARS; REPRODUCTIVE SUCCESS; FORAGING STRATEGY; STABLE-ISOTOPES; BLACK BEARS; MASS GAIN; POPULATION; SALMON</t>
  </si>
  <si>
    <t>Behavioral differences within a population can allow use of a greater range of resources among individuals. The brown bear (Ursus arctos) is a generalist omnivore that occupies diverse habitats and displays considerable plasticity in food use. We evaluated whether brown bear foraging that resulted in deviations from a proposed optimal diet influenced body condition and, in turn, denning duration in Lake Clark National Park and Preserve, Alaska. To assess assimilated diet, we used sectioned guard hair samples (n = 23) collected in autumn to determine stable carbon and nitrogen isotope ratios. To index proportional contributions of meat and vegetation to assimilated diets, we compared the carbon (delta C-13) and nitrogen (delta N-15) values of hair samples with the values identified for major food categories. We then compared percentage body fat and body mass in relation to the proportion of assimilated meat in the diet using linear models. We also examined the influence of autumn percentage body fat and mass on denning duration. Percentage body fat was not influenced by the proportion of assimilated meat in the diet. Additionally, percentage body fat and body mass did not influence denning duration. However, body mass of bears assimilating proportionately more meat was greater than bears assimilating less meat. Our results provide support for previous findings that larger bears consume higher amounts of protein to maintain their body size and therefore forage further from the proposed optimal diet. Additionally, our results demonstrate that individuals can achieve similar biological outcomes (e.g., percentage body fat) despite variable foraging strategies, suggesting that individuals within generalist populations may confer an adaptive advantage through behavioral plasticity.</t>
  </si>
  <si>
    <t>10.1007/s00300-017-2237-6</t>
  </si>
  <si>
    <t>Groeneveld, J; Filipsson, HL</t>
  </si>
  <si>
    <t>Mg/Ca and Mn/Ca ratios in benthic foraminifera: the potential to reconstruct past variations in temperature and hypoxia in shelf regions</t>
  </si>
  <si>
    <t>ELEMENT-CALCIUM RATIOS; GULLMAR FJORD; OXYGEN CONCENTRATIONS; WATER TEMPERATURE; CONTINENTAL-SHELF; ORGANIC-CARBON; KOLJO-FJORD; SAGAMI-BAY; PALEOTHERMOMETRY; VARIABILITY</t>
  </si>
  <si>
    <t>Shelf and coastal regions are exceptionally important for many countries as they provide the main habitat for many economically important fish and shellfish species. With ongoing climate change and human-induced eutrophication the shelf regions are especially affected, resulting in increased temperatures and stratification as well as oxygen depletion of the bottom waters. In order to be able to predict the magnitude of these changes in the future, it is necessary to study how they varied in the past. Commonly used foraminiferal climate and environmental proxies, e. g., stable isotopes and trace metal/Ca ratios, that are applied in open-ocean settings are not necessarily applicable in shelf regions, either as faunas are significantly different or as conditions can change much faster compared to the open ocean. In this study we explore the use of Mg/Ca as paleothermometer and Mn/Ca as a potential proxy for changing dissolved oxygen conditions in bottom water on the benthic foraminifera Bulimina marginata and Globobulimina turgida. Living specimens were collected from the Skagerrak and the Gullmar Fjord (SW Sweden); the latter is hypoxic for several months a year. As the specimens were alive when collected, we assume it unlikely that any diagenetic coatings have already significantly affected the trace metal/Ca ratios. The Mg/Ca ratios are similar to previously published values but display much larger variation than would be expected from the annual temperature change of less than 2 degrees C. An additional impact of the difference in the calcite saturation state between the Skagerrak and the Gullmar Fjord could explain the results. Mn/Ca ratios from G. turgida can potentially be related to variations in dissolved oxygen of the habitat where the foraminifera calcify. Samples from the Skagerrak display increased Mn/Ca in specimens that lived deeper in the sediment than those that lived near the surface. G. turgida samples from the low-oxygen Gullmar Fjord showed significantly increased Mn/Ca, being highest when bottom water dissolved oxygen was at a minimum. Our study suggests that trace metal/Ca ratios in benthic foraminifera from shelf regions have the potential to record past variations in bottom water temperature and dissolved oxygen concentrations, but an additional impact of the inorganic carbonate chemistry cannot be excluded.</t>
  </si>
  <si>
    <t>10.5194/bg-10-5125-2013</t>
  </si>
  <si>
    <t>Phillips, EM; Horne, JK; Adams, J; Zamon, JE</t>
  </si>
  <si>
    <t>Selective occupancy of a persistent yet variable coastal river plume by two seabird species</t>
  </si>
  <si>
    <t>Bio-physical coupling; Columbia River plume; Frontal regions; Hydrodynamic modelling; Satellite telemetry; Seabird foraging; Shearwater; Murre</t>
  </si>
  <si>
    <t>SOOTY SHEARWATERS; COMMON MURRE; DIVING DEPTHS; MARINE BIRD; HABITAT USE; COLUMBIA; FRONTS; CALIFORNIA; OCEAN; SEA</t>
  </si>
  <si>
    <t>Advances in telemetry and modeling of physical processes expand opportunities to assess relationships between marine predators and their dynamic habitat. The Columbia River plume (CRP) attracts sooty shearwaters Ardenna grisea and common murres Uria aalge, but how seabirds respond to variability in plume waters is unknown. We characterized seabird distributions in relation to hourly, daily, monthly, and seasonal variation in CRP location and surface area by attaching satellite telemetry tags to shearwaters in 2008 and 2009, and to murres in 2012 and 2013. We matched seabird locations to surface salinity from a high-resolution hydrodynamic model of the CRP and adjacent waters. Utilization distributions indicated high-use areas north of the Columbia River mouth and in continental shelf waters. Shearwater and murre occupancy of tidal (&lt; 21 psu), recirculating (21-26 psu), and boundary (26-31 psu) plume waters was on average 31% greater than expected and positively correlated with CRP surface area. Seabird latitude was positively correlated with latitude of the geographic center of the CRP, indicating that birds move in phase with the plume. We detected a threshold response of seabirds to plume size, and birds were closer to the convergent CRP boundary (28 psu isohaline) after a surface area threshold between 1500 and 4000 km(2) was exceeded. We conclude that shearwaters and murres selectively occupy and track plume waters, particularly dynamic boundary waters where foraging opportunities may be enhanced by increases in surface area and associated biophysical coupling that aggregates zooplankton and attracts prey fishes.</t>
  </si>
  <si>
    <t>10.3354/meps12534</t>
  </si>
  <si>
    <t>Hagedorn, F; Maurer, S; Bucher, JB; Siegwolf, RTW</t>
  </si>
  <si>
    <t>Immobilization, stabilization and remobilization of nitrogen in forest soils at elevated CO2: a N-15 and C-13 tracer study</t>
  </si>
  <si>
    <t>C sequestration; C turnover; incubation; N deposition; N leaching; particle size fractionation; soil organic matter; stable isotopes</t>
  </si>
  <si>
    <t>SPRUCE MODEL-ECOSYSTEMS; ATMOSPHERIC CO2; TEMPERATE FORESTS; ALPINE GRASSLAND; ORGANIC-MATTER; CARBON-DIOXIDE; N DEPOSITION; GROWTH; FLUXES; SEQUESTRATION</t>
  </si>
  <si>
    <t>The fate of immobilized N in soils is one of the great uncertainties in predicting C sequestration at increased CO2 and N deposition. In a dual isotope tracer experiment (C-13, N-15) within a 4-year CO2 enrichment (+200 ppm(v)) study with forest model ecosystems, we (i) quantified the effects of elevated CO2 on the partitioning of N; (ii) traced immobilized N into physically separated pools of soil organic matter (SOM) with turnover rates known from their C-13 signals; and (iii) estimated the remobilization and thus, the bio-availability of newly sequestered C and N. (1) CO2 enrichment significantly decreased NO3- concentrations in soil waters and export from 1.5 m deep lysimeters by 30-80%. Consequently, elevated CO2 increased the overall retention of N in the model ecosystems. (2) About 60-80% of added (NH4NO3)-N-15-N-15 were retained in soils. The clay fraction was the greatest sink for the immobilized N-15 sequestering 50-60% of the total new soil N. SOM associated with clay contained only 25% of the total new soil C pool and had small C/N ratios (&lt; 13), indicating that it consists of humified organic matter with a relatively slow turn over rate. This implies that added N-15 was mainly immobilized in stable mineral-bound SOM pools. (3) Incubation of soils for 1 year showed that the remobilization of newly sequestered N was three to nine times smaller than that of newly sequestered C. Thus, inorganic inputs of N were stabilized more effectively in soils than C. Significantly less newly sequestered N was remobilized from soils previously exposed to elevated CO2. In summary, our results show firstly that a large fraction of inorganic N inputs becomes effectively immobilized in relative stable SOM pools and secondly that elevated CO2 can increase N retention in soils and hence it may tighten N cycling and diminish the risk of nitrate leaching to groundwater.</t>
  </si>
  <si>
    <t>10.1111/j.1365-2486.2005.01041.x</t>
  </si>
  <si>
    <t>Power, M; O'Connell, MF; Dempson, JB</t>
  </si>
  <si>
    <t>Ecological segregation within and among Arctic char morphotypesin Gander Lake, Newfoundland</t>
  </si>
  <si>
    <t>Salvelinus alpinus; stable isotope analysis; polymorphism; ecological segregation; Gander Lake; Newfoundland; competition</t>
  </si>
  <si>
    <t>SALVELINUS-ALPINUS L.; STABLE-ISOTOPE ANALYSIS; TROPHIC POLYMORPHISM; ATLANTIC SALMON; LOCH RANNOCH; BROOK CHARR; SIZE; SCOTLAND; POPULATION; NITROGEN</t>
  </si>
  <si>
    <t>Stable isotopes of carbon and nitrogen were used to examine differences in the feeding ecology of sympatric morphotypes of Arctic char, Salvelinus alpinus, from Gander Lake, Newfoundland. Morphotypes were differentiated on the basis of colour (pale and dark) and meristic characteristics. Significant differences in length, age and habitat depth were also noted, with the pale-form being smaller, younger and caught at greater average depths than the dark-form. Pale and dark morphotypes possessed significantly different carbon and nitrogen stable isotope signatures, with the dark-form being more delta(13)C enriched than the pale-form. Within each morphotype grouping distinctive isotopic signature differences related to diet (dark-form) and capture depth (pale-form) were also observed. Differences in the isotopic signatures within and among habitat groupings were induced by differences in feeding opportunities arising from differences in habitat use and feeding strategies and generally corroborated by stomach content analysis and an index of dietary overlap. Study results provide evidence for the contention that sympatric forms of Arctic char in Gander Lake occupy significantly different foraging niches within the lake. Results further suggest ecologically relevant separations within morphotype groupings result in lower resource competition.</t>
  </si>
  <si>
    <t>10.1007/s10641-005-2137-4</t>
  </si>
  <si>
    <t>Madigan, DJ; Baumann, Z; Carlisle, AB; Hoen, DK; Popp, BN; Dewar, H; Snodgrass, OE; Block, BA; Fisher, NS</t>
  </si>
  <si>
    <t>Reconstructing transoceanic migration patterns of Pacific bluefin tuna using a chemical tracer toolbox</t>
  </si>
  <si>
    <t>Cs-134; Cs-137; amino acid compound-specific stable isotope analysis; Fukushima; pelagic predators; stable isotope; Thunnus orientalis</t>
  </si>
  <si>
    <t>FUKUSHIMA-DERIVED RADIONUCLIDES; THUNNUS-ORIENTALIS; TROPHIC POSITION; STABLE-ISOTOPES; YELLOWFIN TUNA; MOVEMENTS; CARBON; JAPAN; RATIOS; FISH</t>
  </si>
  <si>
    <t>Large pelagic predators play important roles in oceanic ecosystems, and may migrate vast distances to utilize resources in different marine ecoregions. Understanding movement patterns of migratory marine animals is critical for effective management, but often challenging, due to the cryptic habitat of pelagic migrators and the difficulty of assessing past movements. Chemical tracers can partially circumvent these challenges by reconstructing recent migration patterns. Pacific bluefin tuna (Thunnus orientalis; PBFT) inhabit the western and eastern Pacific Ocean, and are in steep decline due to overfishing. Understanding age-specific eastward transpacific migration patterns can improve management practices, but these migratory dynamics remain largely unquantified. Here, we combine a Fukushima-derived radiotracer (Cs-134) with bulk tissue and amino acid stable isotope analyses of PBFT to distinguish recent migrants from residents of the eastern Pacific Ocean. The proportion of recent migrants to residents decreased in older year classes, though the proportion of older PBFT that recently migrated across the Pacific was greater than previous estimates. This novel toolbox of biogeochemical tracers can be applied to any species that crosses the North Pacific Ocean.</t>
  </si>
  <si>
    <t>10.1890/13-1467.1</t>
  </si>
  <si>
    <t>Pollierer, MM; Drescher, J; Potapov, A; Kasmiatun; Mawan, A; Mutiari, M; Nazarreta, R; Hidayat, P; Buchori, D; Scheu, S</t>
  </si>
  <si>
    <t>Rainforest conversion to plantations fundamentally alters energy fluxes and functions in canopy arthropod food webs</t>
  </si>
  <si>
    <t>arthropod biomass; cash crops; ecosystem functions; oil palm; rubber; stable isotopes; (tropical) land-use change</t>
  </si>
  <si>
    <t>TROPICAL FORESTS; STABLE-ISOTOPES; R PACKAGE; BIODIVERSITY; NITROGEN; CARBON; DIVERSITY; HORIZONS</t>
  </si>
  <si>
    <t>Tropical rainforests around the world are rapidly being converted into cash crop agricultural systems. The associated massive losses of plant and animal species lead to changes in arthropod food webs and the energy fluxes therein. These changes are poorly understood, in particular in the extremely biodiverse canopies of tropical ecosystems. Using canopy fogging followed by stable isotope and energy flux analyses, we show that land-use conversion from rainforest to rubber and oil palm plantations not only causes a drastic reduction in energy fluxes of up to 75%, but also shifts fluxes among trophic groups. While rainforest featured high levels of both herbivory and algae-microbivory, and a balanced ratio of herbivory to predation, relative fluxes were shifted towards predation in rubber and towards herbivory in oil palm plantations, indicating profound shifts in ecosystem functioning. Our results highlight that the ongoing loss of animal biodiversity and biomass in tropical canopies degrades animal-driven functions and restructures canopy food webs.</t>
  </si>
  <si>
    <t>10.1111/ele.14276</t>
  </si>
  <si>
    <t>Cheng, X; Luo, Y; Xu, X; Sherry, R; Zhang, Q</t>
  </si>
  <si>
    <t>Soil organic matter dynamics in a North America tallgrass prairie after 9 yr of experimental warming</t>
  </si>
  <si>
    <t>CARBON-ISOTOPE COMPOSITION; STABLE-ISOTOPES; LAND-USE; AGGREGATE STRUCTURE; FOREST CONVERSION; TROPICAL PASTURES; CULTIVATED SOILS; ATMOSPHERIC CO2; CLIMATE-CHANGE; NITROGEN</t>
  </si>
  <si>
    <t>The influence of global warming on soil organic matter (SOM) dynamics in terrestrial ecosystems remains unclear. In this study, we combined soil fractionation with isotope analyses to examine SOM dynamics after nine years of experimental warming in a North America tallgrass prairie. Soil samples from the control plots and the warmed plots were separated into four aggregate sizes (&gt;2000 mu m, 250-2000 mu m, 53-250 mu m, and &lt;53 mu m), and three density fractions (free light fraction - LF, intra-aggregate particulate organic matter - iPOM, and mineral-associated organic matter - mSOM). All fractions were analyzed for their carbon (C) and nitrogen (N) content, and delta(13)C and delta(15)N values. Warming did not significantly effect soil aggregate distribution and stability but increased C(4)-derived C input into all fractions with the greatest in LF. Warming also stimulated decay rates of C in whole soil and all aggregate sizes. C in LF turned over faster than that in iPOM in the warmed soils. The delta(15)N values of soil fractions were more enriched in the warmed soils than those in the control, indicating that warming accelerated loss of soil N. The delta(15)N values changed from low to high, while C: N ratios changed from high to low in the order LF, iPOM, and mSOM due to increased degree of decomposition and mineral association. Overall, warming increased the input of C(4)-derived C by 11.6 %, which was offset by the accelerated loss of soil C. Our results suggest that global warming simultaneously stimulates C input via shift in species composition and decomposition of SOM, resulting in negligible net change in soil C.</t>
  </si>
  <si>
    <t>10.5194/bg-8-1487-2011</t>
  </si>
  <si>
    <t>Brown, J; Brickle, P; Scott, BE</t>
  </si>
  <si>
    <t>Investigating the movements and behaviour of Patagonian toothfish (Dissostichus eleginoides Smitt, 1898) around the Falkland Islands using satellite linked archival tags</t>
  </si>
  <si>
    <t>Archival pop-up tags; Falkland Islands; Feeding behaviour; Patagonian toothfish; Spawning migration</t>
  </si>
  <si>
    <t>SOUTHWEST ATLANTIC; DIET; POPULATIONS; PATTERNS; FISHERY; GEORGIA; DEPTH; FRONT; HEARD; SHELF</t>
  </si>
  <si>
    <t>Knowledge of the seasonal movements of Patagonian toothfish is an essential component for understanding their ecology and fisheries management. As only one demersal longline vessel participates in this fishery in Falkland's waters, over a vast slope area, the use of conventional tags to provide data on migration or stock assessment is not viable. In contrast, archival pop-up tags have enabled the examination of toothfish movements without having to recapture tagged individuals with reasonably high success rates. Patagonian toothfish (n = 30, &gt;127 cm LT) were tagged with pop-up satellite tags between 19/09/2007 and 7/07/2010 in the South Atlantic close to the Falkland Islands. The data from 16 tags that successfully released and uploaded data (plus one recaptured fish) revealed strong site fidelity, with eleven toothfish moving less than 50 km from their release position over a 6 month period. Furthermore, depth data inferred three behavioural patterns showing seasonal bathymetric movements, foraging and spawning activities. Coinciding with the reported spawning months of July-August, spawning movements were recorded with fish moving repeatedly into shallower waters of 9001200 m. Foraging behaviours were also evident with differences in the scale of foraging movement related to fish size, possibly linked to a shift in diet with size. Fish were found to move deeper during December and these are potentially post-spawning movements allowing the fish to take advantage of different prey availability. (C) 2013 Elsevier B.V. All rights reserved.</t>
  </si>
  <si>
    <t>10.1016/j.jembe.2013.02.029</t>
  </si>
  <si>
    <t>Dame, JK; Christian, RR</t>
  </si>
  <si>
    <t>Evaluation of ecological network analysis: Validation of output</t>
  </si>
  <si>
    <t>ecological network analysis; ecopath; ecosystem-based management; food web; NETWRK; stable isotopes; trophic network; model validation</t>
  </si>
  <si>
    <t>STABLE-ISOTOPES; STEADY-STATE; FOOD WEBS; FISHERIES MANAGEMENT; TROPHIC STRUCTURE; ECOSYSTEM; MODELS; UNCERTAINTY; ASSUMPTIONS; DELTA-N-15</t>
  </si>
  <si>
    <t>Ecological network analysis (ENA) is a modeling approach increasingly being used to evaluate food webs and provide an ecosystem-based approach to resource management. Unfortunately, validation of ENA output is rarely performed. This study represents part of a larger effort to critically evaluate ENA. Here we validate ENA output using stable isotope analysis (SIA), and where validation is not met, determine the effects of modifying trophic networks to reflect validation. Quantitative trophic networks representing four salt marsh ponds during late summer 2002 were constructed from an extensive field sampling program augmented by literature values. Ponds were used because they contain relatively simple food webs, have well defined boundaries, and allow for relatively complete sampling. SIA data (delta C-13, delta N-15, delta S-34) were used to validate effective trophic levels calculated by Ecopath for four separate networks, and carbon source estimates from NETWRK's total dependency matrix for four compartments in a single network. Effective trophic levels calculated by Ecopath matched those from delta N-15 data for three of the four networks. Mean differences of trophic levels between methods ranged from 0.12 (95% CI = 0.27) to 0.34 (95% CI = 0.35) in three networks, and 0.53 (95% CI = 0.28) in the fourth. Agreement in carbon source estimates was determined graphically using ternary plots. Percent carbon from three sources (meiofauna, epiphytic algae, phytoplankton/POC) given in the total dependency matrix (NETWRK output) did not fall within the range given by stable isotope mixing models for three of four compartments. Modifications to reflect validation of carbon source estimates did not result in significant differences in ENA output. Lack of validation was often due to inherent differences in methods and assumptions imbedded in the models. Our study highlights the need for feedback between model construction, analysis and validation in improving trophic networks. Moreover, validation allows the effect of uncertainty in trophic networks to be evaluated by quantifying the sensitivity of ENA output to modifications in the models. (C) 2007 Elsevier B.V. All rights reserved.</t>
  </si>
  <si>
    <t>10.1016/j.ecolmodel.2007.08.004</t>
  </si>
  <si>
    <t>Vidal-Mateo, J; Benavent-Corai, J; Lopez-Lopez, P; Garcia-Ripolles, C; Mellone, U; De la Puente, J; Bermejo, A; Urios, V</t>
  </si>
  <si>
    <t>Search Foraging Strategies of Migratory Raptors Under Different Environmental Conditions</t>
  </si>
  <si>
    <t>Levy; Brownian; GPS satellite telemetry; raptors; animal movement; diet</t>
  </si>
  <si>
    <t>POWER-LAW DISTRIBUTIONS; EAGLES AQUILA-PENNATA; LEVY FLIGHT; CIRCAETUS-GALLICUS; MOVEMENT PATTERNS; BREEDING-SEASON; SELECTION; BEHAVIOR; ECOLOGY; SUCCESS</t>
  </si>
  <si>
    <t>Several studies have shown in different organisms how their movements can be fitted to different patterns to optimize search of food resources. According to abundance and availability of resources, different strategies will be optimal, such as Levy and Brownian random search. We analyze the movement patterns of four species of migratory raptors with different degrees of ecological specialization in diet during the breeding and wintering periods to evaluate the differences according to species and season: the Egyptian Vulture, the Short-toed Snake Eagle, the Booted Eagle, and the Red Kite. From GPS locations, we obtained a set of segments and lengths that were analyzed to verify their fitting to the functions of Levy and Brownian strategies. Egyptian Vulture's trajectories fitted to both patterns during the breeding period, whereas during the wintering period most trajectories fitted a Brownian pattern. In the case of the Short-toed Eagle, fit was greater to a Levy strategy throughout the year, while Booted Eagles and Red Kites exhibited a combination of search patterns. These differences could be accounted for different feeding strategies and environmental context over the annual cycle. In species with a specialized diet (i.e., Short-toed Eagle) the Levy pattern would maximize the encounters with scarce and unpredictable resources, whereas for species with a broad trophic niche (i.e., Booted Eagle and Red Kite), movements could be adapted to exploit different resources according to their abundance. Scavengers like the Egyptian Vulture shift also between search strategies according to the distribution of carrion. Therefore, the analysis of food search patterns can be used as an indirect indicator to track changes in food availability across a broad range of environmental conditions. This is particularly important under the current context of global change which is largely expected to affect migratory species that spend their vital cycle in distant areas.</t>
  </si>
  <si>
    <t>10.3389/fevo.2022.666238</t>
  </si>
  <si>
    <t>Yang, B; Meng, XJ; Singh, AK; Wang, PY; Song, L; Zakari, S; Liu, WJ</t>
  </si>
  <si>
    <t>Intercrops improve surface water availability in rubber-based agroforestry systems</t>
  </si>
  <si>
    <t>Complementarity; Intercrops; Root distribution; Seasonal drought; Water competition</t>
  </si>
  <si>
    <t>SOIL-WATER; IN-DEPTH; TREES; DROUGHT; EVAPOTRANSPIRATION; TRANSPIRATION; PLANTS</t>
  </si>
  <si>
    <t>Despite the development of rubber agroforestry systems for ecological and economic benefits in Southeast Asia, knowledge of their water uptake dynamics and interspecific water interactions remains limited. The objective of this study is to reveal the water relations (i.e., competition/complementarity) between rubber (Hevea brasiliensis) trees and different kinds of intercrops. We investigated the stable isotopes (delta D and delta O-18), fine root length density, and soil water content (SWC) under three agroforestry practices and one rubber monoculture across a year (2017/2018). Our results indicated that rubber trees acquired more than 40.5 +/- 21.3 % of their water from shallow (0-20 cm) soil stratum, as do perennial galangal (Alpinia officinarum), tea (Camellia sinensis), and cocoa (Theobroma cacao). The complementarity hypothesis was not supported for rubber trees and the intercrops. In the dry season (November to April), there was strong interspecific competition for shallow water resources where the intercropping was practiced. However, intercropping increased the available soil water, enabling rubber trees to acquire more (9.4-24.3 %) shallow soil water. In the wet season (May to October), interspecific water competition was less pronounced based on the relative difference in soil water content (RDSW). Higher relative water content, in the order rubber-galangal &gt; rubber-tea &gt; rubber-cocoa, further showed that facilitative effects dominated interspecific water competition in all the agroforestry practices. This information regarding water relations between rubber trees and their intercrops will be essential to optimize land and water resource utilization in this region.</t>
  </si>
  <si>
    <t>10.1016/j.agee.2020.106937</t>
  </si>
  <si>
    <t>Ronconi, RA; Steenweg, RJ; Taylor, PD; Mallory, ML</t>
  </si>
  <si>
    <t>Gull diets reveal dietary partitioning, influences of isotopic signatures on body condition, and ecosystem changes at a remote colony</t>
  </si>
  <si>
    <t>Bioindicator; Dietary shift; Larus; Mixing models; Scavengers; Seals; Stable isotopes</t>
  </si>
  <si>
    <t>BLACK-BACKED GULLS; CARBON STABLE-ISOTOPES; LAURENTIAN GREAT-LAKES; YELLOW-LEGGED GULL; HERRING-GULLS; LARUS-ARGENTATUS; TROPHIC RELATIONSHIPS; SEXUAL SEGREGATION; THREATENED SEABIRD; MARINE ECOSYSTEMS</t>
  </si>
  <si>
    <t>As top predators that feed on a wide range of prey items, gull diets may serve as important biological indicators of regional prey availability and changes in marine ecosystems. We studied the diets of herring gulls Larus argentatus and great black-backed gulls L. marinus on Sable Island, Nova Scotia, Canada, a remote colony which has shown high levels of contaminants in herring gull eggs and which has experienced significant ecological and anthropogenic change in its surrounding marine region over the past 40 yr. Analysis of regurgitated pellets suggested that current gull diets have proportionally less offshore prey (e. g. fish) and terns and tern eggs, and proportionally more molluscs, rock crabs Cancer borealis, and seal Halichoerus grypus carrion than diets sampled 40 yr ago. The composition of recent diets observed from pellet analysis is supported by stable isotope mixing models of carbon (delta C-13) and nitrogen (delta N-15), which revealed that great black-backed gulls had high proportions of seals and crab in their diets, whereas herring gulls had high proportions of crab, sand lance Ammodytes sp., and terrestrial invertebrates. Isotopic analyses also identified dietary variability through seasonal, age-specific and body condition relationships for each species. Biometric-isotope relationships showed that larger great black-backed gulls fed at higher trophic levels, and that higher trophic level foraging in herring gulls was associated with better body condition. Collectively, these results indicate dietary partitioning within this community of sympatrically nesting gulls, and broad-scale dietary shifts since the early 1970s.</t>
  </si>
  <si>
    <t>10.3354/meps10980</t>
  </si>
  <si>
    <t>Atkinson, CL; Cooper, JT</t>
  </si>
  <si>
    <t>Benthic algal community composition across a watershed: coupling processes between land and water</t>
  </si>
  <si>
    <t>Benthic light availability model (BLAM); Algal community; Land cover; Spatial scale; Non-metric multidimensional scaling (NMDS)</t>
  </si>
  <si>
    <t>ECOLOGICAL CONDITIONS; PERIPHYTON COMMUNITY; DIATOM ASSEMBLAGES; FLOOD DISTURBANCE; STREAMS; RIVERS; CONSEQUENCES; INDICATORS; NUTRIENT; METRICS</t>
  </si>
  <si>
    <t>One of the main goals of ecology is to understand how the abiotic environment influences the biotic characteristics of the ecosystem. Various processes at multiple scales interact to affect the physical and chemical environments that are experienced by organisms, which ultimately influence community composition. We aimed to understand the processes that control benthic algae community composition within a watershed. We investigated the impact of both land cover and physiochemical variables on benthic algal community composition. We sampled benthic algae along with multiple habitat and water chemistry parameters within three microhabitats across eight sites along the mainstem of the Kiamichi River in southeastern Oklahoma. We used the benthic light availability model to assess the amount of light reaching the bottom of the stream. Additionally, we conducted a GIS analysis of the watershed to determine the land cover affecting each of these sites. Several of the in-stream site-scale variables that were measured (e.g., conductivity, pH and canopy cover) were strongly correlated with both position within the watershed and percent agriculture within the watershed. The physiochemical parameters that were correlated with watershed position and land cover were then used to understand the linkage with algae community composition. Algae genera composition was strongly correlated with both light reaching the bottom of the stream and conductivity. Our results suggest a hierarchy of factors that determine species composition and show the dependence of community composition on differing light regimes.</t>
  </si>
  <si>
    <t>10.1007/s10452-016-9580-5</t>
  </si>
  <si>
    <t>Hsu, GC; Ou, JA; Ho, CAK</t>
  </si>
  <si>
    <t>Pest consumption by generalist arthropod predators increases with crop stage in both organic and conventional farms</t>
  </si>
  <si>
    <t>arthropod community; biocontrol; crop stage; detritivores; diet composition; generalist predators; organic and conventional farms; predator-prey interactions; rice herbivores; rice paddy; stable isotope analysis; trophic interactions</t>
  </si>
  <si>
    <t>NATURAL ENEMY BIODIVERSITY; BIOLOGICAL-CONTROL; TROPHIC CASCADES; ALTERNATIVE PREY; STABLE-ISOTOPES; FOOD-WEB; BIOCONTROL; SPIDERS; AGRICULTURE; CONSERVATION</t>
  </si>
  <si>
    <t>Biocontrol agents are critical for pest management in sustainable agriculture. Generalist arthropod predators may hold a great potential as biocontrol agents because they are ubiquitous and consume pests in agroecosystems. However, their diet composition over the entire crop season has rarely been quantified, which hinders our ability to assess their biocontrol potential in real field conditions that foster temporal dynamics of pest and alternative prey populations. To fill this knowledge gap, we surveyed arthropod communities over crop stages in organic and conventional rice farms (n = 7 each) and used stable isotope analysis (delta C-13 and delta N-15) to quantify the diet composition of generalist arthropod predators over time. We aimed to (1) examine the resource partitioning (trophic niches) in these predators, (2) quantify these predators' diet composition from potential prey sources (rice herbivores, tourist herbivores, and detritivores), and (3) investigate the effects of farm type (organic/conventional) and crop stage (tillering/flowering/ripening stage) on pest (rice herbivore) consumption by the predators. The results show that generalist predators in both organic and conventional farms shifted trophic niches over the crop season and consumed a higher percentage of rice herbivores at late than at early crop stages (e.g., 90-93% at ripening vs. 34-55% at tillering), suggesting an increasing biocontrol value over time regardless of farm type. Surprisingly, generalist predators consumed higher proportions of rice herbivores in conventional than organic farms at tillering and flowering stages, highlighting their underappreciated potential as biocontrol agents in conventional farms. These results demonstrate that although generalist arthropod predators do consume non-pest alternative prey, they have a high biocontrol potential (per capita pest consumption) in both organic and conventional rice farms. We encourage modern agriculture to develop techniques to support robust populations of these predators and the ecosystem services that they provide.</t>
  </si>
  <si>
    <t>e03625</t>
  </si>
  <si>
    <t>10.1002/ecs2.3625</t>
  </si>
  <si>
    <t>Collins, AB; Motta, PJ</t>
  </si>
  <si>
    <t>A kinematic investigation into the feeding behavior of the Goliath grouper Epinephelus itajara</t>
  </si>
  <si>
    <t>Ram-suction; Feeding; Behavior; Opportunistic predator; Goliath grouper</t>
  </si>
  <si>
    <t>PREY-CAPTURE KINEMATICS; BARRACUDA SPHYRAENA-BARRACUDA; PARTICLE IMAGE VELOCIMETRY; CORAL-REEF FISH; FUNCTIONAL-MORPHOLOGY; BLUEGILL SUNFISH; LARGEMOUTH BASS; MICROPTERUS-SALMOIDES; BUCCAL PRESSURE; CICHLID FISHES</t>
  </si>
  <si>
    <t>Goliath grouper Epinephelus itajara suffered significant overfishing in the United States until they were protected from harvest in 1990. As the population recovers, interactions between Goliath grouper and anglers have increased, and are often reported to management agencies as complaints after grouper predation upon hooked fish. Goliath grouper are generally characterized as opportunistic predators capable of consuming a wide variety of prey types; however, minimal data are available regarding the prey capture behavior of this species. Kinematic analyses of adult Goliath grouper feeding events demonstrated the capacity of individuals to modulate feeding behavior based upon the mobility and position of 'prey' items. Mobile epibenthic food (tethered swimming fish) elicited larger maximum gapes, faster times to food capture, shorter times to mouth closing, and more rapid total bite durations than food items that were not moving (cut dead bait). Feeding sequences involving mobile food items were characterized by a significantly higher degree of ram feeding behavior, while immobile food elicited primarily suction feeding and were preceded by a slower and closer approach to the food item prior to the onset of mouth opening. The findings are discussed in light of predation upon angled species and demonstrate the ability of Goliath grouper to adjust their feeding strategy based upon prey type and condition. This behavior likely allows for the exploitation of a wide variety of prey and provides an expansive dietary breadth for these opportunistic predators.</t>
  </si>
  <si>
    <t>10.1007/s10641-016-0543-4</t>
  </si>
  <si>
    <t>The sources and accumulation of sedimentary organic matter in two estuaries in the Brazilian Northern coast</t>
  </si>
  <si>
    <t>Phytoplankton; Oyster; Stable isotopes; Vegetation</t>
  </si>
  <si>
    <t>NITROGEN ISOTOPE COMPOSITION; SAN-FRANCISCO BAY; STABLE-ISOTOPE; AMAZON RIVER; POTENTIAL INDICATORS; CHANGJIANG ESTUARY; TROPICAL ESTUARY; EARLY DIAGENESIS; CARBON-ISOTOPE; SOUTH CHINA</t>
  </si>
  <si>
    <t>The origin of the organic matter was assessed in two estuaries in Eastern Amazon, Brazilian Northern Coast, under different hydrodynamic conditions. The isotopic composition (delta C-13; delta N-15) and the elementary ratio (C/N) were determined in the sediments, in the suspended particulate material (SPM), as well as in the phytoplankton, plants and oysters. The (delta C-13) values have indicated that the sedimentary organic matter is a terrestrial-marine mix composed of terrigenous organic matter (75%) in the Para River estuary, as well as of marine organic matter (60%) in the Mocajuba River estuary. The estimates of sources recorded through delta C-13 data were partially confirmed through the correlation (delta N-15) versus C/N, which reflects the action of diagenetic and biological processes on the organic matter composition control. On the other hand, the high carbon content (delta C-13) found in Para River estuary samples is conclusive because it shows isotopic changes due to the anthropogenic processes in the region. (C) 2017 Elsevier B.V. All rights reserved.</t>
  </si>
  <si>
    <t>10.1016/j.rsma.2017.10.007</t>
  </si>
  <si>
    <t>Fernandez-Jover, D; Mladineo, I; Grubisic, L; Lusic, J; Sanchez-Jerez, P</t>
  </si>
  <si>
    <t>Changes in trophic behaviour and trace metal concentrations in wild fish in a tuna-farming environment. The key role of a sound baitfish choice</t>
  </si>
  <si>
    <t>Atlantic bluefin tuna; Aquaculture; Stable isotope analysis; Stomach contents; Trace metals; Wild fish</t>
  </si>
  <si>
    <t>BASS DICENTRARCHUS-LABRAX; FATTY-ACID-COMPOSITION; THUNNUS-THYNNUS FARMS; BREAM SPARUS-AURATA; MEDITERRANEAN SEA; STABLE-ISOTOPES; GLOBAL ASSESSMENT; HEAVY-METALS; ASSEMBLAGES; ELEMENTS</t>
  </si>
  <si>
    <t>It is essential from both the consumer perspective and the environmental sustainability aspect, to delve more deeply into the specific traits and conditions of fish reared in a pisciculture setting. Among the many factors that affect the latter, one of the most important is the cycling of chemical compounds in intensive rearing systems. For this reason, we analysed the stomach contents and trace metal levels (cadmium, copper, chromium, lead, and zinc) in the muscles of several fish species that aggregate around mid-Adriatic cages of reared Atlantic bluefin tuna (Thunnus thynnus), attracted by the organic leftovers found in farmed waters. The metals were also analysed in samples of reared bluefin tuna, fish species used as tuna feed (baitfish), and their non-farm-associated counterparts. Finally, to better follow the dietary relationships and metal-acquisition pathways, we also analysed the stable isotopes. The results revealed that wild fish consume a great deal of trophic resources deriving from the cages, mainly in the form of baitfish remains. The isotopes suggest the reared tuna consume high levels of herring baitfish (Clupea harengus), there is an increased trophic level for the wild omnivorous bogue (Boops boops), and this decreases for the carnivorous garfish (Belone belone). No significant differences in metal concentrations were detected between farm-associated and non-farm-associated wild fish, with the exception of the zinc levels in bogue, which were in lower concentrations in specimens aggregating around the farm. Most importantly, the concentrations of trace metals in the tuna, baitfish (sardine, Sardina pilchardus, and herring), and wild fish (garfish and bogue) did not exceed the recommended limits established by European legislation. However, the cadmium values in the garfish, bogue, and sardine were close to, but not over the legal limit value. The reasons behind these results and their potential consequences should be further investigated, although there is only a moderate degree of concern with regard to the metal content of fish stocks captured in the area under study. (C) 2020 Elsevier B.V. All rights reserved.</t>
  </si>
  <si>
    <t>10.1016/j.rsma.2020.101357</t>
  </si>
  <si>
    <t>Guillet, B; Achoundong, G; Happi, JY; Beyala, VKK; Bonvallot, J; Riera, B; Mariotti, A; Schwartz, D</t>
  </si>
  <si>
    <t>Agreement between floristic and soil organic carbon isotope (C-13/C-12, C-14) indicators of forest invasion of savannas during the last century in Cameroon</t>
  </si>
  <si>
    <t>Albizia; colonization; floristic dynamics; forest advance; forest physiognomy; mature forest; mean residence time; periforest savanna; Rinorea</t>
  </si>
  <si>
    <t>SUBTROPICAL SAVANNA; MATTER; DYNAMICS; TURNOVER; RATIOS; INDIA</t>
  </si>
  <si>
    <t>In an area of savanna-forest (S-F) mosaic of Cameroon, at Kandara near Bertoua, an enclosed savanna bordered by young semi-deciduous forests was selected for detailed studies of vegetation an soil carbon isotope compositions with a view to estimating the rate of forest advance into savannas. Forest floristic composition and structure were analysed in small plots along two S-F transects and within two large stands. Tree species counts and basal area (BA) measurements gave convergent results defining (1) an edge forest with low BA values that forms an irregular strip parallel to the S-F border, (2) a large colonization zone zone composed of pioneer species (Albizia species, with individuals of very large diameter) and (3) a mature forest composed of abundant Rinorea individuals and large individuals of Triplochiton scleroxylon and Piptadeniastrum africanum. Carbon stable isotopes were determined from organic matter of soil profiles sampled at various depths in savanna, colonization-zone and mature forest. In the deep soil horizons (40-50 cm) of the colonization-zone profiles, delta C-13 values similar to those of the present savanna reveal the past existence of a large-tree savanna. In subsurface horizons (15-20 cm), delta C-13 values intermediate between those of savanna and mature forest prove the encroachment of the forest ecosystem on savanna. Using C-14 measurements, the mean residence time (MRT) of soil organic matter of these last horizons was determined with precision owing to the atmospheric C-14 pulse from nuclear bomb tests prior to 1964. By assuming an exponential age distribution of organic compounds and by taking account of MRT and remaining carbon from the savanna, the colonization zone was found to be 60-80 y old. The age of the colonization zone being the same near the present savanna and near the mature forest, it seems that the forest advance was probably not a linear process but would result from the coalescence of Albizia thickets born in savanna.</t>
  </si>
  <si>
    <t>10.1017/S0266467401001614</t>
  </si>
  <si>
    <t>Smith, A; Tetzlaff, D; Landgraf, J; Dubbert, M; Soulsby, C</t>
  </si>
  <si>
    <t>Modelling temporal variability of in situ soil water and vegetation isotopes reveals ecohydrological couplings in a riparian willow plot</t>
  </si>
  <si>
    <t>TRANSPIRATION</t>
  </si>
  <si>
    <t>The partitioning of water fluxes in the critical zone is of great interest due to the implications for understanding water cycling and quantifying water availability for various ecosystem services. We used the tracer-aided ecohydrological model EcH(2)O-iso to use stable water isotopes to help evaluate water, energy, and biomass dynamics at an intensively monitored study plot under two willow trees, a riparian species, in Berlin, Germany. Importantly, we assessed the value of in situ soil and plant water isotope data in helping to quantify xylem water sources and transit times, with coupled estimates of the temporal dynamics and ages of soil and root uptake water. The willows showed high water use through evapotranspiration, with limited percolation of summer precipitation to deeper soil layers due to the dominance of shallow root uptake (&gt; 80 % in the upper 10 cm, 70 %-78 % transpiration/evapotranspiration). Lower evapotranspiration under grass (52 %-55 % transpiration/evapotranspiration) resulted in higher soil moisture storage, greater soil evaporation, and more percolation of soil water. Biomass allocation was predominantly foliage growth (57 % in grass and 78 % in willow). Shallow soil water age under grass was estimated to be similar to under willows (15-17 d). Considering potential xylem transit times showed a substantial improvement in the model's capability to simulate xylem isotopic composition and water ages and demonstrates the potential value of using in situ data to aid ecohydrological modelling. Root water uptake was predominately derived from summer precipitation events (56 %) and had an average age of 35 d, with xylem transport times taking at least 6.2-8.1 d. By evaluating isotope mass balances along with water partitioning, energy budgets, and biomass allocation, the EcH(2)O-iso model proved a useful tool for assessing water cycling within the critical zone at high temporal resolution, particularly xylem water sources and transport, which are all necessary for short- and long-term assessment of water availability for plant growth.</t>
  </si>
  <si>
    <t>10.5194/bg-19-2465-2022</t>
  </si>
  <si>
    <t>Ehrman, AD; Swanson, H; MacPhee, S; Majewski, A; Archambault, P; Eert, J; Reist, J; Power, M</t>
  </si>
  <si>
    <t>Isotopic and traits-based trophic diversity of Canadian Beaufort Sea benthic communities in relation to food supply</t>
  </si>
  <si>
    <t>trait-environment relationships; Beaufort Sea; Amundsen Gulf; RLQ; organic matter pathways</t>
  </si>
  <si>
    <t>FUNCTIONAL DIVERSITY; ORGANIC-MATTER; SPECIES TRAITS; ARCTIC-OCEAN; BIOLOGICAL TRAITS; MARINE ECOSYSTEMS; SHELF; RESPONSES; WEB; WATER</t>
  </si>
  <si>
    <t>In the Arctic, climate-driven alterations to the quality and quantity of organic matter reaching the seafloor will likely affect benthic food web function. We used biomass-weighted diversity measures based on trophic traits (those related to feeding behaviours, e.g., mobility, size, food source), stable isotope ratios (delta N-15 and delta C-13), and taxonomy to assess linkages between benthic food web structure and indicators of food supply in the shelf and slope ecosystems of the Canadian Beaufort Sea and Amundsen Gulf (down to 500 m). Benthic communities across both regions used a similar diversity of sedimentary organic matter sources according to stable isotopes, despite known differences between regions in organic matter input and benthicpelagic coupling. Shelf-edge and upper-slope communities exhibited relatively high trophic trait diversity, which likely reflected the exploitation of pulsed food inputs associated with dynamic processes at the shelf break that affect the production and advection of organic matter to the benthos. Pairwise relationships between trophic traits and sedimentary proxies of benthic food supply were not significant at the regional scale. However, cluster analyses supported the notion that trophic trait composition was influenced by proximity to the shelf edge, where food supply is influenced by episodic events that may not be reflected by in situ sedimentary proxies. Our findings add to growing evidence that evaluating trophic traits composition may provide more information regarding functional responses to changes in benthic food supply than either isotopic or taxonomic diversity indices alone.</t>
  </si>
  <si>
    <t>10.1139/AS-2021-0040</t>
  </si>
  <si>
    <t>Kiszka, J; Simon-Bouhet, B; Martinez, L; Pusineri, C; Richard, P; Ridoux, V</t>
  </si>
  <si>
    <t>Ecological niche segregation within a community of sympatric dolphins around a tropical island</t>
  </si>
  <si>
    <t>Tropical dolphins; Ecological niche; Habitats; Stable isotopes; Carbon; Nitrogen; South-west Indian Ocean; Mayotte</t>
  </si>
  <si>
    <t>STABLE-ISOTOPE ANALYSES; FEEDING ECOLOGY; INDIAN-OCEAN; STENELLA-LONGIROSTRIS; LAGENODELPHIS-HOSEI; RELATIVE ABUNDANCE; CARBON ISOTOPES; MARINE MAMMALS; ATLANTIC-OCEAN; YELLOWFIN TUNA</t>
  </si>
  <si>
    <t>Investigating ecological segregation among organisms of a given community is challenging, especially when these organisms share similar patterns of distribution, and similar size and morphology. Around the island of Mayotte, a diversified community of at least 4 sympatric delphinids is present year round within a very restricted range: the Indo-Pacific bottlenose dolphin Tursiops aduncus, the spinner dolphin Stenella longirostris, the pantropical spotted dolphin S. attenuata, and the melon-headed whale Peponocephala electra. In addition, the Fraser's dolphin Lagenodelphis hosei makes temporary incursions into peri-insular waters as well. This study aims to assess niche segregation among this tropical dolphin community. We hypothesized that each species occupies its own distinct niche defined by the following axes: habitat, resources and time. We analysed habitat in relation to physiography, behavioural budgets and C and N stable isotope values from skin and blubber samples for each species. The results highlighted that habitat and behavioural budgets were relatively distinct among species, with few exceptions. However, in those species living on the outer reef slope where habitat and behaviour were not well discriminated, stable isotope analyses confirmed that species have different trophic levels (mostly reflected through delta N-15 values) or foraging habitat (mostly reflected through delta C-13 values). This study confirms that the use of multiple methodologies (habitat, behaviour and feeding ecology studies) help in discerning ecological niche segregation, especially when examining closely related species within a common restricted range.</t>
  </si>
  <si>
    <t>10.3354/meps09165</t>
  </si>
  <si>
    <t>Karlsson, J; Sawstrom, C</t>
  </si>
  <si>
    <t>Benthic algae support zooplankton growth during winter in a clear-water lake</t>
  </si>
  <si>
    <t>STABLE-ISOTOPE APPROACH; FOOD WEBS; ORGANIC-CARBON; ANTARCTIC LAKES; FRESH-WATER; FRACTIONATION; ASSUMPTIONS; CLADOCERA; TURNOVER; BACTERIA</t>
  </si>
  <si>
    <t>We used stable carbon (delta(13)C) and nitrogen (delta(15)N) isotopes to assess the importance of benthic algae for the zooplankton individual growth in winter in a shallow, clear subarctic lake. The delta(13)C values of calanoid (Eudiaptomus graciloides) and cyclopoid (Cyclops scutifer) zooplankton in autumn suggest a food resource of pelagic origin during the ice-free period. The zooplankton delta(13)C values were high in spring compared to autumn. E. graciloides did not grow over winter and the change in delta(13)C was attributed to a decrease in lipid content during the winter. In contrast, the increase in delta(13)C values of C. scutifer over the winter was explained by their growth on organic carbon generated by benthic algae. The delta(15)N of the C. scutifer food resource during winter was low compared to delta(15)N of the benthic community, suggesting that organic matter generated by benthic algae was mainly channelled to zooplankton via (15)N-depleted heterotrophic bacteria. The results demonstrate that benthic algae can sustain zooplankton metabolic demands and growth during long winters, which, in turn, may promote zooplankton growth on pelagic resources during the summer. Such multi-chain omnivory challenges the view of zooplankton as mainly dependent on internal primary production and stresses the importance of benthic resources for the productivity of plankton food webs in shallow lakes.</t>
  </si>
  <si>
    <t>10.1111/j.1600-0706.2009.17239.x</t>
  </si>
  <si>
    <t>Rochet, MJ; Trenkel, VM; Carpentier, A; Coppin, F; de Sola, LG; Leaute, JP; Mahe, JC; Maiorano, P; Mannini, A; Murenu, M; Piet, G; Politou, CY; Reale, B; Spedicato, MT; Tserpes, G; Bertrand, JA</t>
  </si>
  <si>
    <t>Do changes in environmental and fishing pressures impact marine communities? An empirical assessment</t>
  </si>
  <si>
    <t>bottom-up control; community metrics; compensation; ecosystem approach to fisheries; ecosystem assessment; functional groups; groundfish community; Mediterranean; North Atlantic; top-down control</t>
  </si>
  <si>
    <t>COMPENSATORY DYNAMICS; INDICATORS; EUTROPHICATION; TRENDS; SHELF; FISHERIES; DENSITY</t>
  </si>
  <si>
    <t>P&gt;1. The development of ecosystem approaches to environmental management implies the need to account for multiple pressures on ecosystems. Trends in multiple metrics that respond differently to changes in major environmental pressures need to be combined to evaluate the impacts of fishing and environmental changes on fish communities. 2. An exploited fish community is viewed as a three-level food chain in which the two upper levels, or functional groups, are targeted by fishing fleets, while the lowest level is subject to environmental variation. Qualitative modelling is used to predict changes at the two upper levels, that is, top-down vs. bottom-up perturbations. Abundance and length metrics are calculated from survey data for 14 Mediterranean and East-Atlantic groundfish shelf communities at both population and functional group levels. The joint likelihood of time trends in metrics is used to evaluate the evidence for different causes of changes. 3. A wide diversity of impacts is found to have equal evidence at the population level within each community. Consistency between the impacts identified and changes in pressures known from independent information is found at the functional group and community level. The results suggest that there is some compensation between species within functional groups. 4. Synthesis and applications. The method can be used to conduct an integrated assessment of community dynamics subject to multiple pressures. Joint trends in metrics provide evidence of which known pressures are having an impact on the community, and thus, which management actions should be taken to mitigate these changes.</t>
  </si>
  <si>
    <t>10.1111/j.1365-2664.2010.01841.x</t>
  </si>
  <si>
    <t>Dinesen, L; Lehmberg, T; Romdal, TS; Sonne, J; Hansen, LA</t>
  </si>
  <si>
    <t>Seasonal Changes in an Afromontane Forest Bird Community in Tanzania</t>
  </si>
  <si>
    <t>altitudinal movement; Eastern Arc; mixed-species flocks; seasonality; Udzungwas</t>
  </si>
  <si>
    <t>EASTERN ARC MOUNTAINS; CLIMATE-CHANGE; UDZUNGWA MOUNTAINS; SPECIES RICHNESS; BIODIVERSITY; CONSEQUENCES; DIVERSITY; FRAGMENTS; PATTERNS; GRADIENT</t>
  </si>
  <si>
    <t>Seasonal variation in the composition of avian communities is poorly documented in African montane forests. Using field observations, mist-netting data (63,424 NMH), recording of mixed-species flocks (160 flocks noted), and of the feeding ecology of greenbuls (757 observations), we document marked seasonal changes in a bird community in an East African montane forest (1,340-2,130 m) in the Udzungwa Mountains in south-central Tanzania. This mountain range contains the largest remaining forests in the Eastern Arc Mountains in Tanzania, part of a key global biodiversity hotspot. Our analysis is based on data in the dry and wet season from about 12 months of fieldwork. Field observation data combined with mist-net data demonstrate noticeable seasonal changes in certain species' abundances, indicating (i) seasonal movements out of the montane forest during the dry season and (ii) movements of part of the populations for other species. Our mist-net results show a significant difference in species abundances between the two seasons driven by 16 species. We also document significant changes in diet for two species of greenbuls, which shift feeding behavior from arthropods in the wet season to include a larger proportion of fruit in their dry season diet. Our results further show that birds are more active in mixed-species flocks in the dry season, with a significantly higher average number of species and of individuals in the dry season, i.e., 11.3 (+/- 0.52 SE) species, 32.3 (+/- 1.76 SE) individuals] compared to the wet season 9.7 (+/- 0.78 SE) species, 20.8 (+/- 1.85 SE) individuals]. One of two very distinctive types of mixed-species flocks - confined to the understory - exists only in the dry season. We discuss these changes to seasonal variability in climate, i.e., temperature and precipitation.</t>
  </si>
  <si>
    <t>10.3389/fevo.2022.768020</t>
  </si>
  <si>
    <t>Roth, JD; Marshall, JD; Murray, DL; Nickerson, DM; Steury, TD</t>
  </si>
  <si>
    <t>Geographical gradients in diet affect population dynamics of Canada lynx</t>
  </si>
  <si>
    <t>alternative prey; Canada lynx; lepus americanus; lynx canadensis; population cycles; snowshoe hare; specialist/generalist predation hypothesis; stable isotope ratios.</t>
  </si>
  <si>
    <t>TEMPORAL VARIABILITY; STABLE ISOTOPES; CARBON ISOTOPES; SNOWSHOE HARES; 10-YEAR CYCLE; RED SQUIRRELS; PREDATION; PATTERNS; NITROGEN; EXPLANATION</t>
  </si>
  <si>
    <t>Geographical gradients in the stability of cyclic populations of herbivores and their predators may relate to the degree of specialization of predators. However, such changes are usually associated with transition from specialist to generalist predator species, rather than from geographical variation in dietary breadth of specialist predators. Canada lynx (Lynx canadensis) and snowshoe hare (Lepus americanus) populations undergo cyclic. fluctuations in northern parts of their range, but cycles are either greatly attenuated or lost altogether in the southern boreal forest where prey diversity is higher. We tested the influence of prey specialization on population cycles by measuring the stable carbon and nitrogen isotope ratios in lynx and their prey, estimating the contribution of hares to lynx diet across their range, and correlating this degree of specialization to the strength of their population cycles. Hares dominated the lynx diet across their range, but specialization on hares decreased in southern and western populations. The degree of specialization correlated with cyclic signal strength indicated by spectral analysis of lynx harvest data, but overall variability of lynx harvest (the standard deviation of natural-log-transformed harvest numbers) did not change significantly with dietary specialization. Thus, as alternative prey became more important in the lynx diet, the fluctuations became decoupled from a regular cycle but did not become less variable. Our results support the hypothesis that alternative prey decrease population cycle regularity but emphasize that such changes may be driven by dietary shifts among dominant specialist predators rather than exclusively through changes in the predator community.</t>
  </si>
  <si>
    <t>10.1890/07-0147.1</t>
  </si>
  <si>
    <t>Doi, H; Chang, KH; Obayashi, Y; Yoshihara, M; Shime, M; Yamamoto, T; Nishibe, Y; Nakano, S</t>
  </si>
  <si>
    <t>Attached microalgae contribute to planktonic food webs in bays with fish and pearl oyster farms</t>
  </si>
  <si>
    <t>zooplankton; copepod; phytoplankton; grazing; stable isotope; isotope mixing model; amphipod; pelagic food webs</t>
  </si>
  <si>
    <t>STABLE ISOTOPES; ORGANIC-MATTER; COPEPOD; CARBON; ZOOPLANKTON; DELTA-N-15; DELTA-C-13; ECOSYSTEM; DETRITUS; ESTUARY</t>
  </si>
  <si>
    <t>Planktonic food webs are primarily dependent on organic matter derived from phytoplankton. In coastal areas, aquaculture has accelerated in recent decades, and attached algae and invertebrates proliferate on the farming cages. We hypothesized that the organic material on the farm structures is important to planktonic food webs and that the effects of aquaculture differ between fish (fertilized) and pearl oyster farms (not fertilized). To test these hypotheses, we examined the planktonic food webs at fish and pearl oyster farms using stable isotopes in the Uwa Sea, Japan. We collected zooplankton, particulate organic matter (POM, predominantly phytoplankton), attached algae, and macroinvertebrates in July 2005 and February 2006. Based on the isotope mixing model results, the attached microalgae contributed up to approximately 70% of the copepod food sources, and the contribution of attached microalgae to cyclopoid copepods was similar to their contribution to attached macroinvertebrates. Amphipods mainly fed on planktonic detritus from microalgae that had detached from the farm structures. The contribution of attached microalgae to copepod biomass was lower on the pearl oyster farm than on the fish farm. Our results show that attached microalgae from sea farms are important food sources for planktonic food webs in areas with fish farms and that the 2 food webs, attached and pelagic, are coupled through zooplankton grazing.</t>
  </si>
  <si>
    <t>10.3354/meps07202</t>
  </si>
  <si>
    <t>Yokoyama, H; Ishihi, Y; Yamamoto, S</t>
  </si>
  <si>
    <t>Diet-tissue isotopic fractionation of the Pacific oyster Crassostrea gigas</t>
  </si>
  <si>
    <t>stable isotopes; trophic enrichment; bivalve; feeding experiment; Chaetoceros; Crassostrea gigas</t>
  </si>
  <si>
    <t>STABLE-ISOTOPES; CARBON; DELTA-N-15; DELTA-C-13; NITROGEN; ANIMALS; RATIOS; N-15; VARIABILITY; ENRICHMENT</t>
  </si>
  <si>
    <t>Juveniles of the Pacific oyster Crassostrea gigas were reared on a monospecific microalgal diet in order to quantify their C-13 and N-15 diet-tissue fractionations. The weights of these juveniles increased by up to 18-fold within 33 d. The juveniles reached isotopic equilibria with the diet, enabling calculations of fractionation values. The C-13 fractionation for tissues containing lipids ranked as 0.6 parts per thousand (gill lamella) &gt; 0.3 parts per thousand (adductor muscle) &gt;-0.2 parts per thousand (mantle lobe) &gt;-0.9 parts per thousand (whole soft body) &gt;-2.2 parts per thousand (midgut gland), while the N-15 fractionation ranked as 8.7 parts per thousand (adductor muscle) &gt; 6.5 parts per thousand (mantle lobe) &gt; 5.4 parts per thousand (whole soft body) &gt; 5.2 parts per thousand (gill lamella) &gt; 2.3 parts per thousand (midgut gland). Removal of lipids shifted the diet-equilibrated delta C-13 and delta N-15 values in all tissues except the adductor muscle, with resultant increases in the C-13 and N-15 fractionation values. The expected annual mean delta C-13 value for the diet of the oyster in the field is -17.0 parts per thousand, which is an intermediate value among the VC of coastal phytoplankton (-20.2 parts per thousand), epilithon (-20.0 parts per thousand), epipelon (-14.8 parts per thousand), and seaweeds (-14.9 parts per thousand), suggesting that the oyster feeds on a mixture of these micro- and macroalgae. The expected delta N-15 diet value is 3.1 parts per thousand, which is more depleted than values for micro- and macroalgae, suggesting that the N-15 fractionation in the field is smaller than that obtained from the feeding experiment.</t>
  </si>
  <si>
    <t>10.3354/meps07306</t>
  </si>
  <si>
    <t>Moore, JAM; Sulman, BN; Mayes, MA; Patterson, CM; Classen, AT</t>
  </si>
  <si>
    <t>Plant roots stimulate the decomposition of complex, but not simple, soil carbon</t>
  </si>
  <si>
    <t>broadleaf boreal forest; ecosystem model; extracellular enzymes; plant-microbe interaction; soil carbon; soil organic matter; stable isotopes</t>
  </si>
  <si>
    <t>MICROBIAL BIOMASS; ORGANIC-CARBON; FOREST; COMMUNITY; DYNAMICS; RESPIRATION; MECHANISMS; COMPONENTS; TURNOVER; CLIMATE</t>
  </si>
  <si>
    <t>Roots release carbon into soil and can alleviate energy limitation of microbial organic matter decomposition. We know little about the effects of roots on microbial decomposition of different organic matter substrates, despite the importance for soil carbon stocks and turnover. Through implementing root-microbe interactions, the Carbon, Organisms, Rhizosphere and Protection in the Soil Environment (CORPSE) model was previously shown to represent dynamics of total soil carbon in temperate forest field experiments. However, the model permits alternative hypotheses concerning microbial-substrate affinity. We investigated how root inputs affect decomposition of soil organic carbon (SOC) with variable decomposability. We simulated SOC stocks in CORPSE and compared microbial degradation of two substrate types with varying root-microbe interactions under two alternative hypotheses that varied in microbial-substrate affinity. We compared our modelled hypotheses to a forest field experiment where we quantified decomposition of isotopically labelled starch and leaf tissues in soils with manipulated root access to microbes. We tested the hypothesis that decomposition of leaves would be more sensitive to root inputs than decomposition of starch, corresponding to the alternative model hypotheses. In the field study, leaf decomposition increased with root density, whereas starch decomposition was unchanged by root density. Microbial biomass and enzyme activity consistently increased with root inputs in CORPSE and the field study. Our field experiment supported the CORPSE simulations with high microbial-substrate affinity. Roots stimulated microbial growth and enzyme production, which increased the degradation of more complex substrates such as leaf tissues. Substrates that were easily decomposed, such as starch, may already be degrading at a maximum rate in the absence of rhizosphere influence because their decomposition rate was unchanged by root inputs. We found that the degree to which roots stimulate microbial decomposition depends on the substrate being decomposed, and that root-microbe interactions influenced SOC stocks in both our model and field experiment. Environmental changes that alter root-microbe interactions could, therefore, alter soil C stocks and biogeochemical cycling, and models of these interactions should incorporate differential influence of rhizosphere inputs on different substrates. A free Plain Language Summary can be found within the Supporting Information of this article.</t>
  </si>
  <si>
    <t>10.1111/1365-2435.13510</t>
  </si>
  <si>
    <t>Bastias, E; Sponseller, RA; Bundschuh, M; Jonsson, M</t>
  </si>
  <si>
    <t>Seasonal variation in the coupling of microbial activity and leaf litter decomposition in a boreal stream network</t>
  </si>
  <si>
    <t>birch; cellobiohydrolase; extracellular enzyme activity; Krycklan Catchment Study; leaf-use efficiency</t>
  </si>
  <si>
    <t>DISSOLVED ORGANIC-CARBON; HETEROTROPHIC BIOFILMS; ECOSYSTEM FUNCTION; WILLOW LEAVES; WATER; BREAKDOWN; NITROGEN; PATTERNS; FOREST; MATTER</t>
  </si>
  <si>
    <t>Most stream networks are characterised by spatial and temporal variability in the physico-chemical conditions that regulate microbial processing of particulate organic matter. How these patterns control the turnover of particulate organic matter via altered activity of leaf-associated microbes has rarely been studied in high-latitude landscapes, particularly throughout long (i.e., up to 6 months) ice- and snow-covered periods. We investigated development of fungal biomass, enzyme activity, microbial respiration, and birch leaf litter decomposition from autumn to early summer in 11 nested streams in a boreal catchment that encompass a gradient in wetland (mire) cover. We observed relatively low variability in decomposition rates across the network, despite differences in key physical and chemical variables (e.g. temperature, pH, and dissolved organic carbon [DOC] concentrations) over time and space. Microbial enzymatic activity and respiration were positively related to leaf litter decomposition rates during early stages of decomposition (i.e., up to c. 30% loss of initial ash-free dry mass). Thereafter, variation in microbial activity and respiration was decoupled from leaf litter mass loss, as enzymatic activity and respiration instead became positively related to DOC concentrations and upstream mire (wetland) cover among streams. Our results suggest that leaf-associated microbes increase their reliance on external sources of energy over time. This switch in resource use was more evident in streams with higher DOC concentration, which in boreal landscapes is largely determined by mire cover. Hence, variation in DOC concentration, linked to landscape configuration, or from intensified land use and climate change, could affect how different carbon sources are used by stream microbial communities, with consequences for overall carbon cycling in boreal headwaters.</t>
  </si>
  <si>
    <t>10.1111/fwb.13883</t>
  </si>
  <si>
    <t>Kastelle, CR; Helser, TE; Laurel, BJ; Copeman, LA; Stone, KR; McKay, JL</t>
  </si>
  <si>
    <t>Oxygen isotope fractionation in otoliths: experimental results from four North Pacific and Arctic gadid species</t>
  </si>
  <si>
    <t>Oxygen isotope fractionation equation; Temperature; Otolith; Climate change; Thermal exposure history; Arctic cod; Pacific cod; Saffron cod; Walleye pollock</t>
  </si>
  <si>
    <t>COD BOREOGADUS-SAIDA; CARBON STABLE-ISOTOPES; GADUS-MACROCEPHALUS; WALLEYE POLLOCK; AGE VALIDATION; LIFE-HISTORY; FISH COMMUNITIES; TEMPERATURE; GROWTH; WILD</t>
  </si>
  <si>
    <t>High-latitude climate warming is expected to have wide-ranging effects on habitats, ecosystems, and the fish species that occupy them. Not all fish species will be able to adapt to increasing temperatures. We investigated oxygen isotope fractionation in fish otoliths and its relationship to environmental temperature and thermal histories of individual fish. Fish from 4 gadid species, Gadus macrocephalus, Boreogadus saida, Eleginus gracilis, and G. chalcogrammus, representing North Pacific and Arctic regions, were reared in a range of controlled temperatures (0-20 degrees C). We estimated 4 new species-specific otolith oxygen isotope fractionation equations, a relationship between otolith delta O-18 and temperature (T) in the form delta O-18(o) - delta O-18(w) = m x T degrees C + b and also in a second form using the fractionation factor alpha: 1000 ln alpha = a x (1000 TK-1) + c, where o is otolith, w is water, and m, b, a and c are regression coefficients. In using the first form, B. saida was the most unique among the 4 species, with the steepest slope (-0.23) and the highest intercept (32.99 parts per thousand Vienna PeeDee Belemnite [VPDB]). G. macrocephalus had the lowest slope (-0.17) and the lowest intercept (31.76 parts per thousand [VPDB]). Results of an ANCOVA test indicated that the 4 fractionation equations were not statistically different (F = 2.25, p &gt; 0.087). However, when we applied the 4 new fractionation equations to delta O-18(o) measured in wild-caught B. saida otoliths, the species-specific fractionation equation resulted in the closest match between measured and predicted water temperatures. These new fractionation equations represent new tools for investigating temperature effects on fish biota and will also improve paleotemperature reconstruction, especially for high-latitude species.</t>
  </si>
  <si>
    <t>10.3354/meps13985</t>
  </si>
  <si>
    <t>Moreau, C; Le Bourg, B; Balazy, P; Danis, B; Eleaume, M; Jossart, Q; Kuklinski, P; Lepoint, G; Saucede, T; van de Putte, A; Michel, LN</t>
  </si>
  <si>
    <t>Trophic markers and biometric measurements in Southern Ocean sea stars (1985-2017)</t>
  </si>
  <si>
    <t>Antarctica; Asteroidea; benthos; biometric measurements; Echinodermata; elemental contents; invertebrates; marine ecosystems; sea stars; Southern Ocean; stable isotopes; subantarctic Islands</t>
  </si>
  <si>
    <t>Sea stars (Echinodermata: Asteroidea) are a key component of Southern Ocean benthos, with 16% of the known sea star species living there. In temperate marine environments, sea stars commonly play an important role in food webs, acting as keystone species. However, trophic ecology and functional role of Southern Ocean sea stars are still poorly known, notably due to the scarcity of large-scale studies. Here, we report 24,332 trophic marker (stable isotopes and elemental contents of C, N, and S of tegument and/or tube feet) and biometric (arm length, disk radius, arm to disk ratio) measurements in 2,456 specimens of sea stars. Samples were collected between 12 January 1985 and 8 October 2017 in numerous locations along the Antarctic littoral and subantarctic islands. The spatial scope of the data set covers a significant portion of the Southern Ocean (47.717 degrees S to 86.273 degrees S; 127.767 degrees W to 162.201 degrees E; depth, 6-5,338 m). The data set contains 133 distinct taxa, including 72 currently accepted species spanning 51 genera, 20 families, and multiple feeding guilds/functional groups (suspension feeders, sediment feeders, omnivores, predators of mobile or sessile prey). For 505 specimens, mitochondrial CO1 genes were sequenced to confirm and/or refine taxonomic identifications, and those sequences are already publicly available through the Barcode of Life Data System. This number will grow in the future, as molecular analyses are still in progress. Overall, thanks to its large taxonomic, spatial, and temporal extent, as well as its integrative nature (combining genetic, morphological, and ecological data), this data set can be of wide interest to Southern Ocean ecologists, invertebrate zoologists, benthic ecologists, and environmental managers dealing with associated areas. Please cite this data paper in research products derived from the data set, which is freely available without copyright restrictions.</t>
  </si>
  <si>
    <t>e3611</t>
  </si>
  <si>
    <t>10.1002/ecy.3611</t>
  </si>
  <si>
    <t>Murray-Stoker, D; Johnson, MTJ</t>
  </si>
  <si>
    <t>Ecological consequences of urbanization on a legume-rhizobia mutualism</t>
  </si>
  <si>
    <t>mutualism; nitrogen; plant-soil interactions; stable isotopes; structural equation modelling; urban ecology</t>
  </si>
  <si>
    <t>NITROGEN DEPOSITION; WHITE CLOVER; URBAN; PLANT; ENVIRONMENTS; TERM; INHIBITION; DIVERSITY; HERBIVORE; EVOLUTION</t>
  </si>
  <si>
    <t>Mutualisms are key determinants of community assembly and composition, but urbanization can alter the dynamics of these interactions and associated effects on ecosystem functions. Legume-rhizobia mutualisms are a model interaction to evaluate the ecological and ecosystem-level effects of urbanization, particularly urban-driven eutrophication and nitrogen (N) deposition. Here, we evaluated how urbanization affected the ecology of the mutualism between white clover Trifolium repens and its rhizobial symbiont Rhizobium leguminosarum symbiovar trifolii along an urbanization gradient. We found that the abundance of rhizobium nodules on white clover decreased with urbanization. White clover acquired N from mixed sources of N fixation and uptake from the soil for the majority of the urbanization gradient, but white clover primarily acquired N from the soil rather than N fixation by rhizobia at the urban and rural limits of the gradient. Importantly, we identified soil N as a critical nexus for urban-driven changes in the white clover-rhizobium mutualism. Taken together, our results demonstrate that urbanization alters the ecological consequences of a legume-rhizobium mutualism, with direct and indirect effects of the urban landscape on an ecologically-important mutualistic interaction.</t>
  </si>
  <si>
    <t>10.1111/oik.08341</t>
  </si>
  <si>
    <t>Planas, M; Chamorro, A; Paltrinieri, A; Campos, S; Jimenez, A; Nedelec, K; Hernandez-Urcera, J</t>
  </si>
  <si>
    <t>Effect of diet on breeders and inheritance in syngnathids: application of isotopic experimentally derived data to field studies</t>
  </si>
  <si>
    <t>Stable isotopes; Diet; Trophic enrichment factor; Inheritance; Syngnathidae; Prey sources; Cies archipelago</t>
  </si>
  <si>
    <t>LONG-SNOUTED SEAHORSE; HIPPOCAMPUS-GUTTULATUS CUVIER; STABLE-ISOTOPES; FEEDING-HABITS; MIXING MODELS; DISCRIMINATION FACTORS; REPRODUCTIVE COSTS; PREY PREFERENCE; LIFE-HISTORY; BROOK TROUT</t>
  </si>
  <si>
    <t>Syngnathids are vulnerable ovoviviparous fishes in which males undergo repeated brooding within a reproductive season. The isotopic effects of diet on both breeders (pooled sexes) and parent-egg transmission have been demonstrated in a few fish species but never in syngnathids. Quantifying isotopic changes due to diet is necessary to assess parent-newborn conversions and to estimate accurate trophic enrichment factors (TEF). We assessed the isotopic (delta C-13 and delta N-15) effects of 3 experimental diets on TEFs in seahorse Hippocampus guttulatus breeders and isotopic inheritance. Our results suggest that H. guttulatus follows an income-capital continuum pattern for parent-egg transmission. The isotopic variability in diets for breeders and the resulting experimentally derived TEFs were compared with fixed TEFs from reviews to estimate their impact on the relative contribution of potential prey sources in syngnathids from the Cies archipelago (Atlantic Islands National Park, NW Spain). We estimated source contributions using stable isotope mixing models (SIMMs) by combining prey sources into ecologically informative groups and incorporating informative priors. We demonstrate that (1) most frequently used TEFs from reviews might not be suitable for all fish species, particularly syngnathids, and (2) dietary source variability has a great effect on source contribution estimates. This study is also the first to provide specific TEFs for syngnathids.</t>
  </si>
  <si>
    <t>10.3354/meps13315</t>
  </si>
  <si>
    <t>Allen, ST; Brooks, JR; Keim, RF; Bond, BJ; McDonnell, JJ</t>
  </si>
  <si>
    <t>The role of pre- event canopy storage in throughfall and stemflow by using isotopic tracers</t>
  </si>
  <si>
    <t>canopy storage; stable isotope tracers; rainfall interception; spatial heterogeneity; temporal stability</t>
  </si>
  <si>
    <t>SPATIAL VARIABILITY; INTERCEPTION LOSS; STABLE-ISOTOPES; RAIN-FOREST; WATER; PATTERNS; O-18; TREE; FLOW; CHEMISTRY</t>
  </si>
  <si>
    <t>Stable isotopes can be a valuable tool for tracing the redistribution, storage, and evaporation of water associated with canopy interception of rainfall. Isotopic differences between throughfall and rainfall have been attributed to three mechanisms: evaporative fractionation, isotopic exchange with ambient vapor, and temporal redistribution. We demonstrate the potential importance of a fourth mechanism: rainfall mixing with water retained within the canopy (in bark, epiphytes, etc.) from prior rain events. Amount and isotopic composition (O-18 and H-2) of rainfall and throughfall were measured over a 3-month period in a Douglas-fir forest in the Cascade Range of Oregon, USA. The range of spatial variability of throughfall isotopic composition exceeded the differences between event-mean isotopic compositions of rainfall and throughfall. Inter-event isotopic variation of precipitation was high and correlated with the isotopic deviation of throughfall from rainfall, likely related to a high canopy/bark storage capacity storage bridging events. Both spatial variability of throughfall isotopic composition and throughfall-precipitation isotopic differences appear to have been controlled by the temporally varying influence of residual precipitation from previous events. Therefore, isotopic heterogeneity could indicate local storage characteristics and the partitioning of flow-paths within the canopy. Copyright (c) 2013 John Wiley &amp; Sons, Ltd.</t>
  </si>
  <si>
    <t>10.1002/eco.1408</t>
  </si>
  <si>
    <t>Thebault, E; Huber, V; Loreau, M</t>
  </si>
  <si>
    <t>Cascading extinctions and ecosystem functioning: contrasting effects of diversity depending on food web structure</t>
  </si>
  <si>
    <t>ECOLOGICAL COMMUNITIES; POPULATION-DYNAMICS; DENSITY-DEPENDENCE; SPECIES-DIVERSITY; CURRENT KNOWLEDGE; FIELD EXPERIMENTS; TROPHIC CASCADES; CHAIN LENGTH; BIODIVERSITY; STABILITY</t>
  </si>
  <si>
    <t>The consequences of species loss on cascading extinctions in food webs have been the focus of several recent theoretical studies, with differing results. Changes in ecosystem properties consecutive to cascading extinctions have received far less attention even though such dramatic events might strongly alter ecosystem functioning. Here we use various food web models to investigate the effects of species loss and diversity on both secondary extinctions and their associated changes in ecosystem properties. Our analysis shows that diversity has contrasting effects depending on the presence of self-limiting terms at consumer levels and, to a lower extent, on connectance and interspecific competition. Ecosystems that lose a high proportion of species through cascading extinctions exhibit the most important changes in ecosystem properties. Linking studies on cascading extinctions in food webs with studies that investigate the effects of biodiversity on ecosystem functioning appears crucial for a better understanding of the consequences of species extinctions.</t>
  </si>
  <si>
    <t>10.1111/j.2006.0030-1299.15007.x</t>
  </si>
  <si>
    <t>Wauthy, M; Rautio, M</t>
  </si>
  <si>
    <t>Permafrost thaw stimulates primary producers but has a moderate effect on primary consumers in subarctic ponds</t>
  </si>
  <si>
    <t>allochthony; browning; Daphnia; fatty acid; food web; mixing model; permafrost thaw; stable isotope; terrestrial carbon; thaw ponds; thermokarst; zooplankton</t>
  </si>
  <si>
    <t>SOMATIC GROWTH; CLIMATE-CHANGE; FOOD QUALITY; LAKES; CARBON; ZOOPLANKTON; PHYTOPLANKTON; TERRESTRIAL; TEMPERATURE; REPRODUCTION</t>
  </si>
  <si>
    <t>Frozen tundra soils hold one of the Earth's largest pools of organic carbon. Climate warming and the associated permafrost thaw release a large fraction of this carbon into circumpolar lakes, inducing extreme browning that fuels the heterotrophic microbial food web. How this permafrost carbon affects organisms higher in the food chain remains unknown. Using dissolved organic matter properties, total phosphorus, chlorophylla, fatty acids, and stable isotopes, we investigated the influence of thawing permafrost on primary producers and primary consumers of the planktonic food web. We sampled four subarctic thaw ponds that were affected by permafrost carbon and another four ponds that were not. Our results highlight the stimulating influence of eroding and degrading ice-rich permafrost on nutrients and planktonic algae. Relative to the non-thaw ponds, the permafrost thaw-influenced freshwaters had higher total phosphorus concentrations (14.8 vs. 70.4 mu g/L, respectively). This in turn led to a higher chlorophylla(2.7 vs. 45.2 mu g/L) and seston omega-3 fatty acid concentrations (7.3 vs. 53.5 mu g/L) despite significantly reduced light for primary production. Differences between the thaw and non-thaw ponds were less marked at the primary consumer level.Daphnia pulex, which dominated the crustacean zooplankton community, did not respond to the higher omega-3 availability in the thaw ponds but rather assimilated the high-quality fatty acids equally in all ponds, possibly because their metabolic needs were already saturated. However, some lower quality terrestrial carbon compounds from permafrost ended up in theD. pulexbody mass, resulting in a median allochthony of 18% based on fatty acid mixing model; non-thaw ponds had median allochthony mixing model estimates of 8%. The high availability of algal resources seemed to prevent extensive zooplankton allochthony in subarctic thaw ponds.</t>
  </si>
  <si>
    <t>e03099</t>
  </si>
  <si>
    <t>10.1002/ecs2.3099</t>
  </si>
  <si>
    <t>Pausch, RC; Mulchi, CL; Lee, EH; Forseth, IN; Slaughter, LH</t>
  </si>
  <si>
    <t>Use of C-13 and N-15 isotopes to investigate O-3 effects on C and N metabolism in soybeans .1. C fixation and translocation</t>
  </si>
  <si>
    <t>ozone; Glycine max; soybean; C-13; stable isotope; translocation; net photosynthesis; gas exchange; root nodules; carbon uptake</t>
  </si>
  <si>
    <t>TERM OZONE EXPOSURE; SOIL-WATER DEFICIT; OPEN-TOP CHAMBERS; AGRICULTURAL CROPS; SULFUR-DIOXIDE; CARBON ECONOMY; DOUGLAS-FIR; GROWTH; YIELD; ALLOCATION</t>
  </si>
  <si>
    <t>Short- and long-term C uptake/transaction dynamics were studied using stable isotope techniques and leaf gas exchange to investigate the mechanism(s) of O-3 action on plant yield and C partitioning. Glycine mar (L.) Merr. (soybean) plants were grown in open-top chambers and exposed to one of three O-3, regimes: half-ambient, ambient, or 2 x ambient for nearly the entire growing season. The seasonal 7 h average O-3 concentrations (nl l(-1)) were 25, 43, and 76 nl l(-1), respectively. Whole plant C translocation was measured using pulse-labeled (CO2)-C-13 (99 atom %C-13) at two distant growth stages (R2 and R5). Translocation parameters were as follows: %C-13 (sink strength), % C-13/g dry weight (sink intensity), and % C-13/% Organ dry weight (relative specific uptake). Single leaf photosynthesis (P-n) was measured at four growth stages (V7, R2, R3, and R4). Ozone significantly affected translocation, but the effect was dependent upon growth stage and the time following the C-13 pulse. At the stage of rapid seed fill within the pods (R5), and at 42 h post-labeling, all three leaf translocation parameters had a significant positive linear relationship with O-3 exposure. Conversely, root nodule values were all inversely related to O-3 exposure. Generally, at 0.5 h post-labeling, no significant effects were observed for leaves and nodule translocation patterns, with the exception of an inverse relationship between sink strength and O-3 exposure. No significant differences were observed for single leaf P-n among treatments. Our results indicate that the mechanism of chronic O-3 action involves inhibition of translocation, implying reduced phloem loading and the inhibition may be occurring without a concomitant reduction in the amount of C fixed. In addition, C-13 pulse labeling appears to be a very useful technique for investigating integrated long-term C translocation dynamics which might not otherwise be evident using instantaneous methods such as short-term labeling or limited leaf gas exchange measurements.</t>
  </si>
  <si>
    <t>10.1016/0167-8809(96)01042-0</t>
  </si>
  <si>
    <t>Fabiani, G; Penna, D; Barbeta, A; Klaus, J</t>
  </si>
  <si>
    <t>Sapwood and heartwood are not isolated compartments: Consequences for isotope ecohydrology</t>
  </si>
  <si>
    <t>ecohydrology; heartwood; sapwood; stable isotopes; xylem anatomy</t>
  </si>
  <si>
    <t>STABLE-ISOTOPES; WATER-STORAGE; SOIL-WATER; CRYOGENIC EXTRACTION; THERMAL DISSIPATION; RADIAL-DISTRIBUTION; TEMPORAL DYNAMICS; PLANT-WATER; STEM WATER; SAP FLOW</t>
  </si>
  <si>
    <t>In most tree species, xylem consists of two different functional parts: sapwood and heartwood. While sapwood, as the flowpath for sap, has received more attention in isotope studies assessing water sources accessed by trees (e.g. soil water from different depths, groundwater, stream water or a mixture of these), much remains unknown about heartwood and the possible water exchange between the two functional parts. We investigated four tree species (Fagus sylvatica, Quercus petraea, Pseudotsuga menziesii and Picea abies) characterised by different xylem anatomy and timing of physiological activity to evaluate the degree of differentiation in isotopic composition of water between sapwood and heartwood on a biweekly time scale. We found that the sapwood and heartwood of all species displayed a concurrent variation in their isotopic composition throughout the growing season and on a day-night scale suggesting that the two are not isolated compartments. While the two functional parts display a consistent difference in isotopic composition in conifers, they are characterised by more similar values in broadleaved species in broadleaved species, suggesting a higher degree of water exchange. Furthermore, we have also observed a progressive change in the isotopic composition in broadleaved species with sampling depth rather than functional parts of xylem. Our study highlights the value of accounting for radial isotopic variation, which might potentially lead to uncertainties concerning the origin of the extracted water for water uptake studies.</t>
  </si>
  <si>
    <t>10.1002/eco.2478</t>
  </si>
  <si>
    <t>Zhao, LY; Castellini, MA; Mau, TL; Trumble, SJ</t>
  </si>
  <si>
    <t>Trophic interactions of Antarctic seals as determined by stable isotope signatures</t>
  </si>
  <si>
    <t>CARBON ISOTOPES; DIET; PHYTOPLANKTON; FRACTIONATION; DELTA-C-13; OCEAN; ANIMALS; RATIOS; FLOW; N-15</t>
  </si>
  <si>
    <t>The diets and trophic interactions among Weddell, crabeater, Ross, and leopard seals in the eastern Ross Sea, Antarctica, were investigated by the use of stable isotope techniques during the 1999-2000 summer seasons. The delta(13)C and delta(15)N values in seal serum clearly distinguished the three Antarctic pack-ice seal species at different trophic positions (Weddell&gt;Ross&gt;crabeater). These patterns appeared to reflect a close linkage to their known foraging ecology and diving behaviors, and agreed well with their presumed dietary diversity. The more enriched delta(13)C and delta(15)N values in male Weddell seals than those in females suggested differences in foraging preferences between them. Significant differences in delta(15)N were also found among different age groups of Weddell seals. A strong correlation between the C:N ratios and serum cholesterol was probably due to extremely high cholesterol levels in phocids. Comparisons of isotope data with harbor seals revealed distinct differences between Antarctic phocids and the northern seal species.</t>
  </si>
  <si>
    <t>10.1007/s00300-004-0598-0</t>
  </si>
  <si>
    <t>Moreno, R; Stowasser, G; McGill, RAR; Bearhop, S; Phillips, RA</t>
  </si>
  <si>
    <t>Assessing the structure and temporal dynamics of seabird communities: the challenge of capturing marine ecosystem complexity</t>
  </si>
  <si>
    <t>community; diet; pellets; procellariiform; regurgitations; resource partitioning; seabirds; stable isotopes; stomach contents; trophic guilds</t>
  </si>
  <si>
    <t>PETRELS PELECANOIDES-GEORGICUS; PRION PACHYPTILA-DESOLATA; STABLE-ISOTOPE SIGNATURES; CLIMATE-CHANGE; INTERANNUAL VARIATION; FEEDING ECOLOGY; SOUTH-GEORGIA; FOOD-WEB; TROPHIC RELATIONSHIPS; BREEDING BIOLOGY</t>
  </si>
  <si>
    <t>1. Understanding interspecific interactions, and the influences of anthropogenic disturbance and environmental change on communities, are key challenges in ecology. Despite the pressing need to understand these fundamental drivers of community structure and dynamics, only 17% of ecological studies conducted over the past three decades have been at the community level. 2. Here, we assess the trophic structure of the procellariiform community breeding at South Georgia, to identify the factors that determine foraging niches and possible temporal changes. We collected conventional diet data from 13 sympatric species between 1974 and 2002, and quantified intra-and inter-guild, and annual variation in diet between and within foraging habits. In addition, we tested the reliability of stable isotope analysis (SIA) of seabird feathers collected over a 13-year period, in relation to those of their potential prey, as a tool to assess community structure when diets are diverse and there is high spatial heterogeneity in environmental baselines. 3. Our results using conventional diet data identified a four-guild community structure, distinguishing species that mainly feed on crustaceans; large fish and squid; a mixture of crustaceans, small fish and squid; or carrion. In total, Antarctic krill Euphausia superba represented 32%, and 14 other species a further 46% of the combined diet of all 13 predators, underlining the reliance of this community on relatively few types of prey. Annual variation in trophic segregation depended on relative prey availability; however, our data did not provide evidence of changes in guild structure associated with a suggested decline in Antarctic krill abundance over the past 40 years. 4. Reflecting the differences in delta N-15 of potential prey (crustaceans vs. squid vs. fish and carrion), analysis of delta N-15 in chick feathers identified a three-guild community structure that was constant over a 13-year period, but lacked the trophic cluster representing giant petrels which was identified using conventional diet data. 5. Our study is the first in recent decades to examine dietary changes in seabird communities over time. Conventional dietary analysis provided better resolution of community structure than SIA. However, delta N-15 in chick feathers, which reflected trophic (level) specialization, was nevertheless an effective and less time-consuming means of monitoring temporal changes.</t>
  </si>
  <si>
    <t>10.1111/1365-2656.12434</t>
  </si>
  <si>
    <t>Rennie, MD; Sprules, WG; Johnson, TB</t>
  </si>
  <si>
    <t>Resource switching in fish following a major food web disruption</t>
  </si>
  <si>
    <t>Nearshore phosphorous shunt; Dreissenids; Biological invasion; Stable isotopes; Lake whitefish</t>
  </si>
  <si>
    <t>WHITEFISH COREGONUS-CLUPEAFORMIS; STABLE-ISOTOPE ANALYSIS; BENTHIC MACROINVERTEBRATE POPULATIONS; LAURENTIAN GREAT-LAKES; SOUTH BAY; AMPHIPOD DIPOREIA; TROPHIC POSITION; DELTA-C-13; HURON; MICHIGAN</t>
  </si>
  <si>
    <t>Dreissenid mussels (Dreissena polymorpha and D. bugensis) have re-engineered Great Lakes ecosystems since their introduction in the late 1980s. Dreissenids can have major indirect impacts on profundal habitats by redirecting nutrients and energy away from pelagic production (which supplies profundal production) and depositing nutrients and energy in the nearshore zones that they occupy. However, strong empirical evidence for the effects of this redirection of resources on fish populations is currently lacking. Here, we report significant shifts in isotopic signatures, depth distribution and diets of a coldwater profundal fish population that are all consistent with a greater reliance on nearshore resources after the establishment of dreissenid mussels in South Bay, Lake Huron. Isotopic signatures of scales collected from 5-year-old lake whitefish (Coregonus clupeaformis) demonstrated remarkable stability over the 50-year period prior to the establishment of dreissenids (1947-1997) and a sudden and significant change in isotopic signatures (3aEuro degrees enrichment in delta(13)C and 1aEuro degrees depletion in delta(15)N) after their establishment (2001-2005). These dramatic shifts in isotopic signatures were accompanied by a coincident shift in the mean depth of capture of lake whitefish towards the nearshore. A comparison of previously unpublished pre-invasion diets of lake whitefish from South Bay with contemporary diets collected between 2002 and 2005 also indicate a greater reliance on nearshore prey after the invasion of dreissenid mussels. This study is the first to report changes in the carbon source available to lake whitefish associated with restructured benthic communities after the appearance of dreissenid mussels. Further, this study contributes to a growing body of work that demonstrates the ecological insights that can be gained through isotopic analysis of archived fish bony tissues in ecosystems that have experienced significant levels of disturbance.</t>
  </si>
  <si>
    <t>10.1007/s00442-008-1271-z</t>
  </si>
  <si>
    <t>Sargeant, CI; Singer, MB</t>
  </si>
  <si>
    <t>Sub-annual variability in historical water source use by Mediterranean riparian trees</t>
  </si>
  <si>
    <t>tree-rings; cellulose; delta O-18; riparian; phreatic; vadose; floodplain; hydrology; climate; plant-water relations</t>
  </si>
  <si>
    <t>OXYGEN-ISOTOPE RATIOS; STABLE-ISOTOPE; FRAXINUS-EXCELSIOR; CLIMATE-CHANGE; UNITED-STATES; CYCLE CHANGES; LEAF WATER; SOIL-WATER; DROUGHT; CELLULOSE</t>
  </si>
  <si>
    <t>The seasonal availability of water within a tree's rooting zone may be an important determinant for individual tree growth and overall forest health, particularly in riparian corridors of Mediterranean climate zones that are vulnerable to water stress. Here, we present a new method that combines dendro-isotopes and isotope modelling for determining how water source use varies over 10 consecutive growing seasons (2000-2010) for co-occurring species Populus nigra and Fraxinus excelsior, along the Rhone River, south-eastern France. We conducted highly resolved delta O-18 analysis of cellulose micro-slices within tree-rings and back-calculated the delta O-18 signature of source water available at the time of growth using a biochemical fractionation model. We related these patterns to inferred seasonal hydrological partitioning through comparison with delta O-18 of waters from the vadose and phreatic zones, precipitation and streamflow. The shallowly rooted Fraxinus displayed greater sub-annual source water variability, as well as greater isotopic enrichment, reflecting use of precipitation-derived vadose moisture. Its earlywood was formed mainly from winter rainfall (delta O-18 depleted) whilst the latewood was composed from growing season precipitation (delta O-18 enriched). In Populus, the sub-annual source water use was relatively depleted, suggesting use of hyporheic water and regional groundwater. From 2007, both species converged in their pattern of water source uptake which was attributed to a decline in phreatic water access for Populus. These results demonstrate that the seasonal variability in source water use can be identified retrospectively, a method which may prove important for anticipating the future consequences of climate-driven changes to the hydrological cycle. (C) 2016 The Authors. Ecohydrology published by John Wiley &amp; Sons, Ltd.</t>
  </si>
  <si>
    <t>10.1002/eco.1730</t>
  </si>
  <si>
    <t>Sardenne, F; Bodin, N; Barret, L; Blamey, L; Govinden, R; Gabriel, K; Mangroo, R; Munaron, JM; Le Loch, F; Bideau, A; Le Grand, F; Sabino, M; Bustamante, P; Rowat, D</t>
  </si>
  <si>
    <t>Diet of spiny lobsters from Mahe Island reefs, Seychelles inferred by trophic tracers</t>
  </si>
  <si>
    <t>Fatty acids; Stable isotopes; Bayesian mixing model; Panulirus spp; Tropical reef habitats; Western Indian Ocean</t>
  </si>
  <si>
    <t>STABLE-ISOTOPE RATIOS; JASUS-LALANDII; CORAL-REEF; PANULIRUS-CYGNUS; FEEDING ECOLOGY; FATTY-ACIDS; WEST-COAST; ROCK; SIZE; TISSUE</t>
  </si>
  <si>
    <t>Spiny lobsters (Panulirus longipes, P. penicillatus and P. versicolor) are an important resource in Seychelles, where they inhabit coastal carbonate and granite reefs that have been impacted by multiple coral bleaching events over the past two decades. Little is known about their biology and ecology in this region. Interspecific competition for food resources was previously suggested, but no quantitative data on the diet of spiny lobsters were available. Using carbon and nitrogen stable isotope compositions and fatty acid profiles of three spiny lobster species and their potential prey, a Bayesian mixing model for diet estimation was applied to compare the diet proportions of spiny lobsters among species and between reef types (carbonate and granite reefs). Model outputs suggested the three lobster species consume mainly crustaceans (Anomoura hermit crabs; half of the diet), then Echinoidea (sea urchins), algae and molluscs. P. versicolor was found to consume slightly more molluscs and algae than the two other studied species, which was consistent with its lower trophic level (2.4 vs 2.8 for the two other species). Trophic level did not increase with carapace length of spiny lobsters, but large individuals had higher carbon isotopic values suggesting that they might feed closer to the coast or more on detritus feeders than their smaller congeners. Diets of spiny lobsters were fairly similar between carbonate and granite reefs, except that lobster inhabiting granite reefs consumed more sea urchins. While our overall findings were consistent with gut contents of Panulirus spp. from other world regions, they should be confirmed, as the discrimination of several prey based on trophic tracers was low, which increased mixing model uncertainty. (C) 2021 Elsevier B.V. All rights reserved.</t>
  </si>
  <si>
    <t>10.1016/j.rsma.2021.101640</t>
  </si>
  <si>
    <t>Ward-Paige, CA; Risk, MJ; Sherwood, OA</t>
  </si>
  <si>
    <t>Reconstruction of nitrogen sources on coral reefs: delta N-15 and delta C-13 in gorgonians from Florida Reef Tract</t>
  </si>
  <si>
    <t>Florida keys; Belize; Plexaura spp.; gorgonian; delta N-15; delta C-13; sewage; water quality</t>
  </si>
  <si>
    <t>CONTINENTAL SHELF TRENDS; GREAT-BARRIER-REEF; PRIMNOA-RESEDAEFORMIS; BUILDING CORALS; DEEP-SEA; KEYS; EUTROPHICATION; GROWTH; USA; COMMUNITIES</t>
  </si>
  <si>
    <t>The gorgonians Plexaura spp. occur throughout the Florida Reef Tract, and lay down annual bands of a tough protein, gorgonin, in their skeletons. We analyzed stable isotopes of nitrogen (delta N-15) and carbon (delta C-13) from individual annual bands in skeletons of Plexaura homomalla and P. flexuosa from 10 locations on the Florida Reef Tract, producing a proxy record of nutrient inputs dating from the mid-1970s to 2002. Isotope data were compared with tissue from offshore Belize reefs, and inshore reefs from Xel-Ha, Mexico (Yucatan Peninsula), collected in 2003. Based on previous nutrient work, Florida sites were classified as 'clean' (relatively low nutrient levels) and 'dirty' (elevated nutrient levels). Samples from clean and dirty sites had significantly different nitrogen isotope values, which were correlated with the average total nitrogen of the seawater. Dirty sites (3.9 +/- 0.2 %. delta N-15) were isotopically enriched over clean sites (2.9 +/- 0.1 parts per thousand) throughout the entire duration of the study. Dirty sites had an enrichment of 0.8 parts per thousand delta N-15 throughout the study period, with the greatest increase in the 10 yr from 1993 to 2002 inclusive. Clean sites showed no significant change since 1974. Levels and trends in delta C-13 showed a similar picture of high and increasing eutrophication stress. Clean sites had lower VC values, consistent with predominantly autotrophic nutrition; dirty sites had higher values, suggesting a shift to a more heterotrophic mode of feeding. The methods outlined herein suggest that long-term records of organic pollution on coral reefs may be retrieved from gorgonian skeletons.</t>
  </si>
  <si>
    <t>10.3354/meps296155</t>
  </si>
  <si>
    <t>Ruiz-Cooley, RI; Gerrodette, T</t>
  </si>
  <si>
    <t>Tracking large-scale latitudinal patterns of delta C-13 and delta N-15 along the E Pacific using epi-mesopelagic squid as indicators</t>
  </si>
  <si>
    <t>consumers; Dosidicus gigas; nitrogen and carbon cycling; ocean currents; stable isotopes; Sthenoteuthis oualaniensis</t>
  </si>
  <si>
    <t>STABLE-ISOTOPE RATIOS; GULF-OF-CALIFORNIA; ANAEROBIC AMMONIUM OXIDATION; DOSIDICUS-GIGAS CEPHALOPODA; JUMBO SQUID; MARINE PLANKTON; GEOGRAPHICAL VARIATIONS; NITROGEN-FIXATION; TROPHIC ECOLOGY; CARBON ISOTOPES</t>
  </si>
  <si>
    <t>Because consumers integrate components of their habitat through diet over time and space, stable isotope ratios from animal tissues can track spatial variation in baseline values across marine systems. To understand large-scale geographic patterns in the eastern Pacific ocean, muscle delta C-13 and delta N-15 from epi-mesopelagic squid (n = 404) were collected from 39 degrees S to 53 degrees N and analyzed in relation to hemisphere, latitude, geographic area and current systems. Geographic patterns were controlled for effects of secondary factors such as squid size, species (Dosidicus gigas and Sthenoteuthis oualaniensis), tissue and year of collection. Joint latitudinal variation of delta C-13 and delta N-15 was also described for the first time. Both delta C-13 and delta N-15, as well as the standardized difference between them, had distinct patterns by latitude. delta C-13 was the highest at 22 degrees S and decreased north and south of that latitude, with lower values at mid-northern latitudes than near the equator. delta N-15 had the lowest values near the equator and gradually increased towards mid-latitudes. The standardized difference between delta C-13 and delta N-15 was highest (C was higher relative to N) near the equator and declined to mid-latitudes. Overall, the delta C-13 and delta N-15 geographic patterns agreed with previous studies for delta N-15 from surface NO3-, but not for delta C-13 in plankton, POM and squid. We suggest that the biochemical processes for carbon and nitrogen are spatially more variable than what has previously been reported because squid isotope ratios varied also among current systems and geographic areas. These geographic patterns in delta C-13 and delta N-15, indicated by consumers such as cephalopods, could improve our understanding about the interaction between the carbon and nitrogen cycle and the heterogeneity in biochemical cycling processes in marine systems.</t>
  </si>
  <si>
    <t>10.1890/ES12-00094.1</t>
  </si>
  <si>
    <t>Mitchell, E; Scheer, C; Rowlings, D; Conant, RT; Cotrufo, MF; Grace, P</t>
  </si>
  <si>
    <t>Amount and incorporation of plant residue inputs modify residue stabilisation dynamics in soil organic matter fractions</t>
  </si>
  <si>
    <t>SOM stabilisation; C sequestration; Stable isotopes; Decomposition</t>
  </si>
  <si>
    <t>CARBON SATURATION; NITROGEN; LITTER; MECHANISMS; DECOMPOSITION; TILLAGE; SEQUESTRATION; AGGREGATE; STORAGE; IMPACT</t>
  </si>
  <si>
    <t>Carbon sequestration in agricultural soils has been promoted as a means to reduce atmospheric concentrations of greenhouse gases (GHG) whilst improving soil productivity. Although there is broad agreement on practices that increase carbon (C) stocks, uncertainty remains on how agricultural management affects the stability of these gains. The fate of above-ground residue into soil organic matter (SOM) was tracked using isotopically labelled (C-13 and N-15) residue over 12 months in a pasture soil in sub-tropical Australia. Agricultural residue management was simulated by (1) altering the rate of residue input and (2) incorporating residue with topsoil or leaving on soil surface. Increased input and incorporation of residue increased residue-derived SOM content, with the majority of residue-derived SOM accumulating as particulate organic matter (POM) (65%) with more modest gains in mineral-associated fractions. Rapid accumulation of residue-derived SOM in the mineral-associated fractions in the initial stages of decomposition, coinciding with a high loss of labile residue components, indicate an important role for soluble OM inputs in providing an immediate and long-term sink for C and N. However, this must be considered alongside high rates of accumulation in the more readily mineralised POM fraction, particularly when a soil is approaching saturation, which is likely to lead to greater mineralisation of SOM.</t>
  </si>
  <si>
    <t>10.1016/j.agee.2017.12.006</t>
  </si>
  <si>
    <t>Hillbricht-Ilkowska, A</t>
  </si>
  <si>
    <t>River-lake system in a mosaic landscape; Main results and some implications for theory and practice from studies on the river Jorka system (Masurian Lakeland, Poland)</t>
  </si>
  <si>
    <t>river-lake systems; landscape and catchment studies</t>
  </si>
  <si>
    <t>WETLAND; RETENTION; DIVERSITY</t>
  </si>
  <si>
    <t>The basic results and conclusions of multi-year studies (described in detail in previous papers) on the river-lake system in the lakeland region of north-eastern Poland are shortly presented in relation to the selected general ecological problems. The study area was proved to be representative of the mosaic landscape structure and of the river-lake system as atrophic continuum with the spatial pattern of human impact established a century ago. Generally low export rates of nutrients and relatively low input to the lakes were found as typical of the region. However, year-to-year variation in nutrient export from the lake watersheds was high, mostly related to the discharge variation, and highest in the vernal period; the highest values were found for polluted fragments of the watershed. The long-term relative stability of in-lake trophic conditions was found and their basic relation to the lake position in the river system. The role of wetlands (isolated patches and the zones close to lakes) in diminishing the nutrient input was proved and their vegetation was described. Some consequences of the possible global warming and decrease in discharge and water table in the region were pointed out, such as the pulsing (concentrated in the freshet period) system of water and nutrient supplying, sink or source function of lakes in the river system (positive or negative nutrient retention in successive lakes), change in eutrophication rate, and its symptoms. The main implications for watershed management in the lakeland region are indicated.</t>
  </si>
  <si>
    <t>Lindbladh, M; Hedwall, PO; Holmstrom, E; Petersson, L; Felton, A</t>
  </si>
  <si>
    <t>How generalist are these forest specialists? What Sweden's avian indicators indicate</t>
  </si>
  <si>
    <t>biodiversity; birds; forest conservation; indicator species; monitoring; surveys</t>
  </si>
  <si>
    <t>TITS PARUS-CRISTATUS; NEST-SITE SELECTION; STAND STRUCTURE; NORWAY SPRUCE; DEAD WOOD; HABITAT; BIRDS; MANAGEMENT; BIODIVERSITY; ASSOCIATIONS</t>
  </si>
  <si>
    <t>Monitoring of forest biodiversity and habitats is an important part of forest conservation, but due to the impossible task of monitoring all species, indicator species are frequently used. However, reliance on an incorrect indicator of valuable habitat can reduce the efficiency of conservation efforts. Birds are often used as indicators as they are charismatic, relatively easy to survey, and because we often have knowledge of their habitat and resource requirements. In the Swedish government's environmental quality goals, there are a number of bird species identified as being associated with 'older' and 'high natural value' forests. Here we evaluate the occurrence of four of these indicator species using data from 91 production forest stands and 10 forest reserves in southern Sweden. The bird species assessed are willow tit Poecile montanus, coal tit Periparus ater, European crested tit Lophophanes cristatus and Eurasian treecreeper Certhia familiaris. For the production stands assessed, these indicator species exhibited no significant preferences regarding forest composition and structure, indicating a wider range of habitat associations than expected. These species frequently showed territorial behavior in forest stands &lt;60 and even 40 years of age; much younger than the 120-year threshold for 'older forest' as defined by governmental environmental goals. As almost 80% of the production stands &gt;= 10 years old included at least one of the four indicator species, this raises questions regarding the suitability of these species as indictors of forests of high conservational value in southern Sweden. Notably, besides the four species assessed here, none of the additional indicator taxa identified by the government, were recorded in the 10 reserves. This outcome may reflect the difficulties involved in finding bird indicator species indicative of high natural values in this region. Our results highlight the importance of coupling bird surveys with quantified assessments of proximate vegetation cover.</t>
  </si>
  <si>
    <t>10.1111/acv.12595</t>
  </si>
  <si>
    <t>Hata, A; Nakashita, R; Anezaki, T; Minami, M; Fukue, Y; Higuchi, N; Uno, H; Nakajima, Y; Saeki, M; Kozakai, C; Takada, MB</t>
  </si>
  <si>
    <t>Agricultural crop consumption induces precocious maturity in deer by improving physical and reproductive performance</t>
  </si>
  <si>
    <t>age; agricultural crops; body size; bone collagen; Cervus nippon; large herbivore; nitrogen stable isotopes; population dynamics; reproduction</t>
  </si>
  <si>
    <t>SIKA-DEER; STABLE-ISOTOPE; CERVUS-NIPPON; POPULATION-DYNAMICS; DIET; HABITAT; DAMAGE; GRASSLANDS; SENESCENCE; DEBARKING</t>
  </si>
  <si>
    <t>Anthropogenic foods such as agricultural crops have potential to give large impacts on wildlife populations. However, few studies have addressed the impact of anthropogenic food consumption on the individual performance and then population of long-lived mammals such as large herbivores. In this study, we investigated the effect of agricultural crop consumption on the physical characteristics and reproductive performances of sika deer (Cervus nippon) in central Japan. To investigate the relative dietary contribution of agricultural crops for each individual, we performed nitrogen stable isotope analysis of bone collagen. Our results suggest that nitrogen stable isotope ratios (delta N-15) could be used as an index of the relative dietary contribution of agricultural crops. The delta N-15 value of agricultural crops was much higher than that of wild plants and that of bone collagen varied widely among individuals. Deer &lt;= 4 yr old that were more likely to consume agricultural crops tended to be larger and have a higher reproductive rate. In contrast, body size and reproductive rate did not vary according to the relative dietary contribution of agricultural crops in individuals &gt;= 5 yr old. These results indicate that consumption of anthropogenic foods can induce precocious maturity in younger individuals by improving their physical characteristics and reproductive performance. Agricultural crop consumption is therefore likely to be an important factor in the population dynamics of large herbivores living in agricultural landscapes.</t>
  </si>
  <si>
    <t>e03464</t>
  </si>
  <si>
    <t>10.1002/ecs2.3464</t>
  </si>
  <si>
    <t>Andersson, ML; Scharnweber, K; Eklov, P</t>
  </si>
  <si>
    <t>The interaction between metabolic rate, habitat choice, and resource use in a polymorphic freshwater species</t>
  </si>
  <si>
    <t>intraspecific variation; metabolic rate; morphometrics; Perca fluviatilis; plasticity; resource use; respirometry; stable isotopes</t>
  </si>
  <si>
    <t>SWIMMING PERFORMANCE; INDIVIDUAL VARIATION; PHENOTYPIC PLASTICITY; LAKE MORPHOMETRY; BROOK CHARR; MORPHOLOGY; GROWTH; PERCH; SALMON; SEX</t>
  </si>
  <si>
    <t>Resource polymorphism is common across taxa and can result in alternate ecotypes with specific morphologies, feeding modes, and behaviors that increase performance in a specific habitat. This can result in high intraspecific variation in the expression of specific traits and the extent to which these traits are correlated within a single population. Although metabolic rate influences resource acquisition and the overall pace of life of individuals it is not clear how metabolic rate interacts with the larger suite of traits to ultimately determine individual fitness. We examined the relationship between metabolic rates and the major differences (habitat use, morphology, and resource use) between littoral and pelagic ecotypes of European perch (Perca fluviatilis) from a single lake in Central Sweden. Standard metabolic rate (SMR) was significantly higher in pelagic perch but did not correlate with resource use or morphology. Maximum metabolic rate (MMR) was not correlated with any of our explanatory variables or with SMR. Aerobic scope (AS) showed the same pattern as SMR, differing across habitats, but contrary to expectations, was lower in pelagic perch. This study helps to establish a framework for future experiments further exploring the drivers of intraspecific differences in metabolism. In addition, since metabolic rates scale with temperature and determine predator energy requirements, our observed differences in SMR across habitats will help determine ecotype-specific vulnerabilities to climate change and differences in top-down predation pressure across habitats.</t>
  </si>
  <si>
    <t>e9129</t>
  </si>
  <si>
    <t>10.1002/ece3.9129</t>
  </si>
  <si>
    <t>Sullivan, SMP; Corra, JW; Hayes, JT</t>
  </si>
  <si>
    <t>Urbanization mediates the effects of water quality and climate on a model aerial insectivorous bird</t>
  </si>
  <si>
    <t>aerial insectivores; climate; conservation; cross-boundary ecosystems; streams; urbanization</t>
  </si>
  <si>
    <t>SWALLOWS TACHYCINETA-BICOLOR; CONTERMINOUS UNITED-STATES; FOOD-CHAIN LENGTH; TREE SWALLOWS; REPRODUCTIVE SUCCESS; LAND-USE; STABLE-ISOTOPES; SPRING TEMPERATURES; AVIAN COMMUNITIES; MERCURY EXPOSURE</t>
  </si>
  <si>
    <t>Aerial insectivorous birds have experienced alarming population declines in eastern North America. Meanwhile, urbanization continues to increase rapidly, with urban land use comprising 69.4 million acres (1 acre = 0.40 ha), or 3.6% of total land area, in the contiguous United States. Multiple environmental changes are associated with urbanization, including alterations to local climate, changes in habitat structure, and potential shifts in both terrestrial and emergent aquatic flying insects on which aerial insectivorous birds rely. Here, we investigated the linkages between urbanization, water quality, and Tree Swallow (Tachycineta bicolor) reproductive success and body condition at seven river-riparian sites representing urban and protected land use in Columbus, Ohio (USA) over five consecutive years (2014-2018). Tree Swallows at urban and protected sites relied on emergent aquatic insects for 37.4% and 30.8% (SD = 28.4% and 24.1%) of their nutritional subsidies, respectively. Despite the loss of environmental quality generally attributed to cities, Tree Swallows exhibited greater reproductive success in urban settings where climate was more amenable to egg and nestling survival, and the breeding season was longer. Urban-nesting Tree Swallows initiated laying 7.9 d earlier and fledged 35% more young per nest than those at protected sites. Multiple characteristics of urban sites appeared to drive these patterns, including differences in mean and extreme air temperatures and measures of water quality (e.g., water temperature, nutrient concentrations, turbidity). However, chronic effects of elevated Hg concentrations, which were 482% greater in adult swallow blood at urban sites than at protected sites where swallows exhibited a 17.4% lower trophic position, may disadvantage individuals in other ways. Further, although Tree Swallows are a good model aerial insectivore bird species, characteristics of urban landscapes that benefit Tree Swallows may not advantage other aerial insectivorous birds owing to differences in life-history and foraging strategies. These findings implicate urbanization, local climate, and water quality as important considerations in the conservation of aerial insectivorous birds.</t>
  </si>
  <si>
    <t>e01442</t>
  </si>
  <si>
    <t>10.1002/ecm.1442</t>
  </si>
  <si>
    <t>Newsome, SD; Tinker, MT; Gill, VA; Hoyt, ZN; Doroff, A; Nichol, L; Bodkin, JL</t>
  </si>
  <si>
    <t>The interaction of intraspecific competition and habitat on individual diet specialization: a near range-wide examination of sea otters</t>
  </si>
  <si>
    <t>Individual diet specialization; Habitat; Intraspecific competition; Stable isotopes</t>
  </si>
  <si>
    <t>BOTTOM PREY COMMUNITIES; ENHYDRA-LUTRIS; NICHE WIDTH; FOOD LIMITATION; RESOURCE USE; POPULATION; ALASKA; ABUNDANCE; HETEROGENEITY; DIVERSITY</t>
  </si>
  <si>
    <t>The quantification of individuality is a common research theme in the fields of population, community, and evolutionary ecology. The potential for individuality to arise is likely context-dependent, and the influence of habitat characteristics on its prevalence has received less attention than intraspecific competition. We examined individual diet specialization in 16 sea otter (Enhydra lutris) populations from southern California to the Aleutian Islands in Alaska. Because population histories, relative densities, and habitat characteristics vary widely among sites, we could examine the effects of intraspecific competition and habitat on the prevalence of individual diet specialization. Using observed diet data, we classified half of our sites as rocky substrate habitats and the other half containing a mixture of rocky and unconsolidated (soft) sediment substrates. We used stable isotope data to quantify population- and individual-level diet variation. Among rocky substrate sites, the slope [+/- standard error (SE)] of the positive significant relationship between the within-individual component (WIC) and total isotopic niche width (TINW) was shallow (0.23 +/- 0.07) and negatively correlated with sea otter density. In contrast, the slope of the positive WIC/TINW relationship for populations inhabiting mixed substrate habitats was much higher (0.53 +/- 0.14), suggesting a low degree of individuality, irrespective of intraspecific competition. Our results show that the potential for individuality to occur as a result of increasing intraspecific competition is context-dependent and that habitat characteristics, which ultimately influence prey diversity, relative abundance, and the range of skillsets required for efficient prey procurement, are important in determining when and where individual diet specialization occurs in nature.</t>
  </si>
  <si>
    <t>10.1007/s00442-015-3223-8</t>
  </si>
  <si>
    <t>Sanchez-Murillo, R; Todini-Zicavo, D; Poca, M; Birkel, C; Esquivel-Hernandez, G; Chavarria, MM; Zuecco, G; Penna, D</t>
  </si>
  <si>
    <t>Dry season plant water sourcing in contrasting tropical ecosystems of Costa Rica</t>
  </si>
  <si>
    <t>centrifugation; ecohydrology; plant water sources; stable isotopes; tropics; water extraction; water source uptake</t>
  </si>
  <si>
    <t>STABLE-ISOTOPE; SOIL-WATER; EXTRACTION METHODS; SAGUARO CACTUS; HYDROGEN; FRACTIONATION; GROUNDWATER; SEPARATION; RATIOS; FOREST</t>
  </si>
  <si>
    <t>Tracer-aided studies to understand plant water uptake sources and dynamics in tropical ecosystems are limited. Here, we report the analysis of dry season source water uptake patterns of five unique ecosystems of Costa Rica across altitudinal (&lt;150-3,400 m asl) and latitudinal (Caribbean and Pacific slopes) gradients: evergreen and seasonal rainforests, cloud forest, Paramo and dry forest. Soil and plant samples were collected during the dry season in 2021. Plant and soil water extractions were conducted using centrifugation. Stem water extracted volume and stem total water content were calculated via gravimetric analysis. Water source contributions were estimated using a Bayesian mixing model. Isotope ratios in soil and stems exhibited a strong meteoric origin. Enrichment trends were only detected in stems and cactus samples within the dry forest ecosystem. Soil profiles revealed nearly uniform isotopic profiles; however, a depletion trend was observed in the Paramo ecosystem below 25 cm. More enriched compositions were reported in cactus samples for extracted water volumes above similar to 20% (adj. r(2) = 0.34, p &lt; 0.01). The most prominent dry season water source in the evergreen rainforest (74.0%), seasonal rainforest (86.4%) and cloud forest (66.0%) corresponded to well-mixed soil water. In the Paramo ecosystem, recent rainfall produced by trade wind incursions resulted in the most significant water source (61.9%), whereas in the dry forest, mean annual precipitation (38.6%) and baseflow (33.1%) were the dominant sources. The latter highlights the prevalence of distinct water uptake sources between recent cold front rainfall (near-surface soil storage) to more well-mixed soil moisture during the dry season, revealing ecohydrological processing previously unknown in this tropical region.</t>
  </si>
  <si>
    <t>e2541</t>
  </si>
  <si>
    <t>10.1002/eco.2541</t>
  </si>
  <si>
    <t>Guerrieri, R; Lecha, L; Mattana, S; Caliz, J; Casamayor, EO; Barcelo, A; Michalski, G; Penuelas, J; Avila, A; Mencuccini, M</t>
  </si>
  <si>
    <t>Partitioning between atmospheric deposition and canopy microbial nitrification into throughfall nitrate fluxes in a Mediterranean forest</t>
  </si>
  <si>
    <t>ammonia-oxidizing archaea; ammonia-oxidizing bacteria; canopy nitrification; Mediterranean forest; metabarcoding; nitrate fluxes; stable isotopes; throughfall</t>
  </si>
  <si>
    <t>OXYGEN ISOTOPIC COMPOSITION; NITROGEN DEPOSITION; BUDGET MODEL; PHYLLOSPHERE; POLLUTION; BACTERIA; CARBON; DELTA-O-17; TEMPERATE; INPUTS</t>
  </si>
  <si>
    <t>1. Microbial activity plays a central role in nitrogen (N) cycling, with effects on forest productivity. Although N biotransformations, such as nitrification, are known to occur in the soil, here we investigate whether nitrifiers are present in tree canopies and actively process atmospheric N. 2. This study was conducted in a Mediterranean holm oak (Quercus ilex L.) forest in Spain during the transition from hot dry summer to cool wet winter. We quantified NH4+-N and NO3--N fluxes for rainfall (RF) and throughfall (TF) and used delta N-15, delta O-18 and Delta O-17 to elucidate sources of NO3-. Finally, we characterized microbial communities and abundance of nitrifiers on foliage, RF and TF water through metabarcoding and quantitative polymerase chain reaction respectively. 3. NO3-N fluxes at the site were larger in TF than RF, suggesting a contribution from dry deposition, as also supported by delta N-15 and delta O-18. However, Delta O-17 indicated that about 20% of NO3- in TF derived from canopies nitrification in August, after a severe drought, with a lower proportion in September (approximate to 8%). This seasonal partitioning between biologically and atmospherically derived NO3- coincided with a decreasing trend of the abundance of archaeal nitrifiers. Tree canopies and TF had more diverse microbial communities than RF. Yet, RF showed higher variability in microbial composition, likely associated with the origin of air masses. 4. Synthesis. Atmospheric N deposition is significantly altered after passing through tree canopies. While nitrification has been proposed as one of the mechanisms responsible for these changes, very few studies directly investigate its occurrence. Here, we showed that nitrification by epiphytic leaf microbes contributed to increasing NO3 in TF and that nitrifiers' activity was reduced going from the dry and hot summer to the cool winter. Overall, these results highlight the power of coupling microbial community analysis, functional gene amplification and stable isotope approaches to examine ecosystem-scale processes.</t>
  </si>
  <si>
    <t>10.1111/1365-2745.13288</t>
  </si>
  <si>
    <t>Hocking, MD; Reimchen, TE</t>
  </si>
  <si>
    <t>Salmon species, density and watershed size predict magnitude of marine enrichment in riparian food webs</t>
  </si>
  <si>
    <t>BEARS URSUS-ARCTOS; PACIFIC SALMON; BROWN BEARS; ALLOCHTHONOUS INPUT; ONCORHYNCHUS SPP.; ISOTOPIC EVIDENCE; NITROGEN; NUTRIENTS; TERRESTRIAL; VEGETATION</t>
  </si>
  <si>
    <t>Resource subsidies across habitat boundaries can structure recipient communities and food webs. In the northern Pacific region, bears Ursus spp. foraging on anadromous salmon Oncorhynchus spp. provide a key link between marine and terrestrial ecosystems, with salmon density, fish size and watershed size as potential predictors of the magnitude of marine subsidy to terrestrial habitats. We use nitrogen and carbon stable isotopes to provide an assessment of the patterns of marine-enrichment in riparian plants (11 species, 4 guilds) and litter invertebrates (4 guilds) sampled from 27 watersheds in coastal British Columbia, Canada. Watersheds occurred in three geographical regions (Vancouver Island, mainland midcoast and Haida Gwaii) and varied in size, and in biomass (kg m(-1) of spawning length) and species of salmon (chum O. keta, pink O. gorbuscha and coho O. kisutch). delta N-15 values in all plant species and invertebrate guilds were positively predicted by total salmon biomass (kg m(-1)) and negatively predicted by watershed size. We observed replicated parallel slopes among plant species and invertebrate guilds across the gradient in salmon biomass, with differences in means hypothesized to be due to plant fractionation and animal trophic position. As such, we derived a watershed delta N-15-index averaged across guilds, and using an information theoretic approach we find that the biomass of chum salmon is a much stronger predictor of the delta N-15-index than either pink or coho salmon, or the sum biomass of all species. The top linear model contained chum biomass and watershed size. Chum salmon biomass independently predicted delta N-15-index variation in all three regions of British Columbia. Chum salmon are larger than pink or coho and provide an energetic reward for bears that facilitates carcass transfer, tissue selective foraging, and nutrient distribution by insect scavengers. Analyses of biodiversity and habitat data across many watersheds moves towards a long-term goal in fisheries ecology to better integrate ecosystem values in salmon conservation.</t>
  </si>
  <si>
    <t>10.1111/j.1600-0706.2009.17302.x</t>
  </si>
  <si>
    <t>Stephens, RB; Ouimette, AP; Hobbie, EA; Rowe, RJ</t>
  </si>
  <si>
    <t>Reevaluating trophic discrimination factors (Delta delta C-13 and Delta delta N-15) for diet reconstruction</t>
  </si>
  <si>
    <t>animal diet; Bayesian mixing models; carbon; isotope discrimination; isotopic ecology; isotopic routing; nitrogen; stable isotopes; trophic ecology</t>
  </si>
  <si>
    <t>STABLE-ISOTOPE DISCRIMINATION; CARBON ISOTOPES; NITROGEN ISOTOPES; AMINO-ACIDS; FACTORS DELTA-N-15; MIXING MODELS; CONSUMER-DIET; FISH MUSCLE; DELTA-C-13; TISSUE</t>
  </si>
  <si>
    <t>Stable isotope analysis is increasingly being used to assess diet and trophic positions of animals. Such assessments require estimates of trophic discrimination factors (TDFs)-offset between the isotopic composition of diet and animal tissues-with imprecise applications of TDFs leading to biased conclusions in resource use. Because TDFs are unavailable for most species, ecologists often apply values from taxonomically similar species or use trophic step increases of approximately 1 parts per thousand for carbon (TDF-delta C-13) and 3 parts per thousand for nitrogen (TDF-delta N-15). Such practices may yield inaccuracies since TDFs vary greatly, even within a species. To better understand the factors that influence TDFs, we conducted a meta-analysis of TDF-delta C-13 and TDF-delta N-15 for mammals and quantified variation in relation to consumer type (herbivore, omnivore, carnivore) and diet source (C-3-based, C-4-based, marine-based, mixture). Additionally, to guide TDF choice, we used an isotopic data set of small mammal tissues and diet items to assess how predicted dietary contributions vary with TDFs estimated using (1) taxonomic relatedness, (2) consumer type and diet source, or (3) values derived from wild animals eating natural diets. Our meta-analysis revealed that metabolic routing and interactions between consumer class, dietary source, and the protein versus energy content of diets best explained variation in TDF-delta C-13 values (-1.5 parts per thousand to 7.3 parts per thousand), whereas consumer class best explained variation in TDF-delta N-15 values (-0.5 parts per thousand to 7.1 parts per thousand). Our test of methods to estimate TDFs indicated that ecologists should avoid relying on taxonomic relatedness when selecting TDF-delta C-13 because mixed-diet lab studies may produce misleading results for herbivores and omnivores. Additionally, field-derived estimates could help fill TDF gaps where diets within a consumer class are absent. Overall, we suggest that using standard TDF trophic step values should be abandoned, because feeding studies are often poor proxies for natural diets, particularly for herbivores and omnivores. Instead, we make recommendations on how to select TDFs, along with a range of TDF-delta C-13 and TDF-delta N-15 values depending on diet source, consumer class, and tissue type. Use of these more refined recommendations and TDF values in isotopic assessments will improve estimates of diets and trophic interactions in natural systems, leading to a better understanding of ecological interactions and communities.</t>
  </si>
  <si>
    <t>e1525</t>
  </si>
  <si>
    <t>10.1002/ecm.1525</t>
  </si>
  <si>
    <t>Ishikawa, NF; Togashi, H; Kato, Y; Yoshimura, M; Kohmatsu, Y; Yoshimizu, C; Ogawa, NO; Ohte, N; Tokuchi, N; Ohkouchi, N; Tayasu, I</t>
  </si>
  <si>
    <t>Terrestrial-aquatic linkage in stream food webs along a forest chronosequence: multi-isotopic evidence</t>
  </si>
  <si>
    <t>biomass; C and N stable isotopes; carbonate weathering; forest age; mixing model; radiocarbon; root respiration; stream macroinvertebrates</t>
  </si>
  <si>
    <t>DISSOLVED INORGANIC CARBON; LONG-TERM RECOVERY; HEADWATER STREAMS; ORGANIC-MATTER; SUCCESSION; BIODIVERSITY; COMMUNITIES; WATERSHEDS; PLANTATION; DELTA-N-15</t>
  </si>
  <si>
    <t>Long-term monitoring of ecosystem succession provides baseline data for conservation and management, as well as for understanding the dynamics of underlying biogeochemical processes. We examined the effects of deforestation and subsequent afforestation of a riparian forest of Japanese cedar (Cryptomeria japonica) on stable isotope ratios of carbon (delta C-13) and nitrogen (delta N-15) and natural abundances of radiocarbon (Delta C-14) in stream biota in the Mt. Gomadan Experimental Forest and the Wakayama Forest Research Station, Kyoto University, central Japan. Macroinvertebrates, periphytic algae attached to rock surfaces (periphyton), and leaf litter of terrestrial plants were collected from six headwater streams with similar climate, topography, and bedrock geology, except for the stand ages of riparian forests (from 3 to 49 yr old in five stands and &gt;90 yr old in one reference stand). Light intensity and delta C-13 values of both periphyton and macroinvertebrates decreased synchronously with forest age in winter. A Bayesian mixing model indicates that periphyton contributions to the stream food webs are maximized in 23-yr-old forests. Except for grazers, most macroinvertebrates showed Delta C-14 values similar to those of terrestrial leaf litter, reflecting the influence of modern atmospheric CO2 Delta C-14 values. On the other hand, the Delta C-14 values of both periphyton and grazers (i.e., aquatic primary consumers) were significantly lower than that of modern atmospheric CO2, and were lowest in 23-yr-old forest stands. Previous studies show that root biomass of C. japonica peaks at 15-30 yr after planting. These evidences suggest that soil CO2 released by root respiration and dispersed by groundwater weathers carbonate substrata, and that dissolved inorganic carbon (DIC) with low Delta C-14 is incorporated into stream periphyton and some macroinvertebrates. The ecological response in the studied streams to clear-cutting and replanting of Japanese cedar is much slower (similar to 20 yr) than the chemical response (&lt;5 yr). More than 50 yr is required for the food web structure to completely recover from clear-cutting. The ecological delay is attributed to several biogeochemical factors, the understanding of which is critical to integrated management of forest-stream continuum and the prediction of ecosystem resilience in response to environmental change.</t>
  </si>
  <si>
    <t>10.1890/15-1133.1</t>
  </si>
  <si>
    <t>Wepking, C; Badgley, B; Barrett, JE; Knowlton, KF; Lucas, JM; Minick, KJ; Ray, PP; Shawver, SE; Strickland, MS</t>
  </si>
  <si>
    <t>Prolonged exposure to manure from livestock-administered antibiotics decreases ecosystem carbon-use efficiency and alters nitrogen cycling</t>
  </si>
  <si>
    <t>Agroecology; antibiotics; ecosystem function; elemental cycles; microbial ecology; stable isotopes</t>
  </si>
  <si>
    <t>SOIL MICROBIAL COMMUNITIES; RESISTANCE GENES; VETERINARY ANTIBIOTICS; STAPHYLOCOCCUS-AUREUS; ANTIMICROBIAL-USE; ORGANIC-MATTER; BACTERIA; FATE; DIVERSITY; IMPACT</t>
  </si>
  <si>
    <t>Microbial communities drive soil ecosystem function but are also susceptible to environmental disturbances. We investigated whether exposure to manure sourced from cattle either administered or not administered antibiotics affected microbially mediated terrestrial ecosystem function. We quantified changes in microbial community composition via amplicon sequencing, and terrestrial elemental cycling via a stable isotope pulse-chase. Exposure to manure from antibiotic-treated cattle caused: (i) changes in microbial community structure; and (ii) alterations in elemental cycling throughout the terrestrial system. This exposure caused changes in fungal : bacterial ratios, as well as changes in bacterial community structure. Additionally, exposure to manure from cattle treated with pirlimycin resulted in an approximate two-fold increase in ecosystem respiration of recently fixed-carbon, and a greater proportion of recently added nitrogen in plant and soil pools compared to the control manure. Manure from antibiotic-treated cattle therefore affects terrestrial ecosystem function via the soil microbiome, causing decreased ecosystem carbon use efficiency, and altered nitrogen cycling.</t>
  </si>
  <si>
    <t>10.1111/ele.13390</t>
  </si>
  <si>
    <t>Hering, D; Aroviita, J; Baattrup-Pedersen, A; Brabec, K; Buijse, T; Ecke, F; Friberg, N; Gielczewski, M; Januschke, K; Kohler, J; Kupilas, B; Lorenz, AW; Muhar, S; Paillex, A; Poppe, M; Schmidt, T; Schmutz, S; Vermaat, J; Verdonschot, PFM; Verdonschot, RCM; Wolter, C; Kail, J</t>
  </si>
  <si>
    <t>Contrasting the roles of section length and instream habitat enhancement for river restoration success: a field study of 20 European restoration projects</t>
  </si>
  <si>
    <t>aquatic macrophytes; benthic invertebrates; fish; floodplain; flow patterns; food web; ground beetles; riparian vegetation; stable isotopes</t>
  </si>
  <si>
    <t>BENTHIC INVERTEBRATES; STREAM RESTORATION; FRESH-WATER; HYDROMORPHOLOGICAL RESTORATION; ECOSYSTEM SERVICES; ECOLOGICAL STATUS; MOUNTAIN RIVERS; MACROINVERTEBRATES; FISH; METAANALYSIS</t>
  </si>
  <si>
    <t>Restoration of river hydromorphology often has limited detected effects on river biota. One frequently discussed reason is that the restored river length is insufficient to allow populations to develop and give the room for geomorphological processes to occur. We investigated ten pairs of restored river sections of which one was a large project involving a long, intensively restored river section and one represented a smaller restoration effort. The restoration effect was quantified by comparing each restored river section to an upstream non-restored section. We sampled the following response variables: habitat composition in the river and its floodplain, three aquatic organism groups (aquatic macrophytes, benthic invertebrates and fish), two floodplain-inhabiting organism groups (floodplain vegetation, ground beetles), as well as food web composition and land-water interactions reflected by stable isotopes. For each response variable, we compared the difference in dissimilarity of the restored and nearby non-restored section between the larger and the smaller restoration projects. In a second step, we regrouped the pairs and compared restored sections with large changes in substrate composition to those with small changes. When comparing all restored to all non-restored sections, ground beetles were most strongly responding to restoration, followed by fish, floodplain vegetation, benthic invertebrates and aquatic macrophytes. Aquatic habitats and stable isotope signatures responded less strongly. When grouping the restored sections by project size, there was no difference in the response to restoration between the projects targeting long and short river sections with regard to any of the measured response variables except nitrogen isotopic composition. In contrast, when grouping the restored sections by substrate composition, the responses of fish, benthic invertebrates, aquatic macrophytes, floodplain vegetation and nitrogen isotopic composition were greater in sections with larger changes in substrate composition as compared to those with smaller changes.Synthesis and applications. The effects of hydromorphological restoration measures on aquatic and floodplain biota strongly depend on the creation of habitat for aquatic organisms, which were limited or not present prior to restoration. These positive effects on habitats are not necessarily related to the restored river length. Therefore, we recommend a focus on habitat enhancement in river restoration projects. The effects of hydromorphological restoration measures on aquatic and floodplain biota strongly depend on the creation of habitat for aquatic organisms, which were limited or not present prior to restoration. These positive effects on habitats are not necessarily related to the restored river length. Therefore, we recommend a focus on habitat enhancement in river restoration projects.</t>
  </si>
  <si>
    <t>10.1111/1365-2664.12531</t>
  </si>
  <si>
    <t>Boesing, AL; Marques, TS; Martinelli, LA; Nichols, E; Siqueira, PR; Beier, C; de Camargo, PB; Metzger, JP</t>
  </si>
  <si>
    <t>Conservation implications of a limited avian cross-habitat spillover in pasture lands</t>
  </si>
  <si>
    <t>Landscape complementation; Landscape supplementation; Stable isotopes; Agricultural landscapes; Brazilian Atlantic Forest; Birds</t>
  </si>
  <si>
    <t>BRAZILIAN ATLANTIC FOREST; STABLE-ISOTOPES; FINITE MIXTURES; NICHE WIDTH; RAIN-FOREST; BIRDS; FRAGMENTATION; CONNECTIVITY; DISPERSAL; DECISIONS</t>
  </si>
  <si>
    <t>Increasing evidence demonstrates a role for the cross-habitat spillover process in the maintenance of biodiversity in managed agricultural landscapes. However, the mechanisms that drive this process are less well understood. In particular, it is critical to know how landscape structure modulates spillover movements, and whether species are moving through the matrix to acquire resources or simply to disperse between habitat fragments. We tested landscape effects and food resource use within cattle pasture matrices. We used mist-nets to collect data on avian communities across 51 sampling sites, spanning a forest cover gradient. We additionally integrated stable isotopic analysis (delta C-13 signature) to determine the provenance of resources used (either forest - dominated by C-3 plants; or pasture, dominated by C-4). Bird movement across pasture matrices was extremely reduced, and bird occupation was concentrated near forest edges. There was a clear distinction of resource use according to species' habitat preferences, with forest-species foraging predominantly in-forests, open-area species in pastures, and generalist species having more varied diets, but still relying on a large proportion of C-3 sources. Forest cover was unrelated to avian spillover from forests into pastures, but positively related to C-3 signatures for both forest and open-area associated species. Finally, we found that most birds moving from forests to pastures were habitat generalists (63%), and that pastures work as a barrier for forest-associated species movement. Landscapes dominated by pasture are very unfavorable to the conservation of forest species, but potentially can maintain ecosystem services from the spillover of generalist species.</t>
  </si>
  <si>
    <t>10.1016/j.biocon.2020.108898</t>
  </si>
  <si>
    <t>Hoffman, JC; Smith, ME; Lehman, JT</t>
  </si>
  <si>
    <t>Perch or plankton: top-down control of Daphnia by yellow perch (Perca flavescens) or Bythotrephes cederstroemi in an inland lake?</t>
  </si>
  <si>
    <t>bioenergetics; Bythotrephes; Daphnia; perch; trophic cascades</t>
  </si>
  <si>
    <t>INVERTEBRATE PREDATOR BYTHOTREPHES; ONEIDA-LAKE; NEW-YORK; ZOOPLANKTON COMMUNITY; BIOENERGETICS MODEL; PREY CONSUMPTION; SPECIES INVASION; SIZE VARIATION; VISUAL-ACUITY; GREAT-LAKES</t>
  </si>
  <si>
    <t>1. Seasonal termination of the vernal clear-water phase in Long Lake, Grand Traverse Co., Michigan coincided with severe size-selective predation on juvenile Daphnia pulicaria from 0.8 to 1.8 mm in length. This could be caused by predation by age-0 yellow perch (Perca flavescens) or by the exotic predatory zooplankter Bythotrephes cederstroemi. 2. During the initial decline of Daphnia, Ivlev's electivity coefficient for yellow perch from 15.0 to 20.0 mm in length was 0.50 for copepods and -0.75 for D. pulicaria. 3. Bioenergetics modelling of both yellow perch and Bythotrephes demonstrates that, during the initial Daphnia decline, Bythotrephes consumed 1.5-5 times greater total mass than yellow perch. Furthermore, models in which Bythotrephes consumed juvenile Daphnia were more consistent with the timing of the Daphnia decline than those in which yellow perch consumed juvenile Daphnia. 4. The invasion of Bythotrephes into Long Lake seems to be a significant perturbation, introducing effects that propagate throughout the food chain. Bythotrephes created a possible bottleneck for age-0 yellow perch in late June by suppressing Daphnia.</t>
  </si>
  <si>
    <t>10.1046/j.1365-2427.2001.00716.x</t>
  </si>
  <si>
    <t>Kokubun, N; Takahashi, A; Paredes, R; Young, RC; Sato, NN; Yamamoto, T; Kikuchi, DM; Kitaiskaia, EV; Ito, M; Watanuki, Y; Will, AP; Lauth, R; Romano, MD; Kitaysky, AS</t>
  </si>
  <si>
    <t>Inter-annual climate variability affects foraging behavior and nutritional state of thick-billed murres breeding in the southeastern Bering Sea</t>
  </si>
  <si>
    <t>Seabirds; Behavioral plasticity; Diving; GPS tracking; Nutritional stress; Corticosterone</t>
  </si>
  <si>
    <t>POLLOCK THERAGRA-CHALCOGRAMMA; ST-GEORGE ISLAND; FOOD AVAILABILITY; WALLEYE POLLOCK; REPRODUCTIVE SUCCESS; POPULATION PROCESSES; MARINE PREDATOR; SEABIRDS; STRESS; DYNAMICS</t>
  </si>
  <si>
    <t>Warm oceanographic conditions of the continental shelf regions in the southeastern Bering Sea are associated with drastic increases in the abundance of juvenile walleye pollock Gadus chalcogrammus at shallow depths. We hypothesized that thick-billed murres Uria lomvia would benefit from these warm conditions by taking advantage of such an abundant prey resource available near their breeding colonies. We compiled a large dataset on the foraging behavior and nutritional state of murres breeding on St. George Island between 2003 and 2015. Murres foraged mostly on the continental shelf in warm years, but foraged in both on-shelf and off-shelf habitats in cold years. Shifts in foraging locations were associated with changes in diving depths. Nighttime foraging and daily diving effort increased during cold years, suggesting murres had to work more to obtain food under cold compared to warm conditions. Chick diets shifted from squid and benthic fishes in cold years to juvenile pollock in warm years. Foraging trip duration and reproductive success of birds were not affected by shifting oceanographic conditions, suggesting that murres behaviorally mediated the effects of inter-annual climate variability on their reproduction. However, this 'behavioral buffering' had associated costs, reflected in higher corticosterone concentrations in the blood of murres in cold compared to warm years, indicating that breeding birds incurred higher levels of nutritional stress under cold conditions. Our multiyear integrative study provides support that warmer conditions on the continental shelf might benefit piscivorous seabirds due to an increase in the availability of juvenile walleye pollock in the southeastern Bering Sea.</t>
  </si>
  <si>
    <t>10.3354/meps12365</t>
  </si>
  <si>
    <t>Khattar, G; Vaz, S; Braga, PHP; Macedo, M; da Silveira, LFL</t>
  </si>
  <si>
    <t>Life history traits modulate the influence of environmental stressors on biodiversity: The case of fireflies, climate and artificial light at night</t>
  </si>
  <si>
    <t>beta-diversity; biodiversity hotspot; extinction threats; Lampyridae; light pollution; tropical mountains</t>
  </si>
  <si>
    <t>COLEOPTERA LAMPYRIDAE; EVOLUTION; DIVERSITY; POLLUTION; INSECTS; BIOLUMINESCENCE; ATTRACTION; PREDATION; RESPONSES; PATTERNS</t>
  </si>
  <si>
    <t>Aim Artificial light at night (ALAN) is an unprecedented stressor recently introduced in the abiotic milieu of natural landscapes. As such, understanding how ALAN and other natural stressors act in concert to shape the spatial distribution of biodiversity is a core goal in conservation ecology. Here, we aim at understanding how ALAN and climate interact with life history traits and courtship signalling systems to dictate the composition of firefly communities in a global biodiversity hotspot. Location An extensive elevational gradient in the Atlantic rain forest (Brazil) currently known as the hottest hotspot of fireflies on Earth. Methods We used multivariate species distribution models to understand how species traits and courtship signalling systems interact with climate and ALAN to determine species abundance within firefly communities. We also investigated how species-specific responses to climate and ALAN scale up to determine compositional changes in firefly communities along the elevational gradient. Results We found that climate shapes communities by filtering species according to their body size and trophic position. ALAN dictates the dominant courtship signalling system within communities by affecting the abundance of species that use bioluminescence or a combination of bioluminescence and pheromones in courtship. We also found that associations between beta-diversity and ALAN were non-stationary, being higher in regions under low levels of light pollution. This suggests that even incipient increases in ALAN within protected areas can yield fast changes in the composition of firefly communities. Main Conclusions Firefly responses to climate and ALAN are modulated by traits associated with different facets of their life histories. Given the alarming changes in both stressors predicted for the foreseeable future, our findings indicate that firefly communities are vulnerable to compositional changes even within protected areas.</t>
  </si>
  <si>
    <t>10.1111/ddi.13584</t>
  </si>
  <si>
    <t>Narvestad, A; Lydersen, C; Kovacs, KM; Lowther, AD</t>
  </si>
  <si>
    <t>Foraging behaviour of sympatrically breeding macaroni (Eudyptes chrysolophus) and chinstrap (Pygoscelis antarcticus) penguins at Bouvetoya, Southern Ocean</t>
  </si>
  <si>
    <t>Ecological niche; niche overlap; central place foraging; competition; stable isotope analysis; biotelemetry</t>
  </si>
  <si>
    <t>KRILL EUPHAUSIA-SUPERBA; FUR SEALS; STABLE-ISOTOPES; PROVISIONING BEHAVIOR; TROPHIC RELATIONSHIPS; POPULATION-CHANGES; FOOD-CONSUMPTION; SHETLAND ISLANDS; CLIMATE-CHANGE; GENTOO</t>
  </si>
  <si>
    <t>Species with similar ecological requirements that overlap in range tend to segregate their niches to minimize competition for resources. However, the niche segregation possibilities for centrally foraging predators that breed on isolated Subantarctic islands may be reduced by spatial constraints and limitations in the availability of alternative prey. In this study we examined spatial and trophic aspects of the foraging niches of two sympatrically breeding penguin species, macaroni (Eudyptes chrysolophus; MAC) and chinstrap (Pygoscelis antarcticus; CHIN) penguins, at Bouvetoya over two breeding seasons. To measure at-sea movements and diving behaviour, 90 MACs and 49 CHINs were equipped with GPS loggers and dive recorders during two austral summer breeding seasons (2014/15 and 2017/18). In addition, blood samples from tracked birds were analysed for stable isotopes to obtain dietary information. CHINs displayed marked interannual variation in foraging behaviour, diving deeper, utilizing a larger foraging area and displaying enriched values of 815N in 2014/15 compared to the 2017/18 breeding season. In contrast, MACs dove to similar depths and showed similar 815N values, while consistently utilizing larger foraging areas compared to CHINs. We suggest that low krill abundances in the waters around Bouvetoya during the 2014/15 season resulted in CHINs shifting toward a diet that increased their niche overlap with MACs. Our findings may partly explain the decreasing number of breeding CHINs at the world's most remote island, Bouvetoya, while also highlighting the importance of characterizing niche overlap of species using multi-season data sets.</t>
  </si>
  <si>
    <t>10.33265/polar.v41.6351</t>
  </si>
  <si>
    <t>Martinson, HM; Raupp, MJ</t>
  </si>
  <si>
    <t>A meta-analysis of the effects of urbanization on ground beetle communities</t>
  </si>
  <si>
    <t>body size; Carabidae; ecological traits; effect size; log response ratio; meta-analysis; model selection; urbanization</t>
  </si>
  <si>
    <t>URBAN-RURAL GRADIENT; CARABID BEETLE; BODY-SIZE; ASSEMBLAGES COLEOPTERA; SPECIES ASSEMBLAGES; BIRD COMMUNITIES; NATURAL ENEMIES; SPATIAL-PATTERN; PATCH SIZE; LAND-USE</t>
  </si>
  <si>
    <t>Urbanization is one of the most disruptive forms of land use, and its effects on ecological communities are likely to increase as the human population continues to shift from rural to urban living. Whether the myriad changes encompassed by urbanization (e.g., habitat fragmentation, the urban heat island effect, disturbance) affect biological communities in predictable ways remains unresolved. In this study, we employed meta-analysis to quantify the overall effects of urbanization on ground beetles (Coleoptera: Carabidae), an ecologically diverse and important group that has been relatively well-studied in cities. We calculated effect sizes for carabid species richness, the total abundance of beetles at a site (assemblage abundance), and the abundances of individual species at urban compared to rural forested sites. We found that the number of carabid species in cities was only 77.6% that of corresponding rural sites, whereas assemblage abundance was relatively consistent between rural and urban sites. Such assemblage-level patterns resulted from the loss of certain species from urban sites and the increase in abundance of others. We hypothesized that differences among species would be largely attributable to their ecological traits (body size, habitat affinity, dispersal ability, trophic position). Through model selection based on information theoretic measures, we found support for the importance of the simple and interactive effects of beetle size, habitat affinity, and trophic position, with the most negative effect sizes for large, forest-specialist beetles that were predatory or omnivorous. Although species traits were key to understanding variation in species abundance effect sizes, several remaining sources of variation in carabid beetle responses to urbanization remain. Specifically, although many species exhibited consistent responses across the studies in which they were sampled and might therefore be considered urban avoiders or urban exploiters, many others were either relatively insensitive to the urbanization gradients or exhibited widely disparate responses across studies. Furthermore, we were unable to attribute variation in species richness and assemblage abundance effect sizes to available measures such as city size and study duration. Instead, additional mechanistic studies across the urbanization gradient will be necessary to understand such variation among studies and for species exhibiting variable responses.</t>
  </si>
  <si>
    <t>10.1890/ES12-00262.1</t>
  </si>
  <si>
    <t>Achlatis, M; Pernice, M; Green, K; de Goeij, JM; Guagliardo, P; Kilburn, MR; Hoegh-Guldberg, O; Dove, S</t>
  </si>
  <si>
    <t>Single-cell visualization indicates direct role of sponge host in uptake of dissolved organic matter</t>
  </si>
  <si>
    <t>Cliona bioerosion; dissolved organic matter; NanoSIMS; sponge loop; stable isotopes; Symbiodiniaceae</t>
  </si>
  <si>
    <t>NITROGEN UPTAKE; MARINE; CARBON; SYMBIONTS; PHOTOSYNTHESIS; BACTERIAL; MICROBES; REMOVAL; LOOP; DOC</t>
  </si>
  <si>
    <t>Marine sponges are set to become more abundant in many near-future oligotrophic environments, where they play crucial roles in nutrient cycling. Of high importance is their mass turnover of dissolved organic matter (DOM), a heterogeneous mixture that constitutes the largest fraction of organic matter in the ocean and is recycled primarily by bacterial mediation. Little is known, however, about the mechanism that enables sponges to incorporate large quantities of DOM in their nutrition, unlike most other invertebrates. Here, we examine the cellular capacity for direct processing of DOM, and the fate of the processed matter, inside a dinoflagellate-hosting bioeroding sponge that is prominent on Indo-Pacific coral reefs. Integrating transmission electron microscopy with nanoscale secondary ion mass spectrometry, we track N-15- and C-13-enriched DOM over time at the individual cell level of an intact sponge holobiont. We show initial high enrichment in the filter-feeding cells of the sponge, providing visual evidence of their capacity to process DOM through pinocytosis without mediation of resident bacteria. Subsequent enrichment of the endosymbiotic dinoflagellates also suggests sharing of host nitrogenous wastes. Our results shed light on the physiological mechanism behind the ecologically important ability of sponges to cycle DOM via the recently described sponge loop.</t>
  </si>
  <si>
    <t>10.1098/rspb.2019.2153</t>
  </si>
  <si>
    <t>West, EH; Jones, HH</t>
  </si>
  <si>
    <t>Human food subsidies drive individual specialization and intrapopulation dietary differences in a generalist predator</t>
  </si>
  <si>
    <t>corvid; ecological opportunity; foraging ecology; individual specialization; stable isotopes; synanthropes</t>
  </si>
  <si>
    <t>INTRASPECIFIC COMPETITION; FORAGING SPECIALIZATION; STABLE-ISOTOPES; NICHE SPECIALIZATION; RESOURCE USE; BLACK BEARS; BEHAVIOR; POPULATION; HABITAT; AVAILABILITY</t>
  </si>
  <si>
    <t>Generalist species can exhibit individual specialization (IS), where individuals adopt specialized foraging behaviors not attributable to age, sex, or social dominance. While IS increases with the diversity of available foraging resources (ecological opportunity), the potential impact of human food subsidies on ecological opportunity is unknown. We quantified the isotopic niche width of Steller's Jays (Cyanocitta stelleri), a synanthropic predator and dietary generalist, across a gradient of human land-use categories ranging from subsidized (park campgrounds) to unsubsidized (forest interior) habitats in a protected area in California. We asked (1) if isotopic niche width was better predicted by individual foraging behavior than sex, social dominance, or habitat category (indicating IS) and (2) if degree of IS exhibited by jays increased with the availability of human food subsidies. We characterized the isotopic niche space occupied by individual jays relative to the population using carbon (delta C-13) and nitrogen (delta N-15) isotope values. Using linear models, we found that jay diet variation was best explained by individual behavior and habitat use rather than by sex or social dominance. While the degree of IS increased with the availability of human foods, individual jays exhibited a variety of foraging behaviors in all habitats that were segregated by foraging stratum and use of human foods. Individual diet also determined the degree of specialization, as jays that specialized on human foods had the narrowest niche width regardless of habitat. Management efforts targeted at generalist wildlife exhibiting large degrees of IS should therefore account for the impact of food subsidies on foraging behavior. Approaches that involve aversive conditioning may fail where highly specialized individuals are unlikely to encounter treatments; therefore, we recommend simultaneous efforts to limit human food subsidies (e.g., information campaigns and improved containment of human food and food waste), and deployment across the largest possible extent of foraging microhabitats and substrates in order to ensure exposure of whole populations to emetic eggs.</t>
  </si>
  <si>
    <t>e4246</t>
  </si>
  <si>
    <t>10.1002/ecs2.4246</t>
  </si>
  <si>
    <t>Dejean, A; Petitclerc, F; Azemar, F</t>
  </si>
  <si>
    <t>Seasonality influences ant-mediated nutrient acquisition (myrmecotrophy) by a Neotropical myrmecophyte</t>
  </si>
  <si>
    <t>EVOLUTIONARY ECOLOGY</t>
  </si>
  <si>
    <t>Ant-plant relationships; Mutualism; Myrmecophyte; Myrmecotrophy; Phenology; Stable isotopes</t>
  </si>
  <si>
    <t>UNDERSTORY; PHENOLOGY; HYMENOPTERA; DROUGHT; FORMICIDAE; SHRUBS; FOREST; PLANTS; FLIGHT</t>
  </si>
  <si>
    <t>Tachia guianensis (Gentianaceae), a Neotropical understory myrmecophyte, shelters ant colonies in its hollow trunks and branches (domatia). In turn, it is protected from defoliators and obtains nutrients from ant-produced wastes (myrmecotrophy). Aiming to verify if seasonality influences nitrogen assimilation via ant wastes using the stable isotope nitrogen-15, we first studied Tachia's phenology and its seasonal leaf production, and then the life cycle of its two more frequent guest ant species. We found that leaf production was much higher during the rainy than the dry season. Mature guest ant colonies produced sexuals regardless of the season and the net weight of the waste piles inside the domatia did not vary between seasons, so that the availability of nutrients to their host plant is steady year-long. By providing the two most frequent mutualistic guest ant species with food enriched with nitrogen-15, we showed that Tachia individuals assimilate more nitrogen from ant wastes during the rainy season, when the plant is physiologically active, compared to the dry season. Thus, one can deduce that the increase in nitrogen assimilation during the rainy season is determined by the increase in Tachia's physiological activity during that season. Information gathered through a bibliographic compilation confirms that none of the 15 ant species known to be associated with myrmecophytes for which the life cycle was studied is characterized by seasonal reproduction (which would result in fluctuating waste production). The same is true for 49.7% of 167 tropical ant species (seasonal production for the remaining species). We concluded that, in contrast to the non-seasonal ant colony reproductive cycle, Tachia's phenology determines the myrmecotrophic assimilation rate.</t>
  </si>
  <si>
    <t>10.1007/s10682-020-10056-y</t>
  </si>
  <si>
    <t>Schwartz-Narbonne, R; Plint, T; Hall, E; Zazula, G; Longstaffe, FJ</t>
  </si>
  <si>
    <t>Seasonal paleoecological records from antler collagen delta C-13 and delta N-15</t>
  </si>
  <si>
    <t>NITROGEN ISOTOPIC COMPOSITION; CARIBOU RANGIFER-TARANDUS; AMINO-ACIDS; BONE-COLLAGEN; STABLE-ISOTOPES; MAMMOTH STEPPE; DIET QUALITY; CARBON; PLANTS; VALUES</t>
  </si>
  <si>
    <t>Cervids living in high latitudes have evolved to thrive in ecosystems that experience dramatic seasonal changes. Understanding these seasonal adaptations is important for reconstructing cervid life histories, ecosystem dynamics, and responses in the distant and not-so-distant past to changing seasonality caused by climate change. Cervid antlers provide a rare opportunity for insight into faunal seasonal ecology, as they are grown and shed each year. Stable isotopes of carbon and nitrogen measured directly from antlers have the potential to provide seasonal dietary data for individuals. If the isotopic signals in bone and antler are controlled by the same metabolic processes, then the stable carbon and nitrogen isotope compositions of collagen (delta C-13(Coll) and delta N-15(Coll)) from incrementally grown antler tissue provide time-constrained dietary signals from the spring and summer growth season. Bone, by comparison, provides an average signal over several years. The amino acid (glutamate and phenylalanine) delta N-15 in antlers from modern captive caribou showed similar trophic discrimination factors to earlier results for other collagenous tissues (bone, tooth dentin, and cementum). Hence, growth rate was not the primary control on the stable isotope composition of antler collagen. We applied this knowledge to assess seasonal shifts in Quaternary fossils of three Cervidae species: elk (Cervus elaphus), moose (Alces alces), and caribou (Rangifer tarandus). Paired antler-bone delta C-13(Coll) and delta N-15(Coll) from the same individual were used to identify differences between summer and annual diet and ecology. Intra-antler isotopic variability from serially sampled antlers was used to examine seasonal dietary shifts and specialization.</t>
  </si>
  <si>
    <t>PII S0094837321000014</t>
  </si>
  <si>
    <t>10.1017/pab.2021.1</t>
  </si>
  <si>
    <t>Ohlberger, J; Langangen, O; Stenseth, NC; Vollestad, LA</t>
  </si>
  <si>
    <t>Community-Level Consequences of Cannibalism</t>
  </si>
  <si>
    <t>coexistence; competition; density dependence; facilitation; food web; predation</t>
  </si>
  <si>
    <t>SIZE-STRUCTURED POPULATIONS; STAGE-SPECIFIC BIOMASS; COMPLEX LIFE-CYCLES; DYNAMICS; PREY; COMPETITION; MORTALITY; OVERCOMPENSATION; COEXISTENCE; INCREASES</t>
  </si>
  <si>
    <t>Ecological interactions determine the structure and dynamics of communities and their responses to the environment. Understanding the community-level effects of ecological interactions, such as intra-and interspecifc competition, predation, and cannibalism, is therefore central to ecological theory and ecosystem management. Here, we investigate the community-level consequences of cannibalism in populations with density-dependent maturation and reproduction. We model a stage-structured consumer population with an ontogenetic diet shift to analyze how cannibalism alters the conditions for the invasion and persistence of stage-specific predators and competitors. Our results demonstrate that cannibalistic interactions can facilitate coexistence with other species at both trophic levels. This effect of cannibalism critically depends on the food dependence of the demographic processes. The underlying mechanism is a cannibalism-induced shift in the biomass distribution between the consumer life stages. These findings suggest that cannibalism may alter the structure of ecological communities through its effects on species coexistence.</t>
  </si>
  <si>
    <t>10.1086/668080</t>
  </si>
  <si>
    <t>Jayasinghe, UAD; Garcia-Berthou, E; Li, ZJ; Li, W; Zhang, TL; Liu, JS</t>
  </si>
  <si>
    <t>Co-occurring bighead and silver carps show similar food preference but different isotopic niche overlap in different lakes</t>
  </si>
  <si>
    <t>Sub-tropical lakes; Chinese carps; Filter-feeding fish; delta C-13 and delta N-15; Layman metrics</t>
  </si>
  <si>
    <t>STABLE-ISOTOPE; HYPOPHTHALMICHTHYS-MOLITRIX; PLANKTIVOROUS FISHES; MEILIANG BAY; ARISTICHTHYS-NOBILIS; PLANKTON COMMUNITY; TROPHIC POSITION; GUT CONTENTS; ASIAN CARPS; NITROGEN</t>
  </si>
  <si>
    <t>Silver carp (Hypophthalmichthys molitrix) and bighead carp (Hypophthalmichthys nobilis) are among the most important fish species in aquaculture and have been introduced to many countries. The feeding ecology of these filter-feeding cyprinids is not well understood and has been mostly based on gut content analyses. We analyzed delta C-13 and delta N-15 stable isotope ratios of food resources and fish muscle tissues in four Chinese lakes, where these two species co-occur. Data analysis through Bayesian mixing models revealed that both fish species had similar diets within lakes, and where dietary shifts occurred, both species displayed dietary shifts simultaneously. Diet was generally based on plankton, however, detritus was the main food in eutrophic lake subjected to urban pollution, likely due to resource availability. Niche overlap and width were also variable but in general clear size-based resource partitioning was observed, with bighead carp preying more on zooplankton and occupying a higher trophic position and silver carp feeding more on phytoplankton. Food particles smaller than 64 mu m, had little importance in their diets.</t>
  </si>
  <si>
    <t>10.1007/s10641-014-0351-7</t>
  </si>
  <si>
    <t>Eggemeyer, KD; Schwinning, S</t>
  </si>
  <si>
    <t>Biogeography of woody encroachment: why is mesquite excluded from shallow soils?</t>
  </si>
  <si>
    <t>Edwards Plateau; gas exchange; groundwater recharge; Juniperus ashei; Prosopis glandulosa; rooting depth; stable isotopes; woody encroachment</t>
  </si>
  <si>
    <t>WESTERN JUNIPER; ROOTING DEPTH; WATER; EXPANSION; SAVANNA; RECRUITMENT; STREAMFLOW; GRASSLAND; PATTERNS; EXCHANGE</t>
  </si>
  <si>
    <t>While some studies aim to generalise the attributes of woody encroachers, examining their functional differences across biogeographic regions may also be instructive. Most of Texas is encroached by Prosopis glandulosa, but on the eastern Edwards Plateau, a limestone plateau with thin soils, P. glandulosa is rare and Juniperus ashei is dominant. We hypothesised that P. glandulosa is excluded from sites where bedrock at a depth of I m or less restricts the development of taproots, thus rendering this normally deep-rooted species too vulnerable to drought. To test this idea, we monitored the physiological status of the two species on a site where both species were encroaching and the soil was 1.5-2-5 m deep, thus relatively deep for the Edwards Plateau region but not for regions where P. glandulosa dominates. Data were collected across three tree size classes from May to November 2006. Stem water potentials were similar across species and water potentials and photosynthetic rates decreased with tree size. Based on isotopic evidence, the effective rooting depth of P. glandulosa increased with tree size, but not in J. ashei. P. glandulosa had a higher rate of leaf gas exchange overall as expected for a drought-avoider; except for large trees during a summer drought, when species differences in photosynthesis rates diminished and the stomatal conductance for J.ashei exceeded that of P. glandulosa. We speculate that restrictions of soil depth may limit the invasiveness of P. glandulosa in part through negative effects on large trees, which may lower fecundity. Copyright (C) 2009 John Wiley &amp; Sons, Ltd.</t>
  </si>
  <si>
    <t>10.1002/eco.42</t>
  </si>
  <si>
    <t>Zeh, L; Igel, MT; Schellekens, J; Limpens, J; Bragazza, L; Kalbitz, K</t>
  </si>
  <si>
    <t>Vascular plants affect properties and decomposition of moss-dominated peat, particularly at elevated temperatures</t>
  </si>
  <si>
    <t>STABLE CARBON ISOTOPES; SOIL ORGANIC-MATTER; PYROLYSIS PRODUCTS; OMBROTROPHIC PEAT; LITTER QUALITY; SPHAGNUM PEAT; FULVIC-ACIDS; BOG PLANTS; NITROGEN; DEGRADATION</t>
  </si>
  <si>
    <t>Peatlands, storing significant amounts of carbon, are extremely vulnerable to climate change. The effects of climate change are projected to lead to a vegetation shift from Sphagnum mosses to sedges and shrubs. Impacts on the present moss-dominated peat remain largely unknown. In this study, we used a multiproxy approach to investigate the influence of contrasting vascular plant types (sedges, shrubs) on peat chemistry and decomposition. Peat cores of 20 cm depth and plant material (Sphagnum spp., Calluna vulgaris and Eriophorum vaginatum) from two ombrotrophic peatlands in the Italian Alps with a mean annual temperature difference of 1.4 degrees C were analyzed. Peat cores were taken under adjacent shrub and sedge plants growing at the same height above the water table. We used carbon, nitrogen and their stable isotopes to assess general patterns in the degree of decomposition across sampling locations and depths. In addition, analytical pyrolysis was applied to disentangle effects of vascular plants (sedge, shrub) on chemical properties and decomposition of the moss-dominated peat. Pyrolysis data confirmed that Sphagnum moss dominated the present peat irrespective of depth. Nevertheless, vascular plants contributed to peat properties as revealed by, e.g., pyrolysis products of lignin. The degree of peat decomposition increased with depth as shown by, e.g., decreasing amounts of the pyrolysis product of sphagnum acid and increasing delta C-13 with depth. Multiple parameters also revealed a higher degree of decomposition of Sphagnum-dominated peat collected under sedges than under shrubs, particularly at the high temperature site. Surprisingly, temperature effects on peat decomposition were less pronounced than those of sedges. Our results imply that vascular plants affect the decomposition of the existing peat formed by Sphagnum, particularly at elevated temperature. These results suggest that changes in plant functional types may have a stronger impact on the soil carbon feedback in a warmer world than hitherto assumed.</t>
  </si>
  <si>
    <t>10.5194/bg-17-4797-2020</t>
  </si>
  <si>
    <t>Klamt, AM; Poulsen, SP; Odgaard, BV; Hubener, T; McGowan, S; Jensen, HS; Reitzel, K</t>
  </si>
  <si>
    <t>Holocene lake phosphorus species and primary producers reflect catchment processes in a small, temperate lake</t>
  </si>
  <si>
    <t>aquatic-terrestrial coupling; biogenic phosphorus; cultural eutrophication; deforestation; erosion; hemp retting; Holocene multi-proxy reconstruction; land-cover changes; phosphorus fractionation; phototrophs; primary production; Si limitation</t>
  </si>
  <si>
    <t>LAND-USE CHANGE; ORGANIC PHOSPHORUS; FRESH-WATER; LEVEL FLUCTUATIONS; ALPINE LAKE; INOSITOL HEXAKISPHOSPHATE; NUTRIENT LIMITATION; MID-HOLOCENE; SEDIMENT; DIATOM</t>
  </si>
  <si>
    <t>This paleolimnological study aims to investigate how natural processes and anthropogenic land-use changes have affected sedimentary phosphorus (P) forms and primary producers in a small, temperate lake (Lake Fuglso, Denmark) throughout the Holocene. Our multi-proxy approach uses pollen, X-ray fluorescence scanning, carbon (C) and nitrogen contents and stable isotopes, sequential P extraction, P-31 nuclear magnetic resonance spectroscopy, pigments, diatoms, and plant macrofossils from a C-14-dated sediment record. We found three periods of human impact: (1) low disturbance from domestic grazing during the early/mid Neolithic (similar to 3600 to similar to 2600 BC), (2) higher disturbance because of animal husbandry and some grain cultivation during the Late Bronze and Pre-Roman Iron Age (similar to 800 BC to AD similar to 100), and (3) strong disturbance caused by domestic grazing, intensified crop cultivation and, in particular, by retting of fiber plants during the Middle Ages and Renaissance (AD similar to 1000 to similar to 1700). Cultural eutrophication during the latter phase caused unprecedented changes in the lake, including altered species composition, high production, and strongly accelerated sediment accumulation rates. Generally, catchment deforestation was related to elevated proportions of metal (iron, aluminum, calcium)-bound P forms in the sediment, while high tree cover correlated with elevated proportions of P forms associated with organic material (organic P, humic-bound P, refractory organic P) and loosely bound P. During phases with forest in the catchment, silicon (Si) inputs to the lake were insufficient and diatom frustules were mostly absent in the sediments. In contrast, diatoms thrived in the lake when the landscape was open and erosional Si influx was high. This study is the first to show long-term (similar to eight millennia) and recurring Si limitation of diatoms, a finding that may explain the absence of diatoms in sediment records of other sites too. In summary, human land-use with preceding deforestation accelerated the transport of nutrients and elements from the terrestrial to the aquatic environment, leading to substantial and irreversible changes in Lake Fuglso. Our study is a good example of the tight links between catchment processes and lake status, indicating that catchment dynamics should be considered in lake restoration projects, particularly for lowland lakes with high catchment : lake area ratios.</t>
  </si>
  <si>
    <t>e01455</t>
  </si>
  <si>
    <t>10.1002/ecm.1455</t>
  </si>
  <si>
    <t>Mutchler, T; Sullivan, MJ; Fry, B</t>
  </si>
  <si>
    <t>Potential of N-14 isotope enrichment to resolve ambiguities in coastal trophic relationships</t>
  </si>
  <si>
    <t>N-15 tracer; water-column fertilisation; food webs; trophic dynamics; seagrass communities; epiphytic algae; stable isotopes</t>
  </si>
  <si>
    <t>MULTIPLE STABLE-ISOTOPE; EPIPHYTIC ALGAE; PRODUCTION DYNAMICS; TRACER ADDITION; SEAGRASS BEDS; STREAM; CARBON; MACROINVERTEBRATES; PHOSPHORUS; NUTRIENTS</t>
  </si>
  <si>
    <t>Isotopic tracer additions were used in a field setting to differentially label primary producers within seagrass communities and trace the flow of nitrogen to consumers. Tracer experiments were coupled with fertilisation treatments, as the tracer was added to the system via a N-15-depleted (i.e. N-14-enriched) fertiliser. N-15-depleted fertiliser was added to the sediments of Halodule wrightii beds to target the response of the seagrass alone, while addition to the water-column targeted the response of the seagrass/epiphyte complex. After 21 d of exposure to either fertilisation strategy, epiphytes and seagrass tissues in H. wrightii beds were strongly labeled with the tracer, but the mean delta(15)N value of epiphytes (-78parts per thousand) was only significantly lower than that of seagrass (-31parts per thousand) in beds exposed to water-column fertilisation. Isotopic label was also detected in individuals of Tozeuma carolinense, Farfantepenaeus aztecus, and Palaemonetes pugio. The ability to both generate differential labeling in H. wrightii and its epiphytes and trace that label to consumers suggests that water-column fertilisation experiments incorporating N-15 tracers may be an excellent tool for resolving trophic relationships within aquatic communities and determining how they respond to eutrophication.</t>
  </si>
  <si>
    <t>10.3354/meps266027</t>
  </si>
  <si>
    <t>Yokoyama, H; Tamaki, A; Koyama, K; Ishihi, Y; Shimoda, K; Harada, K</t>
  </si>
  <si>
    <t>Isotopic evidence for phytoplankton as a major food source for macrobenthos on an intertidal sandflat in Ariake Sound, Japan</t>
  </si>
  <si>
    <t>stable isotopes; estuary; intertidal sandflat; trophic structure; phytoplankton; benthic microalgae</t>
  </si>
  <si>
    <t>PARTICULATE ORGANIC-MATTER; NITROGEN STABLE-ISOTOPES; MARENNES-OLERON BAY; BENTHIC MICROALGAE; CERASTODERMA-EDULE; SPARTINA-ALTERNIFLORA; SECONDARY PRODUCTION; MACTRA-VENERIFORMIS; TROPHIC IMPORTANCE; NATURAL VARIATIONS</t>
  </si>
  <si>
    <t>To delineate a soft-shore trophic structure, macrobenthos was collected from an intertidal sandflat at the mouth of the Shirakawa River in the central part of Ariake Sound, Kyushu, Japan, on 3 occasions in 2003 (January, March, and June to July during the rainy season), and the isotopic compositions of animals and their potential food sources were analyzed. Food sources of animals were assessed based on the diet-tissue isotopic fractionation (delta C-13 = 0.6 to 2.0 parts per thousand, delta N-15 = 3.4 to 3.9 parts per thousand) of 3 main constituent species (the bivalves Mactra veneriformis and Ruditapes philippinarum and the ghost shrimp Nihonotrypaea japonica), which had been determined by an earlier laboratory experiment. The results revealed that (1) consumers were classified into 3 groups; a group consisting of 51 species including 4 main species (the above-mentioned species and the mud shrimp Upogebia major) that derived nutrition mainly from coastal phytoplankton, one consisting of 7 species that incorporated more C-13-enriched material (e.g. benthic microalgae) and a group consisting of 4 species that incorporated more C-13-reduced material (e.g. riverine organic matter); (2) the phytoplankton-based trophic structure was composed of 3 trophic levels; (3) M veneriformis juveniles collected during the rainy season appeared to incorporate riverine organic matter; and (4) reeds from the flood plain, detrital terrestrial plant material, sewage effluents and seaweeds were not food sources for most consumers. We concluded that the high phytoplankton biomass and scarcity of benthic microalgae on this sandflat account for its phytoplankton-based trophic structure.</t>
  </si>
  <si>
    <t>10.3354/meps304101</t>
  </si>
  <si>
    <t>Fricke, HC; Pearson, DA</t>
  </si>
  <si>
    <t>Stable isotope evidence for changes in dietary niche partitioning among hadrosaurian and ceratopsian dinosaurs of the Hell Creek Formation, North Dakota</t>
  </si>
  <si>
    <t>MAMMALIAN TOOTH ENAMEL; OXYGEN ISOTOPES; BIOGENIC APATITES; CARBON ISOTOPES; FRACTIONATION; ECOLOGY; CLIMATE; EXTINCTION; DELTA-C-13; PHOSPHATE</t>
  </si>
  <si>
    <t>Questions related to dinosaur behavior can be difficult to answer conclusively by using morphological studies alone. As a complement to these approaches, carbon and oxygen isotope ratios of tooth enamel can provide insight into habitat and dietary preferences of herbivorous dinosaurs. This approach is based on the isotopic variability in plant material and in surface waters of the past, which is in turn reflected by carbon and oxygen isotope ratios of animals that ingested the organic matter or drank the water. Thus, it has the potential to identify and characterize dietary and habitat preferences for coexisting taxa. In this study, stable isotope ratios from coexisting hadrosaurian and ceratopsian dinosaurs of the Hell Creek Formation of North Dakota are compared for four different stratigraphic levels. Isotopic offsets between tooth enamel and tooth dentine, as well as taxonomic differences in means and in patterns of isotopic data among taxa, indicate that primary paleoecological information is preserved. The existence of taxonomic offsets also provides the first direct evidence for dietary niche partitioning among these herbivorous dinosaur taxa. Of particular interest is the observation that the nature of this partitioning changes over time: for some localities ceratopsian dinosaurs have higher carbon and oxygen isotope ratios than hadrosaurs, indicating a preference for plants living in open settings near the coast, whereas for other localities isotope ratios are lower, indicating a preference for plants in the understory of forests. In most cases the isotope ratios among hadrosaurs are similar and are interpreted to represent a dietary preference for plants of the forest canopy. The inferred differences in ceratopsian behavior are suggested to represent a change in vegetation cover and hence habitat availability in response to sea level change or to the position of river distributaries. Given our current lack of taxonomic resolution, it is not possible to determine if dietary and habitat preferences inferred from stable isotope data are associated with single, or multiple, species of hadrosaurian/ceratopsian dinosaurs.</t>
  </si>
  <si>
    <t>10.1666/08020.1</t>
  </si>
  <si>
    <t>POWELL, JM; FERNANDEZRIVERA, S; HOFS, S</t>
  </si>
  <si>
    <t>EFFECTS OF SHEEP DIET ON NUTRIENT CYCLING IN MIXED FARMING SYSTEMS OF SEMIARID WEST-AFRICA</t>
  </si>
  <si>
    <t>PLANT PHOSPHORUS MODEL; NITROGEN MINERALIZATION; SIMPLIFIED SOIL; PHENOLICS; MANURES; LEGUMES; TANNINS; LIGNIN; LEAVES</t>
  </si>
  <si>
    <t>The cycling of biomass through livestock into manure and urine that fertilise the soil is an important linkage between livestock and soil productivity in semi-arid West Africa. This study was conducted to determine the effects of different forage leaves on the amounts and forms of nutrients excreted by sheep, the relationship between diet quality and nutrient voidings, and to evaluate the potential impact of these effects on the release of nutrients from urine and faeces when used as organic fertilisers. Five diets consisting of Pennisetum glaucum (PG), Vigna unguiculata (VU), Acacia trachycarpa (AT), Guiera senegalensis (GS) and Combretum glutinosum leaves were fed to growing sheep. The total amount and proportion of nutrients voided in faeces and urine was highly influenced by the N and P contents of the feeds, and the lignin: neutral detergent fibre, lignin: N, and polyphenol: N ratios. Sheep fed VU leaves excreted significantly more total-N than sheep fed any of the browse leaves. Feeding browse caused a general shift from faecal-soluble N (microbial and endogenous N) to faecal-insoluble N (undigested plant N). Animals fed VU leaves voided large amounts of urine N which would be susceptible to large volatilisation losses. Sheep fed browse leaves voided less urine N, and therefore produced excreta less susceptible to volatile-N losses. The estimated 45-54 kg N and 5.1-7.8 kg P ha-1 released from the various faeces would provide an important contribution to the annual requirements of millet of 36 kg N and 6.1 kg P ha-1. Selecting feeds that not only satisfy the nutrient requirements of livestock but produce animal excreta less susceptible to losses may improve nutrient cycling in mixed farming systems of semi-arid West Africa.</t>
  </si>
  <si>
    <t>10.1016/0167-8809(94)90108-2</t>
  </si>
  <si>
    <t>Liu, Y; Liu, WZ; Wu, LH; Liu, C; Wang, L; Chen, F; Li, ZG</t>
  </si>
  <si>
    <t>Soil aggregate-associated organic carbon dynamics subjected to different types of land use: Evidence from C-13 natural abundance</t>
  </si>
  <si>
    <t>Soil aggregate; Land use; Stable carbon isotopes; Organic carbon dynamic</t>
  </si>
  <si>
    <t>DENSITY FRACTIONS; MATTER DYNAMICS; SILTY SOILS; NITROGEN; TILLAGE; SEQUESTRATION; STABILITY; ISOTOPES; STORAGE; FOREST</t>
  </si>
  <si>
    <t>The technique of C-13 natural abundance provides new information that can be applied to study carbon (C) incorporation into soil aggregates and to improve our understanding of the aggregate hierarchy theory. The organic matter (OM) in soil undergoes microbial decomposition, which preferentially removes the lighter C-12 isotope, enriching the remaining soil in the heavier C-13 isotope. We hypothesized that the soil aggregate turnover would gradually lead to C isotope fractionation, and changes in the C-13 natural abundance are closely linked to C turnover that, in turn, is influenced by aggregates turnover. We examined how land use affects soil organic carbon (SOC) dynamics in soil aggregate with the following objectives: (1) evaluate the influence of land uses (woodland, orchard, paddy and upland) on aggregate-associated C isotope compositions and the distribution of new and old SOC in the Danjiangkou Reservoir area of central China, and (2) propose an extended scheme of C transfers between the aggregate size classes. The results showed that SOC content in aggregates generally increased with increasing aggregate size but the delta C-13 values of aggregates decreased. The SOC contents in bulk soil decreased in the order of paddy &gt; woodland &gt; upland &gt; orchard. The most negative delta C-13 values in bulk soil and aggregates were observed in the paddy and woodland soils, whereas maximum delta C-13 values were obtained in the orchard and upland soils. The stable C isotope results suggest that SOC sequestration of fresh OM generally starts in macro-aggregates (&gt; 0.25 mm), and, after disaggregation processes and microbiological consumption, the resulting degraded OM is sequestered in micro-aggregates (&lt; 0.25 mm). This general trend is consistent with the concept of SOM stabilization by association with aggregate hierarchy theory. We conclude that different land uses and management practices significantly affect C incorporation in the aggregate system and C transfer in soil aggregates was considerably greater in the orchard and upland soils than in the woodland and paddy soils. These findings help improve the theory of soil aggregates.</t>
  </si>
  <si>
    <t>10.1016/j.ecoleng.2018.08.018</t>
  </si>
  <si>
    <t>Jerozolimski, A; Peres, CA</t>
  </si>
  <si>
    <t>Bringing home the biggest bacon: a cross-site analysis of the structure of hunter-kill profiles in Neotropical forests</t>
  </si>
  <si>
    <t>bushmeat; exploitation; hunting; large vertebrates; neotropical forests; species diversity</t>
  </si>
  <si>
    <t>AMAZONIAN FORESTS; BODY-MASS; DIET; GAME; CHOICE; RESOURCES; WILDLIFE; ACHE</t>
  </si>
  <si>
    <t>Forest vertebrates are critical to the subsistence of many tropical forest dwellers enjoying little or no access to other sources of animal protein. Yet the ecological and socioeconomic value of forest wildlife is being undermined as many large vertebrate populations are driven to local extinction by unsustainable hunting practices. Although large mammals that are preferred by hunters are widely variable in their morphology and ecology, they share a set of life history traits, which make them particularly vulnerable to overhunting. In this paper we compile data on game harvest from 31 tribal and nontribal settlements in Neotropical forests to examine how mammal assemblages are affected by the history of hunting within settlement catchment areas. The structure of hunter-kill profiles is related to settlement age and size in an attempt to understand how changes in hunting pressure may affect prey selectivity and the structure of residual game assemblages. There was a predictable shift from a few large-bodied to several small-bodied species harvested by increasingly older villages. Settlement persistence thus explained a significant proportion of the variation in mean body mass and species richness of mammals harvested. We conclude that differences in prey species profiles obtained by subsistence hunters of different ethnic groups can be largely explained by the local depletion status of game stocks, particularly large mammals, rather than by cultural factors. (C) 2003 Elsevier Science Ltd. All rights reserved.</t>
  </si>
  <si>
    <t>PII S0006-3207(02)00310-5</t>
  </si>
  <si>
    <t>10.1016/S0006-3207(02)00310-5</t>
  </si>
  <si>
    <t>Baker, DM; Andras, JP; Jordan-Garza, AG; Fogel, ML</t>
  </si>
  <si>
    <t>Nitrate competition in a coral symbiosis varies with temperature among Symbiodinium clades</t>
  </si>
  <si>
    <t>nitrogen; coral; symbiosis; temperature; Symbiodinium; stable isotopes</t>
  </si>
  <si>
    <t>CLIMATE-CHANGE; REEF CORALS; ZOOXANTHELLAE; DYNAMICS; FIELD</t>
  </si>
  <si>
    <t>Many reef-building corals form symbioses with dinoflagellates from the diverse genus Symbiodinium. There is increasing evidence of functional significance to Symbiodinium diversity, which affects the coral holobiont's response to changing environmental conditions. For example, corals hosting Symbiodinium from the clade D taxon exhibit greater resistance to heat-induced coral bleaching than conspecifics hosting the more common clade C. Yet, the relatively low prevalence of clade D suggests that this trait is not advantageous in non-stressful environments. Thus, clade D may only be able to out-compete other Symbiodinium types within the host habitat when conditions are chronically stressful. Previous studies have observed enhanced photosynthesis and fitness by clade C holobionts at non-stressful temperatures, relative to clade D. Yet, carbon-centered metrics cannot account for enhanced growth rates and patterns of symbiont succession to other genetic types when nitrogen often limits reef productivity. To investigate the metabolic costs of hosting thermally tolerant symbionts, we examined the assimilation and translocation of inorganic N-15 and C-13 in the coral Acropora tenuis experimentally infected with either clade C (sub-type C1) or D Symbiodinium at 28 and 30 degrees C. We show that at 28 degrees C, C1 holobionts acquired 22% more N-15 than clade D. However, at 30 degrees C, C1 symbionts acquired equivalent nitrogen and 16% less carbon than D. We hypothesize that C1 competitively excludes clade D in hospite via enhanced nitrogen acquisition and thus dominates coral populations despite warming oceans.</t>
  </si>
  <si>
    <t>10.1038/ismej.2013.12</t>
  </si>
  <si>
    <t>Lopez-Lopez, L; Genner, MJ; Tarling, GA; Saunders, RA; O'Gorman, EJ</t>
  </si>
  <si>
    <t>Ecological Networks in the Scotia Sea: Structural Changes Across Latitude and Depth</t>
  </si>
  <si>
    <t>Ecological network; Food web; Ecosystem structure; Pelagic; Southern Ocean; Scotia Sea</t>
  </si>
  <si>
    <t>FOOD-WEB STRUCTURE; ANTARCTIC CIRCUMPOLAR CURRENT; SOUTHERN-OCEAN; CLIMATE-CHANGE; ROBUSTNESS; PATTERNS; TROPHODYNAMICS; MYCTOPHIDAE; CONNECTANCE; ECOSYSTEM</t>
  </si>
  <si>
    <t>The Scotia Sea is a productive pelagic ecosystem in the Southern Ocean, which is rapidly changing as a consequence of global warming. Species range shifts are particularly evident, as sub-Antarctic species expand their range from North to South, potentially rearranging the structure of this ecosystem. Thus, studies are needed to determine the current extent of variation in food web structure between these two biogeographic regions of the Scotia Sea and to investigate whether the observed patterns are consistent among depth zones. We compiled a database of 10,888 feeding interactions among 228 pelagic taxa, underpinned by surveys and dietary studies conducted in the Scotia Sea. Network analysis indicated that the Northern Scotia Sea (NSS), relative to the Southern Scotia Sea (SSS), is more complex: with higher species richness (more nodes) and trophic interactions (more links) is more connected overall (greater connectance and linkage density). Moreover, the NSS is characterised by more groups of strongly interacting organisms (greater node clustering) than the SSS, suggesting a higher trophic specialisation of Antarctic compared to sub-Antarctic species. Depth also played a key role in structuring these networks, with higher mean trophic position and more dietary generalism in the mesopelagic and bathypelagic zones relative to the epipelagic zones. This suggests that direct access to primary producers is a key factor influencing the trophic structure of these communities. Our results suggest that under current levels of warming the SSS ecosystem will likely become more connected and less modular, resembling the current structure of the NSS.</t>
  </si>
  <si>
    <t>10.1007/s10021-021-00665-1</t>
  </si>
  <si>
    <t>Rendon, MA; Garrido, A; Rendon-Martos, M; Ramirez, JM; Amat, JA</t>
  </si>
  <si>
    <t>Assessing sex-related chick provisioning in greater flamingo Phoenicopterus roseus parents using capture-recapture models</t>
  </si>
  <si>
    <t>waterbirds; multistate capture-recapture models; stable isotopes; sexual size dimorphism; sexual segregation; parental care; foraging ecology</t>
  </si>
  <si>
    <t>LONG-LIVED SEABIRD; FORAGING STRATEGIES; TEMPORARY EMIGRATION; NESTLING WEIGHT; SURVIVAL; BEHAVIOR; AGE; BIRDS; SIZE; REPRODUCTION</t>
  </si>
  <si>
    <t>In sexually dimorphic species, the parental effort of the smaller sex may be reduced due to competitive exclusion in the feeding areas by the larger sex or physiological constraints. However, to determine gender effects on provisioning patterns, other intrinsic and extrinsic factors affecting parental effort should be accounted for. Greater flamingos (Phoenicopterus roseus) exhibit sexual size dimorphism. In Fuente de Piedra colony, the lake dries out almost completely during the breeding season and both parents commute between breeding and foraging sites &gt;130km away during the chick-rearing period. Applying multistate capture-recapture models to daily observations of marked parents, we determined the effects of sex, and their interactions with other intrinsic and extrinsic factors, on the probability of chick desertion and sojourn in the colony and feeding areas. Moreover, using stable isotopes in the secretions that parents produce to feed their chicks, we evaluated sex-specific use of wetlands. The probability of chick attendance (complementary to chick desertion) was &gt;0 center dot 98. Chick desertion was independent of parental sex, but decreased with parental age. Females stayed in the feeding areas for shorter periods [mean: 7 center dot 5 (95% CI: 6 center dot 0-9 center dot 4) days] than males [9 center dot 2 (7 center dot 3-11 center dot 8) days]. Isotopic signatures of secretions did not show sex differences in delta C-13, but males' secretions were enriched in delta N-15, suggesting they fed on prey of higher trophic levels than females. Both parents spent approximately 1day in the colony, but females prolonged their mean stay when the lake dried out. Females also allocated more time to foraging in the flooded areas remaining in the colony, likely because they were energetically more stressed than males. The results indicate that sex-specific provisioning behaviour in greater flamingo is related to differential effects of both intrinsic and extrinsic factors. Males seem forage less efficiently than females, whereas females' body condition seems to be lower after feeding the chick. Our methodology may be extended to species that feed on distant food sources and that do not visit their offspring daily, to elucidate patterns of chick-provisioning behaviour.</t>
  </si>
  <si>
    <t>10.1111/1365-2656.12138</t>
  </si>
  <si>
    <t>Milardi, M; Green, AJ; Mancini, M; Trotti, P; Kiljunen, M; Torniainen, J; Castaldelli, G</t>
  </si>
  <si>
    <t>Invasive catfish in northern Italy and their impacts on waterbirds</t>
  </si>
  <si>
    <t>Prediction; pulsed resources; Silurus glanis; stable isotopes; waterbirds; wels catfish</t>
  </si>
  <si>
    <t>Predatory fish have occasionally been observed preying on birds, sometimes repeatedly, but few studies were able to unravel the overall significance of avian prey in fish diet and the predation impacts on bird populations. We used a control/impact study setup, using a Nature Reserve in northern Italy and a nearby control area, to determine: 1) the contribution of waterbirds to wels catfish diet in the Reserve, 2) the population density of wels catfish in the Reserve and control area and 3) the potential impacts of waterbird depredation by wels catfish on waterbird population trends. Our stable isotope Bayesian mixing model in-dicated that birds contributed 12.2% (5-27.9%, 50% confidence interval) of the diet of large wels catfish (&gt; 98 cm in total length). Large individuals constituted the majority of the population in the shoreline areas of the reserve in 2013-2019, where the population was stable despite control efforts. Numbers were below detectable levels in the control area. Large wels catfish consumed an average of 224, 148 and 187 kg of birds during the 2019 chick growing period, as estimated through three different bioenergetic models. Compared to the control area, mallard reproductive success was diminished in the Reserve, likely due to higher rates of fish predation, although effects were variable in different years. Overall, our data suggest that high densities of invasive wels catfish might impact waterbird reproductive success through predation on bird chicks, but further studies would be needed to reduce uncertainties related to the intrinsic vari-ability of field ecology data. Our study constitutes a preliminary attempt to assess the potential of intro-duced wels catfish to affect the conservation value of waterbird protection areas, and should be repeated at broader spatial and temporal scales.</t>
  </si>
  <si>
    <t>10.3897/neobiota.72.80500</t>
  </si>
  <si>
    <t>Harrison, KA; Bol, R; Bardgett, RD</t>
  </si>
  <si>
    <t>Preferences for different nitrogen forms by coexisting plant species and soil microbes</t>
  </si>
  <si>
    <t>amino acids; grassland; microbial biomass; nitrogen cycling; plant-microbial competition; stable isotopes</t>
  </si>
  <si>
    <t>TEMPERATE UPLAND GRASSLANDS; ORGANIC-NITROGEN; AMINO-ACIDS; ARCTIC TUNDRA; N CAPTURE; FOREST; N-15; AVAILABILITY; COMPETITION; ROOTS</t>
  </si>
  <si>
    <t>The growing awareness that plants might use a variety of nitrogen (N) forms, both organic and inorganic, has raised questions about the role of resource partitioning in plant communities. It has been proposed that coexisting plant species might be able to partition a limited N pool, thereby avoiding competition for resources, through the uptake of different chemical forms of N. In this study, we used in situ stable isotope labeling techniques to assess whether coexisting plant species of a temperate grassland ( England, UK) display preferences for different chemical forms of N, including inorganic N and a range of amino acids of varying complexity. We also tested whether plants and soil microbes differ in their preference for different N forms, thereby relaxing competition for this limiting resource. We examined preferential uptake of a range of C-13 N-15-labeled amino acids ( glycine, serine, and phenylalanine) and N-15-labeled inorganic N by coexisting grass species and soil microbes in the field. Our data show that while coexisting plant species simultaneously take up a variety of N forms, including inorganic N and amino acids, they all showed a preference for inorganic N over organic N and for simple over the more complex amino acids. Soil microbes outcompeted plants for added N after 50 hours, but in the long term ( 33 days) the proportion of added N-15 contained in the plant pool increased for all N forms except for phenylalanine, while the proportion in the microbial biomass declined relative to the first harvest. These findings suggest that in the longer term plants become more effective competitors for added N-15. This might be due to microbial turnover releasing N-15 back into the plant - soil system or to the mineralization and subsequent plant uptake of N-15 transferred initially to the organic matter pool. We found no evidence that soil microbes preferentially utilize any of the N forms added, despite previous studies showing that microbial preferences for N forms vary over time. Our data suggest that coexisting plants can outcompete microbes for a variety of N forms, but that such plant species show similar preferences for inorganic over organic N.</t>
  </si>
  <si>
    <t>10.1890/06-1018</t>
  </si>
  <si>
    <t>Ji, FF; Ma, XF; Qiu, LH; Kang, ZP; Shen, JZ</t>
  </si>
  <si>
    <t>Quantifying the effects of introduced Bighead Carp (Cyprinidae; Aristichthys nobilis) stocking on dominant fish species in the Ulungur Lake, China</t>
  </si>
  <si>
    <t>Introduced species; Fish stocking; Niche width; Niche overlap; Stable isotopes; Ulungur Lake</t>
  </si>
  <si>
    <t>FOOD-WEB; INTERSPECIFIC COMPETITION; NICHE WIDTHS; LONG-TERM; ISOTOPE; ECOSYSTEM; RIVER; BIOMANIPULATION; CONSEQUENCES; COLLAPSE</t>
  </si>
  <si>
    <t>Nonnative fish species introduced into new areas, especially when they develop into large populations, pose a threat to wild fauna. We used stable isotope analysis to quantify the ecological effects of introduced Bighead Carp (Aristichthys nobilis) stocking in Ulungur Lake on the basal food source composition, isotopic niche width and niche overlap of four dominant fish species including Bighead Carp, Pond Smelt (Hypomesus olidus), Common Bream (Abramis brama) and Common Carp (Cyprinus Carpio). Following Bighead Carp stocking, proportional contributions of phytoplankton to fishes significantly decreased for the other fishes (P &lt; 0.05), and the contributions of particulate organic matter to the fishes significantly increased (P &lt; 0.05) except for Common Bream. In addition, the total isotopic niche width of fishes increased from 12.01 to 13.06 and isotopic niche overlap between fishes increased from 22.75% to 42.50% following stocking; this change was particularly apparent in the large changes in the isotopic niche overlap between Common Bream and Bighead Carp (from 67 to 95%) and between Common Bream and Pond Smelt (from 65 to 100%), followed by that between Bighead Carp and Pond Smelt (from 0 to 90%). Furthermore, the obvious increase in isotopic niche overlap may be the reason for the reduced growth observed in Bighead Carp and in Pond Smelt. These findings highlighted that Bighead Carp stocking changed the availability of basal food sources for other sympatric fishes and increased the potential for interspecific competition among fishes. Overall, our study suggested the introduced Bighead Carp stocking had undesirable effects on fish community in Ulungur Lake.</t>
  </si>
  <si>
    <t>10.1007/s10530-021-02715-0</t>
  </si>
  <si>
    <t>Galiana, N; Lurgi, M; Bastazini, VAG; Bosch, J; Cagnolo, L; Cazelles, K; Claramunt-Lopez, B; Emer, C; Fortin, MJ; Grass, I; Hernandez-Castellano, C; Jauker, F; Leroux, SJ; McCann, K; McLeod, AM; Montoya, D; Mulder, C; Osorio-Canadas, S; Reverte, S; Rodrigo, A; Steffan-Dewenter, I; Traveset, A; Valverde, S; Vazquez, DP; Wood, SA; Gravel, D; Roslin, T; Thuiller, W; Montoya, JM</t>
  </si>
  <si>
    <t>Ecological network complexity scales with area</t>
  </si>
  <si>
    <t>FOOD-WEB STRUCTURE; SPATIAL VARIABILITY; CHAIN LENGTH; COMMUNITY; BIODIVERSITY; PATTERNS; EVOLUTIONARY; CONNECTANCE; MODULARITY; CONTEXT</t>
  </si>
  <si>
    <t>Larger geographical areas contain more species-an observation raised to a law in ecology. Less explored is whether biodiversity changes are accompanied by a modification of interaction networks. We use data from 32 spatial interaction networks from different ecosystems to analyse how network structure changes with area. We find that basic community structure descriptors (number of species, links and links per species) increase with area following a power law. Yet, the distribution of links per species varies little with area, indicating that the fundamental organization of interactions within networks is conserved. Our null model analyses suggest that the spatial scaling of network structure is determined by factors beyond species richness and the number of links. We demonstrate that biodiversity-area relationships can be extended from species counts to higher levels of network complexity. Therefore, the consequences of anthropogenic habitat destruction may extend from species loss to wider simplification of natural communities. Using 32 ecological networks (host-parasite, plant-pollinator, plant-herbivore and other food webs), the authors show that several network properties scale with the size of the sampling area, suggesting a new type of biodiversity-area relationship.</t>
  </si>
  <si>
    <t>10.1038/s41559-021-01644-4</t>
  </si>
  <si>
    <t>Manning, DWP; Sullivan, SMP</t>
  </si>
  <si>
    <t>Conservation Across Aquatic-Terrestrial Boundaries: Linking Continental-Scale Water Quality to Emergent Aquatic Insects and Declining Aerial Insectivorous Birds</t>
  </si>
  <si>
    <t>aquatic ecosystems; aquatic-terrestrial linkages; bioassessment; land use; multiple stressors</t>
  </si>
  <si>
    <t>LAND-COVER; FOOD WEBS; LANDSCAPE; SWALLOWS; SUBSIDIES; ECOLOGY; DIET; INVERTEBRATE; LINKAGES; EXPOSURE</t>
  </si>
  <si>
    <t>Larval aquatic insects are used to assess water quality, but less attention is paid to their adult, terrestrial life stage, which is an important food resource for declining aerial insectivorous birds. We used open-access water-quality, aquatic-invertebrate, and bird-survey data to study how impaired water quality can emanate from streams and lakes through changes in aquatic insect communities across the contiguous United States. Emergent insect relative abundance was highest across the West, in northern New England, and the Carolinas in streams, and highest near the Great Lakes, parts of the Southwest, and northern New England for lakes. Emergent insects declined with sedimentation, roads, and elevated ammonium concentrations in streams, but not lakes. The odds that a given taxon would be non-emergent increased by up to 2.0x as a function of pollution tolerance, underscoring the sensitivity of emergent aquatic insects to water-quality impairment. However, relationships between bird populations and emergent insects were generally weak for both streams and lakes. For streams, we observed the strongest positive relationships for a mixture of upland and riparian aerial insectivorous birds such as Western Wood-Pewee, Olive-sided Flycatcher, and Acadian Flycatcher and the strongest negative association for Purple Martin. Different avian insectivores responded to emergent insect abundances in lakes (e.g., Barn Swallow, Chimney Swift, Eastern Wood-Pewee, Common Nighthawk). In both streams and lakes, we observed stronger, but opposing, relationships between several aerial insectivores and the relative abundance of sensitive insect orders (E)phemeroptera, (P)lecoptera, and (T)richoptera (positive), and pollution tolerant individuals (negative). Overall, our findings indicate that emergent insects are negatively correlated with pollution tolerance, suggesting a large-scale loss of this nutritional subsidy to terrestrial environments from impaired aquatic ecosystems. While some bird populations tracked scarcities of emergent aquatic insects, especially EPT taxa, responses varied among species, suggesting that unique habitat and foraging behaviors likely complicated these relationships. Strengthening spatial and temporal concordance between emergent-insect and bird-survey data will improve our ability to interpret species-level responses over time. Thus, our analysis highlights the need for developing conservation and biomonitoring strategies that consider the cross-ecosystem effects of water quality declines for threatened insectivorous avifauna and other terrestrial wildlife.</t>
  </si>
  <si>
    <t>10.3389/fevo.2021.633160</t>
  </si>
  <si>
    <t>Liang, MC; Sugimoto, A; Tei, S; Bragin, IV; Takano, S; Morozumi, T; Shingubara, R; Maximov, TC; Kiyashko, SI; Velivetskaya, TA; Ignatiev, AV</t>
  </si>
  <si>
    <t>Importance of soil moisture and N availability to larch growth and distribution in the Arctic taiga-tundra boundary ecosystem, northeastern Siberia</t>
  </si>
  <si>
    <t>Carbon and nitrogen isotopes; Soil inorganic nitrogen pool; Topography; Vegetation change; Photosynthesis</t>
  </si>
  <si>
    <t>CARBON-ISOTOPE DISCRIMINATION; DISSOLVED ORGANIC NITROGEN; SHRUB EXPANSION; STABLE-ISOTOPES; CLIMATE-CHANGE; WHITE SPRUCE; PERMAFROST; RESPONSES; PLANTS; TEMPERATURE</t>
  </si>
  <si>
    <t>To better understand the factors controlling the growth of larch trees in Arctic taiga-tundra boundary ecosystem, we conducted field measurements of photosynthesis, tree size, nitrogen (N) content, and isotopic ratios in larch needles and soil. In addition, we observed various environmental parameters, including topography and soil moisture at four sites in the Indigirka River Basin, near Chokurdakh, northeastern Siberia. Most living larch trees grow on mounds with relatively high elevations and dry soils, indicating intolerance of high soil moisture. We found that needle delta(13)c was positively correlated with needle N content and needle mass, and these parameters showed spatial patterns similar to that of tree size. These results indicate that trees with high needle N content achieved higher rates of photosynthesis, which resulted in larger amounts of C assimilation and larger C allocation to needles and led to larger tree size than trees with lower needle N content. A positive correlation was also found between needle N content and soil NK4+ pool. Thus, soil inorganic N pool may indicate N availability, which is reflected in the needle N content of the larch trees. Microtopography plays a principal role in N availability, through a change in soil moisture. Relatively dryer soil of mounds with higher elevation and larger extent causes higher rates of soil N production, leading to increased N availability for plants, in addition to larger rooting space for trees to uptake more N. (C) 2014 Elsevier B.V. and NIPR. All rights reserved.</t>
  </si>
  <si>
    <t>10.1016/j.polar.2014.07.008</t>
  </si>
  <si>
    <t>Lienart, C; Tedengren, M; Garbaras, A; Lim, H; Chynel, M; Robinson, C; Meziane, T; Karlson, AML</t>
  </si>
  <si>
    <t>Diet quality determines blue mussel physiological status: A long-term experimental multi-biomarker approach</t>
  </si>
  <si>
    <t>Stable isotopes; Fatty acids; CSIA; Bivalve; Feeding experiment; Suspension-feeder; Aphanizomenon spp</t>
  </si>
  <si>
    <t>FATTY-ACID-COMPOSITION; MYTILUS-EDULIS-L; STABLE-ISOTOPE; NORTH-SEA; FOOD-WEB; BIOCHEMICAL-COMPOSITION; TROPHIC INTERACTIONS; SEASONAL-VARIATION; LIPID EXTRACTION; CYANOBACTERIA</t>
  </si>
  <si>
    <t>Cyanobacterial blooms have increased worldwide and decreases in spring blooms of diatoms in temperate aquatic ecosystems are increasingly reported. Whether such shifts in the food base positively or negatively affect primary consumer's physiological status, growth, and more broadly, ecosystem functioning, is poorly known. Here, we test how a widespread filter-feeding blue mussel from the genus Mytilus reacts to diatoms, filamenous non-toxic cyanobacteria and a mixture of the two in a 50 day feeding experiment and compare with mussels in the field. We use a multi-tracer approach to assess mussels' nutritional and physiological status. Diatoms had highest relative proportions of the essential fatty acids 20:50)3 (EPA) and 22:60)3 (DHA), but cyanobacteria had a high relative proportion of polyunsaturated FAs (PUFAs) especially 18:30)3, a precursor of 0)3 FAs. Bulk and amino-acid-delta 15N demonstrated assimilation of cyanobacterial N or diatom N by the mussels, while fatty acid (FA) composition and delta 13C-FA analyses demonstrated assimilation of C and FAs from diatoms. Still, C and N from both food sources were utilized when mussels were fed the mix and condition index, scope for growth (SFG; measure of energy status) and the elemental N:P ratio of mussels where higher in mussels fed cyanobacteria only, indi-cating better growth status in this treatment. It seems like mussels fed cyanobacteria, a food with low proportions of essential FAs compared to diatoms, were able to cover the dietary requirements through FA biosynthesis from precursor FAs. The FA composition and delta 15N-results from mussels fed cyanobacteria agreed well with seasonal field measurements of mussels. Our study provides the first feeding experiment investigating how blue mussels utilize N from cyanobacteria and shows the rather positive response to this type of food. Our results suggest that imbalances in the biochemical composition of diet of consumers can be overcome through biosynthesis of essential FAs. In the context of climate change with shifting biogeochemical baselines, it is crucial to understand the biological effects of such changes in the quality of the production base.</t>
  </si>
  <si>
    <t>10.1016/j.jembe.2023.151894</t>
  </si>
  <si>
    <t>Kowaljow, E; Fernandez, RJ</t>
  </si>
  <si>
    <t>Differential utilization of a shallow-water pulse by six shrub species in the Patagonian steppe</t>
  </si>
  <si>
    <t>Mixing models; Nitrogen fixation; Plant water uptake; Pulsed resource; Root distribution; Stable isotopes</t>
  </si>
  <si>
    <t>SOIL-WATER; PRECIPITATION PULSES; RAINFALL EVENTS; GREAT-BASIN; RESPONSES; GRASSES; GROWTH</t>
  </si>
  <si>
    <t>A field experiment was performed to improve understanding of the functional diversity of western Patagonian shrubs Anarthrophyllum rigidum Adesmia volckmanni Berberis heterophylla Mulinum spinosum Schinus poligamus and Senecio filaginoides were compared in their capacity to absorb water from a 10-mm pulse enriched in deuterium and applied at the beginning of the dry summer Xylem-water enrichment 14 days after watering was rather subtle but the upper-soil signal was clear enough to distinguish shallow from deeper absorption According to a linear mixing model the proportion of surface-pulse water relative to total water uptake was maximum for Senecio (29-38%) and Mulinum (22-32%) both relatively shallow-rooted species intermediate for Berberis (16-17%) and Schinus (6-9%) and negligible for the two N-fixing Fabaceae Adesmia (&lt;1%) and Anarthrophyllum (&lt;3%) despite this last one having a dimorphic (tap + shallow) root system It is hypothesized that shallow-water pulses may be more profitable in terms of nitrogen than of water and thus constitute a higher-quality resource for those species only able to use N from soil sources (C) 2010 Elsevier Ltd All rights reserved</t>
  </si>
  <si>
    <t>10.1016/j.jaridenv.2010.10.004</t>
  </si>
  <si>
    <t>Macreadie, PI; Trevathan-Tackett, SM; Skilbeck, CG; Sanderman, J; Curlevski, N; Jacobsen, G; Seymour, JR</t>
  </si>
  <si>
    <t>Losses and recovery of organic carbon from a seagrass ecosystem following disturbance</t>
  </si>
  <si>
    <t>seagrass; blue carbon; disturbance; bacteria; carbon sink; restoration</t>
  </si>
  <si>
    <t>SMALL-SCALE DISTURBANCES; POSIDONIA-OCEANICA; BLUE CARBON; GROWTH; SEQUESTRATION; COMMUNITIES; SEDIMENTS; DYNAMICS; FORESTS; IMPACT</t>
  </si>
  <si>
    <t>Seagrasses are among the Earth's most efficient and long-term carbon sinks, but coastal development threatens this capacity. We report new evidence that disturbance to seagrass ecosystems causes release of ancient carbon. In a seagrass ecosystem that had been disturbed 50 years ago, we found that soil carbon stocks declined by 72%, which, according to radiocarbon dating, had taken hundreds to thousands of years to accumulate. Disturbed soils harboured different benthic bacterial communities (according to 16S rRNA sequence analysis), with higher proportions of aerobic heterotrophs compared with undisturbed. Fingerprinting of the carbon (via stable isotopes) suggested that the contribution of autochthonous carbon (carbon produced through plant primary production) to the soil carbon pool was less in disturbed areas compared with seagrass and recovered areas. Seagrass areas that had recovered from disturbance had slightly lower (35%) carbon levels than undisturbed, but more than twice as much as the disturbed areas, which is encouraging for restoration efforts. Slow rates of seagrass recovery imply the need to transplant seagrass, rather than waiting for recovery via natural processes. This study empirically demonstrates that disturbance to seagrass ecosystems can cause release of ancient carbon, with potentially major global warming consequences.</t>
  </si>
  <si>
    <t>10.1098/rspb.2015.1537</t>
  </si>
  <si>
    <t>Dunic, JC; Baum, JK</t>
  </si>
  <si>
    <t>Size structuring and allometric scaling relationships in coral reef fishes</t>
  </si>
  <si>
    <t>allometry; body size; coral reef; functional groups; gape limitation; herbivory; ontogenetic diet shift; predation; size-based approach; size structuring</t>
  </si>
  <si>
    <t>BASS MICROPTERUS-SALMOIDES; BODY-SIZE; PREY SIZE; FOOD WEBS; TROPHIC STRUCTURE; GAPE-LIMITATION; HABITAT USE; ONTOGENY; CONSEQUENCES; MORPHOLOGY</t>
  </si>
  <si>
    <t>Temperate marine fish communities are often size-structured, with predators consuming increasingly larger prey and feeding at higher trophic levels as they grow. Gape limitation and ontogenetic diet shifts are key mechanisms by which size structuring arises in these communities. Little is known, however, about size structuring in coral reef fishes. Here, we aimed to advance understanding of size structuring in coral reef food webs by examining the evidence for these mechanisms in two groups of reef predators. Given the diversity of feeding modes amongst coral reef fishes, we also compared gape size-body size allometric relationships across functional groups to determine whether they are reliable indicators of size structuring. We used gut content analysis and quantile regressions of predator size-prey size relationships to test for evidence of gape limitation and ontogenetic niche shifts in reef piscivores (n=13 species) and benthic invertivores (n=3 species). We then estimated gape size-body size allometric scaling coefficients for 21 different species from four functional groups, including herbivores/detritivores, which are not expected to be gape-limited. We found evidence of both mechanisms for size structuring in coral reef piscivores, with maximum prey size scaling positively with predator body size, and ontogenetic diet shifts including prey type and expansion of prey size. There was, however, little evidence of size structuring in benthic invertivores. Across species and functional groups, absolute and relative gape sizes were largest in piscivores as expected, but gape size-body size scaling relationships were not indicative of size structuring. Instead, relative gape sizes and mouth morphologies may be better indicators. Our results provide evidence that coral reef piscivores are size-structured and that gape limitation and ontogenetic niche shifts are the mechanisms from which this structure arises. Although gape allometry was not indicative of size structuring, it may have implications for ecosystem function: positively allometric gape size-body size scaling relationships in herbivores/detritivores suggests that loss of large-bodied individuals of these species will have a disproportionately negative impact on reef grazing pressure.</t>
  </si>
  <si>
    <t>10.1111/1365-2656.12637</t>
  </si>
  <si>
    <t>Pereira, AC; Mancuso, CJ; Newsome, SD; Nardoto, GB; Colli, GR</t>
  </si>
  <si>
    <t>Agricultural input modifies trophic niche and basal energy source of a top predator across human-modified landscapes</t>
  </si>
  <si>
    <t>Araguaia floodplain; compound-specific stable isotope analysis; crocodilian; essential amino acids; hierarchical Bayesian modeling; pasture; spatial analysis</t>
  </si>
  <si>
    <t>CAIMAN-CROCODILUS-CROCODILUS; LAND-USE; ISOTOPIC NICHE; HABITAT FRAGMENTATION; CENTRAL AMAZONIA; STABLE-ISOTOPES; FOOD WEBS; ECOSYSTEM; BIODIVERSITY; SIZE</t>
  </si>
  <si>
    <t>Land-use conversion and resulting habitat fragmentation can affect the source(s) of primary productivity that fuels food webs and alter their structure in ways that leads to biodiversity loss. We investigated the effects of landscape modification on food webs in the Araguaia River floodplain in central Brazil using the top predator, and indicator species Caiman crocodilus (Crocodilia, Alligatoridae). We measured carbon (delta C-13) and nitrogen (delta N-15) isotope values of three tissues with different isotopic incorporation rates to evaluate spatial and temporal changes in caiman isotopic niche width with hierarchical Bayesian models that accounted for habitat use, intraspecific trait variation (sex and body size), and landscape attributes (composition and configuration). We also measured delta C-13 values of essential amino acids to assess if different primary producers are fueling aquatic food webs in natural and anthropogenic areas. Spatial analysis showed that caiman in agricultural areas had larger isotopic niche widths, which likely reflects some use of terrestrial resources in environments dominated by C-4 plants. Patterns in delta C-13 values among essential amino acids were clearly different between natural and anthropogenic habitats. Overall, our findings suggest that caimans can persist in heterogeneous landscapes fueled by natural and agricultural energy sources of energy, which has implications for effectively managing such landscapes to maximize biodiversity.</t>
  </si>
  <si>
    <t>10.3389/fevo.2023.1053535</t>
  </si>
  <si>
    <t>Landscape-scale hydrologic characteristics differentiate patterns of carbon flow in large-river food webs</t>
  </si>
  <si>
    <t>flood pulse concept; river continuum; concept; riverine productivity model; stable isotopes; river impoundment; neotropical rivers; Parana river</t>
  </si>
  <si>
    <t>STABLE-ISOTOPE RATIOS; UPPER PARANA RIVER; AUTOTROPHIC CARBON; ENERGY-SOURCES; FLOODPLAIN; FISH; WATER; FRAGMENTATION; CONSEQUENCES; DELTA-N-15</t>
  </si>
  <si>
    <t>Efforts to conserve, restore, or otherwise manage large rivers and the services they provide are hindered by limited understanding of the functional dynamics of these systems. This shortcoming is especially evident with regard to trophic structure and energy flow. We used natural abundances of carbon and nitrogen isotopes to examine patterns of material flow in ten large-river food webs characterized by different landscape-scale hydrologic characteristics (low-gradient river, high-gradient river, river stretches downstream of reservoirs, and reservoirs), and tested predictions from three ecosystem concepts commonly applied to large-rivers: The River Continuum Concept, The Flood Pulse Concept and the Riverine Productivity Model. Carbon derived from aquatic C-3 plants and phytoplankton were the dominant energy sources supporting secondary consumers across the ten largeriver food webs examined, but relative contributions differed significantly among landscape types. For low-gradient river food webs, aquatic C3 plants were the principal carbon source, contributing as much as 80% of carbon assimilated by top consumers, with phytoplankton secondarily important. The estimated relative importance of phytoplankton was greatest for food webs of reservoirs and river stretches downriver from impoundments, although aquatic C3 plants contributed similar amounts in both landscape types. Highest 99th percentile source contribution estimates for C-4 plants and filamentous algae (both approximately 40%) were observed for high-gradient river food webs. Our results for low-gradient rivers supported predictions of the Flood Pulse Concept, whereas results for the three other landscape types supported the Riverine Productivity Model to varying degrees. Incorporation of landscape-scale hydrologic or geomorphic characteristics, such as river slope or floodplain width, may promote integration of fluvial ecosystem concepts. Expanding these models to include hydrologically impacted landscapes should lead to a more holistic understanding of ecosystem processes in large-river systems.</t>
  </si>
  <si>
    <t>10.1007/s10021-007-9075-2</t>
  </si>
  <si>
    <t>Li, EG; Tong, YQ; Huang, YM; Li, XY; Wang, P; Chen, HY; Yang, CY</t>
  </si>
  <si>
    <t>Responses of two desert riparian species to fluctuating groundwater depths in hyperarid areas of Northwest China</t>
  </si>
  <si>
    <t>desert riparian species; downstream Heihe River basin; gas exchange; groundwater depth; stable oxygen isotopes; water sources</t>
  </si>
  <si>
    <t>HEIHE RIVER-BASIN; SAN-PEDRO RIVER; WATER-UPTAKE; TAMARIX-RAMOSISSIMA; POPULUS-EUPHRATICA; LOWER REACHES; SOIL-WATER; PLANT; TREES; VEGETATION</t>
  </si>
  <si>
    <t>In the hyperarid region of Northwest China, frequent variations in hydrological environments present challenges to the persistence of riparian plants. The main objective of this study was to determine whether two desert riparian species (Populus euphratica and Tamarix ramosissima) differed in their water uptake patterns and ecophysiological responses to fluctuating groundwater depths (GWDs). This study was conducted in typical desert riparian ecosystems in the downstream Heihe River basin, Northwestern China, where the GWD continuously increases during growing season. Stable oxygen composition (delta O-18) in xylem water, soil water, and groundwater, as well as leaf water potential and gas exchange were monitored. Results showed that P. euphratica used a higher ratio of soil water, whereas T. ramosissima relied more on groundwater and deep soil water. As the GWD increased during the growing season, both species modified their water use patterns, but they did so differently, P. euphratica extracted an increasing proportion of deep soil water and groundwater, whereas T. ramosissima took an increasing ratio of groundwater at critical growth stages. P. euphratica exhibited decreases in its daily maximum photosynthetic rate (A(max)) and stomatal conductance (g(max)) as the GWD increased, whereas those of T. ramosissima changed little. In summary, both species shift to use greater ratio of more reliable water sources with the increasing GWD, but the switching of water sources could not sufficiently compensate for the impact of drought stress on gas exchange for P. euphratica.</t>
  </si>
  <si>
    <t>e2078</t>
  </si>
  <si>
    <t>10.1002/eco.2078</t>
  </si>
  <si>
    <t>Heim, RJ; Yurtaev, A; Bucharova, A; Heim, W; Kutskir, V; Knorr, KH; Lampei, C; Pechkin, A; Schilling, D; Sulkarnaev, F; Holzel, N</t>
  </si>
  <si>
    <t>Fire in lichen-rich subarctic tundra changes carbon and nitrogen cycling between ecosystem compartments but has minor effects on stocks</t>
  </si>
  <si>
    <t>ISOTOPE DISCRIMINATION; OXYGEN ISOTOPES; STABLE-ISOTOPES; PERMAFROST THAW; CLIMATE-CHANGE; DECOMPOSITION; VEGETATION; BOREAL; MOSS</t>
  </si>
  <si>
    <t>Fires are predicted to increase in Arctic regions due to ongoing climate change. Tundra fires can alter carbon and nutrient cycling and release a substantial quantity of greenhouse gases with global consequences. Yet, the long-term effects of tundra fires on carbon (C) and nitrogen (N) stocks and cycling are still unclear. Here we used a space-for-time approach to investigate the long-term fire effects on C and N stocks and cycling in soil and aboveground living biomass. We collected data from three large fire scars (&gt;44, 28, and 12 years old) and corresponding control areas and used linear mixed-effect models in a Bayesian framework to analyse long-term development of C and N stocks and cycling after fire. We found that tundra fires had no long-term effect on total C and N stocks because a major part of the stocks was located belowground in soils which were largely unaltered by fire. However, fire had a strong long-term effect on stocks in the aboveground vegetation, mainly due to the reduction in the lichen layer. Fire reduced N concentrations in graminoids and herbs on the younger fire scars, which affected respective C/N ratios and may indicate an increased post-fire competition between vascular plants. Aboveground plant biomass was depleted in C-13 in all three fire scars. In soil, the relative abundance of C-13 changed with time after fire. Our results indicate that in lichen-rich subarctic tundra ecosystems, the contribution of fires to the release of additional carbon to the atmosphere might be relatively small as soil stocks appear to be resilient within the observed time frame.</t>
  </si>
  <si>
    <t>10.5194/bg-19-2729-2022</t>
  </si>
  <si>
    <t>Arias-Gonzalez, JE; Nunez-Lara, E; Gonzalez-Salas, C; Galzin, R</t>
  </si>
  <si>
    <t>Trophic models for investigation of fishing effect on coral reef ecosystems</t>
  </si>
  <si>
    <t>food webs; coral reefs; fishing effect; marine protected areas; reef fish</t>
  </si>
  <si>
    <t>EXPLOITED ECOSYSTEMS; IMPACTS; DIVERSITY; BIOMASS</t>
  </si>
  <si>
    <t>A comparison was made using general trophic models of three coral reef slopes in the Mexican Caribbean. Two reef slopes are in semi-protected areas (Boca Paila, Tampalam) and the third is subject to more intense exploitation (Mahahual). The mass-balanced models of the three reef slopes were derived from fish biomass density data obtained directly from field measurements (fish census). Other trophic groups were derived from published sources. Initial parameters for the three reef slopes were calculated using the Ecopath with Ecosim software. Comparisons of model outputs were done to establish differences between reef slope systems that are semi-protected and unprotected from fishing activities. The most significant results include: partition of production was always lowest for the unprotected reef slope; net primary production was three times higher for the semi-protected slopes than for the unprotected one; total catch in the unprotected reef slope was three and eight times higher than the two semi-protected reef slopes; food chain length increased as total catch increased; the calculated trophic level of the catch was relatively lower in the unprotected reef slope; and catch per net primary production (gross efficiency) was higher in the unprotected reef slope than the semi-protected reef slopes. It is concluded that trophic macrodescriptors can serve as a guide to the hard-to-detect negative effects of coral reef management, aid in decision-making, and emphasize the effects that structural descriptors, (e.g. total fish biomass, diversity indices) do not detect. (C) 2003 Elsevier B.V. All rights reserved.</t>
  </si>
  <si>
    <t>10.1016/j.ecolmodel.2003.09.007</t>
  </si>
  <si>
    <t>Pomfret, JK; Nocera, JJ; Kyser, TK; Reudink, MW</t>
  </si>
  <si>
    <t>Linking Population Declines with Diet Quality in Vaux's Swifts</t>
  </si>
  <si>
    <t>Vaux's Swift; insectivore; stable isotope; diet; population decline</t>
  </si>
  <si>
    <t>STABLE-ISOTOPES; NORTH-AMERICA</t>
  </si>
  <si>
    <t>Over the past 50 years, a range of environmental stressors has resulted in aerial insectivores throughout North America experiencing sharp population declines. Vaux's swifts (Chaetura vauxi) are small, long-distance migratory birds that are currently experiencing range-wide population declines, especially at the their northern range limit. Many studies attribute the Vaux's swift's population decline to a loss in nesting habitat; however, other potentially exacerbating factors, such as changes in insect composition and diet, remain unstudied. Here, we examine a similar to 26 year dietary archive of Vaux's swift guano to ask whether diet composition has changed over time. Vaux's swifts roost communally at the same roost sites each year when migrating, often within decommissioned brick chimneys. As a result, guano accumulates at the base of these roost sites, providing a chronostratified snapshot of the bird's historic diet. We obtained a vertical core sample from a Vaux's swift guano deposit in a chimney on Vancouver Island, BC, Canada. We symmetrically stratified the guano and assessed diet composition by visually analyzing egested arthropod exoskeletons, identifying them to order, and measuring delta N-15 signatures at each layer. Our 26-year data set revealed an increase in the ratio of Hemiptera to Coleoptera corresponding with an increase in delta N-15, suggesting a possible decline in diet quality through time because Hemipterans tend towards higher trophic status than Coleopterans, but are of less caloric value per capita. In addition, delta N-15 was significantly negatively correlated with an annual population index (Breeding Bird Survey). We suggest a reduction in diet quality may be contributing to the decline of Vaux's swift populations, and could be contributing to more declines in other aerial insectivore species.</t>
  </si>
  <si>
    <t>10.3955/046.088.0405</t>
  </si>
  <si>
    <t>Russell, JC; Peace, JE; Houghton, MJ; Bury, SJ; Bodey, TW</t>
  </si>
  <si>
    <t>Systematic prey preference by introduced mice exhausts the ecosystem on Antipodes Island</t>
  </si>
  <si>
    <t>Diet; House mouse; Mus musculus; Southern Ocean; Invertebrates; Stable isotopes; Stomach content</t>
  </si>
  <si>
    <t>STABLE-ISOTOPE ANALYSIS; SUB-ANTARCTIC MARION; FERAL HOUSE MICE; MUS-MUSCULUS; BREEDING SUCCESS; CLIMATE-CHANGE; HABITAT USE; DIET; NITROGEN; IMPACT</t>
  </si>
  <si>
    <t>House mice (Mus musculus) are a widespread invasive species on islands. Where they are the sole introduced mammal they can have particularly strong negative impacts on recipient ecosystems. House mice impacts have been documented on almost every component of the terrestrial ecosystem on Southern Ocean islands, including plants, invertebrates, birds and ecosystem function. We undertook a comprehensive study to determine the impacts of house mice on Antipodes Island, New Zealand. This study was done prior to mouse eradication to inform monitoring and restoration. We used invertebrate pitfall trapping on the main Antipodes Island and neighbouring mouse-free offshore islands together with mouse stomach contents and stable isotope analyses of mouse livers to examine dietary preferences. We identified directly impacted and consumed invertebrate Orders relative to their abundance and provided a comprehensive picture of resource flow and overlap in the invaded terrestrial ecosystem. The remote terrestrial ecosystem of Antipodes Island was tightly circumscribed with strong resource overlap. Mouse diet varied seasonally with resource availability, dominated by invertebrates and land birds in summer, and plants and seabirds in winter. Invertebrates that were preferentially preyed upon were Amphipoda, Lepidoptera and some species of Coleoptera. These patterns suggest the ecosystem is annually driven by a seasonal bottom-up resource pulse over summer, where mice are a selective predator, differentially preying on invertebrates relative to invertebrate abundance. Mice appear to be exhausting preferred prey as they systematically consume their way through the terrestrial ecosystem. Land bird diet also varied seasonally and some of these birds likely competed with mice for invertebrate prey. Eradication of mice from Antipodes Island should reduce the predation on invertebrates and reduce the effects of competition and predation on land birds. This should have flow-on effects to the abundance of invertebrates and endemic land bird sub-species of pipit and snipe.</t>
  </si>
  <si>
    <t>10.1007/s10530-019-02194-4</t>
  </si>
  <si>
    <t>Shipley, ON; Lee, CS; Fisher, NS; Burruss, G; Frisk, MG; Brooks, EJ; Zuckerman, ZC; Herrmann, AD; Madigan, DJ</t>
  </si>
  <si>
    <t>Trophodynamics and mercury bioaccumulation in reef and open-ocean fishes from The Bahamas with a focus on two teleost predators</t>
  </si>
  <si>
    <t>Stable isotope analysis; Contaminant loading; Dolphinfish; Wahoo; The Bahamas</t>
  </si>
  <si>
    <t>DOLPHINFISH CORYPHAENA-HIPPURUS; ACANTHOCYBIUM-SOLANDRI; NITROGEN ISOTOPES; YELLOWFIN TUNA; MOVEMENTS; ATLANTIC; METHYLMERCURY; DIET; FRACTIONATION; INVERTEBRATES</t>
  </si>
  <si>
    <t>Identifying prey resource pools supporting fish biomass can elucidate trophic pathways of pollutant bioaccumulation. We used multiple chemical tracers (carbon [delta C-13] and nitrogen [delta N-15] stable isotopes and total mercury [THg]) to identify trophic pathways and measure contaminant loading in upper trophic level fishes residing at a reef and open-ocean interface near Eleuthera in the Exuma Sound, The Bahamas. We focused predominantly on the trophic pathways of mercury bioaccumulation in dolphinfish Coryphaena hippurus and wahoo Acanthocybium solandri, 2 commonly consumed pelagic sportfish in the region. Despite residing within close proximity to productive and extensive coral reefs, both dolphinfish and wahoo relied almost exclusively on open-ocean prey over both short and long temporal durations. A larger isotopic niche of dolphinfish suggested a broader diet and some potential prey differentiation between the 2 species. THg concentrations in dolphinfish (0.2 +/- 0.1 ppm) and wahoo (0.3 +/- 0.3 ppm) were mostly below recommended guidelines for humans (US Environmental Protection Agency (EPA) = 0.3 ppm, US Food and Drug Administration (FDA)= 1.0 ppm) and were within ranges previously reported for these species. However, high THg concentrations were observed in muscle and liver tissue of commonly consumed reef-associated fishes, identifying a previously unrecognized route of potentially toxic Hg exposure for human consumers on Eleuthera and neighboring islands.</t>
  </si>
  <si>
    <t>10.3354/meps12798</t>
  </si>
  <si>
    <t>Michelot, C; Kato, A; Raclot, T; Shiomi, K; Goulet, P; Bustamante, P; Ropert-Coudert, Y</t>
  </si>
  <si>
    <t>Sea-ice edge is more important than closer open water access for foraging Adelie penguins: evidence from two colonies</t>
  </si>
  <si>
    <t>Pygoscelis adeliae; Incubation trip; Sea-ice edge; Colony; Diet; GPS; Stable isotopes</t>
  </si>
  <si>
    <t>GEORGE-V-LAND; SOUTHERN-OCEAN; STABLE-ISOTOPES; PYGOSCELIS-ADELIAE; COMMONWEALTH BAY; AD,LIE PENGUINS; CLIMATE-CHANGE; KING PENGUINS; TERRE ADELIE; FINE-SCALE</t>
  </si>
  <si>
    <t>Sentinel species, like Adelie penguins, have been used to assess the impact of environmental changes, and their link with sea ice has received considerable attention. Here, we tested if foraging Adelie penguins from 2 colonies in East Antarctica target the distant sea-ice edge or take advantage of closer open waters that are readily available near their colony. We examined the foraging behaviour of penguins during the incubation trips of females in 2016 and males in 2017, using GPS tracking and diet data in view of daily sea-ice data and bathymetry. In 2016-2017, sea-ice cover was extensive during females' trips but flaw leads and polynyas were close to both study sites. Sea ice receded rapidly during males' trips in 2017-2018. Despite close open water near both colonies in both years, females and males preferentially targeted the continental slope and the sea-ice edge to forage. In addition, there was no difference in the diet of penguins from both colonies: all penguins fed mostly on Antarctic hill and males also foraged on Antarctic silverfish. Our results highlight the importance of the sea-ice edge for penguins, an area where food abundance is predictable. It is likely that resource availability was not sufficient in closer open water areas at such an early stage in the breeding season. The behaviours displayed by the penguins from both colonies were similar, suggesting a common behaviour across colonies in Terre Adelie, although additional sites would be necessary to confirm this hypothesis.</t>
  </si>
  <si>
    <t>10.3354/meps13289</t>
  </si>
  <si>
    <t>Meyer, AL; Dierking, J</t>
  </si>
  <si>
    <t>Elevated size and body condition and altered feeding ecology of the grouper Cephalopholis argus in non-native habitats</t>
  </si>
  <si>
    <t>Competitive release; Ecological release; Interspecific competition; Niche shift; Invasive species; Peacock hind; Main Hawaiian Islands; Moorea (French Polynesia)</t>
  </si>
  <si>
    <t>REEF FISH; PLECTROPOMUS-LEOPARDUS; COMPETITIVE RELEASE; PREY SELECTION; CORAL; SERRANIDAE; MOOREA; DIET; COMMUNITIES; PATTERNS</t>
  </si>
  <si>
    <t>In 1956, the shallow-water grouper Cephalopholis argus was introduced from Moorea (French Polynesia), where grouper diversity (14 species) is high, to the Main Hawaiian Islands (MHI), where only 2 rare native deep-water groupers occur. In this non-native environment, the species has flourished and has become the dominant apex predator on many reefs. In the present study, a comparison of non-native populations of C. argus in the MHI with native populations in Moorea showed that mean total length (32.0 vs. 26.9 cm), mass (722 vs. 326 g), growth, and body condition were each significantly elevated in the MHI. In addition, while an ontogenetic shift towards larger prey occurred in both locations, it was faster and more consistent in Moorea than in the MHI. As a result, while small C. argus of comparable size in the 2 locations consumed similar-sized prey, large C. argus in Moorea consumed significantly longer and deeper-bodied prey than their counterparts in the MHI. This pattern was unrelated to the size distributions of available prey and may thus reflect stronger intra-and interspecific competition for small prey in Moorea. Although ecological release in a broader sense (i.e. a combination of predator release, parasite release, and competitive release) may play a role, the most direct explanation for the observed differences between C. argus in native habitats in Moorea (with many competing grouper species) and non-native habitats in the MHI (few competitors) would be competitive release (here used in the sense of benefits resulting from the reduction of interspecific competition).</t>
  </si>
  <si>
    <t>10.3354/meps09338</t>
  </si>
  <si>
    <t>Grosbois, G; Power, M; Evans, M; Koehler, G; Rautio, M</t>
  </si>
  <si>
    <t>Content, composition, and transfer of polyunsaturated fatty acids in an Arctic lake food web</t>
  </si>
  <si>
    <t>benthic invertebrates; fish; high Arctic; littoral; mysids; omega-3; omega-6; pelagic; PUFA; stable isotopes; trophic structure; zooplankton</t>
  </si>
  <si>
    <t>CHARR SALVELINUS-ALPINUS; ORGANIC-CARBON; CRUSTACEAN ZOOPLANKTON; COREGONUS-CLUPEAFORMIS; MERCURY CONCENTRATIONS; NINESPINE STICKLEBACK; BACTERIAL PRODUCTION; STOMACH CONTENTS; TROPHIC ECOLOGY; STABLE-ISOTOPES</t>
  </si>
  <si>
    <t>Freshwater fish production depends on the production and use of polyunsaturated fatty acids (n-3 and n-6 PUFA) from lower trophic levels. Here, we aimed to identify the main trophic pathways that support PUFA content in different fish species (mean 39.7 mg/g dry weight) used in the subsistence fishery of the Inuit community in Greiner Lake near Cambridge Bay (Nunavut, Canada). We used stable isotope and taxon-specific PUFA stocks, to show that the lake food web was divided into distinctive pelagic and littoral benthic food webs and that different fish species obtained their PUFA from different sources within those food webs. The most concentrated fish in n-3 PUFA was Arctic char (Salvelinus alpinus) that obtained nutritionally valuable PUFA compounds by feeding on pelagic zooplankton rich in the essential fatty acids EPA and DHA and on littoral prey with lower PUFA content. The pelagic consumer, lake whitefish (Coregonus clupeaformis), that fed on mysids and zooplankton was also rich in n-3 PUFA. The least concentrated in n-3 PUFA was lake trout (Salvelinus namaycush) that obtained PUFA from low n-3 PUFA sticklebacks (Pungitius pungitius) and macroinvertebrates and from n-3 PUFA-rich littoral mysids. The benthic PUFA were entirely made of n-6 fatty acids and no n-3 PUFA were detected. We further quantified that from the mean daily phytoplankton production of 319 mg C center dot m(-2)center dot d(-1), 2.9% was assimilated by zooplankton (9.4 mg C center dot m(-2)center dot d(-1)) and thereby made available to pelagic fish. The food webs to which fish belonged were supported by PUFA produced in the pelagic and benthic zones but likely complemented by inputs from the watershed. The description of the main PUFA pathways of the Greiner Lake food webs explains for the first time the trophic interactions and underlying mechanisms responsible for the health of the fish community in a high-Arctic lake.</t>
  </si>
  <si>
    <t>e03881</t>
  </si>
  <si>
    <t>10.1002/ecs2.3881</t>
  </si>
  <si>
    <t>Bailey, K; Korb, N; Kruse, C; Harris, S; Hu, J</t>
  </si>
  <si>
    <t>Water use strategies between two co-occurring woody species in a riparian area: Naturally occurring willow, Salix exigua, and expanding juniper, Juniperus scopulorum, in central Montana</t>
  </si>
  <si>
    <t>juniper; plant water use; riparian; stable isotopes; transpiration; willow; woody species</t>
  </si>
  <si>
    <t>SAP-FLOW; PLANT ENCROACHMENT; SUMMER PRECIPITATION; TRANSPIRATION RATES; SHRUB ENCROACHMENT; TALLGRASS PRAIRIE; GAS-EXCHANGE; VEGETATION; FOREST; STREAMFLOW</t>
  </si>
  <si>
    <t>Juniper expansion across the western United States has the potential to alter watershed hydrology, especially within riparian areas. Given the uncertainties in the ecohydrological response to the expansion, this study focused on examining the water use strategies between two woody species co-occurring in a riparian area in south central Montana-Salix exigua (sandbar willows) and Juniperus scopulorum (rocky mountain junipers)-in order to address three questions: (1) Are junipers and willows using the same soil moisture pool that contributes to streamflow? (2) Are junipers transpiring more water than willows on a per tree or per sapwood area basis? (3) Are the seasonal transpiration rates between junipers and willows different? To determine the differences in water use strategies between willows and junipers, we used stable isotope analyses to trace different sources of water, water potential to determine seasonal water stress patterns and transpiration rates to quantify water loss. Our isotopic analyses suggest that junipers and willows in the riparian area were not directly using stream water but relied on different pools of soil water at different times of the year: shallow soil water in spring when soils were wet and deeper soil water in late summer. We also found that junipers transpired more than willows during the spring and late fall, but that both species had similar transpiration rates during periods of low streamflow. However, higher juniper transpiration rates in spring and late fall can potentially lead to soil moisture deficits if winter snowpack is low, suggesting that the additional water loss through transpiration by junipers may be mitigated under wet winters but exacerbated under dry winters.</t>
  </si>
  <si>
    <t>e2402</t>
  </si>
  <si>
    <t>10.1002/eco.2402</t>
  </si>
  <si>
    <t>Barrere, J; Boulanger, V; Collet, C; Walker, E; Siat, V; Henry, L; Said, S</t>
  </si>
  <si>
    <t>How does oak mast seeding affect the feeding behavior of sympatric red and roe deer?</t>
  </si>
  <si>
    <t>Deer; Diet; Mast seeding; Resource pulse; Quercus; Acorn; Cervus elaphus; Capreolus capreolus</t>
  </si>
  <si>
    <t>PLANT SECONDARY METABOLITES; NUTRITIONAL-VALUE; DIET COMPOSITION; ACORN PRODUCTION; ECOLOGY; SELECTIVITY; POPULATION; RESOURCES; RESPONSES; DYNAMICS</t>
  </si>
  <si>
    <t>Oak reproduction is characterized by mast seeding with high inter-annual fluctuations in fruit production. Such resource pulses can greatly affect ecosystem functioning and may cause seed consumers to alter their mobility, demography, or diet. Consequences of mast seeding for seed consumers remain poorly understood as their long timescale makes them difficult to study. We investigated impacts of oak mast seeding on the feeding behavior of two sympatric European deer species: red deer (Cervus elaphus) and roe deer (Capreolus capreolus). We analyzed their rumen content over a 31-year period in tandem with 10 years of data on oak fructification (i.e. 8 years of field monitoring and two modelled years). Acorn production is strongly correlated with consumption by both deer species. In years of high fructification, acorns represent more than 50% and 35% of red and roe deer diet, respectively, confirming assumptions that deer favor acorns when these are available. Red deer eat more acorns than roe deer both between and within years. High acorn production in mast years appears to saturate the capacity of deer to consume acorns. As the proportion of acorns increase in their diet, red deer eat more grasses and less conifer browse. No dietary shift was found for roe deer. By inducing dietary shifts in consumers, oak mast seeding can have cascading effects on ecosystem processes, notably on the damages on conifers caused by red deer and the consequences for forest dynamics. (C) 2020 Gesellschaft fur Okologie. Published by Elsevier GmbH. All rights reserved.</t>
  </si>
  <si>
    <t>10.1016/j.baae.2020.04.006</t>
  </si>
  <si>
    <t>Shiffman, DS; Kaufman, L; Heithaus, M; Hammerschlag, N</t>
  </si>
  <si>
    <t>Intraspecific differences in relative isotopic niche area and overlap of co-occurring sharks</t>
  </si>
  <si>
    <t>Stable isotope analysis; Food web ecology; Predator prey interactions; Sharks; Florida; Everglades</t>
  </si>
  <si>
    <t>AFRICAN WILD DOGS; STABLE-ISOTOPES; FLORIDA BAY; ELASMOBRANCH CONSERVATION; PRIMARY PRODUCERS; TROPHIC STRUCTURE; BISCAYNE BAY; DAILY RATION; DIET; ECOLOGY</t>
  </si>
  <si>
    <t>Few studies have assessed whether patterns of resource partitioning among sympatric marine predators vary between different habitats. This type of data is important for understanding food web functioning as well as for supporting an ecosystem-based fisheries management plan. In this study, we used C-13 and N-15 stable isotope analysis to assess the relative isotopic niche area (i.e., which species has the largest and smallest isotopic niche area within a study site) and core isotopic niche overlap between 299 sharks of 11 co-occurring shark species that vary in size, diet and behavior in three coastal study areas in South Florida. Overall, results show that the relative isotopic niche area and patterns of core isotopic niche overlap between some sympatric shark species varied between sites, suggesting plasticity in resource use and competitive interactions between shark species (e.g., 85% of blacktip shark Carcharhinus limbatus standard ellipse area overlapped with the blacknose shark C. acronotus ellipse in Biscayne Bay, but there was no overlap between these species' ellipses in nearby Florida Bay). Therefore, patterns of resource use and trophic interactions documented among species from one site may not be applicable to a neighboring location. These findings may have implications for food web models that incorporate trophic data from different areas for a species when local data are unavailable.</t>
  </si>
  <si>
    <t>10.1007/s10452-019-09685-5</t>
  </si>
  <si>
    <t>Samelius, G; Alisauskas, RT; Hobson, KA; Lariviere, S</t>
  </si>
  <si>
    <t>Prolonging the arctic pulse: long-term exploitation of cached eggs by arctic foxes when lemmings are scarce</t>
  </si>
  <si>
    <t>food caching; food hoarding; foraging behaviour; foraging ecology; prey switching; pulsed resources</t>
  </si>
  <si>
    <t>NITROGEN ISOTOPIC FRACTIONATION; STABLE-ISOTOPES; ALOPEX-LAGOPUS; TERRESTRIAL ECOSYSTEMS; COMMUNITY DYNAMICS; GOOSE COLONY; HOME-RANGE; DIET; CARBON; PATTERNS</t>
  </si>
  <si>
    <t>1. Many ecosystems are characterized by pulses of dramatically higher than normal levels of foods (pulsed resources) to which animals often respond by caching foods for future use. However, the extent to which animals use cached foods and how this varies in relation to fluctuations in other foods is poorly understood in most animals. 2. Arctic foxes Alopex lagopus (L.) cache thousands of eggs annually at large goose colonies where eggs are often superabundant during the nesting period by geese. We estimated the contribution of cached eggs to arctic fox diets in spring and autumn, when geese were not present in the study area, by comparing stable isotope ratios (delta C-13 and delta N-15) of fox tissues with those of their foods using a multisource mixing model in Program IsoSource. 3. The contribution of cached eggs to arctic fox diets was inversely related to collared lemming Dicrostonyx groenlandicus (Traill) abundance; the contribution of cached eggs to overall fox diets increased from &lt; 28% in years when collared lemmings were abundant to 30-74% in years when collared lemmings were scarce. 4. Further, arctic foxes used cached eggs well into the following spring (almost 1 year after eggs were acquired) - a pattern that differs from that of carnivores generally storing foods for only a few days before consumption. 5. This study showed that long-term use of eggs that were cached when geese were superabundant at the colony in summer varied with fluctuations in collared lemming abundance (a key component in arctic fox diets throughout most of their range) and suggests that cached eggs functioned as a buffer when collared lemmings were scarce.</t>
  </si>
  <si>
    <t>10.1111/j.1365-2656.2007.01278.x</t>
  </si>
  <si>
    <t>Barry, SC; Jacoby, CA; Frazer, TK</t>
  </si>
  <si>
    <t>Environmental influences on growth and morphology of Thalassia testudinum</t>
  </si>
  <si>
    <t>Seagrass; Nutrients; Environmental gradients; Stable isotopes; Gulf of Mexico; Phenotypic plasticity; Phosphorus</t>
  </si>
  <si>
    <t>SEAGRASS POSIDONIA-OCEANICA; BANKS EX KONIG; LIGHT AVAILABILITY; ZOSTERA-NOLTII; FLORIDA BAY; NUTRIENT AVAILABILITY; COASTAL WATERS; ISOTOPE RATIOS; TURTLE-GRASS; GULF-COAST</t>
  </si>
  <si>
    <t>Key metrics of Thalassia testudinum aboveground morphology vary along a spatial gradient in concentrations of total phosphorus in the water column that has persisted for over a decade off the central Gulf of Mexico coast of peninsular Florida. Leaf area shoot(-1), shoot density, shoot height, and areal biomass of T. testudinum, the dominant seagrass, were measured at sites along this gradient. The roles of differential production and nutrient supply were assessed as potential drivers of these relationships via growth rates, quantities of carbon (C), nitrogen (N) and phosphorus (P), and stable isotope ratios of leaves (delta C-13, delta N-15). Leaf area shoot(-1), shoot height, and shoot production were positively correlated with total P (TP), whereas shoot density and leaf N: P and leaf C: P ratios were negatively correlated with TP. There were no significant relationships with TP for epiphyte load, areal biomass, areal production rate, or leaf C: N ratio. The results also suggested that T. testudinum maintained a relatively uniform aboveground biomass and specific growth rate across the range of P concentrations observed in the water column during this study. The findings highlight the extent of morphological plasticity of T. testudinum. Collectively, the morphology, growth rate, elemental content, and stable isotope findings offer compelling evidence that T. testudinum along the Gulf coast of peninsular Florida balances shoot morphology and density to maintain growth and survival across a wide range of nutrient supply.</t>
  </si>
  <si>
    <t>10.3354/meps12112</t>
  </si>
  <si>
    <t>Mueller, MH; Alaoui, A; Alewell, C</t>
  </si>
  <si>
    <t>Water and solute dynamics during rainfall events in headwater catchments in the Central Swiss Alps under the influence of green alder shrubs and wetland soils</t>
  </si>
  <si>
    <t>electrical conductivity; green alder; headwater catchments; hydrograph separation; runoff generation; stable isotopes; storm runoff; wetland soils</t>
  </si>
  <si>
    <t>DISSOLVED ORGANIC-CARBON; HYDROGRAPH SEPARATION; PREFERENTIAL FLOW; STABLE-ISOTOPES; RUNOFF CHEMISTRY; CLIMATE-CHANGE; RIPARIAN ZONE; STREAM WATER; STORM RUNOFF; NEW-YORK</t>
  </si>
  <si>
    <t>In the Swiss Alps, shrubs (e.g. Alnus viridis (Chaix) DC) are encroaching into formerly open habitats. The shrub encroachment might affect soil hydrological properties, which in turn influence runoff generation. Moreover, alder species (Alnus spp.) are known to affect chemical soil properties (e.g. increase of nitrate concentrations in the soil solution) and can therefore alter the water quality of stream water. In our study, we investigated four small alpine headwater catchments to assess the influence of shrub encroachment and wetland soils on stream water geochemistry during storm runoff. Stream water was sampled in the growing season of 2010 at hourly intervals during one single rainfall event. Stable isotope values (delta O-18) of stream water (ranging from -13.8 to -8.5 parts per thousand) and rainfall (bulk mean delta O-18 value of about -5.6 parts per thousand) during the single event were used to estimate the fraction of event water in stream discharge. Continuously measured electrical conductivity in the growing seasons of 2010 and 2011 was used to infer information on runoff generation during 15 rainfall events. Riparian wetland soils were flushed by a high fraction of event water of up to 72% during peak discharge, which increased the dissolved organic carbon export during the single rainfall event. Besides the atmospheric input through nitrate in rainwater, the expected expansion of green alder shrubs in the region, associated with increasing number and intensity of summer rainfall events in the future, might increase the episodic export of nutrients such as dissolved organic carbon and NO3- from these catchments. Copyright (C) 2015 John Wiley &amp; Sons, Ltd.</t>
  </si>
  <si>
    <t>10.1002/eco.1692</t>
  </si>
  <si>
    <t>Robert, M; Pawlowski, L; Kopp, D</t>
  </si>
  <si>
    <t>TrophicCS: Spatialized trophic data of the Celtic Sea continental shelf food web</t>
  </si>
  <si>
    <t>carbon and nitrogen stable isotopes; Celtic Sea continental shelf; diet matrix; ecosystem scale; gut content analysis; November 2014-2016; trophic network structure; trophic niche</t>
  </si>
  <si>
    <t>Understanding the dynamics of species interactions for food (prey-predator, competition for resources) and the functioning of trophic networks (dependence on trophic pathways, food chain flows, etc.) has become a thriving ecological research field in recent decades. This empirical knowledge is then used to develop population and ecosystem modeling approaches to support ecosystem-based management. The TrophicCS data set offers spatialized trophic information on a large spatial scale (the entire Celtic Sea continental shelf and upper slope) for a wide range of species. It combines ingested prey (gut content analysis) and a more integrated indicator of food sources (stable isotope analysis). A total of 1337 samples of large epifaunal invertebrates (bivalve mollusks and decapod crustaceans), zooplankton, fish, and cephalopods, corresponding to 111 taxa (94% determined at the species level), were collected and analyzed for stable isotope analysis of their carbon and nitrogen content. Samples were collected between 2014 and 2016, mostly during the month of November and between 57 and 516 m depth. Sample size varied between taxa (from 1 to 52), with 98 taxa having at least three samples. The gut contents of 1027 fish belonging to 10 commercially important species: black anglerfish (Lophius budegassa), white anglerfish (Lophius piscatorius), blue whiting (Micromesistius poutassou), cod (Gadus morhua), haddock (Melanogrammus aeglefinus), hake (Merluccius merluccius), megrim (Lepidorhombus whiffiagonis), plaice (Pleuronectes platessa), sole (Solea solea), and whiting (Merlangius merlangus) were analyzed. Sampling occurred in November 2014 and 2015. The gut content data set contains the occurrence of prey in gut, identified to the lowest taxonomic level possible. No prey were assigned for 274 empty gut contents. To consider potential ontogenetic diet changes, a large size range was sampled for each species. The TrophicCS data set was used to improve understanding of trophic relationships and ecosystem functioning in the Celtic Sea. Data are released under a CC-BY-NC-SA license, and please cite this paper when reusing the data.</t>
  </si>
  <si>
    <t>e3708</t>
  </si>
  <si>
    <t>10.1002/ecy.3708</t>
  </si>
  <si>
    <t>Ruoso, LE; Plant, R; Maurel, P; Dupaquier, C; Roche, PK; Bonin, M</t>
  </si>
  <si>
    <t>Reading Ecosystem Services at the Local Scale through a Territorial Approach: the Case of Peri-Urban Agriculture in the Thau Lagoon, Southern France</t>
  </si>
  <si>
    <t>ecosystem services; local land use planning; participatory methods; stakeholder perception; territorial approach; Thau lagoon</t>
  </si>
  <si>
    <t>SOCIAL VALUES; SYSTEMS; CLASSIFICATION; MANAGEMENT; PERCEPTION; VALUATION</t>
  </si>
  <si>
    <t>In recent years, the ecosystem services (ES) concept has become a major paradigm for natural resource management. While policy-makers demand hard monetary evidence that nature conservation would be worth investing in, ongoing attempts are being made to formalize the concept as a scientifically robust one size fits all analytical framework. These attempts have highlighted several major limitations of the ES concept. First, to date, the concept has paid little attention to the role of humans in the production of ES. Second, the ongoing formalization of the ES concept is turning it into a technology of globalization, thereby increasingly ignoring the socio-cultural context and history within which ecosystems emerge. Third, economic valuation has been shown to limit local stakeholders in expressing their daily and immediate ways of interacting with their environment over and beyond extrinsic motivation provided by financial gains. We address these three limitations by analyzing a social evaluation of the roles of peri-urban farmland from a territorial perspective. Our case study is the Thau lagoon in southern France. We conducted in-depth interviews with a broad range of stakeholders and ran two participatory workshops. Using a territorial meta-model that distinguishes three levels-physical, logical, and existential-stakeholder data were analyzed to unravel the interplay of territorial elements at these three levels that gives rise to ES in two broad categories: food production and aesthetic landscape. The coupling of ES and territory concepts opens up several novel analytical perspectives. It allows partitioning of ES in a manner that re-contextualizes them and gives insight about both their physical constituents and their meaning at the territorial level. Additional research should incorporate the dynamics of service demand and supply, and further investigate options for implementation.</t>
  </si>
  <si>
    <t>10.5751/ES-07694-200311</t>
  </si>
  <si>
    <t>Swanson, HK; Kidd, KA; Reist, JD</t>
  </si>
  <si>
    <t>Effects of Partially Anadromous Arctic Charr (Salvelinus alpinus) Populations on Ecology of Coastal Arctic Lakes</t>
  </si>
  <si>
    <t>anadromous Arctic charr; food webs; fish growth; stable isotopes; distance metrics; marine-derived nutrients</t>
  </si>
  <si>
    <t>FRESH-WATER; ALOSA-PSEUDOHARENGUS; ATLANTIC SALMON; STABLE-ISOTOPES; PACIFIC SALMON; STREAM; DELTA-C-13; MARINE; NUTRIENTS; NITROGEN</t>
  </si>
  <si>
    <t>Little research has been conducted on effects of iteroparous anadromous fishes on Arctic lakes. We investigated trophic ecology, fish growth, and food web structure in six lakes located in Nunavut, Canada; three lakes contained anadromous Arctic charr (Salvelinus alpinus) whereas three lakes did not contain Arctic charr. All lakes contained forage fishes and lake trout (Salvelinus namaycush; top predator). Isotope ratios (delta C-13, delta N-15) of fishes and invertebrates did not differ between lakes with and without anadromous Arctic charr; if anadromous Arctic charr deliver marine-derived nutrients and/or organic matter to freshwater lakes, these inputs could not be detected with delta C-13 and/or delta N-15. Lake trout carbon (C):nitrogen (N) and condition were significantly higher in lakes with Arctic charr (C:N = 3.42, K = 1.1) than in lakes without Arctic charr (C:N = 3.17, K = 0.99), however, and ninespine stickleback (Pungitius pungitius) condition was significantly lower in lakes with Arctic charr (K = 0.58) than in lakes without Arctic charr (K = 0.64). Isotope data indicated that pre-smolt and resident Arctic charr may be prey for lake trout and compete with ninespine stickleback. Linear distance metrics applied to isotope data showed that food webs were more compact and isotopically redundant in lakes where Arctic charr were present. Despite this, lake trout populations in lakes with Arctic charr occupied a larger isotope space and showed greater inter-individual isotope differences. Anadromous Arctic charr appear to affect ecology and feeding of sympatric freshwater species, but effects are more subtle than those seen for semelparous anadromous species.</t>
  </si>
  <si>
    <t>10.1007/s10021-010-9316-7</t>
  </si>
  <si>
    <t>Seminoff, JA; Jones, TT; Eguchi, T; Jones, DR; Dutton, PH</t>
  </si>
  <si>
    <t>Stable isotope discrimination (delta C-13 and delta N-15) between soft tissues of the green sea turtle Chelonia mydas and its diet</t>
  </si>
  <si>
    <t>carbon; Chelonidae; ectotherm; fractionation; isotope enrichment; nitrogen; reptilia</t>
  </si>
  <si>
    <t>CARBON ISOTOPES; TROPHIC RELATIONSHIPS; NITROGEN ISOTOPES; FRACTIONATION; TURNOVER; ECOLOGY; BLOOD; MAMMALS; RATIOS; BREATH</t>
  </si>
  <si>
    <t>The foraging ecology and movements of vertebrate species have been increasingly studied via stable isotope analyses of small quantities of body tissues. However, the theoretical and experimental basis of this method remains poorly validated for most taxa despite numerous studies using these techniques in natural systems. In this study, we measured stable carbon and stable nitrogen diet-tissue discrimination (Delta(dt) in whole blood, red blood cells, blood plasma, and epidermis of 8 captive green turtles Chelonia mydas maintained on a control diet (41% protein, 12% lipids, 4% fiber) for 619 d. During the course of the study, mean straight carapace length increased from 45.2 1.2 to 53.7 +/- 2.1 cm, whereas mean body mass increased from 11.7 +/- 0.7 to 19.9 +/- 2.2 kg. Both diet and tissue isotope values remained constant throughout the study, indicating that diet-tissue equilibrium had been achieved. Whereas Delta C-13(dt) ranged from -1.11%. (red blood cells) to +0.1.7%o (epidermis), Delta N-15(dt) ranged from +0.22%. (red blood cells) to +2.92%. (blood plasma). These results contrast with the widely accepted discrimination factors of 0 to 1%. for VC and 3 to 5%, for delta N-15. Comprising the initial enrichment factors available for green turtles, these data will be useful in future interpretations of field isotopic values for this species.</t>
  </si>
  <si>
    <t>10.3354/meps308271</t>
  </si>
  <si>
    <t>Carrasco, TS; Scherer, CS; Ribeiro, AM; Buchmann, FS</t>
  </si>
  <si>
    <t>Paleodiet of Lamini camelids (Mammalia: Artiodactyla) from the Pleistocene of southern Brazil: insights from stable isotope analysis (delta C-13, delta O-18)</t>
  </si>
  <si>
    <t>GRANDE-DO-SUL; GUANACO LAMA-GUANICOE; AMERICAN BIOTIC INTERCHANGE; ANCIENT FEEDING ECOLOGY; MULTIVARIATE-ANALYSIS; NORTHERN PATAGONIA; CLIMATE DYNAMICS; DIETARY ECOLOGY; COASTAL-PLAIN; ARIDITY INDEX</t>
  </si>
  <si>
    <t>Camelids (Camelidae) were a diverse and widely distributed group in South America during the Pleistocene. According to the fossil record, three species inhabited southern Brazil in the recent past: Hemiauchenia paradoxa, Lama guanicoe, and Vicugna vicugna. The analysis of carbon and oxygen stable isotope ratios in bioapatite provides insight into the paleobiology of nonliving animals and the environment they used to inhabit. We applied this tool to investigate the diet of camelids from two geological localities in southern Brazil: Touro Passo and Santa Vitoria Formations (H. paradoxa, n = 7; L. guanicoe, n = 6; V. vicugna, n = 4). Carbon stable isotopes from enamel, dentin, and bone indicated that H. paradoxa and L. guanicoe had diets comprising mostly C-3 grasses, but the latter showed a broader diet due to one individual with a mixed diet, whereas V. vicugna had a mixed C-3-C-4 diet. These different foraging behaviors may have minimized interspecific competition and favored niche partitioning and the coexistence of related species. Combined oxygen and carbon isotope data showed a consistent diet according to climate, probably due to the greater availability in glacial periods of cool-season grasses, which mainly use the C-3 photosynthetic pathway. Given their adaptations to grazing, the climate amelioration, followed by the loss of grasslands, likely had a great impact on camelid populations, leading to their extinction in southern Brazil. These results, therefore, contribute to the understanding of the dynamics of paleocommunities in this region.</t>
  </si>
  <si>
    <t>PII S0094837322000100</t>
  </si>
  <si>
    <t>10.1017/pab.2022.10</t>
  </si>
  <si>
    <t>Holguin-Gonzalez, JE; Boets, P; Alvarado, A; Cisneros, F; Carrasco, MC; Wyseure, G; Nopens, I; Goethals, PLM</t>
  </si>
  <si>
    <t>Integrating hydraulic, physicochemical and ecological models to assess the effectiveness of water quality management strategies for the River Cuenca in Ecuador</t>
  </si>
  <si>
    <t>Habitat suitability modelling; Integrated ecological modelling; QUAL2Kw; Logistic regression; Model trees</t>
  </si>
  <si>
    <t>SPECIES DISTRIBUTION MODELS; GOODNESS-OF-FIT; REGRESSION TREES; CLASSIFICATION TREES; HABITAT SUITABILITY; UNCERTAINTY; PREDICTION; FLANDERS; OPTIMIZATION; PERFORMANCE</t>
  </si>
  <si>
    <t>During the past decades, the development and use of ecological models to predict the presence or absence of macroinvertebrates as water quality indicators for decision support in river management has gained a lot of interest. However, these models rarely integrate hydromorphological, physicochemical, and biological components in the submodels. We developed a generic framework for decision support in water management that can be applied to any river basin based on an integrated modelling approach. This approach integrates a mechanistic hydraulic and physicochemical water quality model with aquatic ecological models. Two types of ecological models were developed, habitat suitability models to predict the occurrence of macroinvertebrates and ecological assessment models to predict a biotic index score. Our main purpose was to assess the effectiveness of different wastewater treatment/disposal strategies considering receiving water's ecological aspects and to determine water quality requirements. This paper presents the testing and validation of this integrated framework on a case study of a mountain river (River Cuenca) in the Andes of Ecuador. Three wastewater management scenarios were tested. The different scenarios indicated that the foreseen investments in sanitation infrastructure will lead to modest improvements of the ecological water quality. This improvement (i.e. increase of the biotic index) was only identified in 6 of the 21 monitoring stations considered in the River Cuenca and its tributaries. Therefore, it is necessary to control the impact of the industrial wastewaters discharges and the diffuse pollution at the upper catchment of the tributaries to achieve a good ecological status. With these results, we proved that integrated models, like the one presented here, have an added value for decision support in water management by coupling ecological water quality to a set of hydraulic and chemical water quality measures based on a water quality model. In order to improve these models, it is necessary to change the river monitoring strategy towards collection of data which include simultaneous measurements of physicochemical, hydromorphological and biological data. (C) 2013 Elsevier B.V. All rights reserved.</t>
  </si>
  <si>
    <t>10.1016/j.ecolmodel.2013.01.011</t>
  </si>
  <si>
    <t>Stanley, CQ; Dudash, MR; Ryder, TB; Shriver, WG; Marra, PP</t>
  </si>
  <si>
    <t>Variable tropical moisture and food availability underlie mixed winter space-use strategies in a migratory songbird</t>
  </si>
  <si>
    <t>facultative movements; movement ecology; non-breeding ecology; stable isotopes; tracking; wintering grounds</t>
  </si>
  <si>
    <t>HABITAT OCCUPANCY; STABLE-ISOTOPES; WOOD THRUSH; AVIAN BLOOD; MIGRANT; BIRD; ABUNDANCE; RAINFALL; DYNAMICS; PATTERNS</t>
  </si>
  <si>
    <t>Identifying environmental correlates driving space-use strategies can be critical for predicting population dynamics; however, such information can be difficult to attain for small mobile species such as migratory songbirds. We combined radio-telemetry and high-resolution GPS tracking to examine space-use strategies under different moisture gradients for wood thrush (Hylocichla mustelina). We explored the role moisture plays in driving food abundance and, in turn, space-use strategies at a wintering site in Belize across 3 years. Individuals occupying drier habitats experienced lower food abundance and poorer body condition. Using data from our radio-tracked study population and GPS tracking from across five breeding populations, we detected low rates of overwinter site persistence across the wood thrush wintering range. Contrary to expectations, individuals in wetter habitats were more likely to engage in permanent mid-winter relocations, up to 148 km. We suggest facultative movements are instead a condition-dependent strategy that enables wintering wood thrush to locate alternative habitat as food availability declines throughout the dry season. Increased aridity is predicted across the wintering range of wood thrush, and future research should delve deeper into understanding how moisture impacts within and between season space-use dynamics and its ultimate impact on the population dynamics of this declining species.</t>
  </si>
  <si>
    <t>10.1098/rspb.2021.1220</t>
  </si>
  <si>
    <t>Bardhan, P; Naqvi, SWA; Karapurkar, SG; Shenoy, DM; Kurian, S; Naik, H</t>
  </si>
  <si>
    <t>Isotopic composition of nitrate and particulate organic matter in a pristine dam reservoir of western India: implications for biogeochemical processes</t>
  </si>
  <si>
    <t>TROPICAL NORTH PACIFIC; FRESH-WATER; NITROGEN; FRACTIONATION; DENITRIFICATION; OXYGEN; MARINE; CARBON; LAKE; DELTA-N-15</t>
  </si>
  <si>
    <t>Isotopic composition of nitrate (delta N-15 and delta O-18) and particulate organic matter (POM; delta N-15 and delta C-13) were measured in the Tillari Reservoir, located at the foothills of the Western Ghats, Maharashtra, western India. The reservoir, which is stratified during spring-summer and autumn seasons but gets vertically mixed during the southwest monsoon (SWM) and winter, is characterized by diverse redox nitrogen transformations in space and time. The delta N-15 and delta O-18 values of nitrate were low (delta N-15 = 2-10 %, delta O-18 = 58 %) during normoxic conditions but increased gradually (the highest at delta N-15 = 27 %, delta O-18 = 29 %) when anoxic conditions facilitated denitrification in the hypolimnion during spring-early summer. Once nitrate was fully utilized and sulfidic conditions set in, NH4+ became the dominant inorganic N species, with delta N-15 ranging from 1.3 to 2.6 %. Low delta N-15 (similar to-5 %) and delta C-13 (37 to 32 %) of POM co-occurring with high NH4+ and CH4 in sulfidic bottom waters were probably the consequence of microbial chemosynthesis. Assimilation of nitrate in the epilimnion was the major controlling process on the N isotopic composition of POM (delta N-15 = 2-6 %). Episodic low delta N-15 values of POM (2 to 0 %) during early summer, coinciding with the absence of nitrate, might arise from N fixation, although further work is required to confirm the hypothesis. delta C-13 POM in the photic zone ranged between 29 and 27% for most parts of the year. The periods of mixing were characterized by uniform delta N-15-NO3- and delta O-18-NO3- at all depths. Higher POM (particulate organic carbon, POC, as well as particulate organic nitrogen, PON) contents and C/N values with lower delta C-13 POM during the SWM point to allochthonous inputs. Overall, this study, the first of its kind in the Indian subcontinent, provides an insight into biogeochemistry of Indian reservoirs, using stable carbon and nitrogen isotopes as a tool, where the monsoons play an important role in controlling vertical mixing and dynamics of carbon and nutrients.</t>
  </si>
  <si>
    <t>10.5194/bg-14-767-2017</t>
  </si>
  <si>
    <t>Kindler, R; Siemens, J; Kaiser, K; Walmsley, DC; Bernhofer, C; Buchmann, N; Cellier, P; Eugster, W; Gleixner, G; Grunwald, T; Heim, A; Ibrom, A; Jones, SK; Jones, M; Klumpp, K; Kutsch, W; Larsen, KS; Lehuger, S; Loubet, B; McKenzie, R; Moors, E; Osborne, B; Pilegaard, K; Rebmann, C; Saunders, M; Schmidt, MWI; Schrumpf, M; Seyfferth, J; Skiba, U; Soussana, JF; Sutton, MA; Tefs, C; Vowinckel, B; Zeeman, MJ; Kaupenjohann, M</t>
  </si>
  <si>
    <t>Dissolved carbon leaching from soil is a crucial component of the net ecosystem carbon balance</t>
  </si>
  <si>
    <t>carbon cycle; carbon sequestration; CH4; DIC; dissolved inorganic carbon; dissolved organic carbon; DOC; methane; net biome productivity; net ecosystem exchange</t>
  </si>
  <si>
    <t>ORGANIC-MATTER; FOREST FLOOR; NITROGEN; WATER; FLUX; C-13; DENITRIFICATION; EVAPORATION; EXCHANGE; GERMANY</t>
  </si>
  <si>
    <t>Estimates of carbon leaching losses from different land use systems are few and their contribution to the net ecosystem carbon balance is uncertain. We investigated leaching of dissolved organic carbon (DOC), dissolved inorganic carbon (DIC), and dissolved methane (CH4), at forests, grasslands, and croplands across Europe. Biogenic contributions to DIC were estimated by means of its delta 13C signature. Leaching of biogenic DIC was 8.3 +/- 4.9 g m-2 yr-1 for forests, 24.1 +/- 7.2 g m-2 yr-1 for grasslands, and 14.6 +/- 4.8 g m-2 yr-1 for croplands. DOC leaching equalled 3.5 +/- 1.3 g m-2 yr-1 for forests, 5.3 +/- 2.0 g m-2 yr-1 for grasslands, and 4.1 +/- 1.3 g m-2 yr-1 for croplands. The average flux of total biogenic carbon across land use systems was 19.4 +/- 4.0 g C m-2 yr-1. Production of DOC in topsoils was positively related to their C/N ratio and DOC retention in subsoils was inversely related to the ratio of organic carbon to iron plus aluminium (hydr)oxides. Partial pressures of CO2 in soil air and soil pH determined DIC concentrations and fluxes, but soil solutions were often supersaturated with DIC relative to soil air CO2. Leaching losses of biogenic carbon (DOC plus biogenic DIC) from grasslands equalled 5-98% (median: 22%) of net ecosystem exchange (NEE) plus carbon inputs with fertilization minus carbon removal with harvest. Carbon leaching increased the net losses from cropland soils by 24-105% (median: 25%). For the majority of forest sites, leaching hardly affected actual net ecosystem carbon balances because of the small solubility of CO2 in acidic forest soil solutions and large NEE. Leaching of CH4 proved to be insignificant compared with other fluxes of carbon. Overall, our results show that leaching losses are particularly important for the carbon balance of agricultural systems.</t>
  </si>
  <si>
    <t>10.1111/j.1365-2486.2010.02282.x</t>
  </si>
  <si>
    <t>Teixeira, CR; Botta, S; Cremer, MJ; Marcondes, MCC; Pereira, LB; Newsome, SD; Jorge, FGD; Simoes-Lopes, PC</t>
  </si>
  <si>
    <t>Ecologically driven differences in individual diet specialization across three populations of Guiana dolphin</t>
  </si>
  <si>
    <t>Niche width; Intraspecific variation; Stable isotopes; Foraging ecology; Competition</t>
  </si>
  <si>
    <t>SOTALIA-GUIANENSIS CETACEA; CARAVELAS RIVER ESTUARY; PONTOPORIA-BLAINVILLEI CETACEA; STABLE-ISOTOPES; INTRASPECIFIC COMPETITION; BABITONGA BAY; COMMUNITY STRUCTURE; NICHE WIDTH; SEA OTTERS; DELPHINIDAE</t>
  </si>
  <si>
    <t>Populations usually considered foraging generalists may include specialized individuals that feed on a restricted subset of the prey spectrum consumed by the population. By analyzing the time series of delta C-13 and delta N-15 values in sequential growth layer groups within tooth dentin, we measured population- and individual-level variation in resource use of three populations of Guiana dolphins (Sotalia guianensis)-Caravelas River, Babitonga Bay, and Norte Bay-along a latitudinal gradient in the southwestern Atlantic Ocean. We show that the Guiana dolphin at Caravelas River is a generalist population consisting of individual dietary specialists, likely due to the absence of other resident dolphin populations thus allowing individuals to target prey across a wide range of habitats. The Babitonga Bay population is also composed of individual specialists potentially due to the selective foraging behavior of some individuals on high-quality prey sources within and near the bay. In contrast, the Norte Bay population comprises individual generalists, which likely reflects its distinctive cohesive social organization, coexistence with two other dolphin species, and an opportunistic foraging strategy in response to resource fluctuations inherent to the southern limit of the species distribution. Although the Guiana dolphin is generally considered to be a dietary generalist at the population level, our findings reveal that the total niche width of populations and the degree of individual diet specialization are highly context dependent, suggesting dietary plasticity that may be related to a latitudinal gradient in resource availability and environmental conditions.</t>
  </si>
  <si>
    <t>10.1007/s00442-022-05312-7</t>
  </si>
  <si>
    <t>Toscano, BJ; Griffen, BD</t>
  </si>
  <si>
    <t>Predatory crab size diversity and bivalve consumption in oyster reefs</t>
  </si>
  <si>
    <t>Biodiversity; Crassostrea virginica; Functional trait; Intraspecific; Niche shift; Ontogenetic; Panopeus herbstii</t>
  </si>
  <si>
    <t>PANOPEUS-HERBSTII; BODY-SIZE; MUD CRAB; EURYPANOPEUS-DEPRESSUS; CALLINECTES-SAPIDUS; FORAGING BEHAVIOR; PREY INTERACTIONS; METABOLIC-RATE; NORTH INLET; BLUE-CRAB</t>
  </si>
  <si>
    <t>Body size is widely recognized as an important functional trait of predators due to its influence on prey consumption rates and diet breadth. Yet it remains unclear how the diversity of this trait within predator populations affects prey communities. To test the effects of intraspecific predator size diversity, we manipulated the number of size classes (i.e. size diversity) in the xanthid crab Panopeus herbstii and measured their consumption of the bivalve community in intertidal oyster (Crassostrea virginica) reefs. In the experiment, the presence of large crabs, but not size diversity, significantly affected total prey biomass consumption. The largest size class of crabs effectively consumed all bivalve prey types whereas smaller crabs were restricted in diet breadth. As such, any treatment containing large crabs had significantly greater total prey consumption and more uniform consumption across the prey community than those without. We also investigated the potential for oyster harvest to alter crab population size structure at the study site (North Inlet, South Carolina, USA). Anthropogenic oyster harvest acts to compress the surficial shell layer in reefs and could reduce crab body size by reducing the availability of refuges for large crabs. Therefore, we tested for a relationship between the height of the shell layer and average crab body size in the field. In the field survey, average crab body size decreased with decreasing height of the shell layer. Thus, our data suggests that oyster harvesting practices have the potential to skew crab size structure towards a preponderance of small individuals, thereby compromising the trophic transfer that occurs in unperturbed reefs.</t>
  </si>
  <si>
    <t>10.3354/meps09461</t>
  </si>
  <si>
    <t>Morrison, AL; Thelen, MA; Howe, SE; Zimmer, KD; Herwig, BR; Staples, DF; McEachran, MC</t>
  </si>
  <si>
    <t>Impacts of zebra mussels (Dreissena polymorpha) on isotopic niche size and niche overlap among fish species in a mesotrophic lake</t>
  </si>
  <si>
    <t>Zebra mussels; Fish community; Littoral versus pelagic energy; Interspecific competition; Isotopic niche size; Isotopic niche overlap</t>
  </si>
  <si>
    <t>PELAGIC FOOD WEBS; BENTHIC ALGAE; ABUNDANCE; WALLEYES; HABITAT; MODELS; CARBON; CISCO; PREY</t>
  </si>
  <si>
    <t>Zebra mussels (Dreissena polymorpha) filter feed phytoplankton and reduce available pelagic energy, potentially driving fish to use littoral energy sources in lakes. However, changes in food webs and energy flow in complex fish communities after zebra mussel establishment are poorly known. We assessed impacts of zebra mussels on fish littoral carbon use, trophic position, isotopic niche size, and isotopic niche overlap among individual fish species using delta C-13 and delta N-15 data collected before (2014) and after (2019) zebra mussel establishment in Lake Ida, MN. Isotope data were collected from 11 fish species, and from zooplankton and littoral invertebrates to estimate baseline isotope values. Mixing models were used to convert fish delta C-13 and delta N-15 into estimates of littoral carbon and trophic position, respectively. We tested whether trophic position, littoral carbon use, isotopic niche size, and isotopic niche overlap changed from 2014 to 2019 for each fish species. We found few effects on fish trophic position, but 10 out of 11 fish species increased littoral carbon use after zebra mussel establishment, with mean littoral carbon increasing from 43% before to 67% after establishment. Average isotopic niche size of individual species increased significantly (2.1-fold) post zebra mussels, and pairwise-niche overlap between species increased significantly (1.2-fold). These results indicate zebra mussels increase littoral energy dependence in the fish community, resulting in larger individual isotopic niches and increased isotopic niche overlap. These effects may increase interspecific competition among fish species and could ultimately result in reduced abundance of species less able to utilize littoral energy sources.</t>
  </si>
  <si>
    <t>10.1007/s10530-021-02553-0</t>
  </si>
  <si>
    <t>Thongthaisong, P; Kasada, M; Grossart, HP; Wollrab, S</t>
  </si>
  <si>
    <t>Critical role of parasite-mediated energy pathway on community response to nutrient enrichment</t>
  </si>
  <si>
    <t>adaptive preference; energy flow; food web; mycoloop; parasite-mediated energy pathway; parasites; parasitic fungi</t>
  </si>
  <si>
    <t>TOP-DOWN CONTROL; FOOD WEBS; FUNCTIONAL-RESPONSES; POPULATION-DYNAMICS; SIMPLE RULES; ZOOPLANKTON; PHYTOPLANKTON; DIVERSITY; GROWTH; CONSEQUENCES</t>
  </si>
  <si>
    <t>Parasites form an integral part of food webs, however, they are often ignored in classic food web theory or limited to the investigation of trophic transmission pathways. Specifically, direct consumption of parasites by nonhost predators is rarely considered, while it can contribute substantially to energy flow in food webs. In aquatic systems, chytrids constitute a major group of fungal parasites whose free-living infective stages (zoospores) form a highly nutritional food source to zooplankton. Thereby, the consumption of zoospores can create an energy pathway from otherwise inedible phytoplankton to zooplankton ( mycoloop ). This parasite-mediated energy pathway might be of special importance during phytoplankton blooms dominated by inedible or toxic primary producers like cyanobacteria, which are on the rise with eutrophication and global warming. We theoretically investigated community dynamics and energy transfer in a food web consisting of an edible nonhost and an inedible host phytoplankton species, a parasitic fungus, and a zooplankton species grazing on edible phytoplankton and fungi. Food web dynamics were investigated along a nutrient gradient contrasting nonadaptive zooplankton species representative for filter feeders like cladocerans and zooplankton with the ability to actively adapt their feeding preferences like many copepod species. Overall, the importance of the mycoloop for zooplankton increases with nutrient availability. This increase is smooth for nonadaptive consumers. For adaptive consumers, we observe an abrupt shift from an almost exclusive preference for edible phytoplankton at low nutrient levels to a strong preference for parasitic fungi at high nutrient levels. The model predicts that parasitic fungi could contribute up to 50% of the zooplankton diet in nutrient-rich environments, which agrees with empirical observations on zooplankton gut content from eutrophic systems during blooms of inedible diatoms or cyanobacteria. Our findings highlight the role of parasite-mediated energy pathways for predictions of energy flow and community composition under current and future environmental change.</t>
  </si>
  <si>
    <t>e9622</t>
  </si>
  <si>
    <t>10.1002/ece3.9622</t>
  </si>
  <si>
    <t>Biton-Porsmoguer, S; Bou, R; Lloret, E; Alcaide, M; Lloret, J</t>
  </si>
  <si>
    <t>Fatty acid composition and parasitism of European sardine (Sardina pilchardus) and anchovy (Engraulis encrasicolus) populations in the northern Catalan Sea in the context of changing environmental conditions</t>
  </si>
  <si>
    <t>Fatty acids; parasitism; pelagic environment; sea warming; small pelagic fish</t>
  </si>
  <si>
    <t>SMALL PELAGIC FISH; MARGINAL ICE-ZONE; MEDITERRANEAN SEA; MERLUCCIUS-MERLUCCIUS; FISHERIES MANAGEMENT; HABITAT CONDITIONS; BODY CONDITION; LIFE-HISTORY; BLACK-SEA; VARIABILITY</t>
  </si>
  <si>
    <t>The status of sardine and anchovy populations in the northern Mediterranean Sea has been declining in recent decades. In this study, fatty acids and parasitism at different reproductive and feeding stages in these two species were assessed using specimens caught along the northern Catalan coast, in order to assess the links between lipid dynamics, reproduction and feeding in these two species and to contribute towards an explanation of the potential causes of the current poor situation of the stocks. The results support the use of fatty acid levels as indicators of the body condition of sardine and anchovy at different reproductive and feeding stages, as well as that of the pelagic environmental conditions. In particular, the relatively low n-3 polyunsaturated fatty acid levels found in spawning sardines compared to spawning anchovies indicate a poorer reproductive health status of sardine. By comparing the current total lipid content values with those recorded in other Mediterranean and North Atlantic areas, and others from more than 10 years ago, in the adjacent area of the Gulf of Lion, our study reveals the persistent poor condition of sardine and anchovy in the northern Catalan Sea. Furthermore, the low levels of diatom fatty acid markers observed throughout the spawning and non-spawning seasons in both sardine and anchovy indicate a diet poor in diatoms. Moreover, the results indicate that it is very unlikely that parasitism is a significant factor in the decline in condition of sardine and anchovy in the northern Catalan Sea. In fact, the results, which we believe provide useful insights for the management of small pelagic fisheries in the Mediterranean, suggest that the current poor condition of sardine and anchovy in the northern Catalan Sea has probably been exacerbated by a decrease in plankton productivity and/or a shift in the taxonomic composition of phytoplankton communities, adding to the ongoing effects of overfishing.</t>
  </si>
  <si>
    <t>coaa121</t>
  </si>
  <si>
    <t>10.1093/conphys/coaa121</t>
  </si>
  <si>
    <t>Rutz, C</t>
  </si>
  <si>
    <t>The establishment of an urban bird population</t>
  </si>
  <si>
    <t>behavioural flexibility; dispersal; ecological trap; invasion success; population bottleneck; range expansion; source-and-sink dynamics; territory occupancy</t>
  </si>
  <si>
    <t>GOSHAWKS ACCIPITER-GENTILIS; PREDATION RISK; ECOLOGY; CHOICE; RAPTOR; URBANIZATION; STARVATION; SURVIVAL; WEATHER; DIET</t>
  </si>
  <si>
    <t>1. Despite the accelerating global spread of urbanized habitats and its associated implications for wildlife and humans, surprisingly little is known about the biology of urban ecosystems. 2. Using data from a 60-year study period, this paper provides a detailed description of how the northern goshawk Accipiter gentilis L. - generally considered a shy forest species - colonized the city of Hamburg, Germany. Six non-mutually exclusive hypotheses are investigated regarding the environmental factors that may have triggered this invasion. 3. The spatio-temporal analysis of 2556 goshawk chance observations (extracted from a total data set of 1 174 493 bird observations; 1946-2003) showed that hawks regularly visited the city centre decades before the first successful breeding attempts were recorded. Many observations were made in parts of the city where territories were established in later years, demonstrating that these early visitors had encountered, but not used, potential nest sites. 4. Pioneer settlement coincided with: (i) an increase in (legal) hunting pressure on goshawks in nearby rural areas; (ii) an increase in avian prey abundance in the city; and (iii) a succession of severe winters in the Greater Hamburg area. On the other hand, there was no evidence to suggest that the early stages of the invasion were due to: (i) decreasing food availability in rural areas; (ii) major habitat changes in the city; or (iii) rural intraguild dynamics forcing hawks into urban refugia. While breeding numbers of a potential rural source population were at a long-term low when the city was colonized, prior to first settlement there was a sharp increase of goshawk chance observations in the city and its rural periphery. 5. The urban population expanded rapidly, and pair numbers began to stabilize after about 10 years. Ringing data (219 ringed nestlings from 70 urban broods; 1996-2000) demonstrated that most urban recruits had fledged in the city, but also confirmed considerable gene flow between urban and rural habitats. Analysis of chance observations (as raw data or as detrended time series) suggested a tight coupling of population dynamics inside and outside the city. 6. City-colonizations such as the one described here provide a valuable opportunity to study some fundamental aspects of population ecology on a scale at which detailed monitoring is logistically feasible. Furthermore, a good understanding of urban ecology has become essential for efficient wildlife conservation in modern, human-altered environments.</t>
  </si>
  <si>
    <t>10.1111/j.1365-2656.2008.01420.x</t>
  </si>
  <si>
    <t>Marijnissen, SAE; Michel, E; Cleary, DFR; McIntyre, PB</t>
  </si>
  <si>
    <t>Ecology and conservation status of endemic freshwater crabs in Lake Tanganyika, Africa</t>
  </si>
  <si>
    <t>Aquatic invertebrates; Benthos; Littoral ecosystem; Freshwater conservation; Lake Tanganyika; Stable isotopes</t>
  </si>
  <si>
    <t>INCREASED SEDIMENT LOADS; A.-MILNE-EDWARDS; STABLE-ISOTOPE; EAST-AFRICA; PROCAMBARUS-CLARKII; POTAMON-FLUVIATILE; SIMULIUM-NEAVEI; CICHLID FISHES; RIFT-VALLEY; COMMUNITIES</t>
  </si>
  <si>
    <t>Sedimentation resulting from riparian deforestation has a wide range of detrimental effects on aquatic biodiversity, but predicting the full consequences of such disturbances requires an understanding of the ecosystem's key functional components. We investigated the ecology and response to sedimentation of the diverse, endemic freshwater crabs of Lake Tanganyika, which may occupy important positions in littoral foodwebs. Our surveys revealed crab distribution patterns to be patchy, and that crabs can be locally abundant (0-28 individuals m(-2)). Crab densities decreased with depth and the dry mass of crab assemblages ranged from 0.0 to 117.7 g m(-2). Comparisons among sites revealed significant effects of sedimentation on crab assemblage evenness, but provided no evidence that sedimentation has altered densities, incidence or species richness. The resilience of crabs to sedimentation might be related to their intraspecific dietary breadth. Stable isotope data (delta C-13 and delta N-15) from crabs and their potential food resources indicated differences in trophic roles among endemic crab species. Overall, crabs occupy higher trophic positions than most other invertebrates, and they draw upon both benthic and planktonic energy pathways. The high biomass and top-predator status of some crab species suggests the potential for cascading effects on organisms lower in the food web.</t>
  </si>
  <si>
    <t>10.1007/s10531-008-9543-9</t>
  </si>
  <si>
    <t>Mangipane, LS; Lafferty, DJR; Joly, K; Sorum, MS; Cameron, MD; Belant, JL; Hilderbrand, GV; Gustine, DD</t>
  </si>
  <si>
    <t>Dietary plasticity and the importance of salmon to brown bear (Ursus arctos) body size and condition in a low Arctic ecosystem</t>
  </si>
  <si>
    <t>Niche variation; Ecological plasticity; Brown bear; Diet; Stable isotope; Ursus arctos</t>
  </si>
  <si>
    <t>NICHE VARIATION HYPOTHESIS; GRIZZLY BEARS; ONCORHYNCHUS SPP.; FORAGING STRATEGY; STABLE-ISOTOPES; MASS GAIN; ECOLOGY; PRODUCTIVITY; FLEXIBILITY; HABITAT</t>
  </si>
  <si>
    <t>Ecological flexibility within animal populations can allow for variation in resource use and foraging decisions. We estimated brown bear (Ursus arctos) diet composition in Gates of the Arctic National Park and Preserve, Alaska from 2013 to 2015 to evaluate how variation in foraging behavior influences body condition and size. We used stable carbon (delta C-13) and nitrogen (delta N-15) isotope analyses of sectioned brown bear hair samples to evaluate assimilated diet. We then developed a set of a priori linear models to evaluate differences in the diet composition of brown bears (n = 80) in relation to body fat (%) and mass. The proportion of meat (salmon [Oncorhynchus keta] and terrestrial meat combined) in the diet from July through late September varied between male and female bears, with males ((x) over bar = 62%, SD = 30) assimilating significantly more meat than females ((x) over bar = 40%, SD = 29). Most of the meat consumed came from marine-derived resources for males (53% of the total diet or 86% of the meat) and females (31% of the total diet or 77% of the meat). As we found the range of observed diets was unrelated to physiological outcomes (i.e., percentage body fat), we suggest that ecological flexibility within populations may provide an adaptive advantage by allowing individuals to reduce competition with conspecifics by foraging on alternate food resources. Identifying variable foraging behaviors within a population can allow for a better understanding of complex behaviors and, ultimately, lead to more informed management decisions related to habitat use, development, and harvest.</t>
  </si>
  <si>
    <t>10.1007/s00300-020-02690-7</t>
  </si>
  <si>
    <t>Bilkovic, DM; Mitchell, MM; Isdell, RE; Schliep, M; Smyth, AR</t>
  </si>
  <si>
    <t>Mutualism between ribbed mussels and cordgrass enhances salt marsh nitrogen removal</t>
  </si>
  <si>
    <t>biogeochemistry; denitrification; ecosystem functions; fringing marsh; Geukensia demissa; nitrogen; ribbed mussels; salt marsh; Spartina; wetland</t>
  </si>
  <si>
    <t>OYSTER CRASSOSTREA-VIRGINICA; GEUKENSIA-DEMISSA; CHESAPEAKE BAY; SPARTINA-ALTERNIFLORA; SHORE LEVEL; ECOSYSTEM SERVICES; NUTRIENT FLUXES; EASTERN OYSTER; FOOD WEBS; POPULATION</t>
  </si>
  <si>
    <t>Salt marsh ecosystems have declined globally and are increasingly threatened by erosion, sea level rise, and urban development. These highly productive, physically demanding ecosystems are populated by core species groups that often have strong trophic interactions with implications for ecosystem function and service provision. Positive interactions occur between ribbed mussels (Geukensia demissa) and cordgrass (Spartina alterniflora). Mussels transfer particulate nitrogen from the water column to the marsh sediments, which stimulates cordgrass growth, and cordgrass provides predator and/or heat stress refuge for mussels. Here, we test mussel facilitation of two functions in salt marshes that relate to N removal: microbial denitrification and water filtration. Microcosm experiments revealed that the highest rates of N-2 production and nitrification occurred when mussels were present with marsh vegetation, suggesting that mussels enhanced coupling of the nitrification-denitrification. Surveys spanning the York River Estuary, Chesapeake Bay, showed that the highest densities of mussels occurred in the first meter for all marsh types with mainstem fringing (1207 +/- 265 mussels/m(2)) being the most densely populated. The mussel population was estimated to be similar to 197 million animals with a water filtration potential of 90-135 million L/hr. Erosion simulation models demonstrated that suitable marsh habitat for ribbed mussels along the York River Estuary would be reduced by 11.8% after 50 years. This reduction in mussel habitat resulted in a projected 15% reduction in ribbed mussel abundance and filtration capacity. Denitrification potential was reduced in conjunction with projected marsh loss (35,536 m(2)) by 205 g N/hr, a 16% reduction. Because of the predominant occurrence of ribbed mussels at the marsh seaward edge and because the highest proportional loss will occur for fringing marshes (20%), shoreline management practices that restore or create fringing marsh may help offset these projected losses.</t>
  </si>
  <si>
    <t>e01795</t>
  </si>
  <si>
    <t>10.1002/ecs2.1795</t>
  </si>
  <si>
    <t>Menzel, F; Staab, M; Chung, AC; Gebauer, G; Bluthgen, N</t>
  </si>
  <si>
    <t>Trophic ecology of parabiotic ants: Do the partners have similar food niches?</t>
  </si>
  <si>
    <t>dietary overlap; Formicidae; Malaysia; stable isotope; trophic niche</t>
  </si>
  <si>
    <t>STABLE-ISOTOPES; NITROGEN; FOREST; CARBON; ENRICHMENT; RATIOS; PREFERENCES; DELTA-N-15; DIVERSITY; PHLOEM</t>
  </si>
  <si>
    <t>Organisms associated with another species may experience both costs and benefits from their partner. One of these costs is competition, which is the more likely if the two species are ecologically similar. Parabioses are associations between two ant species that share a nest and often attend the same food sources. Albeit parabioses are probably mutualistic, parabiotic partners may compete for food. We therefore investigated feeding niches and dietary overlap of two parabiotically associated ants in Borneo using cafeteria experiments and stable isotope analyses. The two species strongly differed in their food choices. While Crematogaster modiglianii mostly foraged at carbohydrate-rich baits, Camponotus rufifemur preferred urea-rich sources. Both species also consumed animal protein. The 15N concentration in Ca. rufifemur workers was consistently lower than in Cr. modiglianii. Camponotus rufifemur but not Cr. modiglianii possesses microbial endosymbionts, which can metabolize urea and synthesize essential amino acids. Its lower 15N signature may result from a relatively higher intake of plant-based or otherwise 15N-depleted nitrogen. Isotopic signatures of the two partners in the same parabiosis showed strongly parallel variation across nests. As we did not find evidence for spatial autocorrelation, this correlation suggests an overlap of food sources between the two ant species. Based on model simulations, we estimated a diet overlap of 2266% for nitrogen sources and 4574% for carbon sources. The overlap may arise from either joint exploitation of the same food sources or trophallactic exchange of food. This suggests an intense trophic interaction and potential for competition between the parabiotic partners.</t>
  </si>
  <si>
    <t>10.1111/j.1442-9993.2011.02290.x</t>
  </si>
  <si>
    <t>Malone, ET; Abbott, BW; Klaar, MJ; Kidd, C; Sebilo, M; Milner, AM; Pinay, G</t>
  </si>
  <si>
    <t>Decline in Ecosystem delta C-13 and Mid-Successional Nitrogen Loss in a Two-Century Postglacial Chronosequence</t>
  </si>
  <si>
    <t>primary succession; nitrification; denitrification; soil; foliar; C-13; N-15; Glacier Bay; water use efficiency; nutrient retention theory</t>
  </si>
  <si>
    <t>CARBON-ISOTOPE DISCRIMINATION; N-15 NATURAL-ABUNDANCE; GLOBAL PATTERNS; GLACIER BAY; PRECIPITATION GRADIENT; MULTIMODEL INFERENCE; BEHAVIORAL ECOLOGY; MODEL SELECTION; ORGANIC-MATTER; PLANT NITROGEN</t>
  </si>
  <si>
    <t>Uncertainty about controls on long-term carbon (C) and nitrogen (N) balance, turnover, and isotopic composition currently limits our ability to predict ecosystem response to disturbance and landscape change. We used a two-century, postglacial chronosequence in Glacier Bay, Alaska, to explore the influence of C and N dynamics on soil and leaf stable isotopes. C dynamics were closely linked to soil hydrology, with increasing soil water retention during ecosystem development resulting in a linear decrease in foliar and soil delta C-13, independent of shifts in vegetation cover and despite constant precipitation across sites. N dynamics responded to interactions among soil development, vegetation type, microbial activity, and topography. Contrary to the predictions of nutrient retention theory, potential nitrification and denitrification were high, relative to inorganic N stocks, from the beginning of the chronosequence, and gaseous and hydrological N losses were highest at mid-successional sites, 140-165years since deglaciation. Though leaching of dissolved N is considered the predominant pathway of N loss at high latitudes, we found that gaseous N loss was more tightly correlated with delta N-15 enrichment. These results suggest that delta C-13 in leaves and soil can depend as much on soil development and associated water availability as on climate and that N availability and export depend on interactions between physical and biological state factors.</t>
  </si>
  <si>
    <t>10.1007/s10021-018-0245-1</t>
  </si>
  <si>
    <t>Baldocchi, D; Valentini, R; Running, S; Oechel, W; Dahlman, R</t>
  </si>
  <si>
    <t>Strategies for measuring and modelling carbon dioxide and water vapour fluxes over terrestrial ecosystems</t>
  </si>
  <si>
    <t>biogeochemistry; carbon balance; carbon dioxide; CO2 flux monitoring network; eddy covariance</t>
  </si>
  <si>
    <t>OPEN-PATH; CO2; FORESTS; HEAT; PHOTOSYNTHESIS; TRANSPIRATION; BIOSPHERE; SATELLITE; ANALYZER; INCREASE</t>
  </si>
  <si>
    <t>Continuous and direct measurements of ecosystem carbon dioxide and water vapour fluxes can improve our ability to close regional and global carbon and hydrological budgets. On this behalf, an international and multidisciplinary group of scientists (micrometeorologists, ecophysiologists and biogeochemists) assembled at La Thuile, Italy to convene a workshop on 'Strategies for Monitoring and Modelling CO2 and Water Vapour Fluxes over Terrestrial Ecosystems'. Over the course of the week talks and discussions focused on: (i) the results from recent field studies on the annual cycle of carbon dioxide and water vapour fluxes over terrestrial ecosystems; (ii) the problems and pitfalls associated with making long-term flux measurements; (iii) alternative methods for assessing ecosystem carbon dioxide and water vapour fluxes; (iv) how direct and continuous carbon dioxide and water vapour flux measurements could be used by the ecological and biogeochemical modelling communities; and (v) if,how and where to proceed with establishing a network of long-term flux measurement sites. This report discusses the purpose of the meeting and summarizes the conclusions drawn from the discussions by the attending scientists. There was a consensus that recent advances in instrumentation and software make possible long-term measurements of carbon dioxide and water vapour fluxes over terrestrial ecosystems. At this writing, eight research teams have conducted long-term carbon dioxide and water vapour flux experiments and more long-term studies are anticipated. The participants advocated an experimental design that would make longterm flux measurement valuable to a wider community of modelers, biogeochemists and ecologists. A network of carbon dioxide and water vapour flux measurement stations should include ancillary measurements of meteorological, ecological and biological variables. To assess spatial representativeness of the long term and tower-based flux measurements, periodic aircraft-based flux experiments and satellite-based assessments of land cover were recommended. Occasional cuvette-based measurements of leaf-level carbon dioxide and water vapour fluxes were endorsed to provide information on the biological control of surface fluxes. They can also provide data to parameterize ecophysiological models. Flask sampling of stable carbon isotopes was advocated to extend the flux measurements to the global scale.</t>
  </si>
  <si>
    <t>10.1111/j.1365-2486.1996.tb00069.x</t>
  </si>
  <si>
    <t>Harrod, C; Mallela, J; Kahilainen, KK</t>
  </si>
  <si>
    <t>Phenotype-environment correlations in a putative whitefish adaptive radiation</t>
  </si>
  <si>
    <t>ecological speciation; ecomorphology; gill rakers; niche; stable isotope analysis</t>
  </si>
  <si>
    <t>COREGONUS-LAVARETUS L.; STABLE-ISOTOPE ANALYSES; ECOLOGICAL SPECIATION; INTRASPECIFIC COMPETITION; CHARACTER DISPLACEMENT; PARALLEL EVOLUTION; GENETIC-DIVERGENCE; ANALYSES PROVIDE; SPECIES COMPLEX; ANOLIS LIZARDS</t>
  </si>
  <si>
    <t>1. The adaptive radiation of fishes into benthic (littoral) and pelagic (lentic) morphs in post-glacial lakes has become an important model system for speciation. Although these systems are well studied, there is little evidence of the existence of morphs that have diverged to utilize resources in the remaining principal lake habitat, the profundal zone. 2. Here, we tested phenotype-environment correlations of three whitefish (Coregonus lavaretus) morphs that have radiated into littoral, pelagic and profundal niches in northern Scandinavian lakes. We hypothesized that morphs in such trimorphic systems would have a morphology adapted to one of the principal lake habitats (littoral, pelagic or profundal niches). Most whitefish populations in the study area are formed by a single (monomorphic) whitefish morph, and we further hypothesized that these populations should display intermediate morphotypes and niche utilization. We used a combination of traditional (stomach content, habitat use, gill raker counts) and more recently developed (stable isotopes, geometric morphometrics) techniques to evaluate phenotype-environment correlations in two lakes with trimorphic and two lakes with monomorphic whitefish. 3. Distinct phenotype-environment correlations were evident for each principal niche in whitefish morphs inhabiting trimorphic lakes. Monomorphic whitefish exploited multiple habitats, had intermediate morphology, displayed increased variance in gillraker-counts, and relied significantly on zooplankton, most likely due to relaxed resource competition. 4. We suggest that the ecological processes acting in the trimorphic lakes are similar to each other, and are driving the adaptive evolution of whitefish morphs, possibly leading to the formation of new species.</t>
  </si>
  <si>
    <t>10.1111/j.1365-2656.2010.01702.x</t>
  </si>
  <si>
    <t>Tarroux, A; Cherel, Y; Fauchald, P; Kato, A; Love, OP; Ropert-Coudert, Y; Spreen, G; Varpe, O; Weimerskirch, H; Yoccoz, NG; Zahn, S; Descamps, S</t>
  </si>
  <si>
    <t>Foraging tactics in dynamic sea-ice habitats affect individual state in a long-ranging seabird</t>
  </si>
  <si>
    <t>Antarctic petrel; GPS tracking; individual variation; optimal foraging; physiological indicators; Southern Ocean; stable isotopes; Svarthamaren breeding colony</t>
  </si>
  <si>
    <t>PETREL THALASSOICA-ANTARCTICA; BASE-LINE CORTICOSTERONE; CLIMATE-CHANGE; BEHAVIORAL ECOLOGY; ANIMAL MOVEMENT; MARINE MAMMALS; BODY-MASS; HETEROGENEITY; STRATEGIES; ZONE</t>
  </si>
  <si>
    <t>Individual heterogeneity in diet and foraging behaviour is common in wild animal populations, and can be a strong determinant of how populations respond to environmental changes. Within populations, variation in foraging behaviour and the occurrence of individual tactics in relation to resources distribution can help explain differences in individual fitness, and ultimately identify important factors affecting population dynamics. We examined how foraging behaviour and habitat during the breeding period related to the physiological state of a long-ranging seabird adapted to sea ice, the Antarctic petrelThalassoica antarctica. Firstly, using GPS tracking and state-switching movement modelling (hidden Markov models) on 124 individual birds, we tested for the occurrence of distinct foraging tactics within our study population. Our results highlight a large variation in the movement and foraging behaviour of a very mobile seabird, and delineate distinct foraging tactics along a gradient from foraging in dense pack ice to foraging in open water. Secondly, we investigated the effects of these foraging tactics on individual state at return from a foraging trip. We combined movement data with morphometric and physiological measurements of a suite of plasma metabolites that provided a general picture of a bird's individual state. Foraging in denser sea ice was associated with lower gain in body mass during brooding, as well as lower level of energy acquisition (plasma triacylglycerol) during both brooding and incubation. We found no clear relationship between the foraging tactic in relation to sea ice and the energetic stress (changes in plasma corticosterone), energetic balance (beta-hydroxybutyrate) or trophic level (delta N-15). However, a shorter foraging range was related to both the energetic balance (positively) and the trophic level (negatively). Our results highlight a diverse range of foraging tactics in relation to sea ice in Antarctic petrels. While the various foraging tactics do not seem to strongly alter energetic balance, they may affect other aspects of Antarctic petrels' physiology. Future changes in sea-ice habitats can thus be expected to have an impact on the individual state of seabirds such as Antarctic petrels, which could ultimately affect their population dynamics. Nonetheless, strong individual heterogeneity in the use of sea-ice habitats by a typical pagophilic species might strengthen its resilience to environmental changes and in particular to forecasted sea-ice loss. A freePlain Language Summarycan be found within the Supporting Information of this article.</t>
  </si>
  <si>
    <t>10.1111/1365-2435.13632</t>
  </si>
  <si>
    <t>HANDLEY, LL; ODEE, D; SRYSCRIMGEOUR, CM</t>
  </si>
  <si>
    <t>DELTA-N-15 AND DELTA-C-13 PATTERNS IN SAVANNA VEGETATION - DEPENDENCE ON WATER AVAILABILITY AND DISTURBANCE</t>
  </si>
  <si>
    <t>ACACIA; AFRICA; NATURAL ABUNDANCE; N2 FIXATION; PLANTS; SOIL; STABLE ISOTOPES</t>
  </si>
  <si>
    <t>1. Plant leaves were collected from four sites in Kenya, East Africa and analysed for %N, deltaN-15 and deltaC-13. Each site had different kinds and amounts of water supply and physical disturbance. There were no uniform relationships among deltaN-15, deltaC-13, % leaf N and plant growth forms. These data indicate that many of the previously published relationships for these variables were peculiar to the ecosystems investigated and should not be assumed as general models. 2. At all sites, deltaN-15 variability was large and extreme values were clustered into definable categories, suggesting different N sources. Plant-available soil N could not be treated as a single source at any site and no model for estimation of in situ N2 fixation could be applied. 3. Putatively N2-fixing acacias could not be distinguished reliably from non-N2-fixing plants on the basis of leaf deltaN-15 and/or % leaf N. 4. Leaf deltaN-15 values of non-N2-fixing plants were not related to distance from a putative N2-fixing tree, except where other data suggested that soil-water relations also changed with distance. 5. Leaf deltaC-13 suggests that there is little scope for selecting more or less water-use-efficient genotypes of the mature acacias examined, as they preferentially use ground-water and responded uniformly to drought when prevented access to ground-water. 6. The spatial relationship found between soil water supply and plant deltaN-15 suggested that site water relations may strongly influence the deltaN-15 signature of soils and plants as well as their heterogeneity at any one site.</t>
  </si>
  <si>
    <t>10.2307/2389823</t>
  </si>
  <si>
    <t>Walter, WD; Leslie, DM; Jenks, JA</t>
  </si>
  <si>
    <t>Response of Rocky Mountain elk (Cervus elaphus) to wind-power development</t>
  </si>
  <si>
    <t>HOME-RANGE; DIETARY QUALITY; BUFFALO RIDGE; FECAL INDEXES; STABLE-ISOTOPES; BODY-SIZE; MULE DEER; NITROGEN; ECOLOGY; MINNESOTA</t>
  </si>
  <si>
    <t>Wind-power development is occurring throughout North America, but its effects on mammals are largely unexplored. Our objective was to determine response (i.e., home-range, diet quality) of Rocky Mountain elk (Cervus elaphus) to wind-power development in southwestern Oklahoma. Ten elk were radiocollared in an area of wind-power development on 31 March 2003 and were relocated bi-weekly through March 2005. Wind-power construction was initiated on 1 June 2003 and was completed by December 2003 with 45 active turbines. The largest composite home range sizes (&gt; 80 km(2)) occurred April-June and September, regardless of the status of wind-power facility development. The smallest home range sizes (&lt; 50 km(2)) typically occurred in October-February when elk aggregated to forage on winter wheat. No elk left the study site during the study and elk freely crossed the gravel roads used to access the wind-power facility. Carbon and nitrogen isotopes and percent nitrogen in feces suggested that wind-power development did not affect nutrition of elk during construction. Although disturbance and loss of some grassland habitat was apparent, elk were not adversely affected by wind-power development as determined by home range and dietary quality.</t>
  </si>
  <si>
    <t>10.1674/0003-0031(2006)156[363:RORMEC]2.0.CO;2</t>
  </si>
  <si>
    <t>Fravolini, A; Hultine, KR; Brugnoli, E; Gazal, R; English, NB; Williams, DG</t>
  </si>
  <si>
    <t>Precipitation pulse use by an invasive woody legume: the role of soil texture and pulse size</t>
  </si>
  <si>
    <t>Prosopis velutina; mesquite; soil texture; pulse water uptake; stable isotopes</t>
  </si>
  <si>
    <t>MOJAVE DESERT; RAINFALL EVENTS; WATER-BALANCE; MOISTURE; SHRUBS; EXTRACTION; COMMUNITY; DYNAMICS; PATTERNS; SAVANNA</t>
  </si>
  <si>
    <t>Plant metabolic activity in and and semi-arid environments is largely tied to episodic precipitation events or pulses. The ability of plants to take up and utilize rain pulses during the growing season in these water-limited ecosystems is determined in part by pulse timing, intensity and amount, and by hydrological properties of the soil that translate precipitation into plant-available soil moisture. We assessed the sensitivity of an invasive woody plant, velvet mesquite (Prosopis velutina Woot.), to large (35 mm) and small (10 mm) isotopically labeled irrigation pulses on two contrasting soil textures (sandy-loam vs. loamy-clay) in semi-desert grassland in southeastern Arizona, USA. Predawn leaf water potential (Psi(pd)), the isotopic abundance of deuterium in stem water (delta D), the abundance of C-13 in soluble leaf sugar (delta C-13), and percent volumetric soil water content (theta(nu)) were measured prior to irrigation and repeatedly for 2 weeks following irrigation. Plant water potential and the percent of pulse water present in the stem xylem indicated that although mesquite trees on both coarse- and fine-textured soils quickly responded to the large irrigation pulse, the magnitude and duration of this response substantially differed between soil textures. After reaching a maximum 4 days after the irrigation, the fraction of pulse water in stem xylem decreased more rapidly on the loamy-clay soil than the sandy-loam soil. Similarly, on both soil textures mesquite significantly responded to the 10-mm pulse. However, the magnitude of this response was substantially greater for mesquite on the sandy-loam soil compared to loamy-clay soil. The relationship between Psi(pd) and delta C-13 of leaf-soluble carbohydrates over the pulse period did not differ between plants at the two sites, indicating that differences in photosynthetic response of mesquite trees to the moisture pulses was a function of soil water availability within the rooting zone rather than differences in plant biochemical or physiological constraints. Patterns of resource acquisition by mesquite during the dynamic wetting drying cycle following rainfall pulses is controlled by a complex interaction between pulse size and soil hydraulic properties. A better understanding of how this interaction affects plant water availability and photosynthetic response is needed to predict how grassland structure and function will respond to climate change.</t>
  </si>
  <si>
    <t>10.1007/s00442-005-0078-4</t>
  </si>
  <si>
    <t>Li, WKW; Harrison, WG; Head, EJH</t>
  </si>
  <si>
    <t>Coherent assembly of phytoplankton communities in diverse temperate ocean ecosystems</t>
  </si>
  <si>
    <t>annual cycle; climate; macroecology; monitoring; phytoplankton; temperature</t>
  </si>
  <si>
    <t>METABOLIC THEORY; EMERGENCE; PATTERNS; BASIN</t>
  </si>
  <si>
    <t>The annual cycle of phytoplankton cell abundance is coherent across diverse ecosystems in the temperate North Atlantic Ocean. In Bedford Basin, on the Scotian Shelf and in the Labrador Sea, the numerical abundance of phytoplankton is low in spring and high in autumn, thus in phase with the temperature cycle. Temperature aligns abundance on a common basis, effectively adjusting apparent cell discrepancies in waters that are colder or warmer than the regional norm. As an example of holistic simplicity arising from underlying complexity, the variance in a community variable (total abundance) is explained by a single predictor (temperature) to the extent of 75% in the marginal seas. In the estuarine basin, weekly averages of phytoplankton and temperature computed from a 13 year time-series yield a predictive relationship with 91% explained variance. Temperature-directed assembly of individual phytoplankton cells to form communities is statistically robust, consistent with observed biomass changes, amenable to theoretical analysis, and a sentinel for long-term change. Since cell abundance is a community property in the same units for all marine microbes at any trophic level and at any phylogenetic position, it promises to integrate biological oceanography into general ecology and evolution.</t>
  </si>
  <si>
    <t>10.1098/rspb.2006.3529</t>
  </si>
  <si>
    <t>Baker, JD; Polovina, JJ; Howell, EA</t>
  </si>
  <si>
    <t>Effect of variable oceanic productivity on the survival of an upper trophic predator, the Hawaiian monk seal Monachus schauinslandi</t>
  </si>
  <si>
    <t>productivity; survival; time lag; Northwestern Hawaiian islands; Hawaiian monk seal</t>
  </si>
  <si>
    <t>ZONE CHLOROPHYLL FRONT; NORTH PACIFIC; BODY-SIZE; HABITAT</t>
  </si>
  <si>
    <t>The Hawaiian monk seal population is declining, and low juvenile survival due to prey limitation is believed to be a primary cause. The Transition Zone Chlorophyll Front (TZCF) is a large-scale oceanographic feature separating the vertically stratified, low surface chlorophyll subtropical waters and the vertically mixed, cool, high chlorophyll Transition Zone waters. The TZCF annually migrates over 1000 km in latitude, and its southern extent in winter varies. We hypothesize that when the front migrates southward, it brings colder, more productive waters into monk seal foraging habitat, thereby enhancing the prey base and consequently survival. We expect this effect will be strongest at seal populations situated farthest north and nearest the TZCF. To test this hypothesis, we explored relationships of the survival of more than 3000 monk seals during 1984-2004 to the south-ernmost latitude of the 18 degrees C isotherm (a proxy for the TZCF). We found a statistically significant nonlinear relationship between the winter position of the TZCF and survival of monk seals through 4 yr of age at the most northerly atolls. When the front remained farther north, survival was poorer. The relationship was strongest following a 1 or 2 yr lag, perhaps indicating the time required for enhanced productivity to influence the food web and improve the seals' prey base. No such relationship was found at subpopulations located farther south or among adult animals at any site. Variation in ocean productivity may mediate prey availability in monk seal foraging habitat and consequently influence juvenile survival in the northern portion of their range.</t>
  </si>
  <si>
    <t>10.3354/meps06968</t>
  </si>
  <si>
    <t>McLeod, RJ; Hyndes, GA; Hurd, CL; Frew, RD</t>
  </si>
  <si>
    <t>Unexpected shifts in fatty acid composition in response to diet in a common littoral amphipod</t>
  </si>
  <si>
    <t>Stable isotopes; Biomarker; Food web; Seaweed; Invertebrate; C-13 tracer; Compound-specific stable isotopes; GC-IRMS</t>
  </si>
  <si>
    <t>KELP SANDHOPPER INTERACTIONS; STABLE-ISOTOPE ANALYSIS; MARINE FOOD-WEB; NEW-ZEALAND; SOUTHERN CALIFORNIA; LIPID-COMPOSITION; TROPHIC MARKERS; SANDY BEACH; ALGAE; BIOMARKERS</t>
  </si>
  <si>
    <t>To determine whether fatty acid (FA) profiles are a useful biomarker to trace the flow of material in a coastal food web, we fed the sandhopper Bellorchestia quoyana specific seaweed diets, each with a contrasting FA profile including Durvillaea antarctica (Phaeophyta), Ecklonia radiata (Phaeophyta) or Ulva sp. (Chlorophyta). We then compared changes in FA composition in relation to diet for this sandhopper. After 12 d, sandhoppers from each treatment had distinct FA profiles, particularly with respect to polyunsaturated FAs (PUFAs); however, increases in specific FAs did not relate to those FAs that were abundant in their diet. For example, sandhoppers fed PUFA-deficient Ulva sp. exhibited a relative increase in PUFAs. The E. radiata and Ulva sp. diets both caused significant shifts in sandhopper FA composition over the course of the experiment. In order to follow the assimilation of carbon and FAs, sandhoppers were fed natural or C-13-enhanced E. radiata or Ulva sp., and changes to the delta C-13 of individual FAs were measured over time. Turnover of the most abundant FAs, 16:0 and 18:1 omega 9, was higher for sandhoppers fed E. radiata than for those fed Ulva sp. Comparisons between bulk tissue delta C-13 and delta C-13 of individual FAs were consistent with sandhoppers modifying the turnover rate of FA in response to diet. These findings suggest that there is no consistent relationship between the FA compositions of green and brown seaweeds and that of the sandhopper B. quoyana. We caution that community-level application of FAs as a dietary biomarker tool must be accompanied by controlled experiments incorporating key species of relevance.</t>
  </si>
  <si>
    <t>10.3354/meps10327</t>
  </si>
  <si>
    <t>Bijoor, NS; McCarthy, HR; Zhang, DC; Pataki, DE</t>
  </si>
  <si>
    <t>Water sources of urban trees in the Los Angeles metropolitan area</t>
  </si>
  <si>
    <t>STABLE ISOTOPES; DEUTERIUM; TRACERS; BALANCE; OXYGEN; PLANTS; O-18</t>
  </si>
  <si>
    <t>In semi-arid cities, urban trees are often irrigated, but may also utilize natural water sources such as groundwater. Consequently, the sources of water for urban tree transpiration may be uncertain, complicating efforts to efficiently manage water resources. We used a novel approach based on stable isotopes to determine tree water sources in the Los Angeles basin, where we hypothesized that trees would rely on irrigation water in the soil rather than develop deep roots to tap into groundwater. We evaluated the oxygen (delta O-18) and hydrogen (delta D) isotope ratios of xylem water, irrigation water, soil water, and groundwater in a study of temporal patterns in water sources at two urban sites, and a study of spatial patterns at nine urban sites and one natural riparian forest. Contrary to our hypothesis, we found that despite frequent irrigation, some trees tap into groundwater, although in most species this was a small water source. Some trees appeared to be using very shallow soil water at &lt; 30 cm depth, suggesting that these mature urban trees were quite shallowly rooted. In the natural site, trees appeared to be using urban runoff in addition to shallow soil water. We were able to identify tree uptake of precipitation at only 3 sites. The results show that some irrigated trees utilize groundwater and do not rely solely on irrigation water, which may make them able to withstand drought and/or water conservation measures. However, some irrigated trees may develop very shallow root systems, which may make them more susceptible.</t>
  </si>
  <si>
    <t>10.1007/s11252-011-0196-1</t>
  </si>
  <si>
    <t>Braunstein, JL; Clark, JD; Williamson, RH; Stiver, WH</t>
  </si>
  <si>
    <t>Black Bear Movement and Food Conditioning in an Exurban Landscape</t>
  </si>
  <si>
    <t>black bear; conflict behavior; Great Smoky Mountains National Park; stable isotopes; step selection function; Ursus americanus</t>
  </si>
  <si>
    <t>STABLE-ISOTOPE ANALYSIS; HABITAT SELECTION; LOGISTIC-REGRESSION; COLLAR PERFORMANCE; GRIZZLY BEARS; CARBON; HAIR; DIET; MASS; YELLOWSTONE</t>
  </si>
  <si>
    <t>Conflicts between humans and wildlife have become increasingly important challenges for resource managers along the urban-wildland interface. Food conditioning (i.e., reliance by an animal on anthropogenic foods) of American black bears (Ursus americanus) is related to conflict behavior (i.e., being bold or aggressive toward humans, consuming human food or garbage, causing property damage) and often occurs in communities adjacent to Great Smoky Mountains National Park (GRSM or Park), USA. The goal of our study was to evaluate black bear space use in GRSM and in exurban areas on surrounding private lands and to identify factors associated with food conditioning and conflict behavior. We radio-collared 53 bears (29 males, 24 females) from 2015 to 2017 to compare space use characteristics and used carbon isotopic signatures (delta C-13) from bear hair to assess food conditioning. We then performed an integrated step selection function (iSSF) analysis to characterize and compare movement and resource use as related to food conditioning. Based on the stable isotope analyses, 24 bears were classified as food conditioned (FC; 16 males and 8 females) and 37 were not food conditioned (NFC; 14 males and 23 females). Annual 95% kernel density estimate (KDE) home ranges and 50% KDE core area estimates of female and male bears did not differ by level of food conditioning (i.e., mean delta C-13), but 95% and 50% home ranges of FC females were smaller than NFC females when data from 2015, a year of food scarcity and abnormally large home ranges, were excluded. The mean proportion of exurban development (e.g., roads, buildings, openings) within 95% KDE and 50% KDE home ranges of females increased with mean delta C-13 (i.e., greater food conditioning). The iSSF models indicated that FC bears were more likely to use forest openings associated with higher levels of development than NFC bears. We used those models to demonstrate how landscape modifications can reduce bear use of exurban areas, particularly for NFC bears. Our stable isotope, movement, and resource use data indicate that conflict behaviors displayed by many bears within GRSM were learned in areas outside Park boundaries. (c) 2020 The Wildlife Society.</t>
  </si>
  <si>
    <t>10.1002/jwmg.21870</t>
  </si>
  <si>
    <t>Liao, XL; Inglett, PW</t>
  </si>
  <si>
    <t>Biological Nitrogen Fixation in Periphyton of Native and Restored Everglades Marl Prairies</t>
  </si>
  <si>
    <t>Acetylene reduction; Calcareous; Nitrogenase; Restoration; Stable isotopes; Phosphorus; N-15</t>
  </si>
  <si>
    <t>FLORIDA EVERGLADES; WATER-QUALITY; FRESH-WATER; NORTHERN EVERGLADES; CYANOBACTERIAL MATS; N-2 FIXATION; WETLAND EUTROPHICATION; NUTRIENT LIMITATION; MARINE ECOSYSTEMS; NATURAL-ABUNDANCE</t>
  </si>
  <si>
    <t>Periphyton mats are an important component of the Everglades ecosystem. These mats are able to fix atmospheric nitrogen; however little attention has been paid to this function throughout much of the Everglades system. The objective of this study was to characterize and quantify periphyton N-2 fixation in the Hole-in-the-Donut (HID) region of the southern Everglades, where farmed marl prairie wetlands have been restored through complete soil removal to reduce nutrient levels. Significantly higher N-2 fixation rates (measured acetylene reduction) were found in periphyton of the areas cleared in 2000 and 2003 (3-10 nmol g(-1) DW h(-1)) compared to the reference wetland site (less than 1 nmol g(-1) DW h(-1)). Overall rates were stimulated by light (similar to 2 times the measured dark rates). Areal estimates of fixed N were low compared to other Everglades, ranging from 0.1-0.2 g N m(-2) yr(-1) in the restored sites to 0.05 g N m(-2) yr(-1) in the reference area. Stable N isotopic ratios (i.e., delta(15) N) ranged from -1.0aEuro degrees to 0.2aEuro degrees and were correlated with nitrogenase activity and TN:TP ratios. These findings suggest that periphyton nitrogenase activity and delta(15) N could serve as indicators of nutrient status and restoration success in these systems.</t>
  </si>
  <si>
    <t>10.1007/s13157-011-0258-4</t>
  </si>
  <si>
    <t>Bertrand, C; Eckerter, PW; Ammann, L; Entling, MH; Gobet, E; Herzog, F; Mestre, L; Tinner, W; Albrecht, M</t>
  </si>
  <si>
    <t>Seasonal shifts and complementary use of pollen sources by two bees, a lacewing and a ladybeetle species in European agricultural landscapes</t>
  </si>
  <si>
    <t>bumblebee; floral resources; foraging habitat; landscape resources; mason bee; pollen diet; resource specialization</t>
  </si>
  <si>
    <t>HARMONIA-AXYRIDIS; COLONY GROWTH; WILD BEES; HABITATS; SPECIALIZATION; RESOURCES; PREFERENCES; PERFORMANCE; DIVERSITY; ABUNDANCE</t>
  </si>
  <si>
    <t>Continuous availability of food resources, such as pollen, is vital for many insects that provide pollination and pest control services to agriculture. However, there is a lack of knowledge about the shared or complementary use of floral resources by such species, which hampers more effective landscape management to simultaneously promote them in agroecosystems. Here, we simultaneously quantified pollen use by a bumblebee (Bombus terrestris) and a mason bee (Osmia bicornis), two bee species recognized as important crop pollinators, as well as a lacewing (Chrysoperla carnea) and a ladybeetle species (Harmonia axyridis), both common predators of crop aphids, throughout the season in 23 agricultural landscapes in Germany and Switzerland. Pollen diets were more diverse and similar among C. carnea and H. axyridis compared to the two bee species, but all four species shared key pollen types early in the season such as Acer, Quercus, Salix and Prunus. All species exhibited a pronounced shift in pollen sources from primarily woody plants (mainly trees) in spring to primarily herbaceous plants in summer. The majority of pollen (overall &gt;= 64%) came from non-agricultural plants even in crop-dominated landscapes. Synthesis and applications. Our results highlight the importance of trees as pollen sources for many insect species, particularly early in the season. Our findings support incentives that promote heterogeneous agricultural landscapes including both woody and herbaceous semi-natural habitats, ensuring phenological complementarity of floral resources for insect species that can provide pollination and pest control services to agriculture. The identified key plant species can help to design and optimize agri-environment schemes to promote these functionally important insects.</t>
  </si>
  <si>
    <t>10.1111/1365-2664.13483</t>
  </si>
  <si>
    <t>Agasild, H; Kisand, A; Ainelo, E; Feldmann, T; Timm, H; Karus, K; Kisand, V; Jones, RI; Noges, T</t>
  </si>
  <si>
    <t>Chironomid incorporation of methane-derived carbon in plankton- and macrophyte-dominated habitats in a large shallow lake</t>
  </si>
  <si>
    <t>benthic food web; chironomid larvae; methanotrophic bacteria; shallow lake; stable isotopes</t>
  </si>
  <si>
    <t>BIOGENIC METHANE; LARVAL CHIRONOMIDS; ORGANIC-MATTER; EUTROPHIC LAKE; WATER-QUALITY; FOOD-WEB; CYCLE; METHANOTROPHS; BACTERIA; VALUES</t>
  </si>
  <si>
    <t>1. While C-13-depleted carbon derived from biogenic methane can substantially contribute to the benthic secondary production in deep stratified lakes, its role in shallow lakes is less clear. We investigated the dynamics of delta C-13 and delta N-15 in the larvae of Chironomus plumosus throughout an annual cycle in two ecologically distinct basins (open-water plankton-dominated and sheltered macrophyte-covered) of a large (270 km(2)), shallow, polymictic and eutrophic lake (Vortsjarv, Estonia, North Europe). The larval stable isotopic compositions were linked to the presence of methane-oxidising bacteria (MOB) in larval guts and sediments. 2. Molecular detection of MOB revealed their presence in various sediment types, but stable isotope (SI) analysis revealed clear differences in the feeding of chironomid larvae between the plankton-and macrophyte-dominated habitats. 3. In the plankton-dominated habitat, the mean delta C-13 values of larvae remained relatively constant (-38.3% to -35.5%) and corresponded closely to the sediment delta C-13 values. Mean delta C-13 values of chironomid larvae were generally lower in macrophyte-dominated habitats (-43.4% to -33.0%), and both seasonal and individual variation in larval delta C-13 values were more pronounced. MOB presence in larval guts proved a dietary contribution from biogenic methane in macrophyte-dominated habitats. Both the SI and molecular results indicated that MOB could help support larvae even during the cold temperature-limited and ice-covered periods. 4. Our study indicates that methane-derived carbon makes a low but steady contribution to the larval chironomids throughout an annual cycle in large shallow Vortsjarv. However, this contribution can be substantially higher in the lake habitats with abundant macrophytes. The study provides further evidence that a carbon flow pathway from biogenic methane can contribute to the benthic food web under variable habitat conditions in a shallow polymictic lake.</t>
  </si>
  <si>
    <t>10.1111/fwb.13170</t>
  </si>
  <si>
    <t>Diaz-Alvarez, EA; Lindig-Cisneros, R; de la Barrera, E</t>
  </si>
  <si>
    <t>Biomonitors of atmospheric nitrogen deposition: potential uses and limitations</t>
  </si>
  <si>
    <t>Atmospheric monitoring; ecosystem saturation; environmental pollution; epiphytic plants; nitrogen content; stable isotopes</t>
  </si>
  <si>
    <t>N-15 NATURAL-ABUNDANCE; ISOTOPIC COMPOSITION; EPILITHIC MOSSES; FOREST CANOPY; N DEPOSITION; NITRATE; FOLIAR; AMMONIA; URBAN; DELTA-N-15</t>
  </si>
  <si>
    <t>Atmospheric nitrogen deposition is the third largest cause of global biodiversity loss, with rates that have more than doubled over the past century. This is especially threatening for tropical regions where the deposition may soon exceed 25 kg of N ha(-1) year(-1), well above the threshold for physiological damage of 12-20 kg of N ha(-1) year(-1), depending on plant species and nitrogenous compound. It is thus urgent to monitor these regions where the most diverse biotas occur. However, most studies have been conducted in Europe, the USA and recently in China. This review presents the case for the potential use of biological organisms to monitor nitrogen deposition, with emphasis on tropical plants. We first present an overview of atmospheric chemistry and the nitrogen metabolism of potential biomonitors, followed by a framework for monitoring nitrogen deposition based on the simultaneous use of various functional groups. In particular, the tissue nitrogen content responds to the rate of deposition, especially for mosses, whose nitrogen content increases by 1% per kilogram of N ha(-1) year(-1). The isotopic signature, delta N-15, is a useful indicator of the nitrogen source, as the slightly negative values (e.g. 5%) of plants from natural environments can become very negative (-11.2%) in sites with agricultural and husbandry activities, but very positive (13.3%) in urban environments with high vehicular activity. Mosses are good biomonitors for wet deposition and atmospheric epiphytes for dry deposition. In turn, the nitrogen saturation of ecosystems can be monitored with trees whose isotopic values increase with saturation. Although given ecophysiological limitations of different organisms, particular studies should be conducted in each area of interest to determine the most suitable biomonitors. Overall, biomonitors can provide an integrative approach for characterizing nitrogen deposition in regions where the deployment of automated instruments or passive monitoring is not feasible or can be complementary.</t>
  </si>
  <si>
    <t>coy011</t>
  </si>
  <si>
    <t>10.1093/conphys/coy011</t>
  </si>
  <si>
    <t>Jiang, PP; Meinzer, FC; Wang, HM; Dai, XQ; Meng, SW; Kou, L; Chen, YF; Fu, XL</t>
  </si>
  <si>
    <t>Spatio-temporal variation in deep soil water use patterns of overstorey and understorey layers in subtropical plantations predicts community assembly</t>
  </si>
  <si>
    <t>biodiversity index; deep soil water utilization; fine root biomass; seasonal dynamics; spatio-temporal pattern; stable isotopes; water use efficiency</t>
  </si>
  <si>
    <t>HYDRAULIC REDISTRIBUTION; IN-DEPTH; SEASONAL-VARIATIONS; SPECIES-DIVERSITY; STABLE-ISOTOPES; DECIDUOUS TREES; STAND STRUCTURE; USE STRATEGIES; LOESS PLATEAU; STORED WATER</t>
  </si>
  <si>
    <t>Deep soil water utilization allows plants to cope with drought stress. However, little is known about the roles of the understorey layers in driving spatio-temporal variations of deep soil water in forests and how the patterns of deep soil water use among life-forms contribute to community assembly processes. We assessed the spatio-temporal patterns and determinants of deep water utilization of tree, shrub and herb layers in subtropical coniferous plantations and investigated associations between deep water use parameters and dominance and richness of understorey vegetation. We found that the understorey layer had a higher reliance on deep soil water in the dry season, a larger seasonal plasticity of deep soil water uptake, but lower spatial variability in deep soil water utilization than the tree layer. We showed that greater reliance of the tree layer on deep soil water was associated with decreased shrub layer diversity, whereas greater reliance of the shrub layer on deep water was associated with increased herb layer diversity. Synthesis. Our results highlight the roles of understorey layers in driving the temporal dynamics of deep soil water in forests and improve our understanding of how deep soil water use patterns among life-forms shape community assembly in forests.</t>
  </si>
  <si>
    <t>10.1111/1365-2745.14007</t>
  </si>
  <si>
    <t>Liu, C; Li, XH; Chen, YX; Cheng, ZH; Duan, QH; Meng, QH; Tao, XP; Shang, B; Dong, HM</t>
  </si>
  <si>
    <t>Age-Related Response of Rumen Microbiota to Mineral Salt and Effects of Their Interactions on Enteric Methane Emissions in Cattle</t>
  </si>
  <si>
    <t>Mineral salt; Rumen microbiota; Enteric methane; VFAs; High-throughput sequencing; Methanogenic archaea</t>
  </si>
  <si>
    <t>DAIRY-COWS; METHANOGENIC ARCHAEA; SP-NOV; COMMUNITY; FERMENTATION; PROPIONATE; MITIGATION; INHIBITION; RUMINANTS; DIETARY</t>
  </si>
  <si>
    <t>Mineral salt bricks are often used in cow raising as compensation for mineral losses to improve milk yield, growth, and metabolic activity. Generally, effects of minerals are partially thought to result from improvement of microbial metabolism, but their influence on the rumen microbiota has rarely been documented to date. In this study, we investigated the response of microbiota to mineral salt in heifer and adult cows and evaluated ruminal fermentation and enteric methane emissions of cows fed mineral salts. Twelve lactating Holstein cows and twelve heifers fed a total mixed ration (TMR) diet were randomly allocated into two groups, respectively: a treatment group comprising half of the adults and heifers that were fed mineral salt and a control group containing the other half fed a diet with no mineral salt supplement. Enteric methane emissions were reduced by 9.6% (P &lt; 0.05) in adults ingesting a mineral salt diet, while concentrations of ruminal ammonia, butyrate, and propionate were increased to a significant extent (P &lt; 0.05). Enteric methane emissions were also reduced in heifers ingesting a mineral salt diet, but not to a significant extent (P &gt; 0.05). Moreover, the concentrations of ammonia and volatile fatty acids (VFAs) were not significantly altered in heifers (P &gt; 0.05). Based on these results, we performed high-throughput sequencing to explore the bacterial and archaeal communities of the rumen samples. Succiniclasticum and Prevotella, two propionate-producing bacteria, were predominant in samples of both adults and heifers. At the phylotype level, mineral salt intake led to a significant shift from Succiniclasticum to Prevotella and Prevotellaceae populations in adults. In contrast, reduced abundance of Succiniclasticum and Prevotella phylotypes was observed, with no marked shift in propionate-producing bacteria in heifers. Methanogenic archaea were not significantly abundant between groups, either in adult cows or heifers. The shift of Succiniclasticum to Prevotella and Prevotellaceae in adults suggests a response of microbiota to mineral salt that contributes to higher propionate production, which competes for hydrogen utilized by methanogens. Our data collectively indicate that a mineral salt diet can alter interactions of bacterial taxa that result in enteric methane reduction, and this effect is also influenced in an age-dependent manner.</t>
  </si>
  <si>
    <t>10.1007/s00248-016-0888-4</t>
  </si>
  <si>
    <t>Santos, RO; James, WR; Nelson, JA; Rehage, JS; Serafy, J; Pittman, SJ; Lirman, D</t>
  </si>
  <si>
    <t>Influence of seascape spatial pattern on the trophic niche of an omnivorous fish</t>
  </si>
  <si>
    <t>habitat fragmentation; hypervolumes; mixing models; seagrass; seascape ecology; stable isotopes</t>
  </si>
  <si>
    <t>HABITAT FRAGMENTATION; LAGODON-RHOMBOIDES; SEAGRASS LANDSCAPES; SPECIES RESPONSES; CRAB SURVIVAL; BISCAYNE BAY; ABUNDANCE; PREDATION; GROWTH; MODEL</t>
  </si>
  <si>
    <t>Habitat fragmentation of submerged aquatic vegetation (SAV) transforms the spatial pattern of seascapes by changing both the total area and spatial configuration of the habitat patches. The ecological effects of SAV seascapes are most often assessed using metrics of biological community composition (e.g., species and assemblage changes). We know considerably less about the effects of seascape structure on ecological processes such as food web function and energy flow. Here, we assess the difference in the trophic niche of Pinfish (Lagodon rhomboides, a generalist omnivore) across a spatial gradient of SAV from continuous to highly fragmented seascapes in Biscayne Bay (Miami, Florida, USA). The Bay seascapes are influenced by freshwater management practices that alter the distribution of SAV habitat and fish species abundance, diversity, and community assemblage. We combined SAV seascape maps with stable isotope and hypervolume analyses to determine how trophic niche size and overlap varied with changes in the seascape. We observed similar resource use across the seascape, but trophic niche size increased in more fragmented SAV seascapes, suggesting diversification of trophic roles and energy flow pathways. Pinfish collected from more continuous SAV habitats had smaller trophic niche size and higher trophic levels. Both trophic response metrics manifested a threshold response that depended on distinct SAV spatial characteristics (amount vs. spatial configuration) and environmental conditions. Our results suggest that habitat fragmentation of SAV seascape structure has ecological implications that could affect energy flow with cascading consequences for food web stability and ecosystem functioning.</t>
  </si>
  <si>
    <t>e3944</t>
  </si>
  <si>
    <t>10.1002/ecs2.3944</t>
  </si>
  <si>
    <t>Kahmen, A; Renker, C; Unsicker, SB; Buchmann, N</t>
  </si>
  <si>
    <t>Niche complementarity for nitrogen: An explanation for the biodiversity and ecosystem functioning relationship?</t>
  </si>
  <si>
    <t>competition; functional groups; functional traits; mineral plant nutrition; N-15 tracer; resource partitioning; stable isotopes</t>
  </si>
  <si>
    <t>PLANT DIVERSITY; EUROPEAN GRASSLANDS; SPECIES-DIVERSITY; PRODUCTIVITY; ECOLOGY; MINERALIZATION; COMMUNITIES; BIOMASS; POOL</t>
  </si>
  <si>
    <t>The relationship between plant diversity and productivity has largely been attributed to niche complementarity, assuming that plant species are complementary in their resource use. In this context, we conducted an N-15 field study in three. different grasslands, testing complementarity nitrogen (N) uptake patterns in terms of space, time, and chemical form as well as N strategies such as soil N use, symbiotic N fixation, or internal N recycling for different plant species. The relative contribution of different spatial, temporal, and chemical soil N pools to total soil N uptake of plants varied significantly among the investigated plant species, within and across functional groups. This suggests that plants occupy distinct niches with respect to their relative N uptake. However, when the absolute N uptake from the different soil N pools was analyzed, no spatial, temporal, or chemical variability was detected, but plants, and in particular functional groups, differed significantly with respect to their total soil N uptake irrespective of treatment. Consequently, our data suggest that absolute N exploitation on the ecosystem level is determined by species or functional group identity and thus by community composition rather than by complementary biodiversity effects. Across functional groups, total N uptake from the soil was negatively correlated with leaf N concentrations, suggesting that these functional groups follow different N use strategies to meet their N demands. While our findings give no evidence for a biodiversity effect on the quantitative exploitation of different soil N pools, there is evidence for different and complementary N strategies and thus a potentially beneficial effect of functional group diversity on ecosystem functioning.</t>
  </si>
  <si>
    <t>10.1890/0012-9658(2006)87[1244:NCFNAE]2.0.CO;2</t>
  </si>
  <si>
    <t>Fitter, AH; Graves, JD; Watkins, NK; Robinson, D; Scrimgeour, C</t>
  </si>
  <si>
    <t>Carbon transfer between plants and its control in networks of arbuscular mycorrhizas</t>
  </si>
  <si>
    <t>arbuscular mycorrhiza; C-4; C-3; carbon transport; stable isotopes; C-13</t>
  </si>
  <si>
    <t>FUNGI</t>
  </si>
  <si>
    <t>1, Two studies using the stable-isotope C-13 have shown that large amounts of carbon can move between plants linked by arbuscular mycorrhizal fungi. Quantities comparable to the carbon cost of the symbiosis for an individual plant may be transferred. 2, We measured C transfer between linked plants of the grass Cynodon dactylon (C-4, delta(13)C approximate to - 14 parts per thousand) and the herb Plantago lanceolata (C-3, delta(13)C similar to - 28 parts per thousand). To test the hypothesis that the carbon transferred between plants remained in fungal structures at all times, plants were grown for two harvests; at the first harvest they were clipped to ground level, so that shoot re-growth required the transport of carbon from the roots. We also tested the influence of the direction of growth of the fungus, to determine whether C was transported out of or into a newly colonized root, and of growing plants in elevated CO2, to increase the availability of carbon compounds in the roots. 3, Large amounts of C were transferred between linked plants, more so into Plantago than into Cynodon roots. Transfer occurred whether root systems were separated by a 20 mu m mesh, that excluded roots but not hyphae, or a 0.45 mu m mesh, intended to act as a barrier to hyphae as well. We believe that the high root densities achieved in the experiment allowed hyphae to cross the finer mesh between the two dense root mars. 4. Clipping the plants did not result in any movement of C from roots to shoots, thus confining the prediction that all C transferred remains in fungal structures. 5, The direction of growth of the fungus did not affect the direction of transfer, nor did the CO2 concentration in which the plants were grown. 6, The amount of C transferred was a positive correlate of the frequency of vesicles in the roots but a negative correlate of the frequency of hyphae, if C were moving into developing colonization Units, thus effectively giving the plant a 'free' symbiosis, the correlation with internal hyphae should be positive. The positive correlation with vesicles suggests that C is moving into fungal storage structures. 7. We propose a mycocentric view of the phenomenon of interplant C transfer, in which the fungal colonies within roots are seen as parts of an extended mycelium between which the fungus moves resources depending on the dynamics of its own growth. We do not believe that the transfer has an impact on plant C budgets or fitness, but that it may be a major element in the understanding of fungal C budgets.</t>
  </si>
  <si>
    <t>10.1046/j.1365-2435.1998.00206.x</t>
  </si>
  <si>
    <t>Kon, K; Kurokura, H; Hayashizaki, K</t>
  </si>
  <si>
    <t>Role of microhabitats in food webs of benthic communities in a mangrove forest</t>
  </si>
  <si>
    <t>mangrove forest; benthic community; stable isotope; food web; microhabitat</t>
  </si>
  <si>
    <t>NITROGEN STABLE-ISOTOPES; CARBON; INVERTEBRATES; DELTA-N-15; NUTRITION; DETRITUS; N-15</t>
  </si>
  <si>
    <t>Mangrove benthic macro-invertebrate communities have access to various food sources. The food web in this system may not be based on homogenous mangrove detritus. In order to determine the contributions of mangrove leaf litter and microalgae to the benthic macro-invertebrate community, we analyzed carbon and nitrogen stable isotope ratios in primary producers (mangrove leaf litter, phytoplankton and microphytobenthos), particulate organic matter, sedimentary organic matter and benthic macro-invertebrates from 3 microhabitats (tidal creeks, inside forests and forest gaps) in a mangrove forest in Trang province, Thailand. The stable isotope values of particulate and sedimentary organic matter did not differ greatly between microhabitats, and values were relatively similar to mangrove leaf litter. Invertebrates from tidal creeks and inside forests also showed delta 13C values similar to mangrove leaf litter, whereas invertebrate tissues from forest gaps were close to microphytobenthos VC values. Most invertebrates showed an enriched delta 15N value compared to the local particulate and sedimentary organic matter. These results indicate that invertebrates utilize different food sources in different microhabitats; they utilized mainly mangrove detritus in the tidal creeks and inside forests, but mainly microphytobenthos in the forest gaps. Moreover, the invertebrate biomass was highest in the forest gaps. This is important new information supporting the view that the mangrove food web is actually a diverse combination of webs based on a variety of resources, including homogenous mangrove detritus.</t>
  </si>
  <si>
    <t>10.3354/meps340055</t>
  </si>
  <si>
    <t>Swaffer, BA; Holland, KL</t>
  </si>
  <si>
    <t>Comparing ecophysiological traits and evapotranspiration of an invasive exotic, Pinus halepensis in native woodland overlying a karst aquifer</t>
  </si>
  <si>
    <t>exotic species; groundwater; transpiration; evapotranspiration; sapwood density; water balance</t>
  </si>
  <si>
    <t>LEAF-AREA INDEX; WATER-USE; TAMARIX-RAMOSISSIMA; STAND TRANSPIRATION; STABLE ISOTOPES; SAP FLOW; TREE; GROUNDWATER; BALANCE; PLANT</t>
  </si>
  <si>
    <t>Invasion by exotic plant species into water-limited environments has the potential to change the ecosystem water balance and may further exacerbate water scarcity issues. Here, we compared ecophysiological traits related to tree water use (sap flux, sapwood density, leaf and soil water potentials) and actual evapotranspiration (ETa) of the invasive Pinus halepensis to native tree and shrub species. We hypothesized that the invasive pine species would possess traits that are consistent with the potential to use more water than native species, which would be supported by higher ETa in areas invaded by pine. We found higher rates of sap flux for the invasive P.halepensis (5.5cmh(-1)) per unit sapwood area compared with the native species (&lt;3.5cmh(-1)). In addition, P.halepensis sapwood was significantly less dense than the sapwood of the native species, suggesting higher sapwood conductivity facilitated the faster sap flux. Comparison of remotely sensed ETa before and after P.halepensis removal within a Eucalyptus camaldulensis stand demonstrated a reduction in ETa by an average of 50(+/- 11 SE)mmyear(-1) in the 2years after removal, relative to the ETa from an undisturbed, intact E. camaldulensis stand. This study suggests that active management of this invasive species should reduce overall ETa losses and thereby exert a positive influence on the availability of soil moisture for groundwater recharge. Copyright (c) 2014 John Wiley &amp; Sons, Ltd.</t>
  </si>
  <si>
    <t>10.1002/eco.1502</t>
  </si>
  <si>
    <t>Sato, M; Barth, JA; Benoit-Bird, KJ; Pierce, SD; Cowles, TJ; Brodeur, RD; Peterson, WT</t>
  </si>
  <si>
    <t>Coastal upwelling fronts as a boundary for planktivorous fish distributions</t>
  </si>
  <si>
    <t>Upwelling; Fronts; California Current System; Predator-prey interactions; Acoustics</t>
  </si>
  <si>
    <t>NORTHERN CALIFORNIA CURRENT; SARDINE SARDINOPS-SAGAX; ANCHOVY ENGRAULIS-MORDAX; COLUMBIA RIVER PLUME; CLIMATE-CHANGE; EASTERN BOUNDARY; PHYTOPLANKTON BLOOMS; GLOBAL PATTERNS; PELAGIC NEKTON; CENTRAL OREGON</t>
  </si>
  <si>
    <t>Fronts have long been considered as bio-aggregators across the food web, serving as important foraging grounds for multiple trophic levels. However, the effect of fronts on intermediate trophic levels is not well understood. We hypothesized that for animals whose metabolic rates are strongly temperature dependent, physiological tolerance will have a more significant impact on their distributions than other biotic factors. We examined this hypothesis through assessment of the spatial variability of planktivorous fish and their dominant zooplankton prey associated with the seasonal and latitudinal variability of the upwelling fronts in the Northern California Current System. Acoustically observed fish biomass dominated by planktivorous species was higher offshore of the upwelling front than inshore. In contrast, zooplankton scattering layers dominated by euphauslids were generally associated with the 200 m isobath, regardless of the position of the front. Fish distributions were consistently found offshore of the upwelling front, aggregating them in the regions of warmer temperature. This suggests that the upwelling front acts as a shoreward boundary for planktivorous fish. With the offshore movement of the upwelling front away from the 200 m isobath as the upwelling season progressed, overlap between planktivorous fish and their zooplankton prey would be decreased. The boundary effect of coastal upwelling fronts on the distributions of mid-trophic level organisms indicates their important role in predator-prey interactions and energy transfer through food webs via a radically different mechanism than previously assumed.</t>
  </si>
  <si>
    <t>10.3354/meps12553</t>
  </si>
  <si>
    <t>Itoh, T; Sakai, O</t>
  </si>
  <si>
    <t>Open-ocean foraging ecology of southern bluefin tuna Thunnus maccoyii based on stomach contents</t>
  </si>
  <si>
    <t>Food web; Diet; Cephalopod; Multidimensional scaling; Ommastrephidae</t>
  </si>
  <si>
    <t>LARGE PELAGIC FISH; FEEDING ECOLOGY; YELLOWFIN TUNA; TOP PREDATORS; DIET SHIFT; THYNNUS; EASTERN; HABITS; ECOSYSTEM; FOOD</t>
  </si>
  <si>
    <t>We investigated the foraging ecology of southern bluefin tuna Thunnus maccoyii in open-ocean habitats of temperate waters in the southern hemisphere by analyzing their stomach contents. Samples were collected from longline vessels over 15 yr (n = 4649). Of the prey, 51% by weight were cephalopods and 46% were teleosts. These values differ from those in the literature for other top predators in the open oceans, for which teleosts compose the largest portion of prey. The dominance of cephalopods also differs from the pattern for juveniles in previous studies in their coastal habitat, where most of the prey are teleosts. Thus, a distinct shift of prey occurs along with the habitat shift due to ontogenetic development. By weight, important prey were omma strephid (18%), lycoteuthid (12%), and argonautid (1%) cephalopods and nomeid (8%, mainly Cubiceps caeruleus), paralepidid (7%), bramid (6%), and alepisaurid (6%) teleosts. The prey composition was relatively consistent among tuna sizes, sea surface temperatures, and years; changes in prey composition were due largely to differences in the cephalopod prey. Cephalopods belonging to the families Lycoteuthidae and Argonautidae contributed to the prey only off the southern coast of Africa and near Tasmania, respectively. Lycoteuthids occurred at lower sea surface temperatures than ommastrephids off the southern coast of Africa. Small ommastrephids were dominant in smaller tuna in the southeastern Indian Ocean. Our data provide basic information that will improve our understanding of the oceanic food webs in southern temperate waters.</t>
  </si>
  <si>
    <t>10.3354/meps11810</t>
  </si>
  <si>
    <t>Seto, M; Iwasa, Y</t>
  </si>
  <si>
    <t>Microbial material cycling, energetic constraints and ecosystem expansion in subsurface ecosystems</t>
  </si>
  <si>
    <t>abundant resource premium; catabolism; mutualism; microbial consortium; mathematical model; microbial ecology</t>
  </si>
  <si>
    <t>IRON-OXIDIZING BACTERIA; OXIDATION; MICROORGANISMS</t>
  </si>
  <si>
    <t>To harvest energy from chemical reactions, microbes engage in diverse catabolic interactions that drive material cycles in the environment. Here, we consider a simple mathematical model for cycling reactions between alternative forms of an element (A and A(e)), where reaction 1 converts A to A(e) and reaction 2 converts A(e) to A. There are two types of microbes: type 1 microbes harness reaction 1, and type 2 microbes harness reaction 2. Each type receives its own catabolic resources from the other type and provides the other type with the by-products as the catabolic resources. Analyses of the model show that each type increases its steady-state abundance in the presence of the other type. The flux of material flow becomes faster in the presence of microbes. By coupling two catabolic reactions, types 1 and 2 can also expand their realized niches through the abundant resource premium, the effect of relative quantities of products and reactants on the available chemical energy, which is especially important for microbes under strong energetic limitations. The plausibility of mutually beneficial interactions is controlled by the available chemical energy (Gibbs energy) of the system. We conclude that mutualistic catabolic interactions can be an important factor that enables microbes in subsurface ecosystems to increase ecosystem productivity and expand the ecosystem.</t>
  </si>
  <si>
    <t>10.1098/rspb.2020.0610</t>
  </si>
  <si>
    <t>Barichivich, J; Peylin, P; Launois, T; Daux, V; Risi, C; Jeong, J; Luyssaert, S</t>
  </si>
  <si>
    <t>A triple tree-ring constraint for tree growth and physiology in a global land surface model</t>
  </si>
  <si>
    <t>CARBON-ISOTOPE DISCRIMINATION; WATER-USE EFFICIENCY; STABLE-ISOTOPES; CELLULOSE DELTA-O-18; STOMATAL CONDUCTANCE; C-13/C-12 VARIATIONS; SPATIAL VARIABILITY; MECHANISTIC MODEL; CO2 ASSIMILATION; CONCEPTUAL-MODEL</t>
  </si>
  <si>
    <t>Annually resolved tree-ring records extending back to pre-industrial conditions have the potential to constrain the responses of global land surface models at interannual to centennial timescales. Here, we demonstrate a framework to simultaneously constrain the representation of tree growth and physiology in the ORCHIDEE global land surface model using the simulated variability of tree-ring width and carbon (Delta C-13) and oxygen (delta O-18) stable isotopes in six sites in boreal and temperate Europe. We exploit the resulting tree-ring triplet to derive integrative constraints for leaf physiology and growth from well-known mechanistic relationships among the variables. ORCHIDEE simulates Delta C-13 (r = 0.31-0.80) and delta O-18 (r = 0.36-0.74) better than treering width (r &lt; 0.55), with an overall skill similar to that of a tree-ring model (MAIDENiso) and another isotopeenabled global vegetation model (LPX-Bern). The comparison with tree-ring data showed that growth variability is not well represented in ORCHIDEE and that the parameterization of leaf-level physiological responses (stomatal control) to drought stress in the temperate region can be constrained using the interannual variability of tree-ring stable isotopes. The representation of carbon storage and remobilization dynamics emerged as a critical process to improve the realism of simulated growth variability, temporal carryover, and recovery of forest ecosystems after climate extremes. Simulated forest gross primary productivity (GPP) correlates with simulated tree-ring Delta C-13 and delta O-18 variability, but the origin of the correlations with tree-ring delta O-18 is not entirely physiological. The integration of tree-ring data and land surface models as demonstrated here should guide model improvements and contribute towards reducing current uncertainties in forest carbon and water cycling.</t>
  </si>
  <si>
    <t>10.5194/bg-18-3781-2021</t>
  </si>
  <si>
    <t>Twining, CW; Josephson, DC; Kraft, CE; Brenna, JT; Lawrence, P; Flecker, AS</t>
  </si>
  <si>
    <t>Limited seasonal variation in food quality and foodweb structure in an Adirondack stream: insights from fatty acids</t>
  </si>
  <si>
    <t>streams; food webs; stable isotopes; fatty acids; survey</t>
  </si>
  <si>
    <t>FRESH-WATER FISH; SUBTROPICAL STREAMS; TERRESTRIAL SUPPORT; HEADWATER STREAMS; BOREAL LAKES; WEBS; PERIPHYTON; CARBON; CHAIN; LIGHT</t>
  </si>
  <si>
    <t>Together terrestrial and aquatic resources fuel stream food webs. Past work suggests that both terrestrial and aquatic resources can vary in multiple metrics of food quality, such as elemental, macronutrient, and fatty acid (FA) composition, and that resource quality may vary seasonally in temperate systems. However, studies on FA composition in stream food webs, especially those quantifying seasonal patterns, remain scarce. We documented foodweb structure and examined FA composition as a metric of food quality in an Adirondack stream throughout the temperate growing season to understand from where stream consumers derived energy, how food quality varied among resources, and whether these patterns shifted seasonally. In spite of major seasonal shifts in environmental factors, such as light availability and temperature, we found limited seasonal variation in the FA composition of basal resources and macroinvertebrates. Instead, we found consistent differences in FA composition between aquatic and terrestrial basal resources and between macroinvertebrate functional feeding groups. Foodweb structure also was consistent throughout the growing season, and macroinvertebrates and fish relied on a mix of terrestrial and aquatic resources. Our results suggest that stream consumers in heavily forested reaches rely upon low-quality terrestrial resources supplemented with higher-quality aquatic resources throughout the year.</t>
  </si>
  <si>
    <t>10.1086/694335</t>
  </si>
  <si>
    <t>Clark, CT; Cape, MR; Shapley, MD; Mueter, FJ; Finney, BP; Misarti, N</t>
  </si>
  <si>
    <t>SuessR: Regional corrections for the effects of anthropogenic CO2 on delta C-13 data from marine organisms</t>
  </si>
  <si>
    <t>carbon dioxide; carbon isotopes; fractionation; phytoplankton; Suess correction; Suess effect</t>
  </si>
  <si>
    <t>SURFACE OCEANS; CELL-SIZE; PHYTOPLANKTON; C-13; CARBON; FCO(2); DISCRIMINATION; PATTERNS; DECLINES; AMERICA</t>
  </si>
  <si>
    <t>1. Anthropogenic CO2 emissions associated with fossil fuel combustion have caused declines in baseline oceanic delta C-13 values. This phenomenon, called the Suess effect, can confound comparisons of marine delta C-13 data from different years. The Suess effect can be corrected for mathematically; however, a variety of disparate techniques are currently used, often resulting in corrections that differ substantially. 2. SuessR is a free, user-friendly tool that allows researchers to calculate and apply regional Suess corrections to delta C-13 data from marine systems using a unified approach. SuessR updates existing methods for calculating region-specific Suess corrections for samples collected from 1850 to 2020. It also estimates changes in phytoplankton C-13 fractionation associated with increasing water temperature and aqueous CO2 concentrations, referred to here as the Laws effect. SuessR version 0.1.3 contains four built-in regions, including three in the subpolar North Pacific (Bering Sea, Aleutian Islands and Gulf of Alaska) and one North Atlantic region (Subpolar North Atlantic). Users can also supply environmental data for regions not currently built into SuessR to generate their own custom corrections. 3. In 2020, net corrections (Suess + Laws corrections) were as follows-Bering Sea: 1.29 parts per thousand; Aleutian Islands: 1.30 parts per thousand, Gulf of Alaska: 1.30 parts per thousand and Subpolar North Atlantic: 1.31 parts per thousand (compared to a global atmospheric CO2 change of similar to 2.43 parts per thousand across the same period). For samples collected in 2020, the net correction exceeds instrumental error (+/- 0.2 parts per thousand) when making comparisons across only eight years (i.e. 2013-2020). The magnitude of the Suess effect calculated by SuessR aligns with published estimates, whereas the Laws effect is smaller than previously calculated, resulting from updated estimates of average community cell sizes, growth rates and permeability of phytoplankton plasmalemmas (the plasma membrane which bounds the cell) to CO2. 4. The increasing magnitude of the Suess effect means this phenomenon is no longer only of concern to historical ecologists, but now affects contemporary ecological studies using delta C-13 data. This highlights the importance of a unified approach for generating Suess corrections. The SuessR package provides a customizable tool that is simple to use and will improve the interpretability and comparability of future stable isotopic studies of marine ecology.</t>
  </si>
  <si>
    <t>10.1111/2041-210X.13622</t>
  </si>
  <si>
    <t>Madigan, DJ; Snodgrass, OE; Fisher, NS</t>
  </si>
  <si>
    <t>From migrants to mossbacks: tracer- and tag-inferred habitat shifts in the California yellowtail Seriola dorsalis</t>
  </si>
  <si>
    <t>Stable isotope; Pacific Ocean; Ontogenetic; Fish; Tagging; Mercury; Carbon-13; Nitrogen-15</t>
  </si>
  <si>
    <t>BASS ATRACTOSCION-NOBILIS; TUNA THUNNUS-ALBACARES; STABLE-ISOTOPES; TROPHIC POSITION; PACIFIC-OCEAN; FISH-TISSUES; FOOD WEBS; MOVEMENTS; MIGRATION; MERCURY</t>
  </si>
  <si>
    <t>The California yellowtail Seriola dorsalis (YT) is an economically and ecologically valuable predator in both coastal and pelagic regions of the California Current Ecosystem. Delineating size- structured migration patterns can help assess population connectivity and predict effects of regional fishing pressure. We used chemical tracers (stable isotope analysis and mercury analysis) and conventional tagging to evaluate the dynamics of a potential ontogenetic shift in habitat from pelagic waters to coastal regions. Stable isotope analysis revealed a shift in habitat use at intermediate sizes (fork length, FL = 76 to 87.5 cm). Smaller YT were isotopically similar to pelagic yellowfin tuna Thunnus albacares, while larger YT were isotopically similar to the coastal white seabass Atractoscion nobilis. Tag recaptures from a small number of fish (48 deployments, 15 recaptures) corroborated an ontogenetic shift from offshore to coastal habitats, suggesting local, residential populations of larger YT in nearshore areas. Mercury concentrations increased directly after the observed habitat shift (FL = 88.3 cm), which is likely a result of both bioaccumulation with age and a shift to higher Hg prey inshore. Residential behavior of mature YT &gt; 80 cm (similar to 4 to 12+ yr old) suggests that regional size distributions could be influenced by local fishing pressure and inshore movement dynamics, as recruitment of migrants from southern waters will likely be comprised of smaller, younger fish.</t>
  </si>
  <si>
    <t>10.3354/meps12593</t>
  </si>
  <si>
    <t>Liang, D; Pan, XY; Luo, X; Wenda, C; Zhao, YY; Hu, YM; Robinson, SK; Liu, Y</t>
  </si>
  <si>
    <t>Seasonal variation in community composition and distributional ranges of birds along a subtropical elevation gradient in China</t>
  </si>
  <si>
    <t>community composition; functional traits; montane birds; range shift; seasonal variation; temporal beta diversity</t>
  </si>
  <si>
    <t>SPECIES RICHNESS; ALTITUDINAL MIGRATION; BETA DIVERSITY; CLIMATE-CHANGE; CONSERVATION; BIODIVERSITY; YUNNAN; MOUNTAINS; PATTERNS; GUIDE</t>
  </si>
  <si>
    <t>Aim Seasonal variation in community composition and species distributional ranges along elevational gradients remain poorly known but are essential to inform conservation. In this study, we aim to understand how species richness, community composition and elevational ranges of montane birds change between the breeding and the non-breeding season. Location The east slope of the southern Gaoligong Mountains, Yunnan, southwest China, elevational range: 700-3,400 m a.s.l.; latitudinal range: 24 degrees 56 '-26 degrees 09 ' N. Methods We compared species richness and community composition of birds in nine 300-m elevational bands in the breeding (April-May) and non-breeding (December-January) seasons. We also calculated seasonal elevational shifts of 97 species with sufficient data recorded in both seasons and assessed how species' traits influenced these shifts. Results Species richness declined in high and low elevations between the breeding and the non-breeding season. The temporal beta diversity shift from the breeding to the non-breeding season was mainly caused by species losses rather than species gains in high- and low-elevation communities. Communities in middle elevations showed a contrasting pattern, with seasonal composition change resulting mainly from species gains. We also found that species' seasonal distribution shifts were mainly associated with breeding elevation and diet. Notably, high- and middle-elevation breeders and insectivores significantly shifted their elevational ranges downslope in the non-breeding season. In addition, species that participate in mixed-species flocks and that rely on forests also showed significant downslope shifts in the non-breeding season. Main conclusions These results show complex patterns of the interconnectedness of bird communities along the elevational gradient. Keeping forests at middle elevations intact appears especially important as they are used in winter by species that breed at both high and middle elevations. Furthermore, our results suggested conservation actions maintaining connectedness in low and middle elevations are urgently needed to conserve regional biodiversity and highlight the importance of seasonality in montane ecosystem research.</t>
  </si>
  <si>
    <t>10.1111/ddi.13420</t>
  </si>
  <si>
    <t>PICCOLO, MC; NEILL, C; CERRI, CC</t>
  </si>
  <si>
    <t>NATURAL-ABUNDANCE OF N-15 IN SOILS ALONG FOREST-TO-PASTURE CHRONOSEQUENCES IN THE WESTERN BRAZILIAN AMAZON BASIN</t>
  </si>
  <si>
    <t>STABLE ISOTOPES; NITROGEN; FIXATION; FOREST; RONDONIA</t>
  </si>
  <si>
    <t>NITROGEN ISOTOPE FRACTIONATION; TROPICAL RAIN-FOREST; ENRICHMENT; RAINFOREST; SUCCESSION; RATIOS</t>
  </si>
  <si>
    <t>We examined the natural abundance of N-15 in soil profiles along two chronosequences in the western Brazilian Amazon Basin state of Rondonia, to investigate possible mechanisms for changes to soil nitrogen sources and transformations that occur as a result of land use. One chronosequence consisted of forest and 3-, 5- and 20-year-old pasture, the other of forest and 8- and 20-year-old pasture. The delta(15)N values of surface soil and soil to 1 m depth in the native forest ranged from 9.8 to 13.6 parts per thousand and were higher than reported for temperate forest soils. Fractionation associated with nitrification and denitrification and selective losses of N-15-depleted nitrate, could potentially result in a strong enrichment of nitrogen in soil organic matter over the time scale of soil development in highly weathered tropical soils. Pasture surface soils were 1-3 parts per thousand, depleted in N-15 compared with forest soils. Lower delta(15)N values in 20-year-old pastures is consistent with greater cumulative inputs of N-15-depleted atmospheric-derived nitrogen, fixed by free-living bacteria associated with planted pasture grasses in older pastures, or differential plant utilization of soil inorganic N pools with different delta(15)N values. The pattern of delta(15)N values following conversion of forest to agricultural use differs from the pattern in the temperate zone, where pasture or cultivated soils are typically more enriched in N-15 than the forest soils from which they were derived.</t>
  </si>
  <si>
    <t>10.1007/BF00317090</t>
  </si>
  <si>
    <t>Sticht, C; Schrader, S; Giesemann, A</t>
  </si>
  <si>
    <t>Influence of chemical agents commonly used for soil fauna investigations on the stable C-isotopic signature of soil animals</t>
  </si>
  <si>
    <t>C-isotopic analysis; delta C-13; sample preparation; collembolans; nematodes; treatment effects</t>
  </si>
  <si>
    <t>FOOD-WEB; CARBON ISOTOPES; NITROGEN; PRESERVATION; DELTA-C-13; RATIOS; DELTA-N-15; FRACTIONATION; ZOOPLANKTON; COLLEMBOLA</t>
  </si>
  <si>
    <t>The use of stable carbon isotope tracers is an approved method in investigating soil carbon cycle and trophic interactions. Within this methodical study collembolans and nematodes were analysed exemplarily. Prior to stable C-isotopic analysis, the animals have to be killed. A preparation of animal tissues (preservation, bleaching etc.) with different customary agents is often indispensable. Substances usually used contain carbon and hence represent potential carbon sources. Therefore, they could modify the C-isotopic signature of animal tissue. This methodical problem is the key point of the present contribution. The influence of commonly used chemical agents on the C-isotopic signature of collembolans was investigated exemplarily for monoethyleneglycol (MEG), ethanol (EtOH) and lactic acid. Furthermore, effects of TAF, formalin and glycerine on the C-isotopic signature of nematodes were analysed. Overall, most investigated agents modified the delta C-13 values of animal tissues. Only MEG did not cause any significant alteration in animal C-isotopic signature of both soil fauna groups. In case of collembolans, 96% EtOH also did not change the stable C-isotopic signature significantly. Finally, the use of these agents for soil fauna preparation prior to stable C-isotopic analysis is discussed. (c) 2006 Elsevier Masson SAS. All rights reserved.</t>
  </si>
  <si>
    <t>S326</t>
  </si>
  <si>
    <t>S330</t>
  </si>
  <si>
    <t>10.1016/j.ejsobi.2006.07.009</t>
  </si>
  <si>
    <t>Wooller, MJ; Johnson, BJ; Wilkie, A; Fogel, ML</t>
  </si>
  <si>
    <t>Stable isotope characteristics across narrow savanna/woodland ecotones in Wolfe Creek Meteorite Crater, Western Australia</t>
  </si>
  <si>
    <t>carbon; nitrogen; C3; C4; plants</t>
  </si>
  <si>
    <t>MULTI-PROXY APPROACH; HUMAN OCCUPATION; NATURAL-ABUNDANCE; CARBON ISOTOPES; SUMMER MONSOON; ORGANIC-CARBON; LAKE RUTUNDU; MOUNT-KENYA; NITROGEN; DELTA-C-13</t>
  </si>
  <si>
    <t>The stable isotopic composition (delta C-13) of sediments from lakes are frequently analyzed to reconstruct the proportion of the regional vegetation that used either the C-3 or C-4 photosynthetic pathways, often without conducting a detailed survey of the current local vegetation. We performed a study on the modern vegetation composition within the Wolfe Creek Meteorite Crater to complement our future paleoecological investigation of the crater. A bull's-eye pattern exists where C-4 grasses dominate an outer ring and salt tolerant species, including shrubs, herbs, chenopods, and halophytic algae, dominate the inner pan of the crater. The ecotone between the inner and outer zones is narrow and occupied by tall (&gt;7 m) Acacia ampliceps, with some C-4 grasses in the understory. Along with the highest water table and most saline soils the center of the crater has C-3 plants present with the highest delta C-13 and delta N-15 values. The range of delta C-13 and delta N-15 values from the analysis of surface soil organic matter (OM) was much smaller compared with the range of values from plant materials implying that either: (1) the current plant OM has not yet been integrated into the soils, or (2) processes within the soil have acted to homogenize isotopic variability within the crater. The application of a two end member mixing model to calculate %C-4 and %C-3 biomass from the delta C-13 of surface soil OM was complicated by: (1) the crater containing both a dry habitat with C-4 grasses and a central pan with C-4 halophytic plants and, (2) the large variation in the delta C-13 of the plants and soil OM.</t>
  </si>
  <si>
    <t>10.1007/s00442-005-0105-5</t>
  </si>
  <si>
    <t>Mazak, EJ; MacIsaac, HJ; Servos, MR; Hesslein, R</t>
  </si>
  <si>
    <t>Influence of feeding habits on organochlorine contaminant accumulation in waterfowl on the Great Lakes</t>
  </si>
  <si>
    <t>bioaccumulation; Dreissena; ducks; ecotoxicology; Great Lakes; Lake Erie; organochlorine contaminants; pesticides; polychlorinated biphenyls; principal components analysis; stable isotopes; waterfowl; zebra mussel</t>
  </si>
  <si>
    <t>MUSSELS DREISSENA-POLYMORPHA; ZEBRA MUSSELS; STABLE ISOTOPES; DIVING DUCKS; FOOD-WEB; TROPHIC LEVEL; ONTARIO; PCBS; ERIE; BIOACCUMULATION</t>
  </si>
  <si>
    <t>Zebra mussels (Dreissena polymorpha) are an important component of benthic communities in the Great Lakes and are exploited by a host of predators, including waterfowl. In this study, we analyze diet content and stable isotope and organochlorine contaminant patterns in Lesser Scaup (Aythya affinis), Greater Scaup (Aythya marila), Bufflehead (Bucephala albeola), Redhead (Aythya americana), Canvasback (Aythya valisineria), and Mallard (Arras platyrhynchos) collected from three sites (Fighting Island, western Lake Erie, Big Creek) in the lower Great Lakes. Lesser and Greater Scaup from Fighting Island were classified as either zebra mussel (greater than or equal to 67% of diet) or macrophyte (greater than or equal to 85% of diet) consumers. Bufflehead, Canvasback, Mallard, and Redhead consumed mainly (greater than or equal to 89%) macrophyte at Fighting Island. Zebra mussel was the principal food of Lesser Scaup (&gt;99%), Greater Scaup (97%), and Bufflehead (72%) in western Lake Erie. Stable isotope analysis revealed enrichment of delta(15)N in Lesser Scaup (greater than or equal to 2.24 parts per thousand), Greater Scaup (greater than or equal to 1.28 parts per thousand), and Bufflehead (greater than or equal to 0.63 parts per thousand) that exploited mussels relative to conspecifics with macrophyte diets and relative to mussel prey. Representative contaminants of low (hexachlorobenzene [HCB]), moderate (PCB [polychlorinated biphenyl] 153), and high (PCB 180) hydrophobicity were examined in waterfowl. Lipid-normalized concentrations of PCBs 153 and 180 were significantly higher in scaup and Bufflehead that consumed Dreissena than in individuals that ate mainly macrophytes. Among taxa that consumed primarily Dreissena, concentrations of PCBs 153 and 180 were significantly higher in individuals from Lake Erie than in those Fighting Island. Principal components analysis revealed broad differences in contaminant patterns of waterfowl based principally on diet. Results from this study illustrate that Dreissena has become a primary food source of some waterfowl in the lower Great Lakes and serves as an effective conduit for transfer of persistent organic contaminants to higher trophic levels.</t>
  </si>
  <si>
    <t>Rueda, L; Valls, M; Hidalgo, M; Guijarro, B; Esteban, A; Massuti, E</t>
  </si>
  <si>
    <t>From trophic ecology to fish condition: contrasting pathways for European hake in the western Mediterranean</t>
  </si>
  <si>
    <t>Merluccius merluccius; Somatic body condition; Stable isotopes; Trophic ecology; Oligotrophy; Western Mediterranean</t>
  </si>
  <si>
    <t>STABLE-ISOTOPE RATIOS; ANCHOVY ENGRAULIS-ENCRASICOLUS; MERLUCCIUS L. RECRUITMENT; FOOD-WEB; ENVIRONMENTAL-CONDITIONS; SPATIOTEMPORAL VARIATION; VERTICAL-DISTRIBUTION; DEMERSAL RESOURCES; FEEDING-HABITS; EBRO RIVER</t>
  </si>
  <si>
    <t>In marine ecosystems, where variability in the type and availability of food resources is a common property, species must adjust their feeding behaviour in order to fulfil their energetic needs within the requirements of ontogeny. These variations in the quality and quantity of food supply are crucial for the nutritional status of individuals. We investigated these relationships by analysing the isotopic composition and somatic body condition of European hake Merluccius merluccius within 3 areas in the western Mediterranean: the waters off the Ebro River delta and the northeastern coast of the Iberian Peninsula, both off the Spanish mainland, and the Balearic Islands. These locations have contrasting oceanographic conditions and degrees of productivity. Results reveal important ontogenetic and spatial differences in the isotopic composition and body condition of recruits and juveniles, as well as a distinct trophic structure and pathways between areas. Isotopic signatures revealed differences between the waters off the mainland and the Balearic Islands, with an overlap in the isotopic niche of recruits and juveniles in mainland waters that contrasted with a clear separation in the Islands. The linkage between trophic ecology and somatic body condition revealed that this relationship cannot be as straightforward as expected, highlighting the importance of ecological processes such as competition for food resources. This study reveals the small-scale spatial complexity in the trophic ecology of European hake and its relationship with nutritional status. Acknowledging such complexity is of high importance for the implementation of integrative management of marine living resources.</t>
  </si>
  <si>
    <t>10.3354/meps13025</t>
  </si>
  <si>
    <t>Marchi, M; Jorgensen, SE; Becares, E; Corsi, I; Marchettini, N; Bastianoni, S</t>
  </si>
  <si>
    <t>Dynamic model of Lake Chozas (Leon, NW Spain)-Decrease in eco-exergy from clear to turbid phase due to introduction of exotic crayfish</t>
  </si>
  <si>
    <t>Eco-exergy; Entropy; Dynamic model; Phosphorus cycle; Procambarus clarkii; Lake Chozas</t>
  </si>
  <si>
    <t>RED SWAMP CRAYFISH; DONANA-NATIONAL-PARK; PROCAMBARUS-CLARKII; SPECIES INTRODUCTIONS; ECOSYSTEMS; INVASIONS; SPAIN; DIET</t>
  </si>
  <si>
    <t>We developed a dynamic model of the phosphorus cycle in Lake Chozas, a small shallow water body in Leon (NW Spain). The calibrated model simulated seasonal dynamics of phosphorus concentrations in major components of the lake's ecological network before and after 1997, the year when an invasive allochthonous crustacean, the Louisiana red swamp crayfish (Procambarus clarkii), was introduced into the lake. The shift from clean to turbid phase, due to grazing by crayfish on submerged vegetation, caused a gradual decrease in eco-exergy, reflecting an increase in entropy, related to breakdown of ecosystem internal equilibria. This case study verifies the hypothesis of Marchi et al. (2010) that, after an initial relatively stable state, the allochthonous species may cause an increase in entropy indicating perturbation of the ecosystem. Published by Elsevier B.V.</t>
  </si>
  <si>
    <t>10.1016/j.ecolmodel.2011.04.016</t>
  </si>
  <si>
    <t>Murphy, CA; Romer, JD; Stertz, K; Arismendi, I; Emig, R; Monzyk, F; Johnson, SL</t>
  </si>
  <si>
    <t>Damming salmon fry: evidence for predation by non-native warmwater fishes in reservoirs</t>
  </si>
  <si>
    <t>anadromous; Chinook Salmon; dams; enrichment; food webs; predation; stomach contents</t>
  </si>
  <si>
    <t>JOHN-DAY-RESERVOIR; JUVENILE SALMONIDS; NORTHERN SQUAWFISH; STABLE-ISOTOPES; SMALLMOUTH BASS; CHINOOK SALMON; DIET OVERLAP; COHO SALMON; COLUMBIA; SURVIVAL</t>
  </si>
  <si>
    <t>Complex predator-prey interactions over time have the potential to limit survival of threatened native species. Reservoirs created by large dams in temperate ecosystems are sites where both coldwater and warmwater fish species overlap in distributions, forming assemblages that would not occur under natural settings. For example, in many western North American reservoirs, juvenile native salmonids now overlap with native and non-native predators such as Northern Pikeminnow Ptychocheilus oregonensis and bass Micropterus spp. Currently, native Northern Pikeminnow are considered by many to be the most formidable predator of salmon smolts in freshwater systems of the Pacific Northwest. However, their consumption of salmon fry and the role of non-native warmwater predators remain unclear. Predation on fry has proved more difficult to identify than on smolts, due to smaller sizes and high digestibility, but is important for prioritizing management strategies. Here, we use multiple lines of evidence, including large datasets of stable isotopes and fish stomach contents, to identify which fish consume Chinook Salmon Oncorhynchus tshawytscha fry (&lt;55 mm) as they enter reservoirs below their spawning grounds in the Middle Fork Willamette River, Oregon. Unexpectedly, we found that non-native warmwater game fishes, including bass and crappie Pomoxis spp., preyed more heavily on Chinook Salmon fry in the spring than native fish predators including Northern Pikeminnow. Of the native species, only Rainbow Trout Oncorhynchus mykiss showed evidence for significant predation on Chinook Salmon fry. Fish management in reservoirs that attempts to promote both warmwater and coldwater recreational fisheries simultaneously may thus be in conflict, necessitating future prioritization of species composition in individual reservoirs. This prioritization is especially important as these species include popular game fishes as well as salmonids threatened under the U.S. Endangered Species Act. Understanding predation pressure by popular invasive game fishes on sensitive life stages will allow managers and policymakers to evaluate trade-offs in the management of these novel assemblages.</t>
  </si>
  <si>
    <t>e03757</t>
  </si>
  <si>
    <t>10.1002/ecs2.3757</t>
  </si>
  <si>
    <t>Hussey, NE; Cosandey-Godin, A; Walter, RP; Hedges, KJ; VanGerwen-Toyne, M; Barkley, AN; Kessel, ST; Fisk, AT</t>
  </si>
  <si>
    <t>Juvenile Greenland sharks Somniosus microcephalus (Bloch &amp; Schneider, 1801) in the Canadian Arctic</t>
  </si>
  <si>
    <t>Greenland shark; Pacific sleeper shark; Nursery grounds; Juvenile sharks; Genetics; Scott Inlet; Sam Ford Trough; Baffin Bay</t>
  </si>
  <si>
    <t>MOVEMENT PATTERNS; CARCHARHINUS-OBSCURUS; FEEDING ECOLOGY; STABLE-ISOTOPES; SUMMER NURSERY; SLEEPER SHARKS; LEMON SHARKS; GROWTH-RATES; 1ST EVIDENCE; WESTERN</t>
  </si>
  <si>
    <t>Life-stage-based management of marine fishes requires information on juvenile habitat preferences to ensure sustainable population demographics. This is especially important in the Arctic region given very little is known about the life histories of many native species, yet exploitation by developing commercial and artisanal fisheries is increasing as the ice extent decreases. Through scientific surveys and bycatch data from gillnet fisheries, we document captures of rarely reported juvenile Greenland sharks (Somniosus microcephalus; a parts per thousand currency sign200 cm total length [TL]) during the ice-free period in the Canadian Arctic. A total of 22 juvenile animals (42 % of total catch; n = 54), including the smallest reliably measured individual of 117 cm TL, were caught on scientific longlines and bottom trawls in Scott Inlet and Sam Ford Trough over three consecutive years. Molecular genetic nuclear markers confirmed species identity for 44 of these sharks sampled; however, two sharks including a juvenile of 150 cm TL were identified as carrying a Pacific sleeper shark (Somniosus pacificus) mitochondrial cytochrome b (cyt b) haplotype. This represents the first record of a Pacific sleeper shark genetic signature in Greenland sharks in Eastern Arctic waters. Juvenile sharks caught as bycatch in gillnet fisheries were only observed offshore in Baffin Bay surrounding a fishery closure area, while larger subadult and mature Greenland sharks (&gt; 200 cm TL) were caught in all fishing locations, including areas where juveniles were observed. The repeatable occurrence of juvenile Greenland sharks in a fjord and their presence at two offshore sites indicates that these smaller animals either reside in nurseries or have defined home ranges in both coastal and offshore regions or undertake large-scale inshore-offshore movements.</t>
  </si>
  <si>
    <t>10.1007/s00300-014-1610-y</t>
  </si>
  <si>
    <t>Pegg, J; Andreou, D; Williams, CF; Britton, JR</t>
  </si>
  <si>
    <t>Head morphology and piscivory of European eels, Anguilla anguilla, predict their probability of infection by the invasive parasitic nematode Anguillicoloides crassus</t>
  </si>
  <si>
    <t>complex life cycle; individual specialisation; non-native parasite; paratenic host; stable isotope analysis</t>
  </si>
  <si>
    <t>ISOTOPE MIXING MODELS; PARATENIC HOSTS; STABLE-ISOTOPES; GROWTH-RATE; SWIMBLADDER; EVOLUTION; JAPONICA; ECOLOGY; LIFE; AGE</t>
  </si>
  <si>
    <t>1. The morphology of animal body structures influences their function; intrapopulation plasticity in diet composition can occur where head morphology limits gape size. The European eel, Anguilla anguilla, a critically endangered catadromous fish, shows significant intrapopulation variations in head width, with broader headed individuals being more piscivorous. 2.Infection of eels during their freshwater phase by Anguillicoloides crassus, an invasive nematode parasite, involves paratenic fish hosts. We tested the relationships between their infection status, head functional morphology (as head width/total length ratio; HW:TL) and the proportion of fish in diet (estimated by stable isotope mixing models) across three populations. 3.The extent of piscivory in the diets of individual eels increased significantly as their HW:TL ratios increased. There were no significant differences between infected and uninfected eels in their total lengths and hepatic-somatic indices. However, the HW:TL ratios of infected eels were significantly higher than those of uninfected eels and, correspondingly, their diet comprised a higher proportion of fish. 4.Logistic regression revealed that head morphology and diet were significant predictors of infection status, with models correctly assigning up to 78% of eels to their infection status. Thus, eel head functional morphology significantly influenced their probability of being infected by invasive A.crassus, most likely through increased exposure to fish paratenic hosts. Accordingly, the detrimental consequences of infections are likely to be focussed on those individuals in freshwater populations whose functional morphology enables greater specialisation in piscivory.</t>
  </si>
  <si>
    <t>10.1111/fwb.12624</t>
  </si>
  <si>
    <t>Zhang, M; Lv, XC; Zhu, WX; Gao, YN; Dong, J; Li, M; Zhang, JX; Gao, XF; Li, XJ</t>
  </si>
  <si>
    <t>The aquatic benthic food webs: The determinants of periphyton biofilms in a diversion canal and its upstream reservoir</t>
  </si>
  <si>
    <t>Multiple factors; Periphyton biofilm; Generalized linear model; Structural equation model; Stable isotope analysis; South-to-North Water Diversion Canal</t>
  </si>
  <si>
    <t>STABLE-ISOTOPES; TROPHIC POSITION; WATER; CARBON; RIVER; NITROGEN; PHYTOPLANKTON; NUTRIENTS; PATTERNS; VELOCITY</t>
  </si>
  <si>
    <t>Excessive accumulation of periphyton biofilms could cause a series of environmental problems in the South-toNorth Water Diversion (SNWD) Canal. To better understand the determinants of periphyton biofilms, we applied generalized linear models (GLMs) and structural equation modelling (SEM) to compare and quantify the relative importance of multiple factors on the periphyton biofilm biomasses in the SNWD Canal and its upstream Danjiangkou Reservoir. The excessive accumulation of periphyton biofilms in the SNWD Canal was obviously higher than that of the reservoir. Our data indicate that water temperature is the most important abiotic factor for explaining the biofilm biomass. Biotic factors for explaining the biofilm biomasses are quite different in the two ecosystems. Evidence from GLMs and SEM shows that prawns (Macrobrachium nipponense) have a significant negative direct effect on the reservoir biofilm biomass, while gobies (Rhinogobius giurinus) have a significant positive indirect effect via molluscs on the canal biofilm biomass. The Bayesian mixing models from stable isotope data also verify that biofilms are a major component of the reservoir prawn diets (72.5 +/- 1.9%). However, in the canal, biofilms are the major component of the canal mollusc diets (70.2 +/- 19.8%), and a rather high proportional contribution of molluscs is found for the goby diets (67.4 +/- 8.0%). These results suggest the main paths of benthic food chains in the two ecosystems. In this study, we reveal the determinants of periphyton biofilm accumulation, which may provide useful information for biomanipulation in the SNWD and its upstream reservoir.</t>
  </si>
  <si>
    <t>10.1016/j.ecoleng.2021.106363</t>
  </si>
  <si>
    <t>Renkawitz, MD; Sheehan, TF; Dixon, HJ; Nygaard, R</t>
  </si>
  <si>
    <t>Changing trophic structure and energy dynamics in the Northwest Atlantic: implications for Atlantic salmon feeding at West Greenland</t>
  </si>
  <si>
    <t>Northwest Atlantic; Greenland; Atlantic salmon; Capelin; Diet; Food quality; Energy density</t>
  </si>
  <si>
    <t>CAPELIN MALLOTUS-VILLOSUS; ARCTIC CLIMATE-CHANGE; COD GADUS-MORHUA; SALAR L.; SEA-ICE; TEMPORAL VARIABILITY; MARINE ECOSYSTEMS; PELAGIC FISH; GROWTH; HYPOTHESIS</t>
  </si>
  <si>
    <t>Changes in large-scale climate conditions in the Northwest Atlantic caused a phase shift in productivity, altering trophic pathways that influence the growth, survival, and abundance of many species. Despite diverse population structures and management regimes, concurrent abundance declines in disparate North American and European Atlantic salmon populations suggest that conditions experienced at common marine areas may be causative. To understand the trophic mechanisms contributing to population declines, 1451 Atlantic salmon stomachs were collected and examined from individuals caught between 2006 and 2011 at the West Greenland feeding grounds. Standardized stomach content weights and stomach composition varied among years but not between stock complexes. Atlantic salmon consumed a variety of prey taxa, primarily capelin and Themisto sp., over a broad size spectrum. Standardized stomach content weight and proportions of taxa consumed were similar between historical (1965-1970) and contemporary samples, although lower-quality boreoatlantic armhook squid, nearly absent from historical data, was of moderate importance in contemporary samples, while higher-quality capelin decreased in importance. Furthermore, from 1968-2008 mean energy density estimates of capelin, the regional keystone forage species, decreased approximately 33.7%. This resulted in lower estimates of total energy consumption by Atlantic salmon over time. Results indicate that altered trophic dynamics caused by 40 yr of changing ocean conditions negatively influenced Atlantic salmon and likely many other commercially, culturally, and ecologically important species in the Northwest Atlantic. Determining the primary mechanisms that influence marine food-webs is necessary to fully understand and evaluate survival and productivity trends and to establish realistic management targets for commercial, recreational, and protected species.</t>
  </si>
  <si>
    <t>10.3354/meps11470</t>
  </si>
  <si>
    <t>Hamilton, J; Zangerl, AR; Berenbaum, MR; Sparks, JP; Elich, L; Eisenstein, A; DeLucia, EH</t>
  </si>
  <si>
    <t>Elevated atmospheric CO2 alters the arthropod community in a forest understory</t>
  </si>
  <si>
    <t>Spiders; Insects; Global change; Carbon isotope; Nitrogen isotope</t>
  </si>
  <si>
    <t>CARBON-DIOXIDE; INSECT ABUNDANCE; STABLE ISOTOPES; LEAF DAMAGE; PLANT; ENRICHMENT; HERBIVORY; ECOSYSTEM; SOIL; O-3</t>
  </si>
  <si>
    <t>The objective of this study was to determine the extent to which overall population sizes and community composition of arthropods in a naturally occurring forest understory are altered by elevated CO2. The Free Air Concentration Enrichment (FACE) method was used to fumigate large, replicated plots in the Piedmont region of North Carolina, USA to achieve the CO2 concentration predicted for 2050 (similar to 580 mu l l(-1)). In addition, the extent to which unrestricted herbivorous arthropods were spatially delimited in their resource acquisition was determined. Stable isotope data for spiders (delta C-13 and delta N-15) were collected in ambient and elevated CO2 plots and analyzed to determine whether their prey species moved among plots. Elevated CO2 had no effect on total arthropod numbers but had a large effect on the composition of the arthropod community. Insects collected in our samples were identified to a level that allowed for an assignment of trophic classification (generally to family). For the groups of insects sensitive to atmospheric gas composition, there was an increase in the numbers of individuals collected in primarily predaceous orders (Araneae and Hymenoptera; from 60% to more than 150%) under elevated CO2 and a decrease in the numbers in primarily herbivorous orders (Lepidoptera and Coleoptera; from -30 to -45%). Isotopic data gave no indication that the treatment plots represented a boundary to the movement of insects or that there were distinct and independent insect populations inside and outside the treatment plots. A simple two-ended mixing model estimates 55% of the carbon and nitrogen in spider biomass originated external to the elevated CO2 plots. In addition to changes in insect performance, decreases in herbivorous arthropods and increases in predaceous arthropods may also be factors involved in reduced herbivory under elevated CO2 in this forest. (C) 2012 Elsevier Masson SAS. All rights reserved.</t>
  </si>
  <si>
    <t>10.1016/j.actao.2012.05.004</t>
  </si>
  <si>
    <t>Rozanski, R; Eme, D; Leroy, AB; Rufino, MM; Albouy, C</t>
  </si>
  <si>
    <t>A multispecies, intraspecific functional traits data set on fish species from the Bay of Biscay, France</t>
  </si>
  <si>
    <t>Actinopterygii; Atlantic Ocean; ecomorphological traits; functional diversity; intraspecific traits variability; life history traits</t>
  </si>
  <si>
    <t>The global biodiversity crisis due to anthropogenic pressures jeopardizes marine ecosystem functioning and services. Community responses to these environmental changes can be assessed through functional diversity, a biodiversity component related to organism-environment interactions, and estimated through biological traits related to organism functions (locomotion, feeding mode, and reproduction). Fish play a key role in marine systems functioning and supply proteins for billions of humans worldwide, yet most of the knowledge is limited to several commercial species and little is known about the intraspecific variability of their functional traits. The data provided here consist of 867 records of individuals from 85 species of ray-finned (Actinopterygii) and cartilaginous (Chondrichthyes) fish sampled in the Bay of Biscay (Atlantic, France) between autumn 2017 and 2019. We provided for each individual the taxonomic classification, 16 ecomorphological measures (5 directly made on fresh individuals and 11 realized using individual pictures) that were converted into nine ecomorphological traits classically documented in the literature (biomass, protrusion, oral gape shape, surface and position, eye size and position, body transversal shape and surface, pectoral fin position and caudal peduncle throttling) and eight life history traits obtained from FishBase (maximum length, average depth, depth range, trophic level, reproduction mode, fertilization mode, parental care, vertical position in the water column). These traits document several functions such as dispersion, feeding mode, habitat use, position in the food web, and reproduction. To improve the development of new traits, we provided a picture of each individual with an ROI file containing the different morpho-anatomical measures made using ImageJ  software and an R function to extract them. In addition, we provided the metadata from each sampling site (years, dates, stations, sampling hours, strata, gears, latitudes, longitudes, and depths) and environmental variables measured in situ (conductivity, salinity, water temperature, water density, and air temperature). This data set accounting for the intraspecific variability among 85 fish species is of interest to better understand the effects of environmental forcing in a global change context as in the Bay of Biscay, a highly fished transition zone harboring mixed assemblages of boreal, temperate, and subtropical fish species that are susceptible to display variability in functional trait to adapt to changing conditions. The data set is freely available without copyright restrictions; users should cite this paper in research products (publications, presentations, reports, etc.) derived from the data set.</t>
  </si>
  <si>
    <t>10.1002/ecy.3924</t>
  </si>
  <si>
    <t>Abell, GCJ; Ross, DJ; Keane, J; Holmes, BH; Robert, SS; Keough, MJ; Eyre, BD; Volkman, JK</t>
  </si>
  <si>
    <t>Niche Differentiation of Ammonia-Oxidising Archaea (AOA) and Bacteria (AOB) in Response to Paper and Pulp Mill Effluent</t>
  </si>
  <si>
    <t>SECONDARY-TREATED PAPER; NITRIFYING ARCHAEA; NITRITE REDUCTASE; STABLE-ISOTOPES; NITROGEN; DIVERSITY; NITRIFICATION; ABUNDANCE; SEDIMENTS; GENES</t>
  </si>
  <si>
    <t>Sediment organic loading has been shown to affect estuarine nitrification and denitrification, resulting in changes to sediment biogeochemistry and nutrient fluxes detrimental to estuarine health. This study examined the effects of organic loading on nutrient fluxes and microbial communities in sediments receiving effluent from a paper and pulp mill (PPM) by applying microcosm studies and molecular microbial ecology techniques. Three sites near the PPM outfall were compared to three control sites, one upstream and two downstream of the outfall. The control sites showed coupled nitrification-denitrification with minimal ammonia release from the sediment. In contrast, the impacted sites were characterised by nitrate uptake and substantial ammonia efflux from the sediments, consistent with a decoupling of nitrification and denitrification. Analysis of gene diversity demonstrated that the composition of nitrifier communities was not significantly different at the impacted sites compared to the control sites; however, analysis of gene abundance indicated that whilst there was no difference in total bacteria, total archaea or ammonia-oxidising archaea (AOA) abundance between the control and impacted sites, there was a significant reduction in ammonia-oxidising bacteria (AOB) at the impacted sites. The results of this study demonstrate an effect of organic loading on estuarine sediment biogeochemistry and highlight an apparent niche differentiation between AOA and AOB.</t>
  </si>
  <si>
    <t>10.1007/s00248-014-0376-7</t>
  </si>
  <si>
    <t>Foltz, KM; Baird, RW; Ylitalo, GM; Jensen, BA</t>
  </si>
  <si>
    <t>Cytochrome P4501A1 expression in blubber biopsies of endangered false killer whales (Pseudorca crassidens) and nine other odontocete species from Hawai'i</t>
  </si>
  <si>
    <t>Cytochrome P4501A1 (CYP1A1); Pseudorca; Hawaiian cetacean; Polychlorinated biphenyls (PCB); Blubber dart biopsy; Biomarker</t>
  </si>
  <si>
    <t>BOTTLE-NOSED DOLPHINS; POLYCYCLIC AROMATIC-HYDROCARBONS; CUVIERS ZIPHIUS-CAVIROSTRIS; DENSIROSTRIS BEAKED-WHALES; POLYCHLORINATED-BIPHENYLS; TURSIOPS-TRUNCATUS; SITE FIDELITY; NORTH PACIFIC; ORGANOCHLORINE PESTICIDES; PHYSETER-MACROCEPHALUS</t>
  </si>
  <si>
    <t>Odontocetes (toothed whales) are considered sentinel species in the marine environment because of their high trophic position, long life spans, and blubber that accumulates lipophilic contaminants. Cytochrome P4501A1 (CYP1A1) is a biomarker of exposure and molecular effects of certain persistent organic pollutants. Immunohistochemistry was used to visualize CYP1A1 expression in blubber biopsies collected by non-lethal sampling methods from 10 species of free-ranging Hawaiian odontocetes: short-finned pilot whale, melon-headed whale, pygmy killer whale, common bottlenose dolphin, rough-toothed dolphin, pantropical spotted dolphin, Blainville's beaked whale, Cuvier's beaked whale, sperm whale, and endangered main Hawaiian Islands insular false killer whale. Significantly higher levels of CYP1A1 were observed in false killer whales and rough-toothed dolphins compared to melon-headed whales, and in general, trophic position appears to influence CYP1A1 expression patterns in particular species groups. No significant differences in CYP1A1 were found based on age class or sex across all samples. However, within male false killer whales, juveniles expressed significantly higher levels of CYP1A1 when compared to adults. Total polychlorinated biphenyl (aPCBs) concentrations in 84 % of false killer whales exceeded proposed threshold levels for health effects, and aPCBs correlated with CYP1A1 expression. There was no significant relationship between PCB toxic equivalent quotient and CYP1A1 expression, suggesting that this response may be influenced by agonists other than the dioxin-like PCBs measured in this study. No significant differences were found for CYP1A1 expression among social clusters of false killer whales. This work provides a foundation for future health monitoring of the endangered stock of false killer whales and other Hawaiian odontocetes.</t>
  </si>
  <si>
    <t>10.1007/s10646-014-1300-0</t>
  </si>
  <si>
    <t>Vasey, MC; Loik, ME; Parker, VT</t>
  </si>
  <si>
    <t>Influence of summer marine fog and low cloud stratus on water relations of evergreen woody shrubs (Arctostaphylos: Ericaceae) in the chaparral of central California</t>
  </si>
  <si>
    <t>Mediterranean-type climate; Maritime chaparral; Stable isotopes; Water potential; Marine layer</t>
  </si>
  <si>
    <t>CAVITATION RESISTANCE; XYLEM CAVITATION; ROOT SYSTEMS; DROUGHT; PLANTS; FIRE; VULNERABILITY; DIVERSITY; OVERCAST; TRAITS</t>
  </si>
  <si>
    <t>Mediterranean-type climate (MTC) regions around the world are notable for cool, wet winters and hot, dry summers. A dominant vegetation type in all five MTC regions is evergreen, sclerophyllous shrubland, called chaparral in California. The extreme summer dry season in California is moderated by a persistent low-elevation layer of marine fog and cloud cover along the margin of the Pacific coast. We tested whether late dry season water potentials (I-min) of chaparral shrubs, such as Arctostaphylos species in central California, are influenced by this coast-to-interior climate gradient. Lowland coastal (maritime) shrubs were found to have significantly less negative I-min than upland interior shrubs (interior), and stable isotope (delta C-13) values exhibited greater water use efficiency in the interior. Post-fire resprouter shrubs (resprouters) had significantly less negative I-min than co-occurring obligate seeder shrubs (seeders) in interior and transitional chaparral, possibly because resprouters have deeper root systems with better access to subsurface water than shallow-rooted seeders. Unexpectedly, maritime resprouters and seeders did not differ significantly in their I-min, possibly reflecting more favorable water availability for shrubs influenced by the summer marine layer. Microclimate and soil data also suggest that maritime habitats have more favorable water availability than the interior. While maritime seeders constitute the majority of local Arctostaphylos endemics, they exhibited significantly greater vulnerability to xylem cavitation than interior seeders. Because rare seeders in maritime chaparral are more vulnerable to xylem cavitation than interior seeders, the potential breakdown of the summer marine layer along the coast is of potential conservation concern.</t>
  </si>
  <si>
    <t>10.1007/s00442-012-2321-0</t>
  </si>
  <si>
    <t>Harwood, KG; Gillon, JS; Roberts, A; Griffiths, H</t>
  </si>
  <si>
    <t>Determinants of isotopic coupling of CO2 and water vapour within a Quercus petraea forest canopy</t>
  </si>
  <si>
    <t>stable isotopes; carbon; CO2; water vapour; forest canopies</t>
  </si>
  <si>
    <t>ATMOSPHERIC CO2; CARBON-DIOXIDE; 3-DIMENSIONAL SYNTHESIS; SPATIAL VARIATIONS; STABLE OXYGEN; RESPIRED CO2; O-18 CONTENT; RAIN-FOREST; LEAF WATER; DISCRIMINATION</t>
  </si>
  <si>
    <t>Concentration and isotopic composition (delta(13)C and delta(18)O) of ambient CO2 and water vapour were determined within a Quercus petraea canopy, Northumberland, UK. From continuous measurements made across a 36-h period from three heights within the forest canopy, we generated mixing lines (Keeling plots) for delta(a) (CO2)-C-13, delta(a) (COO)-O-18-O-16 and delta(a) (H2O)-O-18, to derive the isotopic composition of the signal being released from forest to atmosphere. These were compared directly with measurements of different respective pools within the forest system, i.e. delta(13)C of organic matter input for delta(a) (CO2)-C-13 delta(18)O Of exchangeable water for delta(a) (COO)-O-18-O-16 and transpired water vapour for delta(a) (H2O)-O-18. [CO2] and delta(a) (CO2)-C-13 showed strong coupling, where the released CO2 was, on average, 4 per mil enriched compared to the organic matter of plant material in the system? suggesting either fractionation of organic material before eventual release as soil-respired CO2, or temporal differences in ecosystem discrimination. delta(a) (COO)-O-18-O-16 was less well coupled to [CO2], probably due to the heterogeneity and transient nature of water pools (soil, leaf and moss) within the forest. Similarly, delta(a) (H2O)-O-18 was less coupled to [H2O], again reflecting the transient nature of water transpired to the forest, seen as uncoupling during times of large changes in vapour pressure deficit. The delta(18)O of transpired water vapour, inferred from both mixing lines at the canopy scale and direct measurement at the leaf level, approximated that of source water, confirming that an isotopic steady state held for the forest integrated over the daily cycle. This demonstrates that isotopic coupling of CO2 and water vapour within a forest canopy will depend on absolute differences in the isotopic composition of the respective pools involved in exchange and on the stability of each of these pools with time.</t>
  </si>
  <si>
    <t>10.1007/s004420050766</t>
  </si>
  <si>
    <t>Guo, H; Li, Y; Abegunrin, TP; Are, KS; Wang, X; Tang, C; Chen, TT; Huang, ZG</t>
  </si>
  <si>
    <t>Farm size increase alters the contribution of land use types to sources of river sediment</t>
  </si>
  <si>
    <t>Farm size; Compound specific stable isotope (CSSI); Sediment sources; Land use change</t>
  </si>
  <si>
    <t>GULLY EROSION; SOIL-EROSION; CATCHMENT; VARIABILITY; BIOMARKERS; QUALITY</t>
  </si>
  <si>
    <t>Farm size increase (FSI) accelerates soil erosion and sediment loss into the river. However, it is not clear how large-scale management, including FSI, changes the proportion of sediment from different land use types (LUTs) into rivers in intensive agricultural catchments. Thus, the aim of this study is to quantify and elucidate the contribution of different LUTs to river sediment before and after FSI using compound-specific stable isotopes (CSSI). The study was conducted in three parallel sub-watersheds in the sugarcane plantation region of sub-tropical southern China, each of which included four different LUTs (eucalyptus plantation, road, sugarcane plantation and channel). Following FSI, the contribution of sediment entering the river from the four LUTs was significantly different from that before FSI. The contribution per unit area of the road, sugarcane, and river channel to river sediment was significantly higher (P &lt; 0.05) after FSI than before FSI. Overall, 1% increase in sugarcane farm size and stream channels caused &gt; 2% and 0.3% increase contribution to river sediment, respectively. Field and road densities significantly correlated with river sediment sources. The FSI had a sig-nificant impact on the contribution of sediment entering the river from different LUTs within the watershed. Our results demonstrate that the increase river sediment depends on the increased hydrological connectivity of the watershed due to decreased field density and increased road density. Therefore, it is important to pay attention not only to the agricultural/economic benefits of FSI, but also the negative impacts on increasing erosion and ecological/environmental degradation.</t>
  </si>
  <si>
    <t>10.1016/j.agee.2023.108566</t>
  </si>
  <si>
    <t>Oxtoby, LE; Budge, SM; Iken, K; O'Brien, DM; Wooller, MJ</t>
  </si>
  <si>
    <t>Feeding ecologies of key bivalve and polychaete species in the Bering Sea as elucidated by fatty acid and compound-specific stable isotope analyses</t>
  </si>
  <si>
    <t>Arctic benthos; Trophic markers; Bacteria; Sea ice algae; Phytoplankton; Microphytobenthos</t>
  </si>
  <si>
    <t>FOOD-WEB STRUCTURE; PARTICULATE ORGANIC-MATTER; WESTERN BARENTS SEA; BENTHIC RESPONSE; CARBON ISOTOPES; BEAUFORT SEA; CHUKCHI SEA; ICE ALGAE; MICROBIAL BIOMASS; PACK ICE</t>
  </si>
  <si>
    <t>We characterized the feeding ecologies of common bivalves Macoma calcarea, Nuculana radiata, and Ennucula tenuis, and polychaetes Leitoscoloplos pugettensis and Nephtys spp. from the Bering Sea using relative proportions of fatty acids (FA profiles), FAs indicative of distinct organic matter sources (FA markers), and stable carbon isotope values of FA markers. We measured FAs from these invertebrates and from surface sediment scrapes collected during March to July in 2009 and 2010. The bivalve species had indistinguishable trophic signatures, as inferred by overlapping FA profiles and delta C-13 values for algal marker FAs, and similar proportions of FA markers. FA d13C values from bivalve taxa were most similar to FA delta C-13 values from particulate organic matter (POM) from surface sediments. In contrast, delta C-13 values for the algal marker eicosapentaenoic acid in the polychaetes were higher relative to those from the bivalves and sediment from the same locations (mean difference of 3.6%), suggesting low direct dietary contributions of benthic POM from surface sediments. L. pugettensis, a head-down deposit-feeding polychaete, had a higher contribution from bacterial sources to its total FA pool relative to the bivalves and to Nephtys spp., a predatory polychaete, based on a bacterial FA marker. Distinct FA profiles between the polychaetes imply different proportional contributions of dietary FA sources, including greater contribution of microbially altered FAs to L. pugettensis and greater contribution of ice algal FAs to Nephtys spp. Our findings revealed resource partitioning among select benthic invertebrates and suggest that responses to climate-induced changes in sub-Arctic production may be species specific.</t>
  </si>
  <si>
    <t>10.3354/meps11863</t>
  </si>
  <si>
    <t>Abrantes, KG; Brunnschweiler, JM; Barnett, A</t>
  </si>
  <si>
    <t>You are what you eat: Examining the effects of provisioning tourism on shark diets</t>
  </si>
  <si>
    <t>Bayesian mixing models; Conservation; Ecotourism management; Shark; Stable isotope analysis; Wildlife provisioning</t>
  </si>
  <si>
    <t>STABLE-ISOTOPE ANALYSIS; CARCHARHINUS-LEUCAS; MARINE WILDLIFE; APEX PREDATOR; MIXING MODELS; HABITAT USE; BULL SHARK; CARBON; NITROGEN; DELTA-N-15</t>
  </si>
  <si>
    <t>Wildlife tourism is a growing industry, with significant conservation and socio-economic benefits. Concerns have however been raised about the possible impacts of this industry on the long-term behaviour, health and fitness of the animal species tourists come to see (the target species), particularly when those species are regularly fed to improve the tourism experience. Information on the contribution of food rewards to the diet of the target species at feeding sites is critical to assess the dependency on handouts and to identify possible health/fitness problems that might be associated, if handouts become the main part of animals' diets. Here, we use stable isotopes (delta C-13 and delta N-15) to evaluate the importance of handouts for a marine predator, the bull shark (Carcharhinus leucas), at a feeding site (Fiji) where shark feeds occur 5 days/week and sharks (up to 75 individuals/dive) are fed similar to 200 kg of tuna heads/day. There was no evidence of incorporation of food provided, even for individuals that regularly consume food rewards. Results, when combined with those from previous studies on bull shark movements and feeding rates at our study site, show that current levels of provisioning likely have no long-term impacts on bull shark diet or behaviour. This study also demonstrates the applicability of stable isotope analysis to assess and monitor the contribution of food rewards to wildlife, and highlights the benefits of using multi-sources of information to gain a holistic understanding of the effects of provisioning predators.</t>
  </si>
  <si>
    <t>10.1016/j.biocon.2018.05.021</t>
  </si>
  <si>
    <t>Namukonde, N; Simukonda, C; Ganzhorn, JU</t>
  </si>
  <si>
    <t>Dietary niche separation of rodents and shrews in an African savanna</t>
  </si>
  <si>
    <t>competition; fire; rodents; savanna ecosystem; shrews; small mammals; Zambia</t>
  </si>
  <si>
    <t>SMALL MAMMAL INVENTORIES; WEST USAMBARA MOUNTAINS; BODY-SIZE; HOME-RANGE; TROPHIC STRUCTURE; STABLE-ISOTOPES; SOUTH-AFRICA; RAIN-FOREST; COMMUNITY; MADAGASCAR</t>
  </si>
  <si>
    <t>While niche separation and relationships with environmental conditions of large mammals of the African savanna have been studied intensively, less conspicuous components have not received similar attention. This is the case of Kafue National Park (KNP), Zambia, where mechanisms supporting coexistence among rodent and shrew species remain unclear, much less the influence of fire on their dietary resource use. Here, we use stable carbon and nitrogen isotopes to assess dietary resource use and partitioning among rodents and shrews found in three vegetation formations of KNP. According to the nitrogen isotope signatures, rodents are one to two trophic levels above primary production, save for Mus triton that is above by two to three. Shrews are two trophic levels above primary production. Among shrews, factors allowing coexistence of similar sized species could not be resolved. Rodent species of the same assemblage either differ in body mass by a factor of two (following Hutchinson's rule) or similar sized species occupy different trophic levels or dietary guilds based on their isotopic nitrogen or carbon signatures. At sites with frequent fires, rodents have broader dietary niches than at sites with low fire frequencies. This could either indicate relaxed competition under high fire frequencies as rodent populations do not reach the carrying capacity of the habitat, or it could reflect reduced competition due to lower species numbers under high versus low fire recurrence regimes. The results indicate competition as an important component structuring rodent communities in Zambian savannas, thus suggesting limited resources.</t>
  </si>
  <si>
    <t>10.1111/btp.12537</t>
  </si>
  <si>
    <t>Bowes, RE; Thorp, JH; Delong, MD</t>
  </si>
  <si>
    <t>Reweaving river food webs through time</t>
  </si>
  <si>
    <t>compound specific stable isotope analysis of amino acids; low-head dams; Mississippi River; museums; Ohio River</t>
  </si>
  <si>
    <t>COLORADO RIVER; COMMUNITIES; DAMS; FLOW; CONNECTIVITY; DELTA-C-13; HYDROLOGY; DYNAMICS; CARBON; WATER</t>
  </si>
  <si>
    <t>Our project sought to determine ecological effects of adding low-head dams and levees to large rivers by examining potential changes to aquatic food webs over a 70-year period in the Lower Ohio River (LOR) and Upper Mississippi River (UMR). We employed museum collections of fish and compound specific stable isotope analysis of amino acids to evaluate long-term changes in primary food sources for multiple species of fish in each river. Fishes in both rivers depended more on autochthonous than allochthonous carbon sources throughout the 70-year period (based on measurements of isotopic signatures of algae, C-3 plants, C-4 plants, cyanobacteria, and fungi), but the relative use of different carbon sources differed between the UMR and LOR. Significant but opposite shifts in trophic positions (TP) between rivers over time (higher TP in the UMR; lower in the LOR) were correlated with major anthropogenic changes to habitat structure (e.g. slight decrease in abundance of side channels in the UMR; increase in pool water depth in the LOR) resulting from low-head dam construction. They may also have been influenced by likely increased primary productivity in the UMR from agricultural nitrogen inputs and by possible shifts in the importance of phytoplankton versus benthic algae in the LOR from changes in water depth. Shifts in trophic position and reliance on various food sources were not correlated with variation in discharge, gage height, or temperature. Although these two rivers have contrasting hydrogeomorphic complexity (UMR is an anastomosing river, while the LOR is a constricted channel river) and different discharge patterns (seasonal versus yearly operation in some cases), both differ substantially from rivers having hydrogeomorphic changes resulting from construction of high dams (&gt;15 m). It is not surprising, therefore, that factors controlling trophic position and reliance on different carbon sources vary among different types of dams and river structures.</t>
  </si>
  <si>
    <t>10.1111/fwb.13432</t>
  </si>
  <si>
    <t>Berezina, NA; Tiunov, AV; Petukhov, VA; Gubelit, YI</t>
  </si>
  <si>
    <t>Benthic Invertebrates Abundance and Trophic Links in the Coastal Zone during Cladophora Blooms</t>
  </si>
  <si>
    <t>macroalgae; benthic invertebrates; coastal food web; trophic interactions</t>
  </si>
  <si>
    <t>GREEN TIDE ALGAE; MACROALGAL BLOOMS; STABLE-ISOTOPES; EASTERN GULF; NEVA ESTUARY; INORGANIC CARBON; FATTY-ACID; GLOMERATA; NITROGEN; MARINE</t>
  </si>
  <si>
    <t>The green macroalga Cladophora glomerata, a species typical of brackish water, predominates in most coastal areas of estuarine ecosystems. The present study aimed to determine the current ecological conditions in the Neva estuary (Baltic Sea) when subjected to eutrophication and the summer Cladophora bloom. Macroalgae bloom can result in temporary unfavorable conditions (oxygen depletion and pollution) for invertebrates during macroalgae decomposition, and its contribution to the autochthonous benthic food web remains unclear. We evaluated the Cladophora biomass and the abundance and composition of macro- and meiobenthic invertebrates and traced trophic links in the coastal area of the Neva estuary during the Cladophora bloom. Some species of grazing or omnivorous consumers (nematodes, gastropods, amphipods, insect larvae) reached high abundance in the Cladophora-dominated coastal community. The tracing of food sources in a food chain of the Cladophora-dominated coastal community (macrophytes-grazers-omnivores) were elucidated using dual delta C-13 and delta N-15 stable isotope analysis. The results showed that autochthonous organic sources derived from Cladophora at various stages might contribute notably (up to 89%) to the coastal food web, supporting the production of benthic consumers.</t>
  </si>
  <si>
    <t>10.3390/d14121053</t>
  </si>
  <si>
    <t>Vander Zanden, HB; Bjorndal, KA; Inglett, PW; Bolten, AB</t>
  </si>
  <si>
    <t>Marine-derived Nutrients from Green Turtle Nests Subsidize Terrestrial Beach Ecosystems</t>
  </si>
  <si>
    <t>allochthonous nutrients; beach vegetation; Chelonia mydas; Costa Rica; nitrogen; phosphorus; sea turtles; stable isotopes</t>
  </si>
  <si>
    <t>CHELONIA-MYDAS; STABLE-ISOTOPES; FOOD WEBS; PLANT; TORTUGUERO; VEGETATION; NITROGEN; N-15; TEMPERATURE; MIGRATION</t>
  </si>
  <si>
    <t>Spatially separated ecosystems are often linked by nutrient fluxes. Nutrient inputs may be transferred by physical vectors (i.e., wind and water) or by biotic vectors. In this study, we examine the role of green turtles (Chelonia mydas) as biotic transporters of nutrients from marine to terrestrial ecosystems, where they deposit eggs. We compare low and high nest density sites at Tortuguero, Costa Rica, the largest green turtle rookery in the western hemisphere. Four plant species (Costus woodsonii, Hibiscus pernanbucensis, Hymenocallis littoralis, Ipomoea pes-caprae) were analyzed at both nest density sites for N-15, total carbon, nitrogen, and phosphorus, and vegetation cover. Sand was analyzed for N-15 and total nitrogen. Vegetation at high nest density sites had higher total nitrogen, which was correlated with higher delta N-15 values, suggesting nutrient input from a marine source. The dominant plant species changed between low and high nest density sites, indicating that turtle-derived nutrients may alter the plant community composition. The trend in delta N-15 values of sand was similar, although less pronounced than that of the vegetation. Sand may be a poor integrator of nutrient input due to low nutrient adsorption and high rate of leaching. Sea turtles have previously been shown to deposit considerable amounts of nutrients and energy on nesting beaches. In this study, we estimate annual nitrogen and phosphorus contributions at Tortuguero are 507 and 45 kg/km, respectively, and we demonstrate that beach vegetation likely assimilates a portion of these marine-derived nutrients.</t>
  </si>
  <si>
    <t>10.1111/j.1744-7429.2011.00827.x</t>
  </si>
  <si>
    <t>Codron, D; Brink, JS; Rossouw, L; Clauss, M</t>
  </si>
  <si>
    <t>The evolution of ecological specialization in southern African ungulates: competition- or physical environmental turnover?</t>
  </si>
  <si>
    <t>CARBON-ISOTOPE FRACTIONATION; OXYGEN ISOTOPES; ENAMEL CARBONATE; STABLE CARBON; FOSSIL; DIET; BOVIDAE; ASSEMBLAGES; BIOAPATITE; PHOSPHATE</t>
  </si>
  <si>
    <t>Using long-term diet reconstructions spanning the past one million years, we contrast hypotheses that biotic interactions versus physical environmental changes are primary drivers of evolutionary turnover in mammals. We use stable carbon (delta C-13) and oxygen (delta O-18) isotope ratios in tooth enamel carbonate to trace herbivore niche shifts through the Late Quaternary Land Mammal Ages (LMAs) of grassland savannas in the South African interior (Cornelian-1.0 to 0.6 Ma; Florisian-500 to 10 ka; and Holocene/modern). Data reveal niche separation amongst closely related coeval taxa, and dispersals through time into empty niche spaces following extinctions. This suggests a primary role of competitive exclusion and niche displacement for speciation and extinctions in these early grassland environments. However, niche changes through time show a similar trend in many taxa, entailing increased delta C-13 (elevated C-4 grass consumption) from the Cornelian to the Florisian, and from the Florisian to the Holocene/modern, and elevated delta O-18 in Holocene/modern taxa that reflect global aridification around the terminal Pleistocene. Commonality in isotopic trends implies universal environmental forcing of ecological, and ultimately macroevolutionary, turnover. Yet some taxa shift from a mixed C-3/C-4 diet in the Florisian to a near-pure C-3 diet today. Indeed, we find that while delta C-13 data are normally distributed for Cornelian fossils, non-normal distributions characterize more recent time intervals. Such distributions are in line with the bimodal distribution of delta C-13 and diet in contemporary African ungulates. Thus, while environmental forcing did not, by necessity, lead to increases in C-4 intake, the results show changes from mixed to more specialized diets. We propose that this niche specialization was a function of long-term exposure to C-4 grasslands, consistent with predictions that relatively high metabolic demands of C-4 grazing in subtropical environments forced the differentiation of herbivores into one of two highly specialized feeding niches, i.e. C-3 browsing or C-4 grazing.</t>
  </si>
  <si>
    <t>10.1111/j.2007.0030-1299.16387.x</t>
  </si>
  <si>
    <t>Sullivan, SMP</t>
  </si>
  <si>
    <t>Stream foodweb delta C-13 and geomorphology are tightly coupled in mountain drainages of northern Idaho</t>
  </si>
  <si>
    <t>ecosystem size; streams; carbon stable isotopes; food web; patch dynamics</t>
  </si>
  <si>
    <t>STABLE-ISOTOPE ANALYSIS; BROOK TROUT; CUTTHROAT TROUT; PATCH DYNAMICS; FISH ASSEMBLAGES; HABITAT QUALITY; WATER VELOCITY; CARBON FLOW; RIVER; NITROGEN</t>
  </si>
  <si>
    <t>The relative influence of landscape vs local processes on variation in stream C and energy sources to lotic consumers remains unresolved, but is a key component in understanding pathways through stream food webs. I investigated potential linkages between the distribution of delta C-13 signatures of primary producers (periphyton), terrestrial organic matter (detritus), and secondary consumers (aquatic invertebrates and fish) and: 1) drainage area and 2) stream reach geomorphology in 3 mountain watersheds of northern Idaho, USA. When considered alone, drainage area explained variation in the delta C-13 signatures of periphyton (R-2 = 0.30) and sculpin (R-2 = 0.15) only. Subsequent General Linear Models (GLMs) showed that stream morphology explained significant variation in delta C-13 of periphyton (79%), Diptera (93%), sculpin (51%), and trout (63%). Drainage area was not significant in these models, a result indicating that once delta C-13 signatures are explained as a function of geomorphic type, the contribution of drainage area becomes less important. On the whole, consumer delta C-13 signatures related more strongly to periphyton delta C-13 than detrital delta C-13, though this relationship varied among geomorphic types. Collectively, results indicate that the morphology of a stream reach (including factors such as substrate size and storage elements, floodplain development, etc.) may be an important factor in the assimilation and distribution of C in food webs in forested mountain streams.</t>
  </si>
  <si>
    <t>10.1899/12-101.1</t>
  </si>
  <si>
    <t>Atkinson, MJ; Cuet, P</t>
  </si>
  <si>
    <t>Possible effects of ocean acidification on coral reef biogeochemistry: topics for research</t>
  </si>
  <si>
    <t>Ocean acidification; Climate change; Coral reefs; Biogeochemistry</t>
  </si>
  <si>
    <t>CARBONATE-ION CONCENTRATION; CLIMATE-CHANGE; CACO3 PRECIPITATION; STABLE-ISOTOPES; SKELETAL GROWTH; CALCIFICATION; PHOTOSYNTHESIS; CO2; SEAWATER; PCO(2)</t>
  </si>
  <si>
    <t>This paper is a short review of recent literature on how ocean acidification may influence coral reef organisms and coral reef communities. We argue that it is unclear as to how, and to what extent, ocean acidification will influence calcium carbonate calcification and dissolution, and affect changes in community structure of present-day coral reefs. It is critical to evaluate the extent to which the metabolism of present-day reefs is influenced by mineral saturation states, and to determine a threshold saturation state at which coral communities cease to function as reefs.</t>
  </si>
  <si>
    <t>10.3354/meps07867</t>
  </si>
  <si>
    <t>Bowling, DR; Schulze, ES; Hall, SJ</t>
  </si>
  <si>
    <t>Revisiting streamside trees that do not use stream water: can the two water worlds hypothesis and snowpack isotopic effects explain a missing water source?</t>
  </si>
  <si>
    <t>Acer grandidentatum; Acer negundo; groundwater; riparian; snow; water</t>
  </si>
  <si>
    <t>STABLE-ISOTOPES; SEASONAL SNOWPACK; SOIL; PLANT; HYDROGEN; SEPARATION; OXYGEN; GROUNDWATER; EXTRACTION; RATIOS</t>
  </si>
  <si>
    <t>We revisit a classic ecohydrological study that showed streamside riparian trees in a semiarid mountain catchment did not use perennial stream water. The original study suggested that mature individuals of Acer negundo, Acer grandidentatum, and other species were dependent on water from deeper strata, possibly groundwater. We used a dual stable isotope approach (O-18 and H-2) to further examine the water sources of these trees. We tested the hypothesis that groundwater was the main tree water source, but found that neither groundwater nor stream water matched the isotope composition of xylem water during two growing seasons. Soil water (0-1m depth) was closest to and periodically overlapped with xylem water isotope composition, but overall, xylem water was isotopically enriched compared to all measured water sources. The two water worlds hypothesis postulates that soil water comprises isotopically distinct mobile and less mobile pools that do not mix, potentially explaining this disparity. We further hypothesized that isotopic effects during snowpack metamorphosis impart a distinct isotope signature to the less mobile soil water that supplies summer transpiration. Depth trends in water isotopes following snowmelt were consistent with the two water worlds hypothesis, but snow metamorphic isotope effects could not explain the highly enriched xylem water. Thus, the dual isotope approach did not unambiguously determine the water source(s) of these riparian trees. Further exploration of physical, geochemical, and biological mechanisms of water isotope fractionation and partitioning is necessary to resolve these data, highlighting critical challenges in the isotopic determination of plant water sources.</t>
  </si>
  <si>
    <t>e1771</t>
  </si>
  <si>
    <t>10.1002/eco.1771</t>
  </si>
  <si>
    <t>Reid, WDK; Clarke, S; Collins, MA; Belchier, M</t>
  </si>
  <si>
    <t>Distribution and ecology of Chaenocephalus aceratus (Channichthyidae) around South Georgia and Shag Rocks (Southern Ocean)</t>
  </si>
  <si>
    <t>age; growth; ontogenetic; resource partitioning; Scotia Sea icefish</t>
  </si>
  <si>
    <t>ICEFISH CHAMPSOCEPHALUS-GUNNARI; ANTARCTIC NOTOTHENIOID FISHES; SHETLAND ISLANDS; MACKEREL ICEFISH; COMMUNITY; STOCKS</t>
  </si>
  <si>
    <t>Chaenocephalus aceratus (Family Channicthyidae) is one of the dominant species of demersal fish living on the South Georgia shelf where it is caught in low numbers as by-catch in the mackerel icefish and Antarctic krill commercial fisheries. Data collected during 14 demersal fish surveys, from 1986 to 2006, are analysed to investigate biomass, distribution, growth and diet. Biomass estimates from a swept area method ranged from 4,462 to 28,740 tonnes on the South Georgia and Shag Rock shelves although few fish were caught at Shag Rocks. Analysis of length frequency data indicated that growth was fast in the first five years with males and females attaining lengths at first spawning of 440 mm TL and 520 mm TL. The diet was comprised of fish and crustaceans, with an ontogenetic shift in diet from Euphausia superba and mysids to benthic fish and decapods observed to begin at 250 mm TL. In larger fish (&gt; 500 mm TL) the diet was dominated by fish. C. aceratus diet is sufficiently different from the other species of channichthyids around South Georgia to suggest that these species have undergone resource partitioning.</t>
  </si>
  <si>
    <t>10.1007/s00300-007-0313-z</t>
  </si>
  <si>
    <t>Rodda, GH; Savidge, JA; Tyrrell, CL; Christy, MT; Ellingson, AR</t>
  </si>
  <si>
    <t>Size bias in visual searches and trapping of brown treesnakes on Guam</t>
  </si>
  <si>
    <t>Boiga irregularis; brown treesnake; control techniques; eradication; Guam; invasive species; snake trapping</t>
  </si>
  <si>
    <t>SNAKE BOIGA-IRREGULARIS; FOOD-HABITS; ISLAND; PREDATOR</t>
  </si>
  <si>
    <t>The accidental introduction of the brown treesnake (BTS; Boiga irregularis) to the island of Guam after World War II set off a chain of bird, bat, and lizard extirpations. Fortunately, many of the eliminated species have the potential to be restored following population reduction or eradication of the snake. The primary operational tool for population reduction is an effective snake trap, but areas subjected to long-term trapping continue to support BTS, suggesting that some adult snakes are refractory to trapping. We closed a 5-ha area to BTS emigration and immigration and surveyed the population using trapping and visual surveys to determine whether a refractory stratum of adult snakes existed and if trapping was effective for snakes of all sizes. Our surveys included 101 trapping occasions and 109 visual surveys over 309 days, resulting in 2,522 detections of 122 individuals. We detected 44 of 45 supplemented snakes by this intensive sampling effort, which also revealed that trapping was fully effective for snakes &gt;900 mm in snout-vent length (SVL), partially effective for snakes 700-900 mm SVL, and totally ineffective for smaller juveniles (350-700 mm, SVL). Visual searching was effective for snakes of an sizes. As BTS mature at approximately 950-1,050 turn SVL, continuous trapping should suffice to eliminate recruitment in the absence of immigration. Immigration or inadequate effort is most likely responsible for the persistence of BTS in areas subject to long-term trapping. Thus, current efforts to capture trap-refractory adult snakes with alternate control tools are less likely to be successful than immigration barriers alone or in combination with elevated capture effort.</t>
  </si>
  <si>
    <t>10.2193/2005-742</t>
  </si>
  <si>
    <t>Haque, ME; Gomi, T; Sakai, M; Negishi, JN</t>
  </si>
  <si>
    <t>Seasonal variation in food web-based transfer factors of radiocesium in white-spotted char (Salvelinus leucomaenis) from headwater streams</t>
  </si>
  <si>
    <t>Dietary contribution; Metabolic rate; Seasonal variability; Stable isotope</t>
  </si>
  <si>
    <t>FOREST; TERRESTRIAL; FUKUSHIMA; FISH; LINKAGES; RESOURCE; LITTER</t>
  </si>
  <si>
    <t>The seasonal variability of food web-based transfer factors (TF (web)) of radiocesium (Cs-137) in white-spotted char (Salvelinus leucomaenis) was examined in the 2nd and 3rd year after the Fukushima Daiichi Nuclear Power Plant accident. Two headwater streams with similar landscape characteristics, but different amounts of fallout, were selected in Fukushima and Gunma Prefectures, Japan. The TF (web) of predator-prey systems was based on the dietary contributions of prey items estimated from stable isotopes compared to their respective Cs-137 activity concentrations. Char consumed more terrestrial food sources with higher contamination levels in summer than in winter based on their dietary-based Cs-137 contributions. The TF (web) values in Fukushima and Gunma in all seasons indicated Cs-137 bioaccumulation from prey to predator. The TF (web) in Gunma exhibited significant seasonal variation; the greatest values were observed in winter, while the lowest values were observed in summer. In contrast, the seasonal TF (web) in Fukushima did not vary seasonally. Despite similar consumption patterns and the specific metabolic rates of char, the different seasonal patterns of TF (web) at the two sites can be explained by the relative excretion rate with respect to the concentration of Cs-137 consumed. Cs-137 levels can remain relatively constant in the char body throughout the year in areas with high contamination, such as Fukushima, possibly because Cs-137 intake overwhelms the excretion rate. Examining seasonal patterns in the transfer processes of Cs-137 in white-spotted char are essential for understanding mechanisms of Cs-137 accumulation in aquatic biota.</t>
  </si>
  <si>
    <t>10.1007/s11355-016-0324-4</t>
  </si>
  <si>
    <t>Asbjornsen, H; Mora, G; Helmers, MJ</t>
  </si>
  <si>
    <t>Variation in water uptake dynamics among contrasting agricultural and native plant communities in the Midwestern US</t>
  </si>
  <si>
    <t>agroecosystems; corn; depth of plant water uptake; Iowa; mixing models; multiple-source mass-balance approach; stable oxygen isotopes; oak savanna; prairie; woodland</t>
  </si>
  <si>
    <t>SOIL HYDRAULIC-PROPERTIES; STABLE-ISOTOPES; UNITED-STATES; SAVANNA; PRAIRIE; FOREST; TREES; TRANSPIRATION; LANDSCAPE; ECOSYSTEM</t>
  </si>
  <si>
    <t>Landscape-scale conversion of deeply rooted perennial native vegetation to annual crops has altered the ecohydrological balance in the Midwestern U.S. One of the major ways this may occur is through plant species' abilities to access and take up water from different depths in the soil profile. In this study, we use stable isotope techniques to assess plant water uptake patterns for plants growing in four contrasting annual and perennial ecosystems in central Iowa: row-cropped cornfield, prairie, oak savanna, and woodland. To address limitations of conventional approaches to analyzing isotopic data, especially when isotopic profiles in the soil are complex, we employ an alternative,multiple source mass-balance isotopic' approach suitable for determining probable contributions of multiple potential sources to total plant water uptake. Observed differences in isotopic profiles among the plant communities were attributed to differences in infiltration rates, plant water uptake rates, the degree of evaporative isotopic fractionation under the different vegetative covers, and processes of hydraulic redistribution. Savanna (Quercus macrocarpa Mixch) and woodland (Q. macrocarpa, Umus americana L.) trees had the lowest stem water delta O-18 values (-6.12 parts per thousand, -7.77 parts per thousand, and -7.61 parts per thousand, respectively), whereas corn (Zea mays L.) and prairie (Andropogon gerardii) exhibited higher stem water delta O-18 values (-5.49 parts per thousand and -5.85 parts per thousand, respectively), suggesting more shallow sources of water uptake for the latter. Frequency histographs produced from the multiple source mass-balance analysis confirmed that the corn and prairie species obtained up to 45% and 36% of their water from the upper 0-20 cm soil horizon, respectively. In contrast, oak trees growing in the savanna and woodland obtained up to 40% and 20% of their water from the upper 20 cm, and up to 60% and 80% of their water from depths &gt; 60 cm, respectively. Lack of strong isotopic gradients in the soil profiles combined with irregularities in the slope of the isotopic gradient by depth complicated interpretation of the data. However, an important advantage of the alternative multiple source mass-balance isotopic approach over conventional approaches was its capability of producing more quantitative and objective estimates for the probable contributions of multiple sources to total plant water uptake. This study highlights how changes in land use and vegetative cover in the Midwest affects plant water uptake patterns, and suggests how these changes may influence larger landscape scale alterations in the hydrologic balance. (c) 2006 Elsevier B.V. All rights reserved.</t>
  </si>
  <si>
    <t>10.1016/j.agee.2006.11.009</t>
  </si>
  <si>
    <t>Rennie, MD; Evans, DO</t>
  </si>
  <si>
    <t>Decadal changes in benthic invertebrate biomass and community structure in Lake Simcoe</t>
  </si>
  <si>
    <t>Lake Simcoe; Dreissena polymorpha; benthic invertebrates; benthic-pelagic coupling; ecosystem engineering; productivity; community composition</t>
  </si>
  <si>
    <t>MUSSEL DREISSENA-POLYMORPHA; WHITEFISH COREGONUS-CLUPEAFORMIS; ZEBRA MUSSEL; MACROINVERTEBRATE COMMUNITIES; AMPHIPOD DIPOREIA; WEIGHT BIOMASS; WET WEIGHT; INVASION; PRESERVATION; DIFFERENCE</t>
  </si>
  <si>
    <t>Total benthic invertebrate biomass in shallow offshore waters (depths 10-15 m) increased 17-fold on average following the invasion of dreissenid mussels and implementation of P controls in Lake Simcoe, Ontario, despite a 50% overall decrease in total invertebrate density during the same time period. The increase in total invertebrate biomass at 10- and 15-m depths was primarily dreissenid biomass. Patterns of biomass with depth and dreissenid invasion for individual taxa were typically similar to those for density. Biomass of chironomid and nondreissenid bivalves declined at shallow (10-15 m) sites but increased at the deepest (20-30 m) sites, whereas biomass of oligochaetes declined at all sites. Density and biomass of Amphipoda, Isopoda, and Gastropoda increased at depths &gt;= 10 m, and these taxa were found more frequently in deeper sites after dreissenid invasion than before. Increased habitation of deeper sites by these taxa may be mediated by increased habitat complexity caused by deposition of dreissenid shells, nutrient enrichment of substrate occupied by dreissenids, and improvements in hypolimnetic dissolved O-2 and water clarity observed during dreissenid invasion. Increased length and biomass of profundal chironomids after dreissenid invasion may be the result of taxonomic changes in the chironomid community, which in turn appear to be closely associated with improvements in deep-water O-2 concentrations. Changes in the benthic community described here probably have important consequences for the degree of coupling between nearshore and offshore habitats in Lake Simcoe.</t>
  </si>
  <si>
    <t>10.1899/11-079.1</t>
  </si>
  <si>
    <t>Baker, R; Fry, B; Rozas, LP; Minello, TJ</t>
  </si>
  <si>
    <t>Hydrodynamic regulation of salt marsh contributions to aquatic food webs</t>
  </si>
  <si>
    <t>Stable isotope; Nursery function; Essential fish habitat; Trophic dynamics; Hydroecology; Tidal wetlands</t>
  </si>
  <si>
    <t>CORDGRASS SPARTINA-ALTERNIFLORA; SHRIMP LITOPENAEUS-SETIFERUS; REED PHRAGMITES-AUSTRALIS; CRABS CALLINECTES-SAPIDUS; CARBON-ISOTOPE RATIOS; FUNDULUS-HETEROCLITUS; STABLE-ISOTOPES; PENAEUS-AZTECUS; BROWN SHRIMP; WHITE SHRIMP</t>
  </si>
  <si>
    <t>Vegetated salt marsh habitats are widely considered critical for supporting many species of nekton, yet direct evidence of the processes controlling marsh habitat use for most species remains elusive. We related salt marsh flooding patterns and nekton trophic dynamics among 14 sites spanning 2500 km across the northern Gulf of Mexico (GoM) and southern Atlantic coasts of the USA. Functional access for nekton to marsh vegetation (edge flooded to &gt;= 5 cm depth) ranged from &lt;40% of the time at some central GoM sites to &gt;90% access in the western GoM and Pamlico Sound. Food web mixing models based on stable isotope analysis show that the importance of Spartina trophic support for common nekton may be regulated by the duration of marsh surface flooding. In particular, the potential contribution of Spartina production was positively related to indices of marsh surface flooding for brown shrimp Farfantepenaeus aztecus, white shrimp Litopenaeus setiferus, small (&lt;= 60 mm carapace width) blue crabs Callinectes sapidus, grass shrimp Palaemonetes pugio, and killifish Fundulus heteroclitus/grandis. The value of Spartina salt marsh production to several common species of nekton appears to depend, at least in part, on direct access to the vegetated marsh surface, which is regulated by hydrodynamics. Hence, the substantial geographic and temporal variability in marsh flooding regulates the functional roles and value of these tidal wetlands for aquatic organisms.</t>
  </si>
  <si>
    <t>10.3354/meps10442</t>
  </si>
  <si>
    <t>Golluscio, RA; Austin, AT; Martinez, GCG; Gonzalez-Polo, M; Sala, OE; Jackson, RB</t>
  </si>
  <si>
    <t>Sheep Grazing Decreases Organic Carbon and Nitrogen Pools in the Patagonian Steppe: Combination of Direct and Indirect Effects</t>
  </si>
  <si>
    <t>delta N-15; delta C-13; stable isotopes; semiarid ecosystems; biogeochemistry; shrub-grass steppe; Argentina; desertification; life forms</t>
  </si>
  <si>
    <t>MIXED-GRASS; LITTER DECOMPOSITION; ISOTOPE RATIOS; VEGETATION; ECOSYSTEM; DYNAMICS; NITRIFICATION; ENCROACHMENT; INHIBITION; DELTA-N-15</t>
  </si>
  <si>
    <t>We explored the net effects of grazing on soil C and N pools in a Patagonian shrub-grass steppe (temperate South America). Net effects result from the combination of direct impacts of grazing on biogeochemical characteristics of microsites with indirect effects on relative cover of vegetated and unvegetated microsites. Within five independent areas, we sampled surface soils in sites subjected to three grazing intensities: (1) ungrazed sites inside grazing exclosures, (2) moderately grazed sites adjacent to them, and (3) intensely grazed sites within the same paddock. Grazing significantly reduced soil C and N pools, although this pattern was clearest in intensely grazed sites. This net effect was due to the combination of a direct reduction of soil N content in bare soil patches, and indirect effects mediated by the increase of the cover of bare soil microsites, with lower C and N content than either grass or shrub microsites. This increase in bare soil cover was accompanied by a reduction in cover of preferred grass species and standing dead material. Finally, stable isotope signatures varied significantly among grazed and ungrazed sites, with delta N-15 and delta C-13 significantly depleted in intensely grazed sites, suggesting reduced mineralization with increased grazing intensity. In the Patagonian steppe, grazing appears to exert a negative effect on soil C and N cycles; sound management practices must incorporate the importance of species shifts within life form, and the critical role of standing dead material in maintaining soil C and N stocks and biogeochemical processes.</t>
  </si>
  <si>
    <t>10.1007/s10021-009-9252-6</t>
  </si>
  <si>
    <t>Nishimoto, A; Haga, T; Asakura, A; Shirayama, Y</t>
  </si>
  <si>
    <t>Autochthonous production contributes to the diet of wood-boring invertebrates in temperate shallow water</t>
  </si>
  <si>
    <t>Wood decomposition; Wood fall; Shipworm; Stable isotope; Model selection</t>
  </si>
  <si>
    <t>STABLE-ISOTOPES; LIGNOCELLULOSE DIGESTION; BIVALVIA; CARBON; GROWTH; SHIPWORMS; PHYTOPLANKTON; DELTA-N-15; DELTA-C-13; ISOPOD</t>
  </si>
  <si>
    <t>Marine wood-boring invertebrates rapidly fragment coarse woody debris in the sea. These wood borers have the ability to digest wood cellulose, but other potential food sources have been less investigated. To assess the contribution of each potential food source to the diet of wood borers, we traced seasonal and environmental changes in delta C-13 of shipworms cultured under the same experimental conditions and related these changes to variations in delta C-13 of potential food sources, i.e., wood log and particulate organic matter (POM) by using multiple linear regression models rather than the Bayesian mixing model. Based on the standardized partial regression coefficients in the model, it became clear that wood-derived organic carbon was the main carbon source for the teredinids, and POM also accounted for 37.9% of the teredinids' carbon source. Furthermore, we clarified variations in supplemental nitrogen sources for the teredinids: one species depended on both POM and wood log, whereas the other three species depended on either POM or wood log for their nitrogen source. delta C-13 values of another wood-boring bivalve of Martesia (Pholadidae) increase as it grows, which suggests that the bivalve switches its feeding strategy from xylophagous to filter feeding as it grows. Wood borers are known to accelerate the transfer of organic materials derived from wood logs to marine ecosystems. However, this study suggests that autochthonous production strongly contribute to the diet of marine wood borers, helping them to decompose wood logs in temperate shallow water.</t>
  </si>
  <si>
    <t>10.1007/s00442-021-04973-0</t>
  </si>
  <si>
    <t>Rooker, JR; Stunz, GW; Holt, SA; Minello, TJ</t>
  </si>
  <si>
    <t>Population connectivity of red drum in the northern Gulf of Mexico</t>
  </si>
  <si>
    <t>Otolith chemistry; Site fidelity; Natal homing; Residency; Stable isotopes; Stock identification; Estuarine contribution; Nursery origin; Red drum</t>
  </si>
  <si>
    <t>SCIAENOPS-OCELLATUS; FISH OTOLITHS; STABLE-ISOTOPES; ESTUARINE FISH; BLUEFIN TUNA; HUDSON RIVER; MARINE FISH; CHEMISTRY; HABITATS; FLORIDA</t>
  </si>
  <si>
    <t>Stable carbon (delta C-13) and oxygen (delta O-18) isotope ratios in otoliths were used to assess the degree of connectivity between early life and adult habitats of red drum Sciaenops ocellatus in the northern Gulf of Mexico. Young-of-the-year (YOY) red drum were sampled over a 3 yr period from major estuaries along the Texas coast, and otolith delta C-13 and delta O-18 were quantified to determine whether chemical tags in otoliths were region specific. North to south gradients were pronounced for otolith delta C-13 and delta O-18, with values being higher (enriched in the heavier isotope) for YOY red drum from southern estuaries relative to those in the north. Four distinct regional groups of YOY red drum were identified using otolith delta C-13 and delta O-18: North (N), Sabine Lake and East Galveston Bay; North-Central (NC), Christmas Bay and Matagorda Bay; South-Central (SC), Aransas Bay and Redfish Bay; and South (S), Laguna Madre. Overall classification success to these regional nurseries was high for each year examined: 2001 (92%), 2002 (82%) and 2003 (90%). Mixed-stock analysis performed with age-2+ red drum collected in 2003 matched to the 2001 YOY baseline indicated that most of the sub-adult and adult red drum sampled in the S and SC regions were produced from the same areas (82 to 91%), with limited exchange between these regions. Mixing was more pronounced in the northern regions (N, NC), with a large percentage (35 to 42%) of individuals originating from the adjacent region to the south. Overall, the majority of sub-adult and adult red drum was collected within or near the same region occupied during the YOY period, suggestive of natal homing, retention within specific estuarine corridors, or lower survivability of recruits migrating from distant regions.</t>
  </si>
  <si>
    <t>10.3354/meps08605</t>
  </si>
  <si>
    <t>Gorham, C; Lavery, P; Kelleway, JJ; Salinas, C; Serrano, O</t>
  </si>
  <si>
    <t>Soil Carbon Stocks Vary Across Geomorphic Settings in Australian Temperate Tidal Marsh Ecosystems</t>
  </si>
  <si>
    <t>Saltmarsh; Carbon storage; Temperate ecosystems; Habitat characteristics; Blue carbon; Coastal ecosystems; Biogeochemical cycles; Western Australia</t>
  </si>
  <si>
    <t>BLUE CARBON; SALT-MARSH; ORGANIC-CARBON; GLOBALLY SIGNIFICANT; ESTUARINE SALINITY; STABLE-ISOTOPES; SEAGRASS; STORAGE; MANGROVE; RATES</t>
  </si>
  <si>
    <t>Tidal marshes rank among the ecosystems with the highest capacity to sequester and store organic carbon (C-org) on earth. To inform conservation of coastal vegetated ecosystems for climate change mitigation, this study investigated the factors driving variability in carbon storage. We estimated soil C(org)stocks in tidal marshes across temperate Western Australia and assessed differences among geomorphic settings (marine and fluvial deltas, and mid-estuary) and vegetation type (Sarcocornia quinquefloraandJuncus kraussii) linked to soil biogeochemistry. Soil C(org)stocks within fluvial and mid-estuary settings were significantly higher (209 +/- 14 and 211 +/- 20 Mg C-org ha(-1), respectively; 1-m-thick soils) than in marine counterparts (156 +/- 12 Mg C-org ha(-1)), which can be partially explained by higher preservation of soil C(org)in fluvial and mid-estuary settings rich in fine-grained (&lt; 0.063 mm) sediments (49 +/- 3% and 47 +/- 4%, respectively) compared to marine settings (23 +/- 4%). Soil C(org)stocks were not significantly different betweenS. quinquefloraandJ. kraussiimarshes (185 +/- 13 and 202 +/- 13 Mg C-org ha(-1), respectively). The higher contribution of tidal marsh plus supratidal vegetation in fluvial (80%) and intermediate (76%) compared to marine (57%) settings further explains differences in soil C(org)stocks. The estimated soil C(org)stocks in temperate Western Australia's tidal marshes (57 Tg C(org)within similar to 3000 km(2)extent) correspond to about 2% of worldwide tidal marsh soil C(org)stocks. The results obtained identify global drivers of soil C(org)storage in tidal marshes and can be used to target hot spots for climate change mitigation based on tidal marsh conservation.</t>
  </si>
  <si>
    <t>10.1007/s10021-020-00520-9</t>
  </si>
  <si>
    <t>Luque, SP; Ferguson, SH</t>
  </si>
  <si>
    <t>Ecosystem regime shifts have not affected growth and survivorship of eastern Beaufort Sea belugas</t>
  </si>
  <si>
    <t>Aleutian low pressure index; Climate change; Food availability; North Pacific Ocean; Pacific decadal oscillation</t>
  </si>
  <si>
    <t>WHALE DELPHINAPTERUS-LEUCAS; ANTARCTIC FUR SEALS; SEQUENTIAL MEGAFAUNAL COLLAPSE; NORTHERN BERING-SEA; EUMETOPIAS-JUBATUS; BODY-SIZE; AUTUMN MOVEMENTS; STABLE ISOTOPES; MARINE MAMMALS; POPULATION</t>
  </si>
  <si>
    <t>Large-scale ocean-atmosphere physical dynamics can have profound impacts on the structure and organization of marine ecosystems. These changes have been termed regime shifts, and five different episodes have been detected in the North Pacific Ocean, with concurrent changes also occurring in the Bering and Beaufort Seas. Belugas from the Eastern Beaufort Sea (EBS) use the Bering Sea during winter and the Beaufort Sea during summer, yet the potential effects of regime shifts on belugas have not been assessed. We investigated whether body size and survivorship of EBS belugas harvested in the Mackenzie River delta region between 1993 and 2003 have been affected by previous purported regime shifts in the North Pacific. Residuals from the relationship between body length and age were calculated and compared among belugas born between 1932 and 1989. Residual body size was not significantly related to birth year for any regime, nor to the age group individuals belonged to during any regime. The percentage deviation in number of belugas born in any given year that survived to be included in the hunt (survivorship) did not show any significant trend within or between regimes. Accounting for lags of 1-5 years did not reveal any evidence of delayed effects. Furthermore, neither population index was significantly related to changes in major climatic variables that precede regime shifts. Our results suggest that EBS beluga body size and survivorship have not been affected by the major regime shifts of the North Pacific and the adjacent Bering and Beaufort Seas. EBS belugas may have been able to modify their diet without compromising their growth and survivorship. Diet and reproductive analyses over large and small time scales can help understand the mechanisms enabling belugas to avoid significant growth and reproductive effects of past regime shifts.</t>
  </si>
  <si>
    <t>10.1007/s00442-009-1300-6</t>
  </si>
  <si>
    <t>Brush, JM; Smokorowski, KE; Marty, J; Power, M</t>
  </si>
  <si>
    <t>Fish feeding niche characterization over space and time in a natural boreal river</t>
  </si>
  <si>
    <t>river; flow; temperature; stability; stable isotopes; fish feeding niche; natural environmental variability</t>
  </si>
  <si>
    <t>FOOD-WEB STRUCTURE; ALTERED FLOW REGIMES; ECOLOGICAL CONSEQUENCES; VARIABILITY; CLIMATE; STREAMS; COMMUNITIES; ASSEMBLAGES; SCALE; MANAGEMENT</t>
  </si>
  <si>
    <t>Few studies have examined the temporal variability of fish feeding niche in response to variable flows and temperature or the temporal consistency of spatial differences in fish feeding niche within natural rivers. Using a 10-year dataset from the boreal Batchawana River in Northern Ontario, we found that fish feeding niche was temporally invariant in the lower sampled river reaches but increased over time in the upper reaches of the river. A significant relationship between the standard deviations of mean delta N-15 and mean daily summer flow was found. No other significant relationships between measures of flow or temperature variability and variability in delta C-13 or delta N-15 were observed. Fish feeding niche was significantly larger in the lower than in the upper Batchawana River, but there were no significant differences in mean fish community delta C-13 or delta N-15 between reaches. Fish assemblage vC, delta N-15 and standard ellipse area were consistent among years within river reaches despite flow and temperature variability over the same years. Results highlight that in natural undisturbed rivers, fish feeding niche appears to be temporally invariant in the face of naturally imposed environmental variability. Copyright (C) 2016 John Wiley &amp; Sons, Ltd.</t>
  </si>
  <si>
    <t>10.1002/eco.1735</t>
  </si>
  <si>
    <t>Hamaoka, H; Kaneda, A; Okuda, N; Omori, K</t>
  </si>
  <si>
    <t>Upwelling-like bottom intrusion enhances the pelagic-benthic coupling by a fish predator in a coastal food web</t>
  </si>
  <si>
    <t>Bottom-up trophic cascade; Coastal upwelling; Food webs; Pelagic-benthic coupling; Stable isotope analysis</t>
  </si>
  <si>
    <t>TROPHIC RELATIONSHIPS; NORTHEAST PACIFIC; STABLE-ISOTOPES; BUNGO CHANNEL; SEA; DYNAMICS; CARBON; JAPAN; OCEAN; DIET</t>
  </si>
  <si>
    <t>Upwelling regions where nutrients are transported from deep to surface waters are among the most productive in the oceans. Although it is well known that the upwelling affects fishery production through bottom-up trophic cascading, it remains unexplored how temporal variation in its intensity alters overall trophic energy flows within a focal food web. In the present study, we demonstrate that inter-annual variation in the intensity of upwelling-like bottom intrusion alters food web properties in coastal waters of the Uwa Sea by focusing on the levels of delta C-13 and delta N-15 for a demersal fish predator, Acropoma japonicum. This approach integrates information on prey-predator interactions. In the season following a stratification period when pelagic productivity is limited by nutrient availability, A. japonicum showed lower levels of delta C-13 in years with high bottom intrusion intensity than in those with low intensity. One possible cause for this isotopic depletion is that the bottom intrusion-induced nutrient supply enhances pelagic productivity and consequently facilitates a foraging shift by A. japonicum from ordinary benthic prey to supplementary pelagic prey with a lower delta C-13. In conclusion, the increased intensity of bottom intrusion results in coupling of two major trophic energy flows, pelagic and benthic food chains, through the demersal predator's foraging shift.</t>
  </si>
  <si>
    <t>10.1007/s10452-013-9466-8</t>
  </si>
  <si>
    <t>Sommer, F; Hansen, T; Sommer, U</t>
  </si>
  <si>
    <t>Transfer of diazotrophic nitrogen to mesozooplankton in Kiel Fjord, Western Baltic Sea: a mesocosm study</t>
  </si>
  <si>
    <t>diazotrophic cyanobacteria; nitrogen; Nodularia spumigena; stable isotopes</t>
  </si>
  <si>
    <t>CYANOBACTERIUM NODULARIA-SPUMIGENA; NORTH PACIFIC-OCEAN; CALANOID COPEPODS; EURYTEMORA-AFFINIS; ACARTIA-BIFILOSA; FOOD-CHAINS; FRESH-WATER; FIXATION; TRICHODESMIUM; DELTA-N-15</t>
  </si>
  <si>
    <t>In a mesocosm experiment in Kiel Fjord, the plankton community &lt; 250 mu m was exposed to a mesozooplankton density gradient (5 to 80 individuals 1(-1)) dominated by the calanoid copepod Acartia clausi. Over the experimental period (9 d), the diazotrophic cyanobacterium Nodularia spumigena increased exponentially, irrespective of mesozooplankton densities, attaining maximum concentrations of 1200 cells ml(-1) (3700 filaments 1(-1)). At the end of the experiment, the delta N-15 of particulate organic matter was negatively correlated with N. spumigena concentrations, indicating the fixation of isotopically 'light', diazotrophic nitrogen. In all treatments, final copepod delta N-15 were lower (-0.7 to -2.7 parts per thousand) than initial copepod delta N-15, indicating the transfer of diazotrophic nitrogen to mesozooplankton. Based on a simple isotopic mixing model, diazotrophic nitrogen was calculated to contribute 45 to 6% to final copepod delta N-15 along the mesozooplankton gradient. This translates to a transfer of 2 to 24% of net nitrogen fixation to the mesozooplankton standing stock. The absence of any mesozooplankton impact on N. spumigena, and the negative impact found for other microplankton, including diatoms and ciliates, suggest that diazotrophically fixed nitrogen reached mesozooplankton indirectly through trophic vectors. This is consistent with the fact that copepod mu N-15 decreased with decreasing mesozooplankton densities, since only a quantitatively limited dietary source may be expected to result in density-dependent changes in copepod delta N-15. Considering that natural mesozooplankton densities in the Baltic Sea rarely exceed 10 ind. 1(-1), the contribution of diazotrophically fixed nitrogen to mesozooplankton may be substantial (23 to 45%) during summer blooms of diazotrophic cyanobacteria.</t>
  </si>
  <si>
    <t>10.3354/meps324105</t>
  </si>
  <si>
    <t>Stoks, R; Swillen, I; De Block, M</t>
  </si>
  <si>
    <t>Behaviour and physiology shape the growth accelerations associated with predation risk, high temperatures and southern latitudes in Ischnura damselfly larvae</t>
  </si>
  <si>
    <t>adaptive plasticity; costs of rapid growth; energy allocation trade-off; latitudinal gradients; time constraints; voltinism</t>
  </si>
  <si>
    <t>TRADE-OFF; LIFE-HISTORY; EVOLUTIONARY SIGNIFICANCE; PHENOTYPIC PLASTICITY; ENERGY ACQUISITION; STRESS-PROTEINS; METABOLIC-RATE; REACTION NORM; RATES; SIZE</t>
  </si>
  <si>
    <t>1. To better predict effects of climate change and predation risk on prey animals and ecosystems, we need studies documenting not only latitudinal patterns in growth rate but also growth plasticity to temperature and predation risk and the underlying proximate mechanisms: behaviour (food intake) and digestive physiology (growth efficiency). The mechanistic underpinnings of predator-induced growth increases remain especially poorly understood. 2. We reared larvae from replicated northern and southern populations of the damselfly Ischnura elegans in a common garden experiment manipulating temperature and predation risk and quantified growth rate, food intake and growth efficiency. 3. The predator-induced and temperature-induced growth accelerations were the same at both latitudes, despite considerably faster growth rates in the southern populations. While the higher growth rates in the southern populations and the high rearing temperature were driven by both an increased food intake and a higher growth efficiency, the higher growth rates under predation risk were completely driven by a higher growth efficiency, despite a lowered food intake. 4. The emerging pattern that higher growth rates associated with latitude, temperature and predation risk were all (partly or completely) mediated by a higher growth efficiency has two major implications. First, it indicates that energy allocation trade-offs and the associated physiological costs play a major role both in shaping large-scale geographic variation in growth rates and in shaping the extent and direction of growth rate plasticity. Secondly, it suggests that the efficiency of energy transfer in aquatic food chains, where damselfly larvae are important intermediate predators, will be higher in southern populations, at higher temperatures and under predation risk. This may eventually contribute to the lengthening of food chains under these conditions and highlights that the prey identity may determine the influence of predation risk on food chain length.</t>
  </si>
  <si>
    <t>10.1111/j.1365-2656.2012.01987.x</t>
  </si>
  <si>
    <t>Gilaberti, RO; Navia, AF; De La Cruz-Aguero, G; Molinero, JC; Sommer, U; Scotti, M</t>
  </si>
  <si>
    <t>Body size and mobility explain species centralities in the Gulf of California food web</t>
  </si>
  <si>
    <t>Biodiversity; Centrality indices; Ecosystem functioning; Trait ecology</t>
  </si>
  <si>
    <t>TROPHIC POSITIONS; BIODIVERSITY LOSS; IMPACTS; ECOLOGY</t>
  </si>
  <si>
    <t>Anthropic activities impact ecosystems worldwide thus contributing to the rapid erosion of biodiversity. The failure of traditional strategies targeting single species highlighted ecosystems as the most suitable scale to plan biodiversity management. Network analysis represents an ideal tool to model interactions in ecosystems and centrality indices have been extensively applied to quantify the structural and functional importance of species in food webs. However, many network studies fail in deciphering the ecological mechanisms that lead some species to occupy the most central positions in food webs. To address this question, we built a high-resolution food web of the Gulf of California and quantified species position using 15 centrality indices and the trophic level. We then modelled the values of each index as a function of traits and other attributes (e.g., habitat). We found that body size and mobility are the best predictors of indices that characterize species importance at local, meso- and global scale, especially in presence of data accounting for energy direction. This result extends previous findings that illustrated how a restricted set of trai-taxes can predict whether two species interact in food webs. In particular, we show that traits can also help understanding the way species are affected by and mediate indirect effects. The traits allow focusing on the processes that shape the food web, rather than providing case-specific indications as the taxonomy-based approach. We suggest that future network studies should consider the traits to explicitly identify the causal relationships that link anthropic impacts to role changes of species in food webs.</t>
  </si>
  <si>
    <t>10.1556/168.2019.20.2.5</t>
  </si>
  <si>
    <t>McMeans, BC; McCann, KS; Humphries, M; Rooney, N; Fisk, AT</t>
  </si>
  <si>
    <t>Food Web Structure in Temporally-Forced Ecosystems</t>
  </si>
  <si>
    <t>TRENDS IN ECOLOGY &amp; EVOLUTION</t>
  </si>
  <si>
    <t>STABLE-ISOTOPES; ANNUAL ROUTINES; CLIMATE-CHANGE; COMMUNITY; GROWTH; DIET; TERRESTRIAL; VARIABILITY; FLUCTUATIONS; REPRODUCTION</t>
  </si>
  <si>
    <t>Temporal variation characterizes many of Earth's ecosystems. Despite this, little is known about how food webs respond to regular variation in time, such as occurs broadly with season. We argue that season, and likely any periodicity, structures food webs along a temporal axis in an analogous way to that previously recognized in space; predators shift their diet as different resource compartments and trophic levels become available through time. These characteristics are likely (i) central to ecosystem function and stability based on theory, and (ii) widespread across ecosystem types based on empirical observations. The temporal food web perspective outlined here could provide new insight into the ecosystem-level consequences of altered abiotic and biotic processes that might accompany globally changing environments.</t>
  </si>
  <si>
    <t>10.1016/j.tree.2015.09.001</t>
  </si>
  <si>
    <t>Gray, CA; Kingsford, MJ</t>
  </si>
  <si>
    <t>Variability in thermocline depth and strength, and relationships with vertical distributions of fish larvae and mesozooplankton in dynamic coastal waters</t>
  </si>
  <si>
    <t>ichthyoplankton; zooplankton; oceanography; thermocline stability and persistence; vertical distribution; southeastern Australia</t>
  </si>
  <si>
    <t>HADDOCK MELANOGRAMMUS-AEGLEFINUS; NEW-SOUTH-WALES; TROPHIC INTERACTIONS; CHLOROPHYLL MAXIMUM; CLUPEA-HARENGUS; ATLANTIC BIGHT; GEORGES BANK; ARABIAN SEA; ZOOPLANKTON; AUSTRALIA</t>
  </si>
  <si>
    <t>In this paper the dynamic nature of thermoclines is documented, and their influences on the vertical distributions of larval fishes and mesozooplankton in coastal waters off Sydney, southeastern Australia are tested. Significant small-scale spatial and temporal variability in thermocline depth and strength was observed, and even though there were strong depth-related differences in abundances of fish larvae and mesozooplankton, there were no predictable effects of thermoclines on their vertical distributions. Peak concentrations of some fish larvae were observed in thermoclines, but these patterns were not consistent among sampling locations and time periods. Fish larvae and mesozooplankton were most concentrated in the upper 30 m of the water column, regardless of thermocline position, and therefore trophic interactions among fish larvae and zooplankton would be strongest in this depth strata. Consequently, thermoclines were not considered the most important interface for trophic interactions in this dynamic coastal zone. We argue that thermoclines are probably not critical to the survival of fish larvae in relatively shallow coastal waters characterised by dynamic oceanographies where perturbations in the position and intensity of thermoclines are frequent.</t>
  </si>
  <si>
    <t>10.3354/meps247211</t>
  </si>
  <si>
    <t>Curtis, CJ; Kaiser, J; Marca, A; Anderson, NJ; Simpson, G; Jones, V; Whiteford, E</t>
  </si>
  <si>
    <t>Spatial variations in snowpack chemistry, isotopic composition of NO3- and nitrogen deposition from the ice sheet margin to the coast of western Greenland</t>
  </si>
  <si>
    <t>ATMOSPHERIC NITRATE DEPOSITION; EAST ANTARCTIC PLATEAU; FIRN CONCENTRATIONS; REACTIVE NITROGEN; N-15/N-14 RATIOS; 1ST MEASUREMENTS; STABLE-ISOTOPES; ROCKY-MOUNTAINS; LAKE-SEDIMENTS; SURFACE SNOW</t>
  </si>
  <si>
    <t>The relative roles of anthropogenic nitrogen (N) deposition and climate change in causing ecological change in remote Arctic ecosystems, especially lakes, have been the subject of debate over the last decade. Some palaeoecological studies have cited isotopic signals (delta N-15)) preserved in lake sediments as evidence linking N deposition with ecological change, but a key limitation has been the lack of co-located data on both deposition input fluxes and isotopic composition of deposited nitrate (NO3-). In Arctic lakes, including those in western Greenland, previous palaeolimnological studies have indicated a spatial variation in delta(N-15) trends in lake sediments but data are lacking for deposition chemistry, input fluxes and stable isotope composition of NO3-. In the present study, snowpack chemistry, NO3- stable isotopes and net deposition fluxes for the largest ice-free region in Greenland were investigated to determine whether there are spatial gradients from the ice sheet margin to the coast linked to a gradient in precipitation. Late-season snowpack was sampled in March 2011 at eight locations within three lake catchments in each of three regions (ice sheet margin in the east, the central area near Kelly Ville and the coastal zone to the west). At the coast, snowpack accumulation averaged 181mm snow water equivalent (SWE) compared with 36mm SWE by the ice sheet. Coastal snowpack showed significantly greater concentrations of marine salts (Na+, Cl-, other major cations), ammonium (NH4+; regional means 1.4-2.7 mu mol L-1), total and non-sea-salt sulfate (SO42-; total 1.8-7.7, non-sea-salt 1.0-1.8 mu mol L-1/than the two inland regions. Nitrate (1.5-2.4 mu mol L-1/showed significantly lower concentrations at the coast. Despite lower concentrations, higher precipitation at the coast results in greater net deposition for NO3- as well as NH4+ and non-sea-salt sulfate (nss-SO42-) relative to the inland regions (lowest at Kelly Ville 6, 4 and 3; highest at coast 9, 17 and 11 mol ha(-1) a(-1) of NO3-, NH4+ and nss-SO42- respectively). The delta(N-15) of snowpack NO3- shows a significant decrease from inland regions (5.7 parts per thousand at Kelly Ville) to the coast (-11.3 parts per thousand). We attribute the spatial patterns of delta(N-15) in western Greenland to post-depositional processing rather than differing sources because of (1) spatial relationships with precipitation and sublimation, (2) within catchment isotopic differences between terrestrial snowpack and lake ice snowpack, and (3) similarities between fresh snow (rather than accumulated snowpack) at Kelly Ville and the coast. Hence the delta(N-15) of coastal snowpack is most representative of snowfall in western Greenland, but after deposition the effects of photolysis, volatilization and sublimation lead to enrichment of the remaining snowpack with the greatest effect in inland areas of low precipitation and high sublimation losses.</t>
  </si>
  <si>
    <t>10.5194/bg-15-529-2018</t>
  </si>
  <si>
    <t>Certain, G; Masse, J; Van Canneyt, O; Petitgas, P; Doremus, G; Santos, MB; Ridoux, V</t>
  </si>
  <si>
    <t>Investigating the coupling between small pelagic fish and marine top predators using data collected from ecosystem-based surveys</t>
  </si>
  <si>
    <t>Marine top predators; Small pelagic fishes; Spatial associations; Temporal variability; Pelagic ecosystem; Bay of Biscay</t>
  </si>
  <si>
    <t>DOLPHIN DELPHINUS-DELPHIS; SPATIAL-DISTRIBUTION; CONTINENTAL-SHELF; NORTHEAST ATLANTIC; HABITAT SELECTION; PREY CONSUMPTION; BAY; SEABIRDS; BISCAY; DIET</t>
  </si>
  <si>
    <t>The present study is a general multivariate analysis of the spatial association between small pelagic fishes and their predators (seabirds, marine mammals and fisheries), using 6 yr (18000 km) of transects surveyed in spring in the Bay of Biscay, France. We describe 4 groups of prey-predator association, with explicit distinction of prey size: (1) terns and anchovies (10 to 15 cm), (2) common dolphins, common murres, sprat and sardine (&lt;20 cm), (3) gannets, horse mackerel and mackerel (15 to 25 cm) and (4) bottlenose dolphin, horse mackerel and mackerel (25 to 40 cm). Our analysis also illustrates the great variability in these associations, with years of strong prey-predator associations followed by years of weak relationships. The analysis allows us to formulate predictions about the structure of the upper-pelagic food web in the Bay of Biscay in spring, and constitutes a good starting point for the analysis of data collected during ecosystem-based surveys in the Bay of Biscay.</t>
  </si>
  <si>
    <t>10.3354/meps08932</t>
  </si>
  <si>
    <t>Copeman, LA; Laurel, BJ; Boswell, KM; Sremba, AL; Klinck, K; Heintz, RA; Vollenweider, JJ; Helser, TE; Spencer, ML</t>
  </si>
  <si>
    <t>Ontogenetic and spatial variability in trophic biomarkers of juvenile saffron cod (Eleginus gracilis) from the Beaufort, Chukchi and Bering Seas</t>
  </si>
  <si>
    <t>Saffron cod; Arctic; Ontogeny; Fatty acids; Lipids; Nutrition</t>
  </si>
  <si>
    <t>POLLOCK THERAGRA-CHALCOGRAMMA; FATTY-ACID BIOMARKERS; PRINCE-WILLIAM-SOUND; BOREOGADUS-SAIDA; STABLE-ISOTOPE; ATLANTIC COD; POLAR COD; FISH ASSEMBLAGES; WALLEYE POLLOCK; LIPID STORAGE</t>
  </si>
  <si>
    <t>Climate models indicate the Arctic will undergo dramatic environmental change with forecasted increases in temperature and river runoff. Saffron cod (Eleginus gracilis) is abundant in nearshore waters and appears in the diet of many Arctic sea birds and marine mammals; however, little is known about its early ecology and consequently how they might be affected by environmental changes. We aimed to characterize the mechanisms of spatial and ontogenetic variation in trophic biomarkers (lipid classes, fatty acids and bulk C and N stable isotopes) of saffron cod from the Western Arctic, Chukchi and Bering Seas. Size-standardized analyses showed a significant difference in lipid condition metrics and trophic biomarkers as a function of survey location. Both ontogeny and sampling location played an important role in determining lipid stores with elevated levels in both small offshore juveniles (&lt; 55 mm) and larger inshore juveniles (&gt; 75 mm). Higher lipid storage in Arctic juveniles was associated with elevated levels of diatom fatty acid markers, but not with nearshore carbon input. Increased lipids were found in age-1 juveniles from Prudhoe Bay in the Western Beaufort that were feeding at a lower trophic level than similarly sized age-0 juveniles from surface trawls in the Bering Sea. The use of otolith annuli revealed two discrete patterns of growth that help explain the trade-offs between energy storage and rapid growth that diverge between the Arctic and Bering Sea. Laboratory temperature-growth experiments confirmed that saffron cod have a eurythermal growth response and are able to store excess lipids at temperatures as high as 20 A degrees C.</t>
  </si>
  <si>
    <t>10.1007/s00300-015-1792-y</t>
  </si>
  <si>
    <t>Impacts of trawling disturbance on the trophic structure of benthic invertebrate communities</t>
  </si>
  <si>
    <t>North Sea; fishing effects; benthic infauna; benthic epifauna; trophic relationships; stable isotopes; community structure; beam trawling; food webs</t>
  </si>
  <si>
    <t>SOUTHERN NORTH-SEA; LONG-TERM CHANGES; FISHING DISTURBANCE; DIFFERENT HABITATS; STABLE ISOTOPES; FOOD WEBS; NEPHTYS-HOMBERGII; ARCTICA-ISLANDICA; DELTA-N-15; ABUNDANCE</t>
  </si>
  <si>
    <t>Bottom trawling causes chronic and widespread disturbance to the seabed in shallow shelf seas and could lead to changes in the trophic structure and function of benthic communities, with important implications for the processing of primary production and the wider functioning of the marine ecosystem. We studied the effects of bottom trawling on the trophic structure of infaunal and epifaunal benthic communities in 2 regions (Silver Pit and Hills) of the central North Sea. Within each region, we quantified long-term (over 5 yr) differences in trawling disturbance at a series of sites (using sightings data from fishery protection flights), and related this to differences in the biomass and trophic structure of the benthic community. There were 27- and 10-fold differences in levels of beam trawl disturbance among the Silver Pit and Hills sites respectively, and we estimated that the frequency with which the entire area of the sites was trawled ranged from 0.2 to 6.5 times yr(-1) in the Silver Pit and 0.2 to 2.3 times yr(-1) in the Hills. The impacts of fishing were most pronounced in the Silver Pit region, where the range of trawling disturbance was greater. Infaunal and epifaunal biomass decreased significantly with trawling disturbance. Within the infauna, there were highly significant decreases in the biomass of bivalves and spatangoids (burrowing sea-urchins) but no significant change in polychaetes. Relationships between trophic level (estimated using nitrogen stable isotope composition, delta N-15) and body mass (as log(2) size classes) were rarely significant, implying that the larger individuals in this community did not consistently prey on the smaller ones. For epifauna, the relationships were significant, but the slopes or intercepts of the fitted linear regressions were not significantly related to trawling disturbance. Moreover, mean delta N-15 Of the sampled infaunal and epifaunal communities were remarkably consistent across sites and not significantly related to trawling disturbance. Our results suggest that chronic trawling disturbance led to dramatic reductions in the biomass of infauna and epifauna, but these reductions were not reflected in changes to the mean trophic level of the community, or the relationships between the trophic levels of different sizes of epifauna. The trophic structure of intensively trawled benthic invertebrate communities may be a robust feature of this marine ecosystem, thus ensuring the efficient processing of production within those animals that have sufficiently high intrinsic rates of population increase to withstand the levels of mortality imposed by trawling.</t>
  </si>
  <si>
    <t>10.3354/meps213127</t>
  </si>
  <si>
    <t>Mateo, I; Durbin, EG; Bengtson, DA; Kingsley, R; Swart, PK; Durant, D</t>
  </si>
  <si>
    <t>Spatial and Temporal Variation in Otolith Chemistry for Tautog (Tautoga onitis) along the US Northeast Coast</t>
  </si>
  <si>
    <t>STRONTIUM-CALCIUM RATIOS; LIFE-HISTORY; ELEMENTAL FINGERPRINTS; FISH OTOLITHS; ENVIRONMENTAL HISTORY; ARAGONITIC OTOLITHS; DESCRIBE MOVEMENTS; NARRAGANSETT BAY; STABLE-ISOTOPES; TRACE-ELEMENTS</t>
  </si>
  <si>
    <t>Elemental concentrations and stable (delta O-18, delta C-13) isotopic ratios in otoliths of young-of-the year (YOY) Tautoga onitis (Tautog) captured in nurseries in Rhode Island, Connecticut, New Jersey, and Virginia were determined using otolith micro-chemistry. Multi-chemical signatures differed significantly among the distinct nurseries among regions (MANOVA: P &lt; 0.001) and between years (MANOVA: P &lt; 0.001). Classification accuracy for Tautog nurseries among regions ranged from 92% to 96% for each of the two years. Since accurate classification of juvenile Tautog to their nursery sites was achieved, otolith chemistry can potentially be used as a natural habitat tag in assigning adult Tautog to their respective estuarine nurseries, but it is important to consider that the chemical signals may change annually.</t>
  </si>
  <si>
    <t>10.1656/045.019.0205</t>
  </si>
  <si>
    <t>Piovia-Scott, J; Yang, LH; Wright, AN; Spiller, DA; Schoener, TW</t>
  </si>
  <si>
    <t>The effect of lizards on spiders and wasps: variation with island size and marine subsidy</t>
  </si>
  <si>
    <t>context dependence; food web; predator-prey interactions; resource subsidy; top-down control</t>
  </si>
  <si>
    <t>SPECIES-AREA RELATIONSHIP; FOOD-CHAIN LENGTH; INTRODUCED PREDATORS; TROPHIC CASCADES; WEBS; PREY; OVERDISPERSION; COMMUNITIES; DISTURBANCE; POPULATION</t>
  </si>
  <si>
    <t>Introduced predators can have dramatic effects on island ecosystems, the magnitude of which are likely to vary with island characteristics. We investigated the influence of two important properties of islands-size and amount of resource subsidy-on the effects of an introduced predatory lizard (Anolis sagrei) on three groups of arthropod prey. Lizards were experimentally introduced to 16 islands that spanned gradients in vegetated area and seaweed deposition (a marine resource subsidy); 16 similar islands served as lizard-free controls. The abundance of web spiders, salticid spiders, and wasps was estimated prior to lizard introduction and again four months after lizard introduction. Lizard introduction reduced the average abundance of all three groups of arthropods. The effect of lizards on salticid spiderswhich was very large (94% reduction in salticid abundance)-decreased with island size. In contrast, the effect of lizards on wasps-which was also very large (88% reduction in wasp abundance)-tended to increase with island size, but with only marginal significance. There was no evidence for variation in the effect of lizards on web spiders with island size. This variation between prey taxa may be related to the relative importance of environmental stress (such as wind and wave exposure, which tend to be more pronounced on smaller islands) in determining abundance. Salticids seem to tolerate the stressful environmental conditions that characterize smaller islands, allowing for larger lizard effects; wasps seem to be limited by these conditions (either directly or indirectly via reduced prey availability), minimizing lizard effects on smaller islands. There was a marginally significant tendency for the effect of lizards on salticid spiders to be weaker on islands with more seaweed deposition, suggesting that subsidies may play a role in reducing predator effects on islands. Our results highlight the importance of ecological context in determining the top-down effects of introduced predators and underscore the need to extend existing theories relating island area and community characteristics toward an explicit consideration of species interactions.</t>
  </si>
  <si>
    <t>e01909</t>
  </si>
  <si>
    <t>10.1002/ecs2.1909</t>
  </si>
  <si>
    <t>Subke, JA; Heinemeyer, A; Vallack, HW; Leronni, V; Baxter, R; Ineson, P</t>
  </si>
  <si>
    <t>Fast assimilate turnover revealed by in situ (CO2)-C-13 pulse-labelling in Subarctic tundra</t>
  </si>
  <si>
    <t>Carbon cycle; GPP partitioning; Stable isotopes; Tundra biome</t>
  </si>
  <si>
    <t>CLIMATE-CHANGE; PERENNIAL RYEGRASS; NORTHERN ALASKA; RESIDENCE TIME; CARBON-CYCLE; GROWTH-FORM; CO2 FLUX; ECOSYSTEM; RESPIRATION; FEEDBACKS</t>
  </si>
  <si>
    <t>Climatic changes in Arctic regions are likely to have significant impacts on vegetation composition and physiological responses of different plant types, with implications for the regional carbon (C) cycle. Here, we explore differences in allocation and turnover of assimilated C in two Subarctic tundra communities. We used an in situ C-13 pulse at mid-summer in Swedish Lapland to investigate C allocation and turnover in four contrasting tundra plant communities. We found a high rate of turnover of assimilated C in leaf tissues of Betula nana and graminoid vegetation at the height of the growing season, with a mean residence time of pulse-derived C-13 of 1.1 and 0.7 days, respectively. One week after the pulse, c. 20 and 15%, respectively, of assimilated label-C remained in leaf biomass, representing most likely allocation to structural biomass. For the perennial leaf tissue of the graminoid communities, a remainder of approximately 5% of the pulse-derived C was still traceable after 1 year, whereas none was detectable in Betula foliage. The results indicate a relatively fast C turnover and small belowground allocation during the active growing season of recent assimilates in graminoid communities, with comparatively slower turnover and greater investment in belowground allocation by B. nana vegetation.</t>
  </si>
  <si>
    <t>10.1007/s00300-012-1167-6</t>
  </si>
  <si>
    <t>Mitre, SK; Mardegan, SF; Caldeira, CF; Ramos, SJ; Neto, AEF; Siqueira, JO; Gastauer, M</t>
  </si>
  <si>
    <t>Nutrient and water dynamics of Amazonian canga vegetation differ among physiognomies and from those of other neotropical ecosystems</t>
  </si>
  <si>
    <t>Banded iron formations; Water availability; Nutrient availability; C and N stable isotopes; Soil properties</t>
  </si>
  <si>
    <t>ISOTOPIC COMPOSITION; MYCORRHIZAL FUNGI; NATURAL-ABUNDANCE; PLANT DIVERSITY; NITROGEN LIMITATION; USE EFFICIENCY; SERRA SUL; SOIL; CARBON; PATTERNS</t>
  </si>
  <si>
    <t>Ferriferous savannas, also known as cangas in Brazil, are nutrient-impoverished ecosystems adapted to seasonal droughts. These ecosystems support distinctive vegetation physiognomies and high plant diversity, although little is known about how nutrient and water availability shape these ecosystems. Our study was carried out in the cangas from Carajas, eastern Amazonia, Brazil. To investigate the N cycling and drought adaptations of different canga physiognomies and compare the findings with those from other ecosystems, we analyzed nutrient concentrations and isotope ratios (C-13 and N-15) of plants, litter, and soils from 36 plots distributed in three physiognomies: typical scrubland (SB), Vellozia scrubland (VL), and woodland (WD). Foliar N-15 values in cangas were higher than those in savannas but lower than those in tropical forests, indicating more conservative N cycles in Amazonian cangas than in forests. The lower N-15 in savanna formations may be due to a higher importance of mycorrhizal species in savanna vegetation than in canga vegetation. Elevated C-13 values indicate higher water shortage in canga ecosystems than in forests. Foliar and litter nutrient concentrations vary among canga physiognomies, indicating differences in nutrient dynamics. Lower nutrient availability, higher C:N ratios, and lower N-15 values characterize VL, whereas WD is delineated by lower C-13 values and higher soil P. These results suggest lower water restriction and lower P limitation in WD, whereas VL shows more conserved N cycles due to lower nutrient availability. Differences in nutrient and water dynamics among physiognomies indicate different ecological processes; thus, the conservation of all physiognomies is required to ensure the maintenance of functional diversity in this unique ecosystem.</t>
  </si>
  <si>
    <t>10.1007/s11258-018-0883-6</t>
  </si>
  <si>
    <t>Aguilar, FX; Kelly, MC</t>
  </si>
  <si>
    <t>US family forest management coupling natural and human systems: Role of markets and public policy instruments</t>
  </si>
  <si>
    <t>Forest policy; Sustainable forest management; Ecosystem services; Extension forestry; Timber harvesting; Socio-ecological model; Family forests</t>
  </si>
  <si>
    <t>NONINDUSTRIAL PRIVATE FORESTLAND; WOODY BIOMASS; UNITED-STATES; CONSERVATION PROGRAMS; LAKE STATES; BIOENERGY PRODUCTION; ECONOMETRIC-ANALYSIS; INCENTIVE PROGRAMS; OWNER PREFERENCES; TIMBER</t>
  </si>
  <si>
    <t>We offer a conceptual framework where management couples natural and human systems backed by a representative synthesis of the literature studying US family forest owners. Within a socio-ecological forest system, management occurs at the intersection of resources and conditions intrinsic to owners and land with interactions influenced by extrinsic social and natural factors. Among extrinsic factors, public policy stands out as a major instrument society uses to influence how family forest owners manage their parcels. We discuss how public policy tools influence individual management preferences occurring within a system of forest owners. In the US, forestry extension programs are a major conduit for achieving public policy objectives by increasing family forest owners' knowledge and reducing barriers to purposeful management, among other services. We conclude with insights into documented relationships linking family forestlands and owners to larger natural and human systems and identify areas where more research is warranted.</t>
  </si>
  <si>
    <t>10.1016/j.landurbplan.2019.01.004</t>
  </si>
  <si>
    <t>Hovinen, JEH; Tarroux, A; Ramirez, F; Forero, M; Descamps, S</t>
  </si>
  <si>
    <t>Relationships between isotopic ratios, body condition and breeding success in a High Arctic seabird community</t>
  </si>
  <si>
    <t>Diet; Marine birds; Svalbard; Carry-over effects; Reproductive output; Stable isotopes; Trophic level; Nitrogen; Carbon</t>
  </si>
  <si>
    <t>STABLE-ISOTOPES; FEEDING ECOLOGY; INDIVIDUAL SPECIALIZATION; TROPHIC STRUCTURE; CLIMATE-CHANGE; FOOD; CARBON; DIET; POPULATION; INDICATORS</t>
  </si>
  <si>
    <t>Predators such as seabirds are often used as bio-indicators of the marine environment. This is based on the assumption that changes in seabird populations are driven by changes in their prey. We tested this assumption in a High Arctic seabird community by assessing the relationships between the diet, body condition, and breeding performance of 4 ecologically different species: the little auk AIM alle, black-legged kittiwake Rissa tridactyla, Brunnich's guillemot Uria lomvia, and glaucous gull Larus hyperboreus, breeding in Svalbard, Norway. Interannual changes in seabird diet (2009-2015) were assessed by estimating their carbon and nitrogen isotopic ratios (delta N-15 and delta C-13) during the breeding and non-breeding seasons (i.e. using blood and feather tissues). We found interannual variation in the isotopic ratios during both seasons in all 4 species. These variations differed among species, thus suggesting dietary changes, instead of changes in isotopic baselines, as the most plausible mechanism underlying such patterns. We also found that seabirds had a lower average hatching success when the average delta N-15 during the previous non-breeding season was higher. Our results suggest that changes in the average prey composition during the non-breeding season may partially explain changes in breeding performance of Svalbard seabirds.</t>
  </si>
  <si>
    <t>10.3354/meps12886</t>
  </si>
  <si>
    <t>Cheng, XL; An, SQ; Li, B; Chen, JQ; Lin, GH; Liu, YH; Luo, YQ; Liu, SR</t>
  </si>
  <si>
    <t>Summer rain pulse size and rainwater uptake by three dominant desert plants in a desertified grassland ecosystem in northwestern China</t>
  </si>
  <si>
    <t>desert plant; desertified grasslands; hydrogen isotopic composition; rain pulse size; summer precipitation</t>
  </si>
  <si>
    <t>SOIL-WATER; SPATIAL HETEROGENEITY; ORDOS PLATEAU; PRECIPITATION; VARIABILITY; VEGETATION; COMMUNITY; DEUTERIUM; SHRUBS; FORMS</t>
  </si>
  <si>
    <t>To examine the different effects of rain pulse size on uptake of summer rains by three dominant desert plants in field conditions of desertified grasslands on the Ordos Plateau of northwestern China, we studied relationships between precipitation event size and rainwater uptake using stable isotopes of hydrogen in plant and soil water. Four natural precipitation events that represented precipitation sizes of 5.3, 8.3, 13.3, and 65.3 mm in the summer were chosen for the experiment. The perennial grass Stipa bungeana, the shrub Artemisia ordosia, and the herb Cynanchum komarovii - the dominant species in the communities - were compared for their use of summer rains with different pulse sizes based on the changes in the hydrogen isotope ratios (delta D) of their stem water 7 days following each natural rain event. We found that S. bungeana and C. komarovii took advantage of shallow water sources derived from small (&lt; 10 mm) rain events, A. ordosia took advantage of deeper soil water recharged by large (&gt; 65 mm) rain events, and C. komarovii relied primarily on rain events of intermediate (10-20 mm) size. These different responses to rain pulses among species suggested that more frequent small rain events will promote the dominance of S. bungeana and C. komarovii, medium-sized events will facilitate development of C. komarovii, and large events will advance A. ordosia in this community. The rainwater utilization patterns of the three species would allow the coexistence of S. bungeana and A. ordosia or the coexistence of A. ordosia and C. komorovii in various successional serals following the disturbances. With an increase in variability of summer rain pulse size as predicted by climate change models, we expect that the structure of this community will undergo significant change in the future. Altered precipitation regimes, especially in combination with anthropogenic-related disturbances such as over-grazing, are likely to accelerate rates of degradation in northwestern China.</t>
  </si>
  <si>
    <t>10.1007/s11258-005-9047-6</t>
  </si>
  <si>
    <t>Baker, RG; Bettis, EA; Schwert, DP; Horton, DG; Chumbley, CA; Gonzalez, LA; Reagan, MK</t>
  </si>
  <si>
    <t>Holocene paleoenvironments of northeast Iowa</t>
  </si>
  <si>
    <t>alluvial history; carbon isotopes; Coleoptera; beetles; fire; Holocene; insects; oxygen isotopes; paleoclimatology; paleoecology; plant macrofossils; pollen; speleothems</t>
  </si>
  <si>
    <t>MIDWESTERN UNITED-STATES; CLIMATIC-CHANGE; AMERICA NORTH; RECORD; PATTERNS; COMMUNITIES; COLEOPTERA; VEGETATION; CARBONATE; DEPOSITS</t>
  </si>
  <si>
    <t>This paper presents the biotic, sedimentary, geomorphic, and climatic history of the upper part of the Roberts Creek Basin, northeastern Iowa for the late-glacial and Holocene, and compares these records with a C-O isotopic sequence from Coldwater Cave, 60 km northwest of Roberts Creek. The biotic record (pollen, vascular plant and bryophyte macrofossils, and insects) is preserved in floodplain alluvium that underlies three constructional surfaces separated by low scarps. Each surface is underlain by a lithologically and temporally distinct alluvial fill. The highest surface is underlain by the Gunder Member of the Deforest Formation, dating from 11 000 to 4000 yr BP; beneath the intermediate level is the Roberts Creek Member, dating from 4000 to 400 yr BP; and the lowest level is underlain by the Camp Creek Member, deposited during the last 380 yr. Pollen and plant macrofossils in the alluvial fill show that a typical late-glacial spruce forest was replaced by Quercus and Ulmus in the early Holocene. This early-to-middle Holocene forest became dominated by mesic elements such as Acer saccharum, Tilia americana, Ostrya virginiana, and Carpinus caroliniana as late as 5500 yr BP; in contrast, the closest sites to the west and north were at their warmest and driest and were covered by prairie vegetation between 6500 and 5500 yr BP. After 5500 yr BP, the forest in the Roberts Creek area was replaced by prairie, as indicated by a rich assemblage of plant macrofossils, although only Ambrosia and Poaceae became abundant in the pollen record. The return of Quercus approximate to 3000 BP (while nonarboreal pollen percentages remained relatively high) indicates that oak savanna prevailed with little change until settlement time. The bryophyte assemblages strongly support the vascular plant record. Rich fen species characteristic of boreal habitats occur only in the late-glacial. They are replaced by a number of deciduous-forest elements when early-to-middle Holocene forests were present, but mosses of forest habitats completely disappear when prairie became dominant. A few deciduous-forest taxa return during the late-Holocene, when oak savanna prevailed. The C-O isotopic record from stalagmite ''s'' in Coldwater Cave indicates a relatively stable environment from approximate to 8000 to 5100 yr BP, when the delta(13)C values indicate a change in vegetation dominated by C, (predominantly forest) to C, (predominantly prairie) plants. About 4900 yr BP, the rise in O-18 values indicates a temperature increase of approximate to 1.5 degrees C. The fact that the vegetational change suggested by the delta(13)C values preceded the temperature increase suggests that fire may have been an important factor in converting forest to prairie. Abundant charred seeds and other plant material at Roberts Creek 4830 yr BP support this hypothesis. The O-18 values remain constant from approximate to 5100 to approximate to 3000 yr BP, but the delta(13)C values gradually rise, indicating that soil formed under forest takes at least 2000 yr for its carbon to reach equilibrium after replacement by prairie vegetation. The return of oak to form savanna is reflected in the gradual decline of delta(13)C values in the last 3000 yr BP; O isotopic values drop sharply by approximate to 1 degrees C approximate to 2800 yr BP and then were relatively stable. In contrast to the vegetational and isotopic records, the insect assemblages suggest little change in the local environments throughout most of the Holocene. All of the beetle taxa presently occur in eastern Iowa. The relative stability through the Holocene indicates that both open grassland and riparian woodland elements were present throughout. Settlement, land clearing, and land cultivation by EuroAmericans in the region caused rapid erosion of the upland landscape, the deposition of 1-2 m of sediment across the floodplain, a replacement of the native vegetation with ruderal species, a decimation of the native insect fauna, and a degradation of water quality in the stream. These changes in the landscape, vegetation, and insect faunas are as striking as those associated with glacial-interglacial transitions. The timing and direction of changes in the vegetation at Roberts Creek generally correlate well with the carbon and oxygen isotopic record in speleothems at nearby Coldwater Cave and indicate that climate was the main forcing function. However, the contrast between the vegetational change and the stability of the beetle population suggests that climatic changes were subtle. We hypothesize that the factors involved in the Holocene changes were seasonal changes in temperature and precipitation that may not have resulted in much mean annual change. Such changes may have affected the vegetation more than the insect fauna.</t>
  </si>
  <si>
    <t>10.2307/2963475</t>
  </si>
  <si>
    <t>Ivory, SJ; Cole, KL; Anderson, RS; Anderson, A; McCorriston, J</t>
  </si>
  <si>
    <t>Human landscape modification and expansion of tropical woodland in southern Arabia during the mid-Holocene from rock hyrax middens</t>
  </si>
  <si>
    <t>biogeography; coupled human-natural systems; palaeoclimate; palaeoecology; pollen; rock hyrax middens; Terminalia; Wadi; Yemen</t>
  </si>
  <si>
    <t>POLLEN; VEGETATION; CLIMATE; DESERT; COMMUNITIES; HISTORY; DHOFAR; PERIOD; FIRE; ITCZ</t>
  </si>
  <si>
    <t>Aim Dryland ecosystems, such as those in southern Arabia, are particularly vulnerable to climate and land-use change. Aridification and human subsistence changes at the end of the Holocene Humid Period at 6-4 ka have been used as an iconic example for evaluating such impacts to resilience of arid systems. Although records of ancient environments can provide critical insight into the biotic and abiotic mechanisms that alter ecosystems, traditional archives, such as lake deposits, are not common in southern Arabia after 6 ka; thus, we must use alternative archives. Location Yemen. Taxon Plants; Rock Hyrax (Procavia capensis). Methods We use fossil pollen and stable isotopes (delta N-15; delta C-13) of rock hyrax (P. capensis) middens from Wadi Sana, Yemen, to look at changes in ecosystem structure and function across this key transition from 6 ka to the present. A total of 17 middens were radiocarbon-dated and stable isotopes were measured. Of these, pollen was extracted from hyraceum of 14 middens and identified using a light microscope. Fossil pollen assemblages were then compared to existing modern pollen samples from throughout Arabia. Results During the mid-Holocene from at least 6 to 4.7 ka, the pollen flora reflects a landscape with abundant tropical trees. These included foundational woody taxa, such as Terminalia and Boswellia sacra (frankincense), which had a strong positive influence on local hydrology and the economy, respectively. Increased charcoal abundances also suggest that wildfire occurred periodically. Main conclusions Connections with archaeological evidence suggest a strong link between human management and the presence of Terminalia woodland during the mid-Holocene. These may have promoted increased groundwater storage and ponding as regional rainfall was decreasing. The mid-Holocene expansion of Boswellia sacra (frankincense) may have helped support resin trade that became a critical export from the region. Fires were more common than today, suggesting semi-arid but continuous vegetation cover across what is now bare ground. Finally, after 1 ka, increased sedge abundances at the expense of grasses and trees suggest the development of desert conditions.</t>
  </si>
  <si>
    <t>10.1111/jbi.14226</t>
  </si>
  <si>
    <t>Sweeting, CJ; Barry, J; Barnes, C; Polunin, NVC; Jennings, S</t>
  </si>
  <si>
    <t>Effects of body size and environment on diet-tissue delta N-15 fractionation in fishes</t>
  </si>
  <si>
    <t>carbon; depletion; enrichment; experimental; marine; nitrogen</t>
  </si>
  <si>
    <t>STABLE-ISOTOPE RATIOS; AQUATIC FOOD-WEB; TROPHIC POSITION; OREOCHROMIS-NILOTICUS; CALLORHINUS-URSINUS; NITROGEN ISOTOPES; ATLANTIC SALMON; FEEDING LEVEL; NILE TILAPIA; MARINE FISH</t>
  </si>
  <si>
    <t>Nitrogen stable isotope natural abundance data are often used in trophodynamic research. The assumed nitrogen diet-tissue fractionation (Delta delta N-15) determines conclusions about trophic level, potential food sources and ontogenetic diet shifts. Delta delta N-15 is usually assumed to be 3.0-3.4 parts per thousand per trophic level and unaffected by the size or age of animals or their environment. To assess the effects of body size, experimental duration and environmental conditions on fish tissue Delta delta N-15, two populations of European sea bass (Dicentrarchus labrax) were reared on constant diets of dab (Limanda limanda) muscle or sandeel (Ammodytes marinus) for 2 years under natural light and temperature regimes. Bass were sampled at approximately monthly intervals to determine Delta delta N-15 for muscle, heart and liver tissue. Mean values of Delta delta N-15 were 3.83 parts per thousand, 3.54 parts per thousand, 2.05 parts per thousand (sandeel diet) and 3.98 parts per thousand, 3.32 parts per thousand, 1.95 parts per thousand (dab diet) for muscle, heart and liver tissue respectively. The assumption that fractionation was independent of body mass was upheld for muscle and heart tissue, but not for liver. Time effects on muscle Delta delta N-15 were explainable by a sinusoidal function with a period of I year and wave height similar to 0.3 parts per thousand. Time resulted in increases in heart delta N-15 and decreases in liver delta N-15 which were small compared to background variation, equating to 1/6 of a trophic level over 2 years, and unlikely to have great significance in ecological studies. Heart and liver delta N-15 were also affected by temperature probably reflecting the metabolic functions of these tissues and their associated rates of turnover. However in heart the explanatory power of temperature appeared tied to that of time. Although the Delta delta N-15 for bass muscle on both diets approached 4 parts per thousand, the Delta delta N-15 values from this study, when combined with those from the literature, suggest that where fish species specific data are not available, a mean Delta delta N-15 for fish muscle of 3.2 parts per thousand should be applied (mean white muscle Delta delta N-15=3.15). The literature based mean Delta delta N-15 for whole fish was lower than that of white muscle suggesting that a separate Delta delta N-15 (2.9 parts per thousand) should be applied when sampling whole fish. (c) 2006 Elsevier B.V. All rights reserved.</t>
  </si>
  <si>
    <t>10.1016/j.jembe.2006.07.023</t>
  </si>
  <si>
    <t>Guallar, C; Chapelle, A; Bacher, C</t>
  </si>
  <si>
    <t>Realised niche and suitability index highlight spatial and temporal distribution of toxic phytoplankton species</t>
  </si>
  <si>
    <t>HABs; Time series; Monitoring; REPHY; Climatic index; Multivariate analysis; Prediction; Temperature</t>
  </si>
  <si>
    <t>NORTH-ATLANTIC OSCILLATION; DIATOM PSEUDO-NITZSCHIA; DOMOIC ACID PRODUCTION; HARMFUL ALGAL BLOOMS; DINOFLAGELLATE ALEXANDRIUM-MINUTUM; CLIMATE-CHANGE; COASTAL WATERS; MEDITERRANEAN SEA; ENGLISH-CHANNEL; NUTRIENT RATIOS</t>
  </si>
  <si>
    <t>Understanding the spatial and temporal preferences of toxic phytoplankton species is of paramount importance in managing and predicting harmful events in aquatic ecosystems. In this study, we addressed the realised niche of the species Alexandrium minutum, Pseudonitzschia fraudulenta and P. australis to highlight distribution patterns at different scales and determine possible drivers. To achieve this goal, we developed original procedures coupling niche theory and habitat suitability modelling using abundance data in 4 consecutive steps: (1) estimate the realised niche applying kernel functions, (2) assess differences between the species' niches as a whole and at the local level, (3) develop habitat and temporal suitability models using niche overlap procedures and (4) explore species temporal and spatial distributions to highlight possible drivers. We used data on species abundance and environmental variables collected over 27 yr (1988-2014), including 139 coastal water sampling sites along the French Atlantic coast. Results showed that the niches occupied by A. minutum and P. australis are very different, although both species exhibit a preference for warmer months. They both respond to decadal summer North Atlantic Oscillation (sNAO) but in an opposite way. P. fraudulenta's realised niche lies in between that of the 2 other species; it also prefers warmer months but does not respond to decadal sNAO. The Brittany peninsula is now classified as an area of prevalence for the 3 species. The methodology used here will allow us to anticipate species distributions in the event of future environmental challenges resulting from climate change scenarios.</t>
  </si>
  <si>
    <t>10.3354/meps13597</t>
  </si>
  <si>
    <t>Allen, DM; Haertel-Borer, SS; Milan, BJ; Bushek, D; Dames, RF</t>
  </si>
  <si>
    <t>Geomorphological determinants of nekton use of intertidal salt marsh creeks</t>
  </si>
  <si>
    <t>nekton; intertidal creeks; salt marsh; estuaries; habitat structure; fish behavior; oysters; bio-physical coupling</t>
  </si>
  <si>
    <t>TIDAL CREEKS; HOME-RANGE; DECAPOD CRUSTACEANS; COMMUNITY STRUCTURE; SOUTH-CAROLINA; NORTH-CAROLINA; RIVER ESTUARY; EDGE FISHES; ABUNDANCE; HABITATS</t>
  </si>
  <si>
    <t>Spatial variations in nekton use are often attributed to differences in the configuration and composition of habitat. We predicted that differences in nekton use among intertidal creeks were related to certain geomorphological characteristics. We measured or derived 28 features at 8 intertidal creeks in the high salinity North Inlet Estuary, South Carolina, USA. Nekton were collected simultaneously from all creeks once each season for 2 yr. Spatial variations in total abundance and biomass were greater than seasonal variations. Differences of 3- to 30-fold in resident and transient taxa densities occurred among creeks on the same date. Relative use (ranks) was similar among seasons and years. In canonical correlation analyses, depth, steepness, flow, and location were primary factors for total nekton and many taxa. Creeks that were shallow, broad, and filled and emptied slowly supported the greatest use. Total nekton use was not related to creek size, amount of edge, or oyster bottom. Grass shrimp Palaemonetes spp., numerically dominant in 83 % of the collections, responded most to creek shape. Mummichog Fundulus heteroclitus favored shallow creeks with low flow and low proportions of submerged bottom at low tide. Juvenile spot Leiostomus xanthurus and pinfish Lagodon rhomboides were associated with the same features throughout their seasonal periods of occurrence. Persistent differences in nekton use of adjacent intertidal creeks might be explained by behavioral selection for preferred conditions and reoccupation of selected creeks. Geomorphological variations are significant among sites and must be considered when assessing factors affecting nekton use along salinity and other environmental gradients.</t>
  </si>
  <si>
    <t>10.3354/meps329057</t>
  </si>
  <si>
    <t>Jespersen, RG; Leffler, AJ; Oberbauer, SF; Welker, JM</t>
  </si>
  <si>
    <t>Arctic plant ecophysiology and water source utilization in response to altered snow: isotopic (delta O-18 and delta H-2) evidence for meltwater subsidies to deciduous shrubs</t>
  </si>
  <si>
    <t>Alaska; Tundra; Ecohydrology; Water sources; delta O-18; Arctic precipitation; Photosynthesis; Nitrogen; delta C-13</t>
  </si>
  <si>
    <t>REPRODUCTIVE DEVELOPMENT; NITROGEN MINERALIZATION; SUMMER TEMPERATURE; DRYAS-OCTOPETALA; POLAR SEMIDESERT; CLIMATE-CHANGE; SALIX-ARCTICA; DEEPER SNOW; CO2 EFFLUX; TUNDRA</t>
  </si>
  <si>
    <t>Warming-linked woody shrub expansion in the Arctic has critical consequences for ecosystem processes and climate feedbacks. The snow-shrub interaction model has been widely implicated in observed Arctic shrub increases, yet equivocal experimental results regarding nutrient-related components of this model have highlighted the need for a consideration of the increased meltwater predicted in expanding shrub stands. We used a 22-year snow manipulation experiment to simultaneously address the unexplored role of snow meltwater in arctic plant ecophysiology and nutrient-related components of the snow-shrub hypothesis. We coupled measurements of leaf-level gas exchange and leaf tissue chemistry (%N and delta C-13) with an analysis of stable isotopes (delta O-18 and delta H-2) in soil water, precipitation, and stem water. In deeper snow areas photosynthesis, conductance, and leaf N increased and delta C-13 values decreased in the deciduous shrubs, Betula nana and Salix pulchra, and the graminoid, Eriophorum vaginatum, with the strongest treatment effects observed in deciduous shrubs, consistent with predictions of the snow-shrub hypothesis. We also found that deciduous shrubs, especially S. pulchra, obtained much of their water from snow melt early in the growing season (40-50%), more than either E. vaginatum or the evergreen shrub, Rhododendron tomentosum (Ledum palustre). This result provides the basis for adding a meltwater-focused feedback loop to the snow-shrub interaction model of shrub expansion in the Arctic. Our results highlight the critical role of winter snow in the ecophysiology of Arctic plants, particularly deciduous shrubs, and underline the importance of understanding how global warming will affect the Arctic winter snowpack.</t>
  </si>
  <si>
    <t>10.1007/s00442-018-4196-1</t>
  </si>
  <si>
    <t>Plaza, C; Giannetta, B; Fernandez, JM; Lopez-de-Sa, EG; Polo, A; Gasco, G; Mendez, A; Zaccone, C</t>
  </si>
  <si>
    <t>Response of different soil organic matter pools to biochar and organic fertilizers</t>
  </si>
  <si>
    <t>Biochar; Microbial biomass C; Municipal solid waste compost; Physical fractionation; Sewage sludge; Soil respiration; Stable isotopes</t>
  </si>
  <si>
    <t>STABILIZATION MECHANISMS; CARBON SEQUESTRATION; TERM STABILIZATION; BLACK CARBON; DECOMPOSITION; C-13; AMENDMENTS; COMPOST; SPECTROSCOPY; DELTA-C-13</t>
  </si>
  <si>
    <t>A full understanding of the agronomic and environmental potential of biochar, and especially its potential as a C sequestration strategy, requires a full comprehension of its effects on native soil organic matter (SOM), as well as of its interactions with other organic amendments co-applied to the soil. In a field experiment, we investigated changes in quantity and quality of SOM pools characterized by different protection mechanisms as affected by 20 t ha(-1) of biochar added alone or combined with two different organic fertilizers (i.e., municipal solid waste compost and sewage sludge) 8 months after application. In particular, free, intra-macroaggregate, intra-microaggregate, and mineral-associated SOM fractions were separated and analyzed for organic C, total N, and stable isotopic ratios; further, diffuse reflectance infrared Fourier transform spectroscopy was used to examine functional group composition. Soil biomass C content, basal respiration, and metabolic quotient were also determined. Biochar and organic fertilizer application increased significantly SOM content. Biochar accumulated mainly in the free SOM pool, not protected by the soil mineral matrix. Especially noteworthy was the significant interaction effect found between the biochar and organic fertilizer factors on mineral-associated organic C content. This suggested a promoting action of biochar on C stabilization in organically-fertilized soils through the formation of organo-mineral complexes. Organically-fertilized soils had higher microbial C than unfertilized soils. Basal respiration and metabolic quotient, however, were not affected by any of the treatments. As a whole, our results support the potential of biochar application as a strategy to sequester C in soils. (C) 2016 Elsevier B.V. All rights reserved.</t>
  </si>
  <si>
    <t>10.1016/j.agee.2016.04.014</t>
  </si>
  <si>
    <t>Damsgard, B; Dill, LM</t>
  </si>
  <si>
    <t>Risk-taking behavior in weight-compensating coho salmon, Oncorhynchus kisutch</t>
  </si>
  <si>
    <t>coho salmon; Oncorhynchus kisutch; predation; risk taking; Salmonidae; social hierarchy</t>
  </si>
  <si>
    <t>IDEAL FREE DISTRIBUTION; RAINBOW-TROUT; ATLANTIC SALMON; PREDATION RISK; SALVELINUS-ALPINUS; ARCTIC CHARR; SALAR L; COMPETITIVE ABILITY; FOOD-INTAKE; GROWTH</t>
  </si>
  <si>
    <t>The effects of food restriction on predation risk-taking behavior were studied in juvenile coho salmon, Oncorhynchus kisutch, during the period before seawater migration in the spring. A radiographic technique enabled the study of individual food intake in a safe and risky food patch before and after exposure to a piscivorous predator. The study revealed a significant increase in food intake and specific growth rate in the weeks following deprivation, resulting in compensatory growth and a recovery of the weight loss caused by dietary restriction. The increase in food intake resulted from a change in risk-taking behavior. Following a period of diet restriction, the fish habituated faster after predator exposure, and the proportion of fish in the risky patch was significantly higher than before deprivation. Deprived fish took greater shares of the group meal compared with control fish, and the pattern of the individual share of the group meal after food restriction indicated a change in the social hierarchy. This study indicates that risk-taking behavior is state dependent and changes temporarily to compensate for a period of food restriction. The results are discussed in terms of trade-offs between food and risk in a period leading up to an ontogenetic habitat shift.</t>
  </si>
  <si>
    <t>10.1093/beheco/9.1.26</t>
  </si>
  <si>
    <t>Hladyz, S; Abjornsson, K; Giller, PS; Woodward, G</t>
  </si>
  <si>
    <t>Impacts of an aggressive riparian invader on community structure and ecosystem functioning in stream food webs</t>
  </si>
  <si>
    <t>allochthonous subsidies; aquatic ecosystems; autochthonous production; decomposition; ecological stoichiometry; EU Water Framework Directive; invasive plants; Rhododendron ponticum; riparian zone; stable isotopes</t>
  </si>
  <si>
    <t>RHODODENDRON-PONTICUM; LEAF-LITTER; FRESH; INVASION; ECOLOGY; PLANT; ESTABLISHMENT; BIODIVERSITY; EXTRACTION; RESPONSES</t>
  </si>
  <si>
    <t>P&gt;1. Bioassessment in running waters has focused primarily on the impacts of organic pollution on community structure. Other stressors (e.g. invasive species) and impacts on ecosystem processes have been largely ignored in many riverine biomonitoring schemes, despite being required increasingly by environmental legislation. 2. Exotic riparian plants can exert potentially powerful stresses by altering both autochthonous and allochthonous trophic pathways. We examined the impact of Rhododendron ponticum on community structure and three key ecosystem processes (decomposition, primary production, and herbivory) in nine streams bordered by three characteristic vegetation types (deciduous woodland, pasture, or Rhododendron). 3. Community structure and ecosystem process rates differed among vegetation types, with autochthonous pathways being relatively more important in the pasture streams than in the woodland reference streams. Overall ecosystem functioning, however, was compromised in the invaded streams because both allochthonous and autochthonous inputs were impaired. Rhododendron's poor quality litter and densely shaded canopy suppressed decomposition rates and algal production, and the availability of resources to consumer assemblages. 4. Synthesis and applications. Combining measures of invertebrate abundance, rates of litter decomposition and algal production in future bioassessments of stream ecosystem functioning can help to make better informed management decisions and to develop more focused priorities for mediating the negative effects of riparian invasions. We provide a series of specific recommendations for dealing with invasive riparian plants in general, and Rhododendron in particular, in order to minimize their impacts on stream ecosystems. For instance, where the invader produces poor quality litter the canopy should be kept as open as possible over the stream channel to reduce impacts on algal production, thereby retaining alternative food chains that can be exploited by generalist consumers in the absence of viable detrital resources.</t>
  </si>
  <si>
    <t>10.1111/j.1365-2664.2010.01924.x</t>
  </si>
  <si>
    <t>Fox, DL; Pau, S; Taylor, L; Stromberg, CAE; Osborne, CP; Bradshaw, C; Conn, S; Beerling, DJ; Still, CJ</t>
  </si>
  <si>
    <t>Climatic Controls on C-4 Grassland Distributions During the Neogene: A Model-Data Comparison</t>
  </si>
  <si>
    <t>Miocene; Pliocene; C-4 grasses; carbon isotopes; model-data comparison; vegetation models</t>
  </si>
  <si>
    <t>CARBON-ISOTOPE FRACTIONATION; SOUTHERN GREAT-PLAINS; ENVIRONMENTAL-CHANGE; GLOBAL DISTRIBUTION; MIOCENE EXPANSION; ATMOSPHERIC CO2; STOMATAL CONDUCTANCE; ECOSYSTEM FUNCTION; VEGETATION CHANGE; SOUTHWEST KANSAS</t>
  </si>
  <si>
    <t>Grasslands dominated by taxa using the C-4 photosynthetic pathway first developed on several continents during the Neogene and Quaternary, long after C-4 photosynthesis first evolved among grasses. The histories of these ecosystems are relatively well-documented in the geological record from stable carbon isotope measurements (of fossil vertebrate herbivores and paleosols) and the plant microfossil record (pollen and/or phytolith assemblages). The distinct biogeography and ecophysiology of modern C-3 and C-4 grasses have led to hypotheses explaining the origins of C-4 grasslands in terms of long-term changes in the Earth system, such as increased aridity and decreasing atmospheric pCO(2). However, quantitative proxies for key abiotic drivers of these hypotheses (e.g., temperature, precipitation, pCO(2)) are still in development, not yet widely applied at the continental or global scale or throughout the late Cenozoic, and/or remain contentious. Testing these hypotheses globally therefore remains difficult. To understand better the potential links between changes in the Earth system and the origin of C-4 grasslands, we undertook a global-scale comparison between observational records of C-4 plant abundances in Miocene and Pliocene localities compiled from the literature and three increasingly complex models of C-4 physiology, dominance, and abundance. The literature compilation comprises &gt;2,600 delta C-13-values each of fossil terrestrial vertebrates and of paleosol carbonates, which we interpret as primarily proxies for the abundance of C-4 grasses, based on the modern contribution of C-4 grasses to terrestrial net primary productivity. We forced the vegetation models with simulated monthly climates from the HadCM3 family of coupled ocean-atmosphere general circulation models (OAGCMs) over a range of pCO(2)-values for each epoch to model C-4 dominance or abundance in grid cells as: (1) months per year exceeding the temperature at which net carbon assimilation is greater for C-4 than C-3 photosynthesis (crossover temperature model); (2) the number of months per year exceeding the crossover temperature and having sufficient precipitation for growth (&gt;= 25 mm/month; Collatz model); and (3) the Shef field Dynamic Global Vegetation Model (SDGVM), which models multiple plant functional types (PFTs) (C-3 and C-4 grasses, evergreen, and deciduous trees). Model-data agreement is generally weak, although statistically significant for many comparisons, suggesting that regional to local ecological interactions, continent-specific plant evolutionary histories, and/or regional to local climatic conditions not represented in global scale OAGCMs may have been equally strong or stronger in driving the evolution of C-4 grasslands as global changes in the Earth system such as decreases in atmospheric pCO(2) and late Cenozoic global cooling and/or aridification.</t>
  </si>
  <si>
    <t>10.3389/fevo.2018.00147</t>
  </si>
  <si>
    <t>Michaelis, T; Wunderlich, A; Coskun, OK; Orsi, W; Baumann, T; Einsiedl, F</t>
  </si>
  <si>
    <t>High-resolution vertical biogeochemical profiles in the hyporheic zone reveal insights into microbial methane cycling</t>
  </si>
  <si>
    <t>ANAEROBIC OXIDATION; SULFATE REDUCTION; WATER; CARBON; RIVER; NITRATE; MARINE; METHANOGENESIS; ENVIRONMENTS; SEDIMENT</t>
  </si>
  <si>
    <t>Facing the challenges of climate change, policy making relies on sound greenhouse gas (GHG) budgets. Rivers and streams emit large quantities of the potent GHG methane (CH4), but their global impact on atmospheric CH4 concentrations is highly uncertain. In situ data from the hyporheic zone (HZ), where most CH4 is produced and some of it can be oxidized to CO2, are lacking for an accurate description of CH4 production and consumption in streams. To address this, we recorded high-resolution depth-resolved geochemical profiles at five different locations in the stream bed of the river Moosach, southern Germany. Specifically, we measured pore-water concentrations and stable carbon isotopes (delta C-13) of dissolved CH4 as well as relevant electron acceptors for oxidation with a 1 cm vertical depth resolution. Findings were interpreted with the help of a numerical model, and 16S rRNA gene analyses added information on the microbial community at one of the locations. Our data confirm with pore-water CH4 concentrations of up to 1000 mu mol L-1 that large quantities of CH4 are produced in the HZ. Stable isotope measurements of CH4 suggest that hydrogenotrophic methanogenesis represents a dominant pathway for CH4 production in the HZ of the river Moosach, while a relatively high abundance of a novel group of methanogenic archaea, the Candidatus Methanomethyliales (phylum Candidatus Verstraetearchaeota), indicate that CH4 production through H-2 dependent methylotrophic methanogenesis might also be an important CH4 source. Combined isotopic and modeling results clearly implied CH4 oxidation processes at one of the sampled locations, but due to the steep chemical gradients and the close proximity of the oxygen and nitrate reduction zones, no single electron acceptor for this process could be identified. Nevertheless, the numerical modeling results showed potential not only for aerobic CH4 oxidation but also for anaerobic oxidation of CH4 coupled to denitrification. In addition, the nitrate-methane transition zone was characterized by an increased relative abundance of microbial groups (Crenothrix, NC10) known to mediate nitrate and nitrite-dependent methane oxidation in the hyporheic zone. This study demonstrates substantial CH4 production in hyporheic sediments, a potential for aerobic and anaerobic CH4 oxidation, and underlines the high spatiotemporal variability in this habitat.</t>
  </si>
  <si>
    <t>10.5194/bg-19-4551-2022</t>
  </si>
  <si>
    <t>Wang, WZ; McDowell, NG; Ward, ND; Indivero, J; Gunn, C; Bailey, VL</t>
  </si>
  <si>
    <t>Constrained tree growth and gas exchange of seawater-exposed forests in the Pacific Northwest, USA</t>
  </si>
  <si>
    <t>coastal forests; sea-level rise; seawater; tree growth; tree mortality; tree-ring delta C-13</t>
  </si>
  <si>
    <t>CARBON-ISOTOPE DISCRIMINATION; SEA-LEVEL RISE; RADIAL GROWTH; PHYSIOLOGICAL-RESPONSES; PHOTOSYNTHETIC CAPACITY; STOMATAL CONDUCTANCE; STABLE-ISOTOPES; WHITE SPRUCE; WHOLE WOOD; SALINITY</t>
  </si>
  <si>
    <t>Rising sea levels under climate change may have significant impacts on coastal vegetation dynamics, yet the response of coastal forest growth, gas exchange and survival to seawater intrusion remains poorly documented. We conducted a dendroecology study across six sites in western Washington, USA, to examine how tree growth, gas exchange (indexed by basal area increment (BAI) and wood delta C-13 respectively), and survival varies with seawater exposure through two approaches. First, tree core samples were collected at a site where seawater exposure started only 4 years prior to sampling, which allowed a cause-and-effect test of the impacts of seawater exposure on trees, and second, samples were collected at five additional sites where we compared downstream to upstream trees under current sea-level conditions. At the seawater intrusion site, BAI and carbon isotope discrimination (Delta) decreased significantly (p &lt; 0.01) in the year of intrusion (2014) and stayed unchanged thereafter. Four years later (2018), the percentage of recently standing dead trees in the forest was 73.0% of the basal area. Across the regional assessment, percentage of standing dead trees was significantly greater in downstream than upstream forests at five of the six sites (averaged 37.7 +/- 11.0% and 4.3 +/- 2.1% basal area for downstream and upstream, respectively). Growth was significantly lower (p &lt; 0.01) at the downstream than upstream for five sites, and Delta was lower for all needle-leaf trees (three sites) on the downstream compared to the upstream, but no difference was observed between downstream and upstream for broad-leaf trees (three sites). Synthesis. Combined both the cause-and-effect manipulative study and the regional assessment demonstrate that seawater exposure drives reductions in growth, decreased Delta of needle-leaf trees, increased mortality and greater climate sensitivity, regardless of whether the seawater exposure is recent or long-term.</t>
  </si>
  <si>
    <t>10.1111/1365-2745.13225</t>
  </si>
  <si>
    <t>Fraley, KM; Warburton, HJ; Jellyman, PG; Kelly, D; McIntosh, AR</t>
  </si>
  <si>
    <t>The influence of pastoral and native forest land cover, flooding disturbance, and stream size on the trophic ecology of New Zealand streams</t>
  </si>
  <si>
    <t>agricultural effects; community ecology; fish ecology; food webs; streams</t>
  </si>
  <si>
    <t>BENTHIC INVERTEBRATE COMMUNITIES; FOOD-CHAIN LENGTH; LONG-TERM; FISH; LAKE; FLOWS; RIVER; HABITAT; BIOMASS; TROUT</t>
  </si>
  <si>
    <t>Describing trophic structure within freshwater food webs can be a useful tool for understanding relationships to make ecological inferences and to inform management action. A complementary analysis examining both stable isotope (SI) and biomass community components may be useful, because these two responses may be influenced differently by habitat factors and perturbations (e.g. flooding disturbance). To test this, stable isotope-derived trophic height and biomass were characterised, as was coarse allochthonous, periphyton, invertebrate and fish components, for 27 stream communities in Canterbury, New Zealand. Using piecewise structural equation modelling to test relationships between components, it was found that increased catchment agricultural land cover was associated with increased periphyton biomass and delta N-15 (trophic height) in stream invertebrates and invertivorous fishes, likely due to nitrate runoff, but did not affect piscivorous fishes. Additionally, native forest land cover was associated with increased instream allochthonous biomass. Increased discharge (i.e. larger habitat size) did not affect the trophic height or biomass per-unit-area of large-bodied piscivorous fishes (non-native trout and native eels), although it did result in decreased biomass of small-bodied invertivorous fishes (primarily native benthic taxa), likely due to high water velocities in larger habitats rendering habitat less suitable for small-bodied fishes. Finally, flooding disturbance negatively affected both trophic height and biomass of large-bodied fishes, but did not affect small-bodied invertivorous fishes. Overall, describing stream trophic structure with complementary SI and biomass structural equation models appears to be a useful approach for constructing an integrative picture of how abiotic and biotic habitat factors affect freshwater communities. Our findings indicate that land cover, stream size and flooding disturbance should be taken into consideration by stream managers when conducting habitat restoration efforts or setting fish harvest regulations.</t>
  </si>
  <si>
    <t>10.1111/aec.13028</t>
  </si>
  <si>
    <t>Dejean, A; Petitclerc, F; Compin, A; Azemar, F; Corbara, B; Delabie, JHC; Leroy, C</t>
  </si>
  <si>
    <t>Hollow Internodes Permit a Neotropical Understory Plant to Shelter Multiple Mutualistic Ant Species, Obtaining Protection and Nutrient Provisioning (Myrmecotrophy)</t>
  </si>
  <si>
    <t>ant-plant relationships; biotic protection; mutualism; stable isotopes; Tachia guianensis; myrmecotrophy</t>
  </si>
  <si>
    <t>CONSEQUENCES; PARTNERS; ISOPTERA; FITNESS</t>
  </si>
  <si>
    <t>The Neotropical understory plant Tachia guianensis (Gentianaceae)known to shelter the colonies of several ant species in its hollow trunks and branchesdoes not provide them with food rewards (e.g., extrafloral nectar). We tested whether these ants are opportunistic nesters or whether mutualistic relationships exist as for myrmecophytes or plants sheltering ant colonies in specialized hollow structures in exchange for protection from enemies and/or nutrient provisioning (myrmecotrophy). We noted 37 ant species sheltering inside T. guianensis internodes, three of them accounting for 43.5% of the cases. They protect their host plants from leaf-cutting ant defoliation and termite damage because individuals devoid of associated ants suffered significantly more attacks. Using the stable isotope N-15, we experimentally showed that the tested ant species furnish their host plants with nutrients. Therefore, a mutualism exists. However, because it is associated with numerous ant species, T. guianensis can be considered a nonspecialized myrmecophyte.</t>
  </si>
  <si>
    <t>E124</t>
  </si>
  <si>
    <t>E131</t>
  </si>
  <si>
    <t>10.1086/693782</t>
  </si>
  <si>
    <t>Rosenberger, EE; Hampton, SE; Fradkin, SC; Kennedy, BP</t>
  </si>
  <si>
    <t>Effects of shoreline development on the nearshore environment in large deep oligotrophic lakes</t>
  </si>
  <si>
    <t>eutrophication; littoral; Mougeotia; septic systems; sewage</t>
  </si>
  <si>
    <t>RESIDENTIAL DEVELOPMENT; MULTIVARIATE-ANALYSIS; CULTURAL EUTROPHICATION; EPILITHIC PERIPHYTON; PRIMARY PRODUCTIVITY; STABLE-ISOTOPES; FOREST STREAM; WOODY DEBRIS; LEAF-LITTER; NITROGEN</t>
  </si>
  <si>
    <t>1. In large deep oligotrophic lakes, the shallow nearshore waters may provide the most important habitat for animals to feed and breed, and it is this area of the lake where humans are most likely to have initial impacts as the shoreline is developed. Nutrients in fertilizers, sediments and sewage effluents are likely to be rapidly intercepted by nearshore algae at the lake edge, having heterogeneous effects nearshore before offshore effects are noted. 2. Here we examined the spatially explicit effects of residential development on nearshore periphyton communities in three large deep oligotrophic lakes that have all experienced modest residential development in the Pacific Northwest of the United States. We demonstrate that substantial nearshore changes in the basal food web are detectable even with low levels of shoreline development. These changes can potentially affect whole-lake food web dynamics. 3. For our primary study site (Lake Crescent, Washington, USA), we found that algal biomass and accumulation of detritus were higher at developed sites. In addition, both macroinvertebrate and periphyton communities exhibited a shift in composition with more detritivores and filamentous green algae at developed sites. These differences were more pronounced during the spring than at other times of year. 4. A complementary investigation of field patterns in Priest Lake and Lake Pend Oreille (Idaho, USA) suggested that, although spatial and temporal patterns were idiosyncratic, indicators of productivity and the presence of filamentous green algae were generally higher at developed sites across lakes. 5. Stable isotope signatures and water column nutrients were not useful in distinguishing developed and undeveloped sites, increasing the potential usefulness of periphyton monitoring during early stages of lake development. 6. A laboratory investigation suggested that common macroinvertebrate grazers assimilated a much greater proportion of diatoms than the filamentous green algae that are associated with fertilization at developed sites. 7. These findings have at least two clear implications: (i) periphyton may be used to detect human impacts before disturbance is evident in offshore monitoring programmes and (ii) nearshore impacts in response to modest residential development have the potential to disrupt lake food web dynamics.</t>
  </si>
  <si>
    <t>10.1111/j.1365-2427.2008.01990.x</t>
  </si>
  <si>
    <t>Lejeune, B; Clement, V; Nothomb, T; Lepoint, G; Denoel, M</t>
  </si>
  <si>
    <t>Trophic interactions between native newts and introduced mosquitofish suggest invaded ponds may act as demographic sinks</t>
  </si>
  <si>
    <t>Amphibians; Invasive species; Predation; Pond; Resource partitioning; Shallow lake</t>
  </si>
  <si>
    <t>GAMBUSIA-AFFINIS; FACULTATIVE PEDOMORPHOSIS; INVASIVE MOSQUITOFISH; WEIGHT RELATIONSHIPS; STABLE-ISOTOPES; FISH; PREDATION; COMPLEX; INVERTEBRATES; CONSERVATION</t>
  </si>
  <si>
    <t>Alien predator introduction is a global threat to amphibians. Yet, there is a lack of in situ studies of trophic interactions between alien predators and native amphibians, particularly concerning small predatory fish such as mosquitofish. Mosquitofish originate from the United States but have been introduced globally, including intentionally for mosquito control. They cause declines in many amphibian populations but the mechanisms involved have been seldom investigated. Trophic interaction studies (mainly ex situ) reveal negative effects on larval amphibian stages but do not consider interactions with adults. Some site-occupancy studies show no negative association with adult amphibians, suggesting potentially complex demographic impacts and calling for a better characterization of trophic interaction with adult amphibians. Here, we studied in situ trophic interactions between introduced Eastern mosquitofish (Gambusia holbrooki) and pond-breeding palmate newts (Lissotriton helveticus; larvae and adults) using gut content and stable isotope analyses. Mosquitofish had little trophic niche overlap with adult newts. Adult newts foraged mainly on burrowing benthic macroinvertebrates that were little exploited by mosquitofish, the latter focusing mainly on microcrustaceans. Both techniques suggested predation on newt eggs or larvae and cannibalism by mosquitofish. Since native newts were still abundant despite &gt; 50 years of mosquitofish presence and reproductively active but without evidence of larval survival, we argue that ponds invaded by small predatory fish such as mosquitofish may pose a risk by acting as demographic sinks for newts due to their predatory impact on larvae and eggs, but potentially low impact on adults in terms of trophic niche overlap.</t>
  </si>
  <si>
    <t>10.1007/s10530-023-03089-1</t>
  </si>
  <si>
    <t>Golet, WJ; Record, NR; Lehuta, S; Lutcavage, M; Galuardi, B; Cooper, AB; Pershing, AJ</t>
  </si>
  <si>
    <t>The paradox of the pelagics: why bluefin tuna can go hungry in a sea of plenty</t>
  </si>
  <si>
    <t>Bluefin tuna; Herring; Optimal foraging; Condition; Thunnus thynnus</t>
  </si>
  <si>
    <t>HERRING CLUPEA-HARENGUS; COD GADUS-MORHUA; THUNNUS-THYNNUS; POPULATION-STRUCTURE; NORTHWEST ATLANTIC; MARINE ECOSYSTEMS; REGIME SHIFTS; FISH; DIET; DYNAMICS</t>
  </si>
  <si>
    <t>Large marine predators such as tunas and sharks play an important role in structuring marine food webs. Their future populations depend on the environmental conditions they en counter across life history stages and the level of human exploitation. Standard predator-prey relationships suggest favorable conditions (high prey abundance) should result in successful foraging and reproductive output. Here, we demonstrate that these assumptions are not invariably valid across species, and that somatic condition of Atlantic bluefin tuna Thunnus thynnus in the Gulf of Maine declined in the presence of high prey abundance. We show that the paradox of declining bluefin tuna condition during a period of high prey abundance is explained by a change in the size structure of their prey. Specifically, we identified strong correlations between bluefin tuna body condition, the relative abundance of large Atlantic herring Clupea harengus, and the energetic payoff resulting from consuming different sizes of herring. This correlation is consistent with optimal foraging theory, explaining why bluefin tuna condition suffers even when prey is abundant. Furthermore, optimal foraging principles explain a shift in traditional bluefin tuna foraging areas, toward regions with a higher proportion of large herring. Bluefin tuna appear sensitive to changes in the size spectrum of prey rather than prey abundance, impacting their distribution, reproduction and economic value. Fisheries managers will now face the challenge of how to manage for high abundance of small pelagic fish, which benefits benthic fishes and mammalian predators, and maintain a robust size structure beneficial for top predators with alternative foraging strategies.</t>
  </si>
  <si>
    <t>10.3354/meps11260</t>
  </si>
  <si>
    <t>Rodriguez-Malagon, MA; Angel, LP; Speakman, CN; Arnould, JPY</t>
  </si>
  <si>
    <t>Inter- and intra-individual variation in the diet of Australasian gannets Morus serrator</t>
  </si>
  <si>
    <t>Morus; Behavioural consistency; Sulid; Stable isotope analysis; Individual specialisation</t>
  </si>
  <si>
    <t>INDIVIDUAL FORAGING SPECIALIZATION; PORT PHILLIP BAY; LONG-TERM TRENDS; BREEDING SUCCESS; TROPHIC RELATIONSHIPS; REPRODUCTIVE SUCCESS; CLIMATE-CHANGE; STRATEGIES; SEABIRDS; ECOLOGY</t>
  </si>
  <si>
    <t>Animal diets often vary according to age, sex, experience and/or individual preferences, which, when maintained over time, can lead to behavioural consistency and individual specialisations within populations. In addition, behavioural and dietary similarity within breeding pairs confers reproductive benefits in some species. We investigated inter- and intra-individual variation in diet in Australasian gannets Morus serrator through analysis of voluntary regurgitations, blood plasma stable isotopes and reconstructed diets. Samples were collected from nesting adults (mostly partners) over 4 breeding seasons (2012-2015) at 2 colonies (Point Danger, PD; and Pope's Eye, PE), 215 km apart and with divergent oceanographic conditions. Inter-individual variation in delta C-13 and delta N-15 values and reconstructed diets was associated with colony, year, breeding stage and sex. The diet of PD individuals was dominated by pelagic schooling prey species, whereas PE birds consumed a substantial amount of benthic/inshore species. Correspondingly, the proportional similarity in diet of individuals was greater at PD, where individuals foraged within a relatively uniform environment, than at PE, where birds had access to a greater diversity of foraging habitats. Intra-individual variation in isotopic values indicated that trophic consistency was higher over medium timescales (between breeding stages within breeding seasons) than longer timescales (between breeding seasons), in accordance with recently documented temporal patterns of behavioural consistency. Lastly, nest partners consumed prey of similar trophic level (delta N-15 values), although a high degree of similarity did not confer a reproductive advantage to nest partners, and the mechanisms for such similarity are unknown.</t>
  </si>
  <si>
    <t>10.3354/meps13225</t>
  </si>
  <si>
    <t>Young, BG; Ferguson, SH</t>
  </si>
  <si>
    <t>Seasons of the ringed seal: pelagic open-water hyperphagy, benthic feeding over winter and spring fasting during molt</t>
  </si>
  <si>
    <t>ACID SIGNATURE ANALYSIS; STABLE CARBON ISOTOPES; PHOCA-HISPIDA; HUDSON-BAY; LIPID EXTRACTION; FATTY-ACIDS; TROPHIC RELATIONSHIPS; REPRODUCTIVE RATES; CLIMATE-CHANGE; PUSA-HISPIDA</t>
  </si>
  <si>
    <t>Context. The ringed seal (Phoca hispida), a small phocid seal with a circumpolar Arctic distribution and a strong association with sea ice, occurs at the southern limit of its range in Hudson and James Bays: an area that experiences complete ice cover in winter and complete open water in summer. Because of the high seasonal variability in environmental conditions, it is expected that ringed seals experience seasonal changes in diet and foraging habitat, which will be reflected in body condition and biomarkers of stable isotopes and fatty acids. Aims. The purpose of the present study was to investigate intra-annual variation in the feeding habits and body condition of the ringed seal. Methods. Tissue samples and morphological measurements from south-eastern Hudson Bay ringed seals were obtained every month during the Inuit subsistence hunt from November 2009 to May 2011 (n = 192). Muscle samples were used for delta N-15 and delta C-13 stable isotope analysis, blubber was used for analysis of fatty acid composition, bodyweight and sculp weight were used to estimate percentage blubber, and lower right canines were used to determine age. Key results. Fatty acid composition, d15N, and d13C varied significantly by season, suggesting seasonal changes in foraging habitat and diet. Variation in percentage blubber indicated that poorest body condition occurs following the molting and fasting period, followed by a gradual increase from late summer through fall, with the highest body condition occurring in time for freeze-up in December. Key conclusions. Patterns of d13C indicate pelagic feeding during the open-water season (August-December) when fat and energy stores are replenished, increased benthic foraging during the period of ice cover (January-May), followed by a period of fasting during the spring molt (June-July). Fatty acid composition suggested seasonal changes in diet that could include increased importance of pelagic fish in the fall during the period of positive energy balance. Implications. The first continuous collection of ringed seal tissue samples provided a comprehensive seasonal pattern of biomarker composition, which is baseline data that have important applications for short-term management and ecology studies as well as long-term conservation and monitoring programs.</t>
  </si>
  <si>
    <t>10.1071/WR12168</t>
  </si>
  <si>
    <t>Balestrini, R; Sacchi, E; Tidili, D; Delconte, CA; Buffagni, A</t>
  </si>
  <si>
    <t>Factors affecting agricultural nitrogen removal in riparian strips: Examples from groundwater-dependent ecosystems of the Po Valley (Northern Italy)</t>
  </si>
  <si>
    <t>Nitrate; Denitrification; Hydrology; Topography; Soil; Isotopes</t>
  </si>
  <si>
    <t>BUFFER STRIPS; NITRATE REMOVAL; DENITRIFICATION; STREAM; ZONE; LANDSCAPE; WIDTH; WATER; SOIL; METAANALYSIS</t>
  </si>
  <si>
    <t>The role of riparian ecosystems in mitigating the effects of diffuse agricultural sources is recognized in several regulatory measures and public policy initiatives in many parts of the world. This study aimed to evaluate the N buffering capacity of semi-natural riparian zones associated with spring-fed lowland streams, also known as fontanili, representing the most important groundwater-dependent ecosystems in Northern Italy. Monitoring parcels were set up in nine riparian sites selected to cover a range of different soil properties and hydrogeological settings, and to sustain the evaluation of the main drivers affecting their N removal efficiency. Subsurface water level, nutrient concentrations and the main hydro-chemical parameters were monitored along transects of piezometers installed from crop fields to the spring channels. On selected samples from two sites stable isotopes of the water molecule were also determined. Median NO3- input concentrations from adjacent cropland to the riparian sites ranged from 0.10 to 21 mg NL-1, with maximum values exceeding the drinking water limit recorded during the summer and winter fertilization periods. Highly variable groundwater nitrate patterns were found in the riparian areas, including short nitrate plumes extending from the adjacent cropland into some riparian zones, or in others, small patches where NO3- declined at variable distance from the stream. Some chemical indicators (e.g., NO3-/Cl- ratio, O-2, DOC) suggested that NO3- attenuation was mostly due to the denitrifying activity occurring in the subsurface aquifers in specific conditions (hot spots and moments), although, in some cases, physical processes such as dilution also contributed. The overall N removal efficiency was greater than 90% in four sites, 74%, 34% and 30% in three sites, and zero in the remaining two sites. Useful predictors of the nitrate removal capacity were factors linked to the water residence time, such as the hydraulic conductivity, the soil texture and the slope of the riparian profile, together with the water table depth and soil organic carbon. A combination by standardized averaging of these five factors supported a clear discrimination of sites with zero or low N removal effectiveness from those with high efficiency. (C) 2016 Elsevier B.V. All rights reserved.</t>
  </si>
  <si>
    <t>10.1016/j.agee.2016.01.034</t>
  </si>
  <si>
    <t>Kobayashi, R; Maezono, Y; Miyashita, T</t>
  </si>
  <si>
    <t>The importance of allochthonous litter input on the biomass of an alien crayfish in farm ponds</t>
  </si>
  <si>
    <t>Bottom-up; Detritus; Energy source; Exotic crayfish; Procambarus clarkii; Stable isotope</t>
  </si>
  <si>
    <t>PROCAMBARUS-CLARKII; STABLE-ISOTOPES; TROPHIC POSITION; NEW-ZEALAND; PACIFASTACUS-LENIUSCULUS; PARANEPHROPS-ZEALANDICUS; APPARENT COMPETITION; HEADWATER STREAMS; EXOTIC CRAYFISH; PASTURE STREAMS</t>
  </si>
  <si>
    <t>To evaluate the effects of allochthonous litter input on the population density of invasive red swamp crayfish (Procambarus clarkii) in Japanese farm ponds, we analyzed gut contents, stable isotope ratios, and the correlation between crayfish biomass and environmental factors in the ponds. For our correlation analysis, we used Akaike's information criterion (AIC) corrected for small sample size (AIC(C)) to select appropriate models within the generalized linear model. Allochthonous litter input was the most influential variable affecting crayfish biomass, followed by pond area. Gut content analysis demonstrated a positive correlation between the percentage of litter in the crayfish gut and the amount of litter input into the pond from which animals were collected. Crayfish delta(13)C became increasingly similar to litter delta(13)C as litter input into ponds increased. Nitrogen isotope signature analysis suggested that microorganisms attached to litter may contribute to crayfish diet. The above results obtained by three complementary approaches demonstrated an important influence of allochthonous litter input on crayfish biomass in farm ponds. We propose that the appropriate management of surrounding forests may be effective in controlling the abundance of exotic crayfish with minimized impacts on native communities.</t>
  </si>
  <si>
    <t>10.1007/s10144-011-0268-3</t>
  </si>
  <si>
    <t>Sternberg, LD; Pinzon, MC; Moreira, MZ; Moutinho, P; Rojas, EI; Herre, EA</t>
  </si>
  <si>
    <t>Plants use macronutrients accumulated in leaf-cutting ant nests</t>
  </si>
  <si>
    <t>leaf-cutting ants; Atta; nitrogen isotopes; nutrients; tropical forests; savannahs</t>
  </si>
  <si>
    <t>ROOT DISTRIBUTION; TROPICAL FORESTS; ATTA-CEPHALOTES; COLOMBICA; COLONIES; CALCIUM; GROWTH</t>
  </si>
  <si>
    <t>Leaf-cutting ants (Atta spp.) are known for their extensive defoliation in neo-tropical forests and savannahs. Debate about the costs and benefits of their activities has been largely dominated by their detrimental effects on agriculture and agroforestry. However, the large accumulation of nutrients and changes in soil properties near their nests might benefit plants growing near them. Here, we test whether trees use nutrients that accumulate in debris piles near, or refuse chambers within, leaf-cutting ant nests. At two tropical sites ( a moist tropical forest site in Panama and a savannah site in Brazil), we fed leaves labelled with the stable isotope N-15 to two species of leaf-cutting ants (Atta colombica and Atta laevigata) and traced the stable isotope label in plants surrounding the two nests. Thus, we show that plants in both sites access resources associated with Atta nests. In addition, leaf tissue of trees near the nests labelled with N-15 had significantly higher calcium concentrations than those of distal, unlabelled conspecifics. It has been documented that calcium is a limiting macronutrient in tropical forests and savannahs. Atta may thus play an important ecological role through their long-distance transport, redistribution and concentration of critical macronutrients.</t>
  </si>
  <si>
    <t>10.1098/rspb.2006.3746</t>
  </si>
  <si>
    <t>Korth, F; Deutsch, B; Frey, C; Moros, C; Voss, M</t>
  </si>
  <si>
    <t>Nitrate source identification in the Baltic Sea using its isotopic ratios in combination with a Bayesian isotope mixing model</t>
  </si>
  <si>
    <t>NITROGEN-FIXATION; ANTHROPOGENIC NITROGEN; ATMOSPHERIC NITROGEN; NUTRIENT LIMITATION; STABLE-ISOTOPES; OXYGEN ISOTOPES; FRESH-WATER; GULF; CYANOBACTERIA; BLOOMS</t>
  </si>
  <si>
    <t>Nitrate (NO3-) is the major nutrient responsible for coastal eutrophication worldwide and its production is related to intensive food production and fossil-fuel combustion. In the Baltic Sea NO3- inputs have increased 4-fold over recent decades and now remain constantly high. NO3- source identification is therefore an important consideration in environmental management strategies. In this study focusing on the Baltic Sea, we used a method to estimate the proportional contributions of NO3- from atmospheric deposition, N-2 fixation, and runoff from pristine soils as well as from agricultural land. Our approach combines data on the dual isotopes of NO3- (delta N-15-NO3- and delta O-18-NO3-) in winter surface waters with a Bayesian isotope mixing model (Stable Isotope Analysis in R, SIAR). Based on data gathered from 47 sampling locations over the entire Baltic Sea, the majority of the NO3- in the southern Baltic was shown to derive from runoff from agricultural land (33-100 %), whereas in the northern Baltic, i.e. the Gulf of Bothnia, NO3- originates from nitrification in pristine soils (34-100 %). Atmospheric deposition accounts for only a small percentage of NO3- levels in the Baltic Sea, except for contributions from northern rivers, where the levels of atmospheric NO3- are higher. An additional important source in the central Baltic Sea is N-2 fixation by diazotrophs, which contributes 49-65% of the overall NO3- pool at this site. The results obtained with this method are in good agreement with source estimates based upon delta N-15 values in sediments and a three-dimensional ecosystem model, ERGOM. We suggest that this approach can be easily modified to determine NO3- sources in other marginal seas or larger near-coastal areas where NO3- is abundant in winter surface waters when fractionation processes are minor.</t>
  </si>
  <si>
    <t>10.5194/bg-11-4913-2014</t>
  </si>
  <si>
    <t>Loewen, CJG; Strecker, AL; Larson, GL; Vogel, A; Fischer, JM; Vinebrooke, RD</t>
  </si>
  <si>
    <t>Macroecological drivers of zooplankton communities across the mountains of western North America</t>
  </si>
  <si>
    <t>connectivity; functional traits; mountain zooplankton</t>
  </si>
  <si>
    <t>WATER CHEMISTRY; RELATIVE IMPORTANCE; BETA DIVERSITY; NATIONAL-PARK; ALPINE LAKES; CLIMATE; FRAMEWORK; PATTERNS; METACOMMUNITIES; BIOGEOGRAPHY</t>
  </si>
  <si>
    <t>Disentangling the environmental and spatial drivers of biological communities across large scales increasingly challenges modern ecology in a rapidly changing world. Here, we investigate the hierarchical and trait-based organization of regional and local factors of zooplankton communities at a macroscale of 1240 mountain lakes and ponds spanning western North America (California, USA, to Yukon Territory, Canada). Variation partitioning was used to test the hypothesized importance of climate, connectivity, catchment features, and exotic sportfish to zooplankton beta-diversity in the context of key functional traits (body size and reproductive dispersal potential) given the pronounced environmental heterogeneity (e.g. thermal gradients), topographic barriers, and legacy of stocked fish in mountainous regions. Dispersal limitation was inferred from multispecies patch connectivity estimates based on nearest and average distances to occupied patches. Environmental heterogeneity best explained community composition as catchment/lake features (morphometry, land cover, and lithology) collectively captured greater variation than did climate (temperature, precipitation, and solar radiation), local stocking, or connectivity; however, single climatic variables captured the most variation individually. Macrospatial variation by larger obligate sexual species was better explained than that by smaller cyclically parthenogenetic asexual species. Our results provide several novel insights into the macroecology of zooplankton of the North American Cordillera, demonstrating their stronger associations to climatically driven aquatic-terrestrial habitat coupling than dynamics arising from introduced salmonids, human land-use, or species dispersal. These findings highlight the clear and important role of these communities as bioindicators of the limnological impacts of accelerating rates of climate change, as their responses appear relatively not confounded by local human perturbations or dispersal limitation.</t>
  </si>
  <si>
    <t>10.1111/ecog.03817</t>
  </si>
  <si>
    <t>Campbell, EY; Dunham, JB; Reeves, GH</t>
  </si>
  <si>
    <t>Linkages between temperature, macroinvertebrates, and young-of-year Coho Salmon growth in surface-water and groundwater streams</t>
  </si>
  <si>
    <t>salmon; temperature; macroinvertebrates; growth; phenology; groundwater; surface-water; Alaska</t>
  </si>
  <si>
    <t>FISH BIOENERGETICS MODELS; LENGTH-MASS RELATIONSHIPS; COPPER RIVER DELTA; LIFE-HISTORY; CLIMATE-CHANGE; RAINBOW-TROUT; TERRESTRIAL INVERTEBRATES; ONCORHYNCHUS-KISUTCH; ATLANTIC SALMON; THERMAL REGIMES</t>
  </si>
  <si>
    <t>Ecological resources for fishes in stream food webs shift over space and time, providing a complex template of available resources that can be used for growth. We tracked water temperature in conjunction with young-of-year Coho Salmon size, growth, and diet in 2 streams with contrasting thermal regimes: a groundwater stream with colder temperatures and lower thermal variability all year and a surface-water stream with greater thermal variability and warmer summer temperatures more conducive to young-of-year salmon growth. We hypothesized that fry emergence would occur when rearing conditions are optimal for growth and that, all else being equal, summer fish growth will be greater in the surface-water stream. Previous work on Coho Salmon phenology in these streams showed that peak fry emergence occurred at the same time in early summer in both streams. We measured salmon fry emergence in relation to thermal variability and macroinvertebrate prey availability with subsequent tracking of somatic growth, diet, and body size during the 1(st)year of life in both streams. Macroinvertebrate prey availability was highest overall in the colder and thermally-stable groundwater stream than the surface-water stream. Prey availability was particularly high in the thalweg drift during peak fry emergence in the groundwater stream. There was no difference in Coho Salmon diet composition between streams, which included invertebrates from benthic, drift, and riparian habitats. We found no differences in young-of-year Coho Salmon body size, growth, or consumption between streams. Overall, our results suggest that large differences in thermal regimes do not necessarily translate to large differences in young-of-year Coho Salmon size, growth, or diet. Many variables can influence fish growth, and there is not always a direct connection between spatial and temporal dimensions of environmental variability and their cascading effects on young-of-year Coho Salmon growth during the 1(st)summer of life.</t>
  </si>
  <si>
    <t>10.1086/710042</t>
  </si>
  <si>
    <t>Borthagaray, AI; Arim, M; Marquet, PA</t>
  </si>
  <si>
    <t>Connecting landscape structure and patterns in body size distributions</t>
  </si>
  <si>
    <t>DIVERSITY; AREA; CONSEQUENCES; EVOLUTION; DYNAMICS</t>
  </si>
  <si>
    <t>Understanding the interaction between community structure and landscape structure represents a pressing theoretical challenge of great applied importance considering the increasing structural modification of ecosystems through habitat loss and fragmentation. Dispersal ability and energetic demands coupled to body size determine the landscape structure experienced by an organism, which could essentially be fragmented for small individuals but continuous for large ones. Although discontinuities in species assemblages have been predicted and detected, no explicit association between habitat structure and body size distributions has been demonstrated. In this contribution, we propose that body size structure in local communities should reflect such different perceptions of landscape structure. To this end, we explore this association in a simple metacommunity located in the Atacama Desert, in northern Chile. Using graph theory we found that species of different size and trophic position (carnivores and herbivores) perceive the landscape at contrasting spatial scales. In each community (n = 31) we determined the observed and the expected body size distributions in a random sample from the metacommunity of 18 727 individuals , which allowed us to identify the body sizes at which an overrepresentation or underrepresentation of individuals occur. Such aggregations and discontinuities in body sizes were related, for carnivores, to patch location within the landscape, and to the internal banded vegetation pattern within patches for herbivores. Our study shows, for the first time, an empirical connection between the spatial distribution of communities, their local attributes, and the existence and locations of discontinuities and aggregations in body size distributions.</t>
  </si>
  <si>
    <t>10.1111/j.1600-0706.2011.19548.x</t>
  </si>
  <si>
    <t>Rosa, DM; de Sene, AM; Moreira, MZ; Pompeu, PS</t>
  </si>
  <si>
    <t>Non-native prey species supporting fish assemblage biomass in a Neotropical reservoir</t>
  </si>
  <si>
    <t>Non-native species; Predation; Trophic interactions; Stable isotopes; Energy pathways</t>
  </si>
  <si>
    <t>The present study aimed to investigate the role of four non-native invertebrates in supporting fish biomass as well as their influence on the carbon flow into the Volta Grande reservoir food web. The fish samples were carried out quarterly between October 2015 and July 2016 using gillnets. At the sampled sites, four non-native invertebrates (golden mussel, Asian clam, trumpet snail and Amazonian prawn), which are potential prey for fish in the Volta Grande reservoir, were collected by targeted sampling using a Petersen-type bottom dredger and semi-circular sieves. The gut contents of the fish were collected and analyzed under stereoscope, and samples of muscle tissue of these fish, as well as the four non-native invertebrate species sampled, were submitted for isotopic analysis. Results obtained by the present study, by both gut content and stable isotopic analyses, pointed to a trophic structure where non-native species represent not only a strong component of the fish community, but also their main carbon source. Based on gut contents and isotopic mixing models, we found that together, non-native prey are essential carbon sources for the fish fauna, fuelling more than 40.0% of the biomass in four dominant fish species. The consumption rate of non-native bivalves by the native omnivorous fish Leporinus friderici suggested these filter-feeding organisms potentially constitute an important trophic connection between littoral consumers and pelagic energy sources. In addition, non-native prey were also prominent carbon sources for non-native fish, fuelling more than half of the biomass in peacock bass and silver croaker, suggesting these prey have a fundamental role in maintaining non-native fish populations in this system. Our results may help to understand fundamental ecological issues bringing to light the extent to which these new combinations of species influence the energy flow and ecosystem properties of the Volta Grande reservoir.</t>
  </si>
  <si>
    <t>10.1007/s10530-021-02510-x</t>
  </si>
  <si>
    <t>Williams, CM; Mccue, MD; Sunny, NE; Szejner-Sigal, A; Morgan, TJ; Allison, DB; Hahn, DA</t>
  </si>
  <si>
    <t>Cold adaptation increases rates of nutrient flow and metabolic plasticity during cold exposure in Drosophila melanogaster</t>
  </si>
  <si>
    <t>chill coma; metabolism; insect; ectotherm; stable isotopes; stress hardiness</t>
  </si>
  <si>
    <t>CHILL-COMA RECOVERY; CORRELATED RESPONSES; CLIMATE-CHANGE; TOLERANCE; SELECTION; SENSITIVITY; EVOLUTIONARY; HOMEOSTASIS; DISRUPTION; TIME</t>
  </si>
  <si>
    <t>Metabolic flexibility is an important component of adaptation to stressful environments, including thermal stress and latitudinal adaptation. A long history of population genetic studies suggest that selection on core metabolic enzymes may shape life histories by altering metabolic flux. However, the direct relationship between selection on thermal stress hardiness and metabolic flux has not previously been tested. We investigated flexibility of nutrient catabolism during cold stress in Drosophila melanogaster artificially selected for fast or slow recovery from chill coma (i.e. cold-hardy or-susceptible), specifically testing the hypothesis that stress adaptation increases metabolic turnover. Using C-13-labelled glucose, we first showed that cold-hardy flies more rapidly incorporate ingested carbon into amino acids and newly synthesized glucose, permitting rapid synthesis of proline, a compound shown elsewhere to improve survival of cold stress. Second, using glucose and leucine tracers we showed that cold-hardy flies had higher oxidation rates than cold susceptible flies before cold exposure, similar oxidation rates during cold exposure, and returned to higher oxidation rates during recovery. Additionally, cold-hardy flies transferred compounds among body pools more rapidly during cold exposure and recovery. Increased metabolic turnover may allow cold-adapted flies to better prepare for, resist and repair/tolerate cold damage. This work illustrates for the first time differences in nutrient fluxes associated with cold adaptation, suggesting that metabolic costs associated with cold hardiness could invoke resource-based trade-offs that shape life histories.</t>
  </si>
  <si>
    <t>10.1098/rspb.2016.1317</t>
  </si>
  <si>
    <t>Lois, NA; Campagna, L; Balza, U; Polito, MJ; Puetz, K; Vianna, JA; Morgenthaler, A; Frere, E; Saenz-Samaniego, R; Rey, AR; Mahler, B</t>
  </si>
  <si>
    <t>Metapopulation dynamics and foraging plasticity in a highly vagile seabird, the southern rockhopper penguin</t>
  </si>
  <si>
    <t>ddRAD; Eudyptes chrysocome; population dynamics; SIBER; trophic niche</t>
  </si>
  <si>
    <t>GENETIC-STRUCTURE; POPULATION; INFERENCE; CHRYSOCOME; AREAS; NICHE; SEGREGATION; PREDATORS; TOOL</t>
  </si>
  <si>
    <t>Population connectivity is driven by individual dispersal potential and modulated by natal philopatry. In seabirds, high vagility facilitates dispersal yet philopatry is also common, with foraging area overlap often correlated with population connectivity. We assess the interplay between these processes by studying past and current connectivity and foraging niche overlap among southern rockhopper penguin colonies of the coast of southern South America using genomic and stable isotope analyses. We found two distinct genetic clusters and detected low admixture between northern and southern colonies. Stable isotope analysis indicated niche variability between colonies, with Malvinas/Falklands colonies encompassing the species entire isotopic foraging niche, while the remaining colonies had smaller, nonoverlapping niches. A recently founded colony in continental Patagonia differed in isotopic niche width and position with Malvinas/Falklands colonies, its genetically identified founder population, suggesting the exploitation of novel foraging areas and/or prey items. Additionally, dispersing individuals found dead across the Patagonian shore in an unusual mortality event were also assigned to the northern cluster, suggesting northern individuals reach southern localities, but do not breed in these colonies. Facilitated by variability in foraging strategies, and especially during unfavorable conditions, the number of dispersing individuals may increase and enhance the probability of founding new colonies. Metapopulation demographic dynamics in seabirds should account for interannual variability in dispersal behavior and pay special attention to extreme climatic events, classically related to negative effects on population trends.</t>
  </si>
  <si>
    <t>10.1002/ece3.6127</t>
  </si>
  <si>
    <t>Young, RC; Orben, RA; Will, AP; Kitaysky, AS</t>
  </si>
  <si>
    <t>Relationship between telomere dynamics and movement and behavior during winter in the thick-billed murre</t>
  </si>
  <si>
    <t>Telomeres; Carry-over effects; Feather corticosterone; Stable isotope analysis; Migration; Thick-billed murre; Uria lomvia; Wintering grounds; Geolocator</t>
  </si>
  <si>
    <t>ENVIRONMENTAL-CONDITIONS; REPRODUCTIVE SUCCESS; NEOTROPICAL MIGRANTS; MIGRATORY BIRD; LONG-TERM; LIFE-SPAN; LENGTH; CORTICOSTERONE; SEABIRD; QUALITY</t>
  </si>
  <si>
    <t>Connecting the life history stages of the annual cycle via carry-over effects crucially informs estimates of mortality and reproduction. This study explores variables linking the breeding and wintering seasons in a pursuit-diving seabird, the thick-billed murre Uria lomvia. We deployed global location sensing loggers on chick-rearing murres breeding in the southeastern Bering Sea to examine subsequent overwinter locations and foraging behavior. In the tracked individuals, we measured individual telomere length and longitudinal telomere length changes in blood and used feathers molted during fall and early spring to assess trophic niche (via stable isotopes) and stress levels (as reflected in feather corticosterone levels). Longitudinal changes in telomere length were better predicted by winter diving parameters than by geographic distribution and movement variables, such that birds that foraged more intensely (more time diving, more dive bouts) also experienced higher telomere loss. This indicates that in a pursuit-diving species with high flight costs, patterns of water-column use through diving may be more important than horizontal spatial movement for predicting physiological changes underlying carry-over effects. We conclude that telomere dynamics might be used as an indicator connecting behavior and physiological stress from season to season.</t>
  </si>
  <si>
    <t>10.3354/meps12022</t>
  </si>
  <si>
    <t>Cohen, RA; Fong, P</t>
  </si>
  <si>
    <t>Nitrogen uptake and assimilation in Enteromorpha intestinalis (L.) Link (Chlorophyta): using N-15 to determine preference during simultaneous pulses of nitrate and ammonium</t>
  </si>
  <si>
    <t>ammonium; Enteromorpha intestinalis; estuaries; macroalgae; nitrate; stable isotopes</t>
  </si>
  <si>
    <t>NUTRIENT LIMITATION; INORGANIC NITROGEN; ULVA-FENESTRATA; COASTAL LAGOONS; WAQUOIT BAY; MACROALGAE; ALGAE; EUTROPHICATION; CONSEQUENCES; ENRICHMENT</t>
  </si>
  <si>
    <t>We investigated the ability of Enteromorpha intestinalis (L.) Link to take up pulses of different species of nitrogen simultaneously, as this would be an important mechanism to enhance bloom ability in estuaries. Uptake rates and preference for NH4+ or NO3- following 1, 3, 6, 9, 12 or 24 h of exposure to either (NH4NO3)-N-15 or (NH4NO3)-N-15 were determined by disappearance of N from the medium. Differences in assimilation rates for NH+4 or NO3- were quantified by the accumulation of NH4+, NO3-, and atom % N-15 in the algal tissue. NH4+ concentration was reduced more quickly than water NO3- concentration. Water column NH4+ concentration after the longest time interval was reduced from 300 to 50 muM. Water NO3- was reduced from 300 to 150 muM. The presence of N-15 or N-14 had no effect on uptake of either NH4+ or NO3. N-15 was removed from the water at an almost identical rate and magnitude as N-14. Differences in accumulation of (NH4+)-N-15 and (NO3-)-N-15 in the tissue reflected disappearance from the water; N-15 from NH4+ accumulated faster and reached an atom % twice that of N-15 from NO3-. This outcome suggested that when NH4+ and NO3- were supplied in equal concentrations, more NH4+ was taken up and assimilated. The ability to take up high concentrations of NH4+, and NO3- simultaneously is important for bloom-forming species of estuarine macroalgae subject to multiple nutrient species from various sources. (C) 2004 Elsevier B.V. All rights reserved.</t>
  </si>
  <si>
    <t>10.1016/j.jembe.2004.03.009</t>
  </si>
  <si>
    <t>Ord, TJ; Hundt, PJ</t>
  </si>
  <si>
    <t>Crossing extreme habitat boundaries: Jack-of-all-trades facilitates invasion but is eroded by adaptation to a master-of-one</t>
  </si>
  <si>
    <t>Blenniidae; body size; contextual plasticity; diet; intertidal; land invasion; supralittoral; tooth morphology</t>
  </si>
  <si>
    <t>PHENOTYPIC PLASTICITY; ECOLOGICAL OPPORTUNITY; EVOLUTION; DIVERSIFICATION; BLENNIIDAE; SELECTION; LIZARDS; COLONIZATION; SPECIALISTS; SPECIATION</t>
  </si>
  <si>
    <t>The invasion of new environments can be a key instigator of adaptive diversification, but the likelihood of such invasions succeeding can depend on the attributes of would-be invaders. Chief among these seems to be a generalist or 'jack-off-all-trades' phenotype. Yet, despite the obvious link between habitat transitions and adaptation, we know surprisingly little about how phenotypes that might initially allow taxa to transition between habitats subsequently evolve or influence post-invasion differentiation. We tested how a generalist phenotype of a broad diet and behavioural plasticity in marine blenny fish has facilitated the repeated invasion of extreme environments-particularly land-and how the conditions post-invasion have impacted that generalist phenotype and associated trophic morphology. Our data show that a wide diet and plasticity in being able to shift between environments freely have been instrumental in the progressive invasion of land by amphibious blennies. Once established, however, terrestrial blennies have experienced strong stabilizing selection for a restricted diet, little to no plasticity and a highly specialized morphology. Instead of promoting diversification, the invasion of land appears to offer only a limited niche for survival, constraining descendent blennies to a specific adaptive phenotype. While our study supports the view that generalism facilitates invasion and that habitat transitions instigate adaptation, it also shows a generalist strategy is not optimal for successful establishment and new environments may offer fewer (not more) opportunities for diversification. This has broad implications for how taxa might be expected to respond or adapt to abrupt environmental change more generally. A freeplain language summarycan be found within the Supporting Information of this article.</t>
  </si>
  <si>
    <t>10.1111/1365-2435.13600</t>
  </si>
  <si>
    <t>Wimp, GM; Lewis, D; Murphy, SM</t>
  </si>
  <si>
    <t>Impacts of Nutrient Subsidies on Salt Marsh Arthropod Food Webs: A Latitudinal Survey</t>
  </si>
  <si>
    <t>eutrophication; food web structure; latitudinal gradient; nitrogen; nutrient subsidies; salt marsh</t>
  </si>
  <si>
    <t>SAP-FEEDING INSECTS; BOTTOM-UP FORCES; INTRAGUILD PREDATION; SPARTINA-ALTERNIFLORA; PHYTOPHAGOUS INSECT; TOP-DOWN; RELATIVE STRENGTH; CONSUMER CONTROL; NITROGEN-SOURCES; VEGETATION</t>
  </si>
  <si>
    <t>Anthropogenic nutrient inputs into native ecosystems cause fluctuations in resources that normally limit plant growth, which has important consequences for associated foodwebs. Such inputs from agricultural and urban habitats into nearby natural systems are increasing globally and can be highly variable. Despite the global increase in anthropogenically-derived nutrient inputs into native ecosystems, the consequences of variation in subsidy amount on native plants and their associated foodwebs are poorly known. Salt marshes represent an ideal system to address the differential impacts of nutrient inputs on ecosystem and community dynamics because human development and other anthropogenic activities lead to recurrent introductions of nutrients into these natural systems. Previously, we have found in manipulative experiments that arthropod abundance increases in response to nutrient enrichment, with predators being the trophic group most strongly affected. We conducted a survey of Atlantic coastal Spartina marshes to test whether such local responses are indicative of responses at a landscape level. We examined the most abundant arthropod species associated with Spartina coastal marshes that receive variable amounts of anthropogenic nitrogen, and tested how this response varied across different arthropod functional groups (herbivores, epigeic feeders, and predators). Similar to what we found at a local scale, nutrient subsidies alter the trophic structure of the arthropod assemblage by changing the relative abundances of various feeding groups. Variable responses among predators to nitrogen density could be partly explained by diet breadth (e.g., generalists vs. specialists). Herbivores had a negative response to increasing plant nitrogen density; specialist predators tracked their herbivore prey and thus also responded negatively to nitrogen density. However, generalists were not negatively affected by nitrogen density and indeed some generalist predators responded positively to nitrogen density. Thus, the overall predator-to-herbivore ratio was also positively associated with nitrogen density. Our research helps us to understand how long-term nutrient enrichment of native ecosystems by human activities affects arthropod assemblages and foodweb dynamics.</t>
  </si>
  <si>
    <t>10.3389/fevo.2019.00350</t>
  </si>
  <si>
    <t>Lai, CT; Ehleringer, J</t>
  </si>
  <si>
    <t>Deuterium excess reveals diurnal sources of water vapor in forest air</t>
  </si>
  <si>
    <t>Water cycle; Atmospheric entrainment; Precipitation; Oxygen isotopes; Evapotranspiration; Land-atmosphere interaction</t>
  </si>
  <si>
    <t>STABLE-ISOTOPE COMPOSITION; GENERAL-CIRCULATION MODEL; LEAF WATER; PRECIPITATION; EVAPORATION; DELTA-O-18; TRANSPIRATION; ATMOSPHERE; O-18/O-16; MOISTURE</t>
  </si>
  <si>
    <t>An understanding of atmospheric water vapor content and its isotopic composition is important if we are to be able to model future water vapor dynamics and their potential feedback on future climate change. Here we present diurnal and vertical patterns of water isotope ratios in forest air (delta H-2(v) and delta O-18(v)) not observed previously. Water vapor observed at three heights over 3 consecutive days in a coniferous forest in the Pacific Northwest of the United States, shows a stratified nocturnal structure of delta H-2(v) and delta O-18(v), with the most positive values consistently observed above the canopy (60 m). Differences between 0.5 m and 60 m range between 2-6aEuro degrees for delta O-18 and 20-40aEuro degrees for delta H-2 at night. Using a box model, we simulated H2O isotope fluxes and showed that the low to high delta H-2(v) and delta O-18(v) profiles can be explained by the vapor flux associated with evaporation from the forest floor and canopy transpiration. We used d-excess as a diagnostic tracer to identify processes that contribute to the diurnal variation in atmospheric moisture. Values of d-excess derived from water vapor measurements showed a repeated diel pattern, with the lowest values occurring in the early morning and the highest values occurring at midday. The isotopic composition of rain water, collected during a light rain event in the first morning of our experiment, suggested that considerable below-cloud secondary evaporation occurred during the descent of raindrops. We conclude that atmospheric entrainment appears to drive the isotopic variation of water vapor in the early morning when the convective boundary layer rapidly develops, while evapotranspiration becomes more important in the mid-afternoon as a primary moisture source of water vapor in this forest. Our results demonstrate the interplay between the effects of vegetation and boundary layer mixing under the influence of rain evaporation, which has implications for larger-scale predictions of precipitation across the terrestrial landscape.</t>
  </si>
  <si>
    <t>10.1007/s00442-010-1721-2</t>
  </si>
  <si>
    <t>Kucheravy, CE; Trana, MR; Watt, CA; Roth, JD; Tomy, GT; Anderson, WG; Ferguson, SH</t>
  </si>
  <si>
    <t>Blubber cortisol in four Canadian beluga whale populations is unrelated to diet</t>
  </si>
  <si>
    <t>Blubber cortisol; Stable isotope analysis; Dietary fatty acids; Arctic; Delphinapterus leucas</t>
  </si>
  <si>
    <t>CAPELIN MALLOTUS-VILLOSUS; COD BOREOGADUS-SAIDA; EASTERN HUDSON-BAY; DELPHINAPTERUS-LEUCAS; FATTY-ACIDS; SEA-ICE; CUMBERLAND SOUND; MARINE MAMMALS; FISH COMMUNITIES; HORMONE CORTISOL</t>
  </si>
  <si>
    <t>Changing conditions in the Arctic have had severe consequences for many marine mammals. In this study, we examined blubber cortisol using radioimmunoassay in 4 Canadian beluga whale Dephinapterus leucas populations. The endangered Cumberland Sound population had higher cortisol levels (mean +/- SE: 0.65 +/- 0.11 ng g-1) than populations not at risk: Eastern Beaufort Sea (0.31 +/- 0.03 ng g-1; p &lt; 0.001), Eastern High Arctic-Baffin Bay (0.32 +/- 0.09 ng g-1; p = 0.004), and Western Hudson Bay (0.44 +/- 0.04 ng g-1; p = 0.004). To evaluate if measured cortisol differences were due to differences in diet, we compared stable isotope ratios of carbon and nitrogen (delta 13C and delta 15N) and dietary fatty acids among populations. Beluga whales from Eastern Beaufort Sea had lower delta 13C (p &lt;= 0.017) and higher delta 15N (p &lt; 0.001) values than other measured populations, while Western Hudson Bay beluga dietary fatty acid profiles differed from other measured populations (p &lt; 0.001). Population and sex were significant predictors of blubber cortisol (p &lt;= 0.017). Females exhibited higher cortisol than males. Despite diet differences among populations, neither stable isotopes nor fatty acids were significant predictors of cortisol, suggesting differences in cortisol levels were unrelated to diet. Other factors, such as increased risk of predation, hunting pressure, vessel traffic, or differences in baseline blubber cortisol concentrations may be contributing to elevated cortisol levels in Cumberland Sound beluga whales. Measuring blubber cortisol in combination with chemical indicators of diet provides a useful method for monitoring population health and can be used to inform management and conservation.</t>
  </si>
  <si>
    <t>10.3354/meps14147</t>
  </si>
  <si>
    <t>Bodin, N; Chassot, E; Sardenne, F; Zudaire, I; Grande, M; Dhurmeea, Z; Murua, H; Barde, J</t>
  </si>
  <si>
    <t>Ecological data for western Indian Ocean tuna</t>
  </si>
  <si>
    <t>energetics; fatty acids; lipids; morphometrics; multi-tissues; proteins; stable isotopes; trophic ecology; tropical marine ecosystems; tuna fisheries</t>
  </si>
  <si>
    <t>10.1002/ecy.2218</t>
  </si>
  <si>
    <t>Fuller-Morris, M; Miller, DA; Greene, DU; Rush, SA</t>
  </si>
  <si>
    <t>Biofuel management has limited effects on forest nutrients and avian resource assimilation</t>
  </si>
  <si>
    <t>Switchgrass; C3 plant; C4 plant; Icteria virens; Panicum virgatum; Pinus taeda1</t>
  </si>
  <si>
    <t>LOBLOLLY-PINE; INTERCROPPING SWITCHGRASS; SITE PREPARATION; BIODIVERSITY; FRACTIONATION; PLANTATIONS; C-13/C-12; TURNOVER; NITROGEN; CARBON</t>
  </si>
  <si>
    <t>Intercropping switchgrass (Panicum virgatum), withinmanaged loblolly pine (Pinus taeda) stands, has been proposed as an alternative source fromwhich to create biofuelswhile also supporting wildlife biodiversity. However, little evidence is available on which to gauge if this practice affects nutrient availability and/or wildlife diets within pine stands. This study compares total carbon (C), total nitrogen (N), and C:N ratios in loblolly pine and blackberry (Rubus spp.) located in intercropped loblolly stands, including those managed with herbicides for hardwood control. This study also used stable isotopes (C-12 and C-13) to compare diet of an early successional bird species (yellow-breasted chat [Icteria virens]) in intercropped loblolly stands and loblolly stands managed with herbicides for hardwood control. Results indicate intercropping does not influence total C or N in loblolly or blackberry samples, although total N is elevated among blackberry samples in hardwood control loblolly stands. Results also illustrate that intercropping increases the ratio of C-13: C-12 (delta C-13) in yellow-breasted chat associated with areas where intercropping has been undertaken. Our study demonstrates that biofuel cultivation can affect nutrient flowwithin managed forest ecosystems. The influence of this nutrient flow should be considered when implementing biofuel production goals. (C) 2019 Elsevier Inc. All rights reserved.</t>
  </si>
  <si>
    <t>e00135</t>
  </si>
  <si>
    <t>10.1016/j.fooweb.2019.e00135</t>
  </si>
  <si>
    <t>Signa, G; Andolina, C; Mazzola, A; Vizzini, S</t>
  </si>
  <si>
    <t>Macroalgae transplant to detect the occurrence of anthropogenic nutrients in seawater of highly tourist beaches in Mediterranean islands</t>
  </si>
  <si>
    <t>ECOLOGICAL QUESTIONS</t>
  </si>
  <si>
    <t>seaweed; Cystoseira; biomonitoring; stable isotope; mapping; tourism; anthropic impact</t>
  </si>
  <si>
    <t>DELTA-N-15 SIGNATURES; COASTAL TOURISM; ULVA-LACTUCA; SEA; CONSEQUENCES; POLLUTION; PATTERNS; PLUMES; VALUES; RHODES</t>
  </si>
  <si>
    <t>In the Mediterranean region, islands are among the most important tourist destinations, being sites of considerable naturalistic, historical and cultural importance. This is highly beneficial for local economies, but may also represent a threat for the environment, especially during the peak season (i.e. summer). Indeed, the sharp demographic increase concentrated in a relatively short period may negatively affect the quality of coastal marine systems and the provision of ecosystem services, producing in turn negative feedbacks on tourism industry. Nevertheless, the assessment of the environmental impact of tourism on coastal seawater has been seldom addressed. Here, we show the results of the biomonitoring approach adopted in the tourist Island of Rhodes (Greece), in the context of the Interreg Med BLUEISLANDS project. The study involved short-term macroalgae transplantation and incubation, and, through the analysis of nitrogen stable isotopes, provided a time-integrated picture of the occurrence of anthropogenic nutrients, which are indicators of water quality and might be missed by routine water quality monitoring programs. Main findings ruled out a marked input of anthropogenic nutrients potentially threatening the functioning of coastal ecosystems and highlighted overall good environmental conditions. In addition, this approach provided spatial data useful to produce GIS maps, useful tools that may help the decisional process of policy-makers, for adopting management practices to mitigate the environmental impact and foster sustainable tourism.</t>
  </si>
  <si>
    <t>10.12775/EQ.2020.030</t>
  </si>
  <si>
    <t>Liu, ZQ; Yu, XX; Jia, GD; Zhang, JM; Zhang, ZY</t>
  </si>
  <si>
    <t>Water consumption by an agroecosystem with shelter forests of corn and Populus in the North China Plain</t>
  </si>
  <si>
    <t>Corn; Populus shelter forest; Water source; Evapotranspiration</t>
  </si>
  <si>
    <t>SAP FLOW MEASUREMENTS; CROP EVAPOTRANSPIRATION; ROOT DISTRIBUTION; USE EFFICIENCY; IRRIGATION; TRANSPIRATION; YIELD; MODEL; AREA; ISOTOPES</t>
  </si>
  <si>
    <t>Shelter forests play a significant role in farmland protection and the improvement of microclimates in the North China Plain, but controversy persists over the water relationship between shelter forest and crops. To explore whether the introduction of a protective forest aggravates the water stress of crops, we used stable isotopes to investigating the water sources of corn and its Populus shelter forest. The Penman-Monteith Model and the thermal dissipation probe methods were used to explore the evapotranspiration (ET) of a cornfield with shelter forest (CN) and a cornfield with no shelter forest (CK). The results suggested that corn and Populus exhibited considerable plasticity in depth of water uptake. Although there was no significant difference in water sources of corn between CN and CK, the corn and its shelter forest appeared to have relatively complementary water use patterns. The corn predominantly absorbed water from depths of 0-10 cm (23.4-46.7%), 10-20 cm (33.3-35.8%), and 20-40 cm (20.9-26.3%) during the early growth stages, and it then altered its water sources to depths of 10-20 cm (22.3-24.7%), 20-40 cm (23.7-28.1%), and 40-60 cm (25.7-39.0%) near the of its growth stages. However, Populus mainly obtained water from depths of 40-60 cm (19.8-24.1%), 60-80 cm (24.6-26.9%), and &gt; 80 cm (27.3-30.8%) throughout the growing season. The total ET of CN was 6.6% less than that of the CK due to the impact of the microclimate. The ET of CN was primarily from the cornfield, and to a lesser extent, from Populus shelter forest. Our results indicated that the introduction of Populus shelter forest does not increase water stress on corn, and it can reduce regional water resource consumption. For rational utilization of water resources, it would be feasible to select a reasonable arrangement of tree species to develop the Populus shelter forest compound system near corn farmlands in the North China Plain.</t>
  </si>
  <si>
    <t>10.1016/j.agee.2018.05.027</t>
  </si>
  <si>
    <t>Sole-Senan, XO; Juarez-Escario, A; Robleno, I; Conesa, JA; Recasens, J</t>
  </si>
  <si>
    <t>Using the response-effect trait framework to disentangle the effects of agricultural intensification on the provision of ecosystem services by Mediterranean arable plants</t>
  </si>
  <si>
    <t>Field position; Landscape heterogeneity; Rao quadratic entropy index; Community-weighted means; Pollination; Biodiversity</t>
  </si>
  <si>
    <t>FUNCTIONAL TRAITS; WEED COMMUNITIES; LANDSCAPE HETEROGENEITY; SEED DISPERSAL; CEREAL FIELDS; DIVERSITY; HABITATS; VEGETATION; BIODIVERSITY; POLLINATION</t>
  </si>
  <si>
    <t>Agricultural intensification structures arable plant communities, including shifts in species assemblages and trait distributions, which affect the provision of ecosystem services. We used a response-effect trait framework to characterize the impact of agricultural intensification on two ecosystem services delivered by arable plants to pollinator and non-pollinator insects and birds. Agricultural intensification was characterized by field position as a gradient of the impact of crop management at field scale and the surrounding landscape heterogeneity, which can be divided into compositional and configurational heterogenenity. Shifts in functional assemblages of response and effect traits were analyzed by multivariate analyses, whereas changes in single trait metrics were analyzed by mixed-model effects. At field scale, we found a trade-off between ruderal and competitive species. The contrasting disturbance regime from boundaries to inner-fields overflows the potential shifts in functional assemblages both for response and effect traits due to the gradient of landscape heterogeneity. Conversely, some response and effect single trait metrics changed along gradients of landscape heterogeneity. We thus propose a response-effect trait framework to capture functional relationships along different trophic levels. Compositional heterogeneity affected traits linked to the provision of suitable habitat for insects and birds, whereas configurational heterogeneity affected traits linked to pollination. Incorporating this framework into decision-making processes may help to focus conservation efforts on maintaining the delivery of ecosystem services.</t>
  </si>
  <si>
    <t>10.1016/j.agee.2017.07.005</t>
  </si>
  <si>
    <t>Jain, N; Bhargava, A; Pareek, V; Akhtar, MS; Panwar, J</t>
  </si>
  <si>
    <t>Does seed size and surface anatomy play role in combating phytotoxicity of nanoparticles?</t>
  </si>
  <si>
    <t>Nanoparticle pollution; Seed germination; Phytotoxicity; Nano ZnO</t>
  </si>
  <si>
    <t>WALLED CARBON NANOTUBES; ZNO NANOPARTICLES; ROOT ELONGATION; GERMINATION; TOXICITY; NANOTECHNOLOGY; GENOTOXICITY; NANOSCIENCE; CHALLENGES; CHEMISTRY</t>
  </si>
  <si>
    <t>Rapid utilization of nano-based products will inevitably release nanoparticles into the environment with unidentified consequences. Plants, being an integral part of ecosystem play a vital role in the incorporation of nanoparticles in food chain and thus, need to be critically assessed. The present study assesses the comparative phytotoxicity of nanoparticle, bulk and ionic forms of zinc at different concentrations on selected plant species with varying seed size and surface anatomy. ZnO nanoparticles were chosen in view of their wide spread use in cosmetics and health care products, which allow their direct release in the environment. The impact on germination rate, shoot &amp; root length and vigour index were evaluated. A concentration dependent inhibition of seed germination as well as seedling length was observed in all the tested plants. Due to the presence of thick cuticle on testa and root, pearl millet (xerophytic plant) was found to be relatively less sensitive to ZnO nanoparticles as compared to wheat and tomato (mesophytic plants) with normal cuticle layer. No correlation was observed between nanoparticles toxicity and seed size. The results indicated that variations in surface anatomy of seeds play a crucial role in determining the phytotoxicity of nanoparticles. The present findings significantly contribute to assess potential consequences of nanoparticle release in environment particularly with major emphasis on plant systems. It is the first report which suggests that variations observed in phytotoxicity of nanoparticles is mainly due to the predominant differences in size and surface anatomy of tested plant seeds and root architecture. Effect of various concentrations of nano ZnO, bulk ZnO and zinc sulphate on the growth of pearl millet (A), tomato (B) and wheat (C) seedlings. [GRAPHICS] .</t>
  </si>
  <si>
    <t>10.1007/s10646-017-1758-7</t>
  </si>
  <si>
    <t>Tscharntke, T; Rand, TA; Bianchi, FJJA</t>
  </si>
  <si>
    <t>The landscape context of trophic interactions: insect spillover across the crop-noncrop interface</t>
  </si>
  <si>
    <t>ENHANCE BIOLOGICAL-CONTROL; NATURAL ENEMIES; METAPOPULATION THEORY; GENERALIST PREDATORS; POPULATION-DYNAMICS; HABITAT MANAGEMENT; APHID PREDATION; FOOD WEBS; FIELD; HYMENOPTERA</t>
  </si>
  <si>
    <t>Landscape structure influences local diversity and ecosystem processes, including cross-habitat fluxes of organisms coupling the dynamics of different habitats. The flow of organisms across system boundaries is known to occur between different natural habitats as well as across the crop-noncrop interface. Several studies show how field boundaries can enhance predator populations invading arable crops and controlling pest populations. However, generalist arthropods may also spill over from land-use systems to natural areas (mainly grassland) modifying interactions therein. A view of land-use systems as sources and natural habitats as sinks is consistent with the idea that the direction of the organisms' fluxes is from high to low productivity systems, while noncrop habitats are important sources for recolonization of arable fields after they are cleared for harvest. From the perspective of landscape management, enhancement of population exchanges between crop and noncrop areas may include beneficial as well as unwelcome interactions.</t>
  </si>
  <si>
    <t>Phillips, ND; Reid, N; Thys, T; Harrod, C; Payne, NL; Morgan, CA; White, HJ; Porter, S; Houghton, JDR</t>
  </si>
  <si>
    <t>Applying species distribution modelling to a data poor, pelagic fish complex: the ocean sunfishes</t>
  </si>
  <si>
    <t>biogeography; environmental niche models; marine; migration; Mola; spatial ecology; sunfishes</t>
  </si>
  <si>
    <t>STABLE-ISOTOPES CHALLENGE; MOLA-MOLA; ECOLOGY; PATTERNS; BIODIVERSITY; EXPLANATION; PERCEPTION; PREDICTION; SIGHTINGS; ABSENCES</t>
  </si>
  <si>
    <t>Aim: Conservation management of vulnerable species requires detailed knowledge of their spatial and temporal distribution patterns. Within this context, species distribution modelling (SDM) can provide insights into the spatial ecology of rarely encountered species and is used here to explore the distribution pattern of ocean sunfishes (Mola mola and M. ramsayi). Both species are prone to high levels of bycatch and are classified respectively as Globally Vulnerable and Not Assessed by the IUCN; although their overall range and drivers of distribution remain poorly defined. Here, we constructed suitable habitat models for Mola spp. on a global scale and considered how these change seasonally to provide a much needed baseline for future management. Location: Global. Methods: Sighting records collected between 2000 and 2015 were used to build SDMs and provided the first global overview of sunfish seasonal distribution. Post hoc analyses provided a quantitative assessment of seasonal changes in total range extent and latitudinal shifts in suitable habitat. Results: Mola is a widely distributed genus; however, sightings exhibited significant spatial clustering most notably in coastal regions. SDMs suggested that Mola presence was strongly dependent on sea surface temperatures with highest probability of presence between 16 and 23 degrees C. The models identified significant variation in seasonal range extent with latitudinal shifts throughout the year; although large areas of suitable year-round habitat exist globally. Main conclusions: We provided the first assessment of Mola distribution on a global scale, with evidence of a wide latitudinal range and significant clustering in localized hotspots (notably between 40-50 degrees N). By assessing the results of SDMs alongside evidence from published satellite tagging studies, we suggest that the species within the genus Mola are highly mobile, acting as facultative seasonal migrants. By identifying key suitable habitat alongside potential movement paths, this study provides a baseline that can be used in active conservation management of the genus.</t>
  </si>
  <si>
    <t>10.1111/jbi.13033</t>
  </si>
  <si>
    <t>Eriksson, CE; Kantek, DLZ; Miyazaki, SS; Morato, RG; Dos Santos, M; Ruprecht, JS; Peres, CA; Levi, T</t>
  </si>
  <si>
    <t>Extensive aquatic subsidies lead to territorial breakdown and high density of an apex predator</t>
  </si>
  <si>
    <t>allochthonous resources; aquatic subsidy; jaguar; obligate carnivore; Panthera onca; social dynamics</t>
  </si>
  <si>
    <t>JAGUARS PANTHERA-ONCA; CAMERA-TRAPS; ECOLOGY; MAMMALS; TERRESTRIAL; POPULATION; DYNAMICS</t>
  </si>
  <si>
    <t>Energetic subsidies between terrestrial and aquatic ecosystems can strongly influence food webs and population dynamics. Our objective was to study how aquatic subsidies affected jaguar (Panthera onca) diet, sociality, and population density in a seasonally flooded protected area in the Brazilian Pantanal. The diet (n = 138 scats) was dominated by fish (46%) and aquatic reptiles (55%), representing the first jaguar population known to feed extensively on fish and to minimally consume mammals (11%). These aquatic subsidies supported the highest jaguar population density estimate to date (12.4 jaguars/100 km(2)) derived from camera traps (8,065 trap nights) and GPS collars (n = 13). Contrary to their mostly solitary behavior elsewhere, we documented social interactions previously unobserved between same-sex adults including cooperative fishing, co-traveling, and play. Our study demonstrates that aquatic subsidies, frequently described in omnivores, can also transform the ecology and behavior of obligate carnivores.</t>
  </si>
  <si>
    <t>e03543</t>
  </si>
  <si>
    <t>10.1002/ecy.3543</t>
  </si>
  <si>
    <t>Demerdzhiev, DA; Dobrev, DD; Boev, ZN</t>
  </si>
  <si>
    <t>Grassland Alterations Do Not Affect Breeding Success, but Can Explain Dietary Shifts of a Generalist Raptor Species</t>
  </si>
  <si>
    <t>imperial eagle; Aquila heliaca; land use; foraging; prey; souslik; hedgehog</t>
  </si>
  <si>
    <t>EAGLE AQUILA-HELIACA; AREA NATURA 2000; BONELLIS EAGLE; TOP PREDATORS; HABITAT USE; CONSERVATION; EASTERN; POPULATION; PERFORMANCE; AGE</t>
  </si>
  <si>
    <t>Habitat alteration is a widespread threat severely affecting large raptors because of their low density and the huge area they inhabit. In this study, we assessed whether human-driven habitat alterations mediated dietary shifts of apex predators, focusing on the Eastern imperial eagle (Aquila heliaca). Following a bottom-up conception (before-after), we evaluated the effect of grassland change on the eagle's dietary shift and breeding success. Land use patterns underwent a significant transformation over the study period, creating a large decrease in grasslands. The territories lost an average of 25.79% of their grasslands. Habitat alteration mediated dietary shifts, but had no reproductive consequences for eagles. Eagles became 1.90 times more likely to predate on northern white-breasted hedgehog and 1.62 times more likely to forage on white stork in the period after grassland alteration. The frequency of tortoises also increased, and they were 4.04 times more likely to be predated on in the years after transformation. Conversely, brown hare was 0.51 times less likely to be consumed in the grassland loss period, while this likelihood was 0.54 times lower for rodents and 0.64 times lower for the European souslik. Doves, meanwhile, were 2.73 times more likely to be predated on in the years following grassland destruction. We found that the presence and biomass of songbirds correlated negatively with the breeding success of eagles, and biomass supply from European souslik was negatively associated with breeding success, while the white stork's presence and biomass resulted positively in more progeny. Diet diversity did not have an effect on the eagle's reproduction. The responses of these eagles may vary across territories, depending on how they rank their prey, as the territory effect was a powerful factor shaping dietary shifts for this top predator. Our results offer new evidence of the link between habitat alteration, dietary shifts, and reproductive success, contributing to our understanding of the enigmatic mechanism through which an apex predator successfully adapts to large-scale land use pattern transformation by increasing dietary specialization. We recommend restoration of habitat complexity, including preservation of field margins, grassland patches with scattered small shrub formations, and grassland margins between medium-sized arable lands, promotion of measures for traditional grassland management through gradual grazing, and a ban on the use of shredders.</t>
  </si>
  <si>
    <t>10.3390/d15030422</t>
  </si>
  <si>
    <t>GARCIALOZANO, LC</t>
  </si>
  <si>
    <t>THE FLOODPLAINS OF THE MIDDLE-LOWER MAGDALENA - HABITATS RESTORATION AND CONSERVATION</t>
  </si>
  <si>
    <t>INTERCIENCIA</t>
  </si>
  <si>
    <t>TROPICAL DRY FOREST</t>
  </si>
  <si>
    <t>The Magdalena River (length 1,540 km; basin surface 267,000 km2; mean water discharge 7,000 m3/s and a sediment load of 185 million tons) flows through a deep sedimentageous valley along its upper two thirds course in a N-S direction between the central and eastern sections of the Andes mountain range. The predominant aggradation in the middle and lower thirds of the river gives rise to an alluvial plain of 35,000 km2. This plain presents complex aquatic, terrestrial, and semiterrestrial habitats characterized by a high fluvial dynamism which is a consequence of the high sedimentation and current tectonism. Intra and interannual variability in the river and in the floodplain water level determines the frequency and magnitude of water, sediments, organic matter, etc. exchanges between the river and the plain. This exchange is also reflected in the ecological functioning of these habitats. Longitudinally, two stretches may be distinguished in the plain: the superior stretch (Middle Magdalena), relatively confined by the mountain ranges, is characterized by a higher rainfall (3,000 mm/yr) and is the site of one of the pleistocene refuges of tropical humid forest. The inferior stretch (Lower Magdalena) is wide, with a pronounced rainfall gradient in the S-N direction (&lt; 800 mm/yr). In the transition zone between these two stretches lies the Momposina depression in the confluence of the San Jorge, Cauca and Cesar rivers with the Magdalena. Here the Magdalena river doubles its water discharge and deposits most of its sediments. Consequently, the fluviodynamic processes are more developed. This zone, occupied since the beginning of the 16 century but still sparcely inhabited, presents unique schemes of resource utilization (amphibian cultures, a combination of artisan fishery, slash and burn itinerant agriculture and raising of small herds of cattle) closely linked to the pulsing hydrological regime. This modus vivendi is being gradually displaced by extensive agriculture and cattle raising activities associated to river regulations. There exist, however, small sections of undisturbed habitats large enough to implement restoration activities at a large scale by means of management and extensive use of processes such as fire, controlled herbivorism and collection and dispersion of seeds. With this goal the project Operacion El Dorado has been implemented. Currently the project has the main goal of acquiring an adequate surface of land (several thousands of hectares) to test different restauration and utilization schemes coupling both habitat preservation and their current use.</t>
  </si>
  <si>
    <t>Birkhofer, K; Dietrich, C; John, K; Schorpp, Q; Zaitsev, AS; Wolters, V</t>
  </si>
  <si>
    <t>Regional Conditions and Land-Use Alter the Potential Contribution of Soil Arthropods to Ecosystem Services in Grasslands</t>
  </si>
  <si>
    <t>soil fauna; ecosystem services; permanent grasslands; land-use intensity; stable isotopes; trophic response</t>
  </si>
  <si>
    <t>STABLE-ISOTOPE RATIOS; TROPHIC NICHE DIFFERENTIATION; FOOD-WEB; LITTER DECOMPOSITION; STOCKING INTENSITY; FAGUS-SYLVATICA; GLOBAL PATTERNS; BIODIVERSITY; CARBON; COMMUNITIES</t>
  </si>
  <si>
    <t>We investigated the impact of regional conditions and land-use intensity on eight selected arthropod taxa of Maeostigmata (Parasitidae), Oribatida (three species), Collembola (one species), Chilopoda (two species), and Diplopoda (one species) sampled in differently managed permanent grasslands of three German study regions. By jointly analyzing changes in abundance and trophic behavior (measured as natural variation in N-15/N-14 and C-13/C-12 ratios) we intended to develop a framework for evaluating the impact of local and regional conditions on the ecosystem services delivered by soil animals (mainly decomposition- and predation-related services). The investigated taxa could be assorted to three major groups: (1) numerical response only, (2) numerical and trophic response and (3) trophic response only. Since the combination of taxa assembled in the individual groups does not correspond to any of the conventional soil ecological classification systems, this grouping offers a new approach for analyzing soil communities. The complementing consideration of both the direction of the numerical response and the type of the trophic response (change of the basal food source vs. trophic level shift vs. variations in isotopic niches) provided a differential insight into the effect of management and geographic differences on soil arthropods. It could be shown that the effect of land-use on the abundance of detritivorous microarthropods varies among regions, but does not induce any changes in feeding behavior. Our findings on Parasitidae indicate that carnivorous microarthropods exert substantial predation pressure on soil mesofauna and may be quite resistant to environmental changes due to high trophic flexibility. If conditions are favorable, centipedes may reach comparatively high densities in permanent grasslands and could be very important for controlling belowground pests. Concerning millipedes, isotopic signatures suggest that some species could exert a substantial disservice by feeding on roots over a wide range of land-use intensities and regional conditions. We conclude that the many consistent and significant effects found in our study support our contention that the combined analysis of numerical and trophic responses provides a promising framework for designing spatially explicit models that quantify the impact of human interventions on the delivery of ecosystem services by the soil fauna.</t>
  </si>
  <si>
    <t>10.3389/fevo.2015.00150</t>
  </si>
  <si>
    <t>Prentice, IC; Dong, N; Gleason, SM; Maire, V; Wright, IJ</t>
  </si>
  <si>
    <t>Balancing the costs of carbon gain and water transport: testing a new theoretical framework for plant functional ecology</t>
  </si>
  <si>
    <t>Aridity; nitrogen; optimality; photosynthesis; plant functional traits; stable isotopes; stomatal conductance; temperature; transpiration; viscosity</t>
  </si>
  <si>
    <t>STOMATAL CONDUCTANCE; LEAF NITROGEN; RAINFALL GRADIENT; ATMOSPHERIC CO2; USE EFFICIENCY; MODEL; LIGHT; PHOTOSYNTHESIS; RESPIRATION; PHYSIOLOGY</t>
  </si>
  <si>
    <t>A novel framework is presented for the analysis of ecophysiological field measurements and modelling. The hypothesis leaves minimise the summed unit costs of transpiration and carboxylation' predicts leaf-internal/ambient CO2 ratios (c(i)/c(a)) and slopes of maximum carboxylation rate (V-cmax) or leaf nitrogen (N-area) vs. stomatal conductance. Analysis of data on woody species from contrasting climates (cold-hot, dry-wet) yielded steeper slopes and lower mean c(i)/c(a) ratios at the dry or cold sites than at the wet or hot sites. High atmospheric vapour pressure deficit implies low c(i)/c(a) in dry climates. High water viscosity (more costly transport) and low photorespiration (less costly photosynthesis) imply low c(i)/c(a) in cold climates. Observed site-mean c(i)/c(a) shifts are predicted quantitatively for temperature contrasts (by photorespiration plus viscosity effects) and approximately for aridity contrasts. The theory explains the dependency of c(i)/c(a) ratios on temperature and vapour pressure deficit, and observed relationships of leaf C-13 and N-area to aridity.</t>
  </si>
  <si>
    <t>10.1111/ele.12211</t>
  </si>
  <si>
    <t>Schlosser, IJ; Johnson, JD; Knotek, WL; Lapinska, M</t>
  </si>
  <si>
    <t>Climate variability and size-structured interactions among juvenile fish along a lake-stream gradient</t>
  </si>
  <si>
    <t>creek chubs (Semotilus atromaculatus); dispersal; environmental boundaries; fish; freshwater ecosystems; global warming; lake-stream interactions; largemouth bass (Micropterus salmoides); Minnesota; ontogenetic niches; predator-prey interactions; size-structured interactions; temperature</t>
  </si>
  <si>
    <t>LARGEMOUTH BASS; HABITAT USE; BODY SIZE; PREY POPULATIONS; HEADWATER STREAM; SMALLMOUTH BASS; GREAT-LAKES; FLOW REGIME; PREDATION; RECRUITMENT</t>
  </si>
  <si>
    <t>We examine the influence of biological interactions and interannual variation in climate an the size structure and trophic interactions between age-0 largemouth bass (Micropterus salmoides) and age-0 creek chubs (Semotilus atromaculatus) along a lake-stream gradient in northern Minnesota, USA. Considerable year-to-year variation in temperature and precipitation occurred during the 10-yr study (1983-1992), with most extreme hut-dry conditions in 1988 during a 3-yr drought. Decreased stream temperature and reduced variation in temperature: occurred downstream from the lake outlet because of increased groundwater inputs. Age-0 bass were captured in the stream in each of the eight years sampled, but bass abundance peaked in downstream reaches in 1988, concurrent with a large increase in the downstream density of age-0 chubs. Median length ratio of bass to chubs increased greatly in the 1988 drought year. The shift in relative length of bass and chubs during the drought was because chub length decreased in downstream areas, and bass shifted from feeding an invertebrates to feeding on chubs in downstream but not in upstream reaches. Comparison of bass and chub growth in the presence and absence of interspecific competition for invertebrate resources in an experimental stream revealed higher growth rates for chubs than for bass and little interspecific competition. Experiments in the artificial stream indicated that the presence or absence of chubs susceptible to bass predation had only marginal effects on bass survival, but growth rates of bass were substantially higher if chubs susceptible to predation were present. Only when chubs were present was the growth of individual bass dependent strongly on size, and this led to rapid divergence in the size distribution of bass in chubs vs. no-chubs treatments. Our results indicate that hot-dry climatic conditions associated with drought have potentially strong effects on size-structured trophic interactions between age-0 fish along lake-stream gradients. Hot-dry climatic conditions alter the spatial distribution of lake fish along temperature gradients in the stream, the reproductive success and synchrony of lake and stream fish development, and the eventual growth of predatory lake species. The response of fish to climatic variation appears to be strongly influenced by their position in the hydrologic landscape. The most dramatic fish response occurred in stream reaches influenced by groundwater.</t>
  </si>
  <si>
    <t>10.2307/177177</t>
  </si>
  <si>
    <t>Higueras, M; Kerherve, P; Sanchez-Vidal, A; Calafat, A; Ludwig, W; Verdoit-Jarraya, M; Heussner, S; Canals, M</t>
  </si>
  <si>
    <t>Biogeochemical characterization of the riverine particulate organic matter transferred to the NW Mediterranean Sea</t>
  </si>
  <si>
    <t>NITROGEN ISOTOPIC COMPOSITIONS; RHONE RIVER; SEDIMENT DISCHARGE; LAND-USE; TEMPORAL VARIABILITY; SURFACE WATERS; CARBON INPUTS; COASTAL OCEAN; STABLE CARBON; YANGTZE-RIVER</t>
  </si>
  <si>
    <t>A large amount of terrestrial organic matter is annually delivered by rivers to the continental shelf, where this material is either degraded, buried or transferred to the deep sea by hydrodynamic processes such as storms. The relative amount of terrestrial organic matter in the marine sediments is often determined by analysing the stable isotopes (delta C-13 and delta N-15) and the C /N ratio of organic matter because the various particulate organic matter (POM) sources have distinct isotopic compositions. With the objective to refine and better interpret POM sources in the marine environment, we have characterized monthly terrestrial POM delivered by eight rivers discharging to the NW Mediterranean Sea: the Rhone, Herault, Orb, Aude, Tet, Fluvia, Ter and Tordera rivers. These rivers were simultaneously sampled from November 2008 to December 2009 and the concentrations of total suspended matter (TSM), particulate organic carbon (POC) and nitrogen (PN), as well as their stable isotopic ratios (delta C-13 and delta N-15) were determined. During the survey, three rainstorm events with winds coming from the E-NE and the S-SE impacted the NW Mediterranean. Depending on the direction of incoming winds, the fluvial response (amount of water discharge and TSM) was different. Rivers draining the Alps (Rhone River) and Central Massif (Herault, Orb, and Aude rivers) were mostly impacted by rainstorms associated with winds coming from the S-SE, while rivers draining the Pyrenees (Tet, Fluvia, and Ter rivers) and the Montseny Massif (Tordera River) were impacted by rainstorms associated with winds coming from the E-NE. In addition, the spatial evolution of water discharges shows a different hydrological regime of the Rhone River, with relatively constant and high water stages and TSM concentrations when compared to coastal rivers, characterized by long periods of low water stages. TSM concentrations are positively correlated to water discharges (high water flows resuspended riverbed sediments) but show an inverse relationship with POC and PN relative contents (mostly due to dilution and by low availability of light in river waters during flood events). TSM in most of the coastal rivers have on average 2.5-3 times higher POC and PN mean contents than the Rhone River (8.5 and 1.5 %, respectively, for coastal rivers compared to 3.6 and 0.5 %, respectively, for the Rhone River). This discrepancy may be caused by the long drought periods in small coastal Mediterranean watersheds that enhance the eutrophication in studied coastal rivers. The delta C-13 ratios of organic matter also reflect this discrepancy between high and low water stages with values ranging from -33.2 to -24.5 parts per thousand. The enriched C-13 values (-26.3 +/- 0.4 parts per thousand for the Rhone River and -26.9 +/- 1.2 parts per thousand for coastal rivers), measured during high water stages, express mostly a mixture of terrestrial source (plant remains and soils) whereas depleted C-13 values (similar to -30 parts per thousand) associated with low water stages exhibit a source with predominant freshwater algae. The high delta N-15 mean values (&gt; 8 parts per thousand) found in Tet, Ter and Tordera rivers may underline the importance of denitrification processes as a consequence of the eutrophication and anthropogenic impact.</t>
  </si>
  <si>
    <t>10.5194/bg-11-157-2014</t>
  </si>
  <si>
    <t>Di, S; Zong, MM; Li, SY; Li, HX; Duan, CQ; Peng, CH; Zhao, YG; Bai, JY; Lin, C; Feng, Y; Huang, WP; Wang, D</t>
  </si>
  <si>
    <t>The effects of the soil environment on soil organic carbon in tea plantations in Xishuangbanna, southwestern China</t>
  </si>
  <si>
    <t>Carbon storage; Crop plantation; Tea gardens; Structural equation model</t>
  </si>
  <si>
    <t>LOESS PLATEAU; MATTER; PHOSPHORUS; NITROGEN; IRON; DIVERSITY; DYNAMICS; CO2; MINERALIZATION; STOICHIOMETRY</t>
  </si>
  <si>
    <t>Increasing soil organic carbon (SOC) reserves in agricultural land is important for mitigating global climate change. The soil environmental factors that affect SOC storage in agricultural cultivation are relatively easy to manage, but the effects of these factors on SOC have not been studied systematically, especially the relative weight of each factor is still unclear. In this study, more than 30 soil environmental factors including SOC, soil physical and chemical properties, mineral types, and microorganisms present in the 0-140 cm soil layer were determined hierarchically within tea plantations. The main and secondary factors affecting SOC storage were then analyzed quantitatively using a structural equation model. The most important factors affecting SOC storage in tea plantations included water content (18.9 %), total nitrogen (N, 18.8 %), oxalate-extractable iron (active iron, poorly crystalline iron, Fe-ox, 16.3 %), sulfur (S, 13.1 %), total phosphorus (P, 8.6 %), calcium (6.1 %), oxidation reduction potential (5.4 %), clay (4.5 %), bromine (4.3 %), and manganese (4.0 %). Variations in soil temperature and pH on this small scale were small and thus these factors had negligible effects on SOC storage in this study. Organic fertilizer application increased C, N, S, and P concentrations, which can contribute to SOC storage. Appropriate irrigation can also improve SOC storage. We identified a set of Fe-N-S-P coupling mechanisms that promoted SOC storage. Soils with high Fe, N, and S concentrations, high water content, and high oxidation reduction potential relate to an increased Fe-ox concentration, which is important for enhancing SOC stability. Therefore, the application of magnetic (iron oxide) fertilizer to increase Fe-ox in soil promotes SOC storage.</t>
  </si>
  <si>
    <t>10.1016/j.agee.2020.106951</t>
  </si>
  <si>
    <t>Fellman, JB; Pettit, NE; Kalic, J; Grierson, PF</t>
  </si>
  <si>
    <t>Influence of stream-floodplain biogeochemical linkages on aquatic foodweb structure along a gradient of stream size in a tropical catchment</t>
  </si>
  <si>
    <t>biogeochemical linkages; floodplain; food web structure; carbon; stable isotopes; specific ultraviolet absorbance; flood pulse; Kimberley</t>
  </si>
  <si>
    <t>STABLE-ISOTOPE ANALYSIS; DISSOLVED ORGANIC-MATTER; ECOSYSTEM METABOLISM; RIVER; CARBON; FLOW; AUSTRALIA; NUTRIENT; NITROGEN; WEBS</t>
  </si>
  <si>
    <t>We measured nutrients and dissolved organic matter (DOM) in surface water and floodplain sediments to evaluate biogeochemical linkages between streams and floodplairts in 3 streams of increasing size in a tropical catchment in northwestern Australia. We hypothesized that stream-floodplain biogeochemical connectivity, measured as similar DOM concentrations and spectroscopic properties of streamwater and floodplain sediment leachate, would decrease with increasing stream size. We expected decreasing connectivity to shift support of aquatic foodweb structure from mainly allochthonous C in small streams to algal C in larger streams. Streamwater and sediment leachate concentrations of NH4-N, NO3-N, soluble reactive P. and DOM varied several-fold across the 3 sites but showed no strong pattern in stream-floodplain connectivity with increasing stream size. Fluorescence index, specific ultraviolet absorbance, and delta C-13-dissolved organic C (DOC) for stream water and sediment leachate were most similar to each other at the mid-size Adcock River, indicating tight river-floodplain biogeochemical connectivity via input of allochthonous DOM and NH4-N to stream water. delta C-13 and delta N-15 signatures for key producers and consumers for all 3 streams showed that invertebrate consumers probably were supported by a range of in-stream (e.g., benthic and filamentous algae) and floodplain (allochthonous leaf litter) sources, whereas fish strongly reflected delta C-13-enriched sources (e.g., benthic algae). Allochthonous C was probably only a minor energy source for metazoa, but we propose that river-floodplain biogeochemical linkages may be important for other aspects of ecosystem productivity, such as input of inorganic nutrients to support in-stream primary production. Terrestrial-aquatic biogeochemical linkages may be critical but poorly quantified components of river-floodplain ecosystems.</t>
  </si>
  <si>
    <t>10.1899/11-117.1</t>
  </si>
  <si>
    <t>Kokita, T; Nakazono, A</t>
  </si>
  <si>
    <t>Seasonal variation in the diet spawning time of the coral reef fish Oxymonacanthus longirostris (Monacanthidae): parental control of progeny development</t>
  </si>
  <si>
    <t>Diel spawning pattern; local adaptation; fish larvae; subtropical waters; developmental stage; reproduction</t>
  </si>
  <si>
    <t>EGG SIZE; MATING SYSTEM; MIYAKE-JIMA; REPRODUCTIVE-BEHAVIOR; LONGNOSE FILEFISH; MARINE FISHES; CARE; LARVAE; JAPAN; POMACENTRIDAE</t>
  </si>
  <si>
    <t>In the tropics, the longnose filefish Oxymonacanthus longirostris spawns shortly before sunset. In subtropical Okinawa Island, Japan, however, diel spawning time changed seasonally depending on seasonal changes in water temperature. At that site, spawning occurred in the morning during the early and late breeding seasons, when water temperatures were low. In the middle breeding season, when water temperatures were high, spawning occurred shortly before sunset. Hatching time of embryos was fixed, however, as embryos hatched just after sunset on the second day after spawning throughout the breeding season. Thus, the incubation period from fertilization of eggs to hatching of embryos changed seasonally and was negatively correlated with water temperature. The cumulative temperature from fertilization to hatching was almost constant throughout the breeding season, contributing to the control of larval development rather than the timing of hatching. Consequently, the developmental stage of newly hatched larvae was similar throughout the breeding season. In a rearing experiment that manipulated water temperatures, larvae which hatched at lower than natural ranges of cumulative temperatures were at an extremely immature developmental stage compared to larvae in natural temperature conditions. When water temperatures are low in the breeding season, O. longirostris parents shift their spawning time to the morning to ensure their embryos hatch as well-developed larvae. In conclusion seasonal variation in the diel spawning time of subtropical O. longirostris assemblages will be a local adaptation to the strong seasonal changes of water temperature in their environment.</t>
  </si>
  <si>
    <t>10.3354/meps199263</t>
  </si>
  <si>
    <t>Koltz, AM; Wright, JP</t>
  </si>
  <si>
    <t>Impacts of female body size on cannibalism and juvenile abundance in a dominant arctic spider</t>
  </si>
  <si>
    <t>Arctic; body size; cannibalism; density dependence; feeding ecology; population structure; stable isotope; wolf spider</t>
  </si>
  <si>
    <t>LIFE-HISTORY TRAITS; GENERALIST PREDATOR; ARANEAE LYCOSIDAE; STABLE-ISOTOPES; INTRAGUILD PREDATION; PARDOSA-LUGUBRIS; ALTERNATIVE PREY; CLIMATE-CHANGE; COUNT DATA; WOLF</t>
  </si>
  <si>
    <t>Body size influences an individual's physiology and the nature of its intra- and interspecific interactions. Changes in this key functional trait can therefore have important implications for populations as well. For example, among invertebrates, there is typically a positive correlation between female body size and reproductive output. Increasing body size can consequently trigger changes in population density, population structure (e.g. adult to juvenile ratio) and the strength of intraspecific competition. Body size changes have been documented in several species in the Arctic, a region that is warming rapidly. In particular, wolf spiders, one of the most abundant arctic invertebrate predators, are becoming larger and therefore more fecund. Whether these changes are affecting their populations and role within food webs is currently unclear. We investigated the population structure and feeding ecology of the dominant wolf spider species Pardosa lapponica at two tundra sites where adult spiders naturally differ in mean body size. Additionally, we performed a mesocosm experiment to investigate how variation in wolf spider density, which is likely to change as a function of body size, influences feeding ecology and its sensitivity to warming. We found that juvenile abundance is negatively associated with female size and that wolf spiders occupied higher trophic positions where adult females were larger. Because female body size is positively related to fecundity in P. lapponica, the unexpected finding of fewer juveniles with larger females suggests an increase in density-dependent cannibalism as a result of increased intraspecific competition for resources. Higher rates of density-dependent cannibalism are further supported by the results from our mesocosm experiment, in which individuals occupied higher trophic positions in plots with higher wolf spider densities. We observed no changes in wolf spider feeding ecology in association with short-term experimental warming. Our results suggest that body size variation in wolf spiders is associated with variation in intraspecific competition, feeding ecology and population structure. Given the widespread distribution of wolf spiders in arctic ecosystems, body size shifts in these predators as a result of climate change could have implications for lower trophic levels and for ecosystem functioning.</t>
  </si>
  <si>
    <t>10.1111/1365-2656.13230</t>
  </si>
  <si>
    <t>Waddle, JH; Glorioso, BM; Faulkner, SP</t>
  </si>
  <si>
    <t>A Quantitative Assessment of the Conservation Benefits of the Wetlands Reserve Program to Amphibians</t>
  </si>
  <si>
    <t>anuran; delta; detection probability; hierarchical model; Mississippi; occupancy; species richness</t>
  </si>
  <si>
    <t>PONDS; BIODIVERSITY; COLONIZATION; COMMUNITIES; OCCUPANCY; RESPONSES; WILDLIFE; RATES</t>
  </si>
  <si>
    <t>The Mississippi Alluvial Valley (MAV) originally consisted of nearly contiguous bottomland hardwood (BLH) forest encompassing approximately 10 million hectares. Currently, only 2025% of the historical BLH forests remain in small patches fragmented by agricultural lands. The Wetlands Reserve Program (WRP) was established to restore and protect the functions and values of wetlands in agricultural landscapes. To assess the potential benefit of WRP restoration to amphibians, we surveyed 30 randomly selected WRP sites and 20 nearby agricultural sites in the Mississippi Delta. We made repeat visits to each site from May to August 2008 and performed both visual encounter and vocalization surveys. We analyzed the encounter history data for 11 anuran species using a Bayesian hierarchical occupancy model that estimated detection probability and probability of occurrence simultaneously for each species. Nine of the 11 species had higher probabilities of occurrence at WRP sites compared to agriculture. Derived estimates of species richness were also higher for WRP sites. Five anuran species were significantly more likely to occur in WRP than in agriculture, four of which were among the most aquatic species. It appears that the restoration of a more permanent hydrology at the WRP sites may be the primary reason for this result. Although amphibians represent only one group of wildlife species, they are useful for evaluating restoration benefits for wildlife because of their intermediate trophic position. The methods used in this study to evaluate the benefit of restoration could be used in other locations and with other groups of indicator species.</t>
  </si>
  <si>
    <t>10.1111/j.1526-100X.2012.00881.x</t>
  </si>
  <si>
    <t>Kavembe, GD; Kautt, AF; Machado-Schiaffino, G; Meyer, A</t>
  </si>
  <si>
    <t>Eco-morphological differentiation in Lake Magadi tilapia, an extremophile cichlid fish living in hot, alkaline and hypersaline lakes in East Africa</t>
  </si>
  <si>
    <t>niche width; RAD-seq; site frequency spectrum; soda lakes; stable isotopes</t>
  </si>
  <si>
    <t>ADAPTIVE RADIATION; GENE FLOW; GEOMETRIC MORPHOMETRICS; UNSAMPLED POPULATIONS; EXPLOSIVE SPECIATION; MIGRATION RATES; TOOL SET; EVOLUTION; ADAPTATION; TELEOSTEI</t>
  </si>
  <si>
    <t>Ecological diversification through divergent selection is thought to be a major force during the process of adaptive radiations. However, the large sizes and complexity of most radiations such as those of the cichlids in the African Great Lakes make it impossible to infer the exact evolutionary history of any population divergence event. The genus Alcolapia, a small cichlid lineage endemic to Lakes Magadi and Natron in East Africa, exhibits phenotypes similar to some of those found in cichlids of the radiations of the African Great Lakes. The simplicity within Alcolapia makes it an excellent model system to investigate ecological diversification and speciation. We used an integrated approach including population genomics based on RAD-seq data, geometric morphometrics and stable isotope analyses to investigate the eco-morphological diversification of tilapia in Lake Magadi and its satellite lake Little Magadi. Additionally, we reconstructed the demographic history of the species using coalescent simulations based on the joint site frequency spectrum. The population in Little Magadi has a characteristically upturned mouthpossibly an adaptation to feeding on prey from the water surface. Eco-morphological differences between populations within Lake Magadi are more subtle, but are consistent with known ecological differences between its lagoons such as high concentrations of nitrogen attributable to extensive guano deposits in Rest of Magadi relative to Fish Springs Lagoon. All populations diverged simultaneously only about 1100 generations ago. Differences in levels of gene flow between populations and the effective population sizes have likely resulted in the inferred heterogeneous patterns of genome-wide differentiation. See also the Perspective by Pinho and Faria</t>
  </si>
  <si>
    <t>10.1111/mec.13461</t>
  </si>
  <si>
    <t>Hussey, NE; DiBattista, JD; Moore, JW; Ward, EJ; Fisk, AT; Kessel, S; Guttridge, TL; Feldheim, KA; Franks, BR; Gruber, SH; Weideli, OC; Chapman, DD</t>
  </si>
  <si>
    <t>Risky business for a juvenile marine predator? Testing the influence of foraging strategies on size and growth rate under natural conditions</t>
  </si>
  <si>
    <t>food web; lemon shark; life history; natural selection; predation risk; stable isotopes</t>
  </si>
  <si>
    <t>SHARKS NEGAPRION-BREVIROSTRIS; ATOL DAS ROCAS; LEMON SHARKS; POPULATION-STRUCTURE; SELECTIVE MORTALITY; MOVEMENT PATTERNS; STABLE-ISOTOPES; PENAEID PRAWNS; FISHES; SALMON</t>
  </si>
  <si>
    <t>Mechanisms driving selection of body size and growth rate in wild marine vertebrates are poorly understood, thus limiting knowledge of their fitness costs at ecological, physiological and genetic scales. Here, we indirectly tested whether selection for size-related traits of juvenile sharks that inhabit a nursery hosting two dichotomous habitats, protected mangroves (low predation risk) and exposed seagrass beds (high predation risk), is influenced by their foraging behaviour. Juvenile sharks displayed a continuum of foraging strategies between mangrove and seagrass areas, with some individuals preferentially feeding in one habitat over another. Foraging habitat was correlated with growth rate, whereby slower growing, smaller individuals fed predominantly in sheltered mangroves, whereas larger, faster growing animals fed over exposed seagrass. Concomitantly, tracked juveniles undertook variable movement behaviours across both the low and high predation risk habitat. These data provide supporting evidence for the hypothesis that directional selection favouring smaller size and slower growth rate, both heritable traits in this shark population, may be driven by variability in foraging behaviour and predation risk. Such evolutionary pathways may be critical to adaptation within predator-driven marine ecosystems.</t>
  </si>
  <si>
    <t>10.1098/rspb.2017.0166</t>
  </si>
  <si>
    <t>Fujita, M; Koike, F</t>
  </si>
  <si>
    <t>Landscape Effects on Ecosystems: Birds as Active Vectors of Nutrient Transport to Fragmented Urban Forests Versus Forest-Dominated Landscapes</t>
  </si>
  <si>
    <t>phosphorus; nitrogen; diet analysis; bird community structure; fragmented forest; nutrient flow; stable isotope ratio; urban ecology; allochthonous flow; autochthonous flow</t>
  </si>
  <si>
    <t>STABLE-ISOTOPES; NITROGEN; PHOSPHORUS; ENRICHMENT; ABUNDANCE; IMPACTS; MARINE; INPUTS</t>
  </si>
  <si>
    <t>In urban landscapes, nearby birds contribute to allochthonous nutrient flow from residential areas to fragmented forests by consuming food in residential areas and depositing feces in forests. To estimate allochthonous nutrient flow qualitatively, the stable nitrogen (delta N-15) and carbon (delta C-13) isotope approach is useful. However, the quantitative allochthonous flow rate cannot be estimated by the stable-isotope approach. To quantify allochthonous input, we compare two different landscapes. We assume that the input rate in deep forests in the forest-dominated landscape is the basic autochthonous flow that is common to various forests, and estimate the allochthonous nutrient input by subtracting the autochthonous flow from the total input in urban forests. The observed nutrient-input rate in the forest-dominated landscape as the autochthonous flow is 0.0298 kg P ha(-1) y(-1) and 0.319 kg N ha(-1) y(-1). Using these values, the allochthonous P input (kg P ha(-1) y(-1)) is estimated at 0.0307 in urban fragmented forests and 2.31 in forests with crow roosts, whereas N input (kg N ha(-1) y(-1)) is 0.397 in urban fragmented forests and 23.2 in forests with crow roosts. Our estimation shows that, in urban forests with roosts, birds contribute 2.7 times the amount of allochthonous P contributed via other pathways, and in urban forests without roosts they contribute 0.035 times the amount; and in addition, birds contribute 0.66 times the amount of allochthonous N input via other pathways in urban forests with crow roosts and 0.011 times the amount in urban forests without roosts. We also measure stable nitrogen and carbon isotope ratios, %N, %P, and %C to estimate the diet of birds. High delta N-15 and delta C-13 values in crow roosts indicate that they eat foods such as livestock meat, C-4 maize, or fish. High avian biomass is the major reason for the large nutrient input in urban landscapes, especially in urban forests with crow roosts.</t>
  </si>
  <si>
    <t>10.1007/s10021-009-9230-z</t>
  </si>
  <si>
    <t>Murray, M; Edwards, MA; Abercrombie, B; St Clair, CC</t>
  </si>
  <si>
    <t>Poor health is associated with use of anthropogenic resources in an urban carnivore</t>
  </si>
  <si>
    <t>human-wildlife conflict; wildlife disease; stable isotope analysis; spatial ecology; Canis latrans; urban adapters</t>
  </si>
  <si>
    <t>STABLE-ISOTOPES; HOME-RANGE; SARCOPTIC MANGE; CANIS-LATRANS; HABITAT USE; COYOTES; DIET; URBANIZATION; POPULATION; MOVEMENTS</t>
  </si>
  <si>
    <t>Rates of encounters between humans and wildlife are increasing in cities around the world, especially when wildlife overlap with people in time, space and resources. Coyotes (Canis latrans) can make use of anthropogenic resources and reported rates of conflict have increased in cities across North America. This increase may be linked to individual differences in the use of human food and developed areas. We compared the relationships between coyote age, sex or health and the use of anthropogenic resources, which we defined as using developed areas over large home ranges, being active during the day, and consuming anthropogenic food. To do so, we applied GPS collars to 19 coyotes and sampled hair for stable isotope analysis. Eleven coyotes appeared to be healthy and eight were visibly infested with sarcoptic mange (Sarcoptes scabiei), a mite that causes hair loss. Diseased coyotes used more developed areas, had larger monthly home ranges, were more active during the day, and assimilated less protein than coyotes that appeared to be healthy. We speculate that anthropogenic food provides a low-quality but easily accessible food source for diseased coyotes, which in turn may increase reliance on it and other anthropogenic resources to promote encounters with people.</t>
  </si>
  <si>
    <t>10.1098/rspb.2015.0009</t>
  </si>
  <si>
    <t>HASSETT, RP; DUGGINS, DO; SIMENSTAD, CA</t>
  </si>
  <si>
    <t>EGG-PRODUCTION RATES OF THE NERITIC MARINE COPEPOD ACARTIA-TUMIDA WILLEY IN THE ALEUTIAN ARCHIPELAGO</t>
  </si>
  <si>
    <t>PLANKTONIC COPEPOD; FOOD CONCENTRATION; CALANUS-PACIFICUS; NARRAGANSETT BAY; TONSA COPEPODA; ISLAND; ENVIRONMENTS; WASHINGTON; CALANOIDA; LAGOON</t>
  </si>
  <si>
    <t>Acartia tumida, a neritic copepod of the northern North Pacific Ocean and Bering Sea, is an unusually large member of its genus, adult females measuring 2.0-2.4 mm in total length. In the summers of 1986 and 1987 we investigated egg production of A. tumida in nearshore habitats of several islands in the Aleutian Island chain. A. tumida was found within protected embayments, where it could reach adult densities as high as 1000 m-3. Highest egg production rates were measured at Amchitka Island (up to 86 eggs copepod-1 d-1 at 6-degrees-C), where the phytoplankton was dominated by chain-forming Thalassiosira spp. In situ egg production rates at Amchitka were more than twice as high as maximum rates measured with cultured T. weissflogii, a single cell diatom, or during blooms of chain-forming Chaetoceros spp. at Adak and Kiska Islands. Approximately 12-24 h was necessary for recent feeding to be reflected in egg production. At high food concentrations 75% of spawning occurred at night and in discrete clutches, a pattern not observed at a lower food concentration.</t>
  </si>
  <si>
    <t>Trammell, TLE; Pataki, DE; Cavender-Bares, J; Groffman, PM; Hall, SJ; Heffernan, JB; Hobbie, SE; Morse, JL; Neill, C; Nelson, KC</t>
  </si>
  <si>
    <t>Plant nitrogen concentration and isotopic composition in residential lawns across seven US cities</t>
  </si>
  <si>
    <t>Urban ecology; Natural abundance nitrogen stable isotopes; Ecological convergence; Nitrogen cycling</t>
  </si>
  <si>
    <t>URBAN-RURAL GRADIENTS; ECOSYSTEM STRUCTURE; MYCORRHIZAL FUNGI; ORGANIC-CARBON; NATURAL N-15; SOIL CARBON; DEPOSITION; ABUNDANCE; PATTERNS; FOLIAR</t>
  </si>
  <si>
    <t>Human drivers are often proposed to be stronger than biophysical drivers in influencing ecosystem structure and function in highly urbanized areas. In residential land cover, private yards are influenced by individual homeowner preferences and actions while also experiencing large-scale human and biophysical drivers. We studied plant nitrogen (%N) and N stable isotopic composition (delta N-15) in residential yards and paired native ecosystems in seven cities across the US that span major ecological biomes and climatic regions: Baltimore, Boston, Los Angeles, Miami, Minneapolis-St. Paul, Phoenix, and Salt Lake City. We found that residential lawns in three cities had enriched plant delta N-15 (P &lt; 0.03) and in six cities higher plant N (%) relative to the associated native ecosystems (P &lt; 0.05). Plant delta N-15 was progressively depleted across a gradient of urban density classes in Baltimore and Boston (P &lt; 0.05). Lawn fertilization was associated with depleted plant delta N-15 in Boston and Los Angeles (P &lt; 0.05), and organic fertilizer additions were associated with enriched plant delta N-15 in Los Angeles and Salt Lake City (P &lt; 0.04). Plant delta N-15 was significantly enriched as a function of housing age in Baltimore (r (2) = 0.27, P &lt; 0.02), Boston (r (2) = 0.27, P &lt; 0.01), and Los Angeles (r (2) = 0.34, P &lt; 0.01). These patterns in plant delta N-15 and plant N (%) across these cities suggests that N sources to lawns, as well as greater rates of N cycling combined with subsequent N losses, may be important drivers of plant N dynamics in lawn ecosystems at the national scale.</t>
  </si>
  <si>
    <t>10.1007/s00442-016-3566-9</t>
  </si>
  <si>
    <t>Mims, MC; Olden, JD</t>
  </si>
  <si>
    <t>Fish assemblages respond to altered flow regimes via ecological filtering of life history strategies</t>
  </si>
  <si>
    <t>dams; flow regulation; freshwater fishes; life histories; United States</t>
  </si>
  <si>
    <t>ENVIRONMENTAL FLOWS; AMERICAN FISHES; RIVER; HOMOGENIZATION; HABITAT; TRAITS; BIODIVERSITY; MANAGEMENT; FRAMEWORK; PATTERNS</t>
  </si>
  <si>
    <t>1. In riverine ecosystems, streamflow determines the physical template upon which the life history strategies of biota are forged. Human freshwater needs and activities have resulted in widespread alteration of the variability, predictability and timing of streamflow, and anticipating the biotic consequences of anthropogenic streamflow alteration is critical for successful environmental flow management. In this study, we examined relationships between dam characteristics, metrics of flow alteration and fish functional community composition according to life history strategies by coupling stream flow records and fish survey data in paired flow-regulated and free-flowing rivers across the conterminous United States. 2. Dam operations have generally reduced flow variability and increased flow constancy based on a comparison of pre- and post-dam flow records (respective mean record lengths 26.2 and 43.1 years). In agreement with ecological theory, fish assemblages downstream of dams were characterised by a lower proportion of opportunistic species (a strategy favoured in environmental settings dominated by unpredictable environmental change) and a higher proportion of equilibrium species (a strategy favoured in more stable, predictable environments) compared to free-flowing, neighbouring locations. 3. Multiple linear regression models provided modest support for links between alteration of specific flow attributes and differential life history representation below dams, and they provided strong support for life history associations with dam attributes (age and release type). We also found support for a relationship of both reduced flow variability and dam age with higher representation of non-native species below dams. 4. Our study demonstrated that river regulation by large dams has significant hydrological and biological consequences across the United States. We showed that on ecological time scales (i.e. the order of years to decades), dams are effectively changing the functional composition of communities that have established over millennia. Furthermore, the changes are directional and indicate a filtering by dams for some life histories (equilibrium strategists) and against other life histories (opportunists). Finally, our study highlights that dependence upon long-term flow records and availability of biotic surveys extracted from national survey efforts limit our ability to guide environmental flow standards particularly in data-poor regions.</t>
  </si>
  <si>
    <t>10.1111/fwb.12037</t>
  </si>
  <si>
    <t>Siders, AC; Compson, ZG; Hungate, BA; Dijkstra, P; Koch, GW; Wymore, AS; Grandy, AS; Marks, JC</t>
  </si>
  <si>
    <t>Litter identity affects assimilation of carbon and nitrogen by a shredding caddisfly</t>
  </si>
  <si>
    <t>carbon; decomposition; detritivore; insects; leaf litter; nitrogen; stable isotopes</t>
  </si>
  <si>
    <t>SOIL MICROBIAL BIOMASS; LEAF-LITTER; DECOMPOSITION RATES; CONTRASTING PATTERNS; TEMPORAL DYNAMICS; EXTRACTION METHOD; ORGANIC-MATTER; AQUATIC INSECT; ENERGY-FLOW; STREAM</t>
  </si>
  <si>
    <t>Ecologists often equate litter quality with decomposition rate. In soil and sediments, litter that is rapidly decomposed by microbes often has low concentrations of tannin and lignin and low C:N ratios. Do these same traits also favor element transfer to higher trophic levels in streams, where many insects depend on litter as their primary food source? We test the hypothesis that slow decomposition rates promote element transfer from litter to insects, whereas rapid decomposition favors microbes. We measured carbon and nitrogen fluxes from four plant species to a leaf-shredding caddisfly using isotopically labeled litter. Caddisflies assimilated a higher percentage of litter carbon and nitrogen lost from slowly decomposing litters (Platanus wrightii and Quercus gambelii). In contrast, rapidly decomposing litters (Fraxinus velutina and Populus fremontii) supported higher microbial biomass. These results challenge the view that rapidly decomposing litter is higher quality by demonstrating that slowly decomposing litters provide a critical resource for insects.</t>
  </si>
  <si>
    <t>e02340</t>
  </si>
  <si>
    <t>10.1002/ecs2.2340</t>
  </si>
  <si>
    <t>Madin, EMP; Gaines, SD; Madin, JS; Warner, RR</t>
  </si>
  <si>
    <t>Fishing Indirectly Structures Macroalgal Assemblages by Altering Herbivore Behavior</t>
  </si>
  <si>
    <t>fishing; coral reef; food web; behavior; indirect effects; trophic cascade</t>
  </si>
  <si>
    <t>MEDIATED INDIRECT INTERACTIONS; TROPHIC CASCADES; PREDATION RISK; COMMUNITY STRUCTURE; TERRITORIAL DAMSELFISHES; GRAZING INTENSITY; FIELD EVIDENCE; CORAL-REEFS; HABITAT USE; FOOD</t>
  </si>
  <si>
    <t>Fishing has clear direct effects on harvested species, but its cascading, indirect effects are less well understood. Fishing disproportionately removes larger, predatory fishes from marine food webs. Most studies of the consequent indirect effects focus on density-mediated interactions where predator removal alternately drives increases and decreases in abundances of successively lower trophic-level species. While prey may increase in number with fewer predators, they may also alter their behavior. When such behavioral responses impact the food resources of prey species, behaviorally mediated trophic cascades can dramatically shape landscapes. It remains unclear whether this pathway of change is typically triggered by ocean fishing. By coupling a simple foraging model with empirical observations from coral reefs, we provide a mechanistic basis for understanding and predicting how predator harvest can alter the landscape of risk for herbivores and consequently drive dramatic changes in primary producer distributions. These results broaden trophic cascade predictions for fisheries to include behavioral changes. They also provide a framework for detecting the presence and magnitude of behaviorally mediated cascades. This knowledge will help to reconcile the disparity between expected and observed patterns of fishing-induced cascades in the sea.</t>
  </si>
  <si>
    <t>10.1086/657039</t>
  </si>
  <si>
    <t>Sackett, DK; Aday, DD; Rice, JA; Cope, WG; Buchwalter, D</t>
  </si>
  <si>
    <t>Does proximity to coal-fired power plants influence fish tissue mercury?</t>
  </si>
  <si>
    <t>Mercury; Selenium; Point-source; Coal-fired power plant; Fish</t>
  </si>
  <si>
    <t>DISSOLVED ORGANIC-CARBON; WATER CHEMISTRY; LARGEMOUTH BASS; STABLE-ISOTOPES; YELLOW PERCH; SELENIUM; FOOD; METHYLMERCURY; BIOACCUMULATION; LAKE</t>
  </si>
  <si>
    <t>Much of the mercury contamination in aquatic biota originates from coal-fired power plants, point sources that release mercury into the atmosphere. Understanding mercury dynamics is primarily important because of the toxic threat mercury poses to wildlife and humans through the consumption of contaminated fish. In this study, we quantified the relative importance of proximity to coal-fired power plants on mercury accumulation in two fish species of different trophic positions. Fish, water and sediment were collected and analyzed from 14 lakes, seven near to (&lt; 10 km) and seven far from (&gt; 30 km) coal-fired power plants. Lower tissue mercury and higher tissue selenium concentrations were measured in fish collected near power plants. Moreover, mercury accumulation in fish was driven by biotic characteristics (e.g., trophic position, total length, age), waterbody characteristics (e.g., pH, dissolved organic carbon and sulfate) and distance from power plants. Proximity to an atmospheric point-source of mercury and selenium, such as a coal-fired power plant, affects the quantities of mercury and selenium accumulated in fish tissue. Differences in accumulation are hypothesized to be driven in part by selenium-mitigated reductions in fish tissue mercury near power plants. Although reduced fish tissue mercury in systems near power plants may decrease mercury-specific risks to human consumers, these benefits are highly localized and the relatively high selenium associated with these tissues may compromise ecological health.</t>
  </si>
  <si>
    <t>10.1007/s10646-010-0545-5</t>
  </si>
  <si>
    <t>An, H; Li, QL; Yan, X; Wu, XZ; Liu, RT; Fang, Y</t>
  </si>
  <si>
    <t>Desertification control on soil inorganic and organic carbon accumulation in the topsoil of desert grassland in Ningxia, northwest China</t>
  </si>
  <si>
    <t>Stable carbon isotope; Soil inorganic carbon; Topsoil; Carbon storage; Desertification</t>
  </si>
  <si>
    <t>NATURAL VEGETATION RESTORATION; STABLE CARBON; PEDOGENIC CARBONATES; CLIMATE-CHANGE; LOESS PLATEAU; STORAGE; NITROGEN; LAND; CHRONOSEQUENCE; ISOTOPES</t>
  </si>
  <si>
    <t>Soil carbon is an essential part of the terrestrial carbon pool, which includes soil organic carbon (SOC) and soil inorganic carbon (SIC). Soils contain a huge amount of inorganic carbon in arid and semiarid regions, which may be a potential source of CO2 emitted to the atmosphere. Neglecting soil inorganic carbon could result in erroneous or misleading interpretations of the soil carbon pool of arid and semiarid ecosystems. Nevertheless, only a few studies have focused on variations of SIC, or have further used the soil stable carbon isotope to explore the inherent mechanism of SIC variations in semiarid regions. The study was designed to estimate the dynamic of SOC and SIC with the development of desertification in the topsoil. Here, four desertification stages were chosen, including potential desertification (PD), light desertification (LD), severe desertification (SD), and very severe desertification (VSD) stages, to evaluate the horizontal and vertical distributions of SOC and SIC, and the stable carbon isotope (delta C-13) of SOC and SIC with the desertification development in the topsoil (0-30 cm soil layer). The SOC and SIC contents and storage changed significantly with desertification development. The PD stages had the highest SOC (21.01 mg/hm(2)) and SIC (11.60 mg/hm(2)) storage at 0-30 cm, while the contrary result for VSD stages, with the average of SOC and SIC, was 8.27 mg/hm(2) and 6.15 mg/hm(2), respectively. The vertical distribution of SIC and SOC has varied sharply with soil depth. The delta C-13-SIC within the 0-30 cm soil profile in the PD stages were more negative than those in other desertification stages and gradually increased with desertification development. In contrast, the delta C-13-SOC generally decreased with desertification progress. The entire data (108 soil samples) exhibited that delta C-13-SIC were significantly and negatively correlated with delta C-13-SOC and SIC content, while SIC storage was significantly and positively correlated with SOC storage. The results demonstrated that an increase of SOC might be related to enhancing accumulation of SIC. The results of this study provide information about the variation of SIC and SOC with the desertification development and contribute to our understanding of the important role of SIC in estimating the carbon sequestration capacity in the degraded grassland ecosystems in arid and semiarid regions.</t>
  </si>
  <si>
    <t>10.1016/j.ecoleng.2018.12.014</t>
  </si>
  <si>
    <t>van Straalen, NM; Butovsky, RO; Pokarzhevskii, AD; Zaitsev, AS; Verhoef, SC</t>
  </si>
  <si>
    <t>Metal concentrations in soil and invertebrates in the vicinity of a metallurgical factory near Tula (Russia)</t>
  </si>
  <si>
    <t>carabidae; Collembola; heavy metals; earthworms; Oribatida; pollution; soil</t>
  </si>
  <si>
    <t>ORIBATID MITES; ARTHROPODS; ACCUMULATION; ZINC; POPULATIONS; COLLEMBOLA; EMISSIONS; CADMIUM; SMELTER; COPPER</t>
  </si>
  <si>
    <t>To investigate the effects of emissions from a large metal works near Tula in the Russian Federation, we measured concentrations of iron, manganese, zinc, copper, nickel, lead and cadmium in soil, litter and invertebrates at four sampling sites at different distances from the factory. The sites were located in woodlands in the bed of the Voronka river, near the town of Kosaya Gora. in the district of Tula. Additional soil properties (organic matter content, clay content, water holding capacity, Ca, Mg, N, P, and pH) were measured that could explain differences in the bioavailability of the metal burdens. It appeared that the factory is a source of Fe, Mn, Zn, Cu, Ni and Pb. One of the sampling sites had a high nitrogen content in the litter due to emissions from a fertilizer plant in the area. Most of the metal contamination was limited to the immediate surroundings and did not extend beyond a distance of 5 km. Only the site close to the factory can be considered as polluted, however, background concentrations of metals in the Tula area seem to be significantly lower than in present Western European soils and a reference system still has to be developed. Exchangeable metal concentrations (0.01 M CaCl2 extracts from soil) were very low and were not correlated with the total concentrations, indicating low bioavailability of the pollution. At the most polluted site, concentrations of all metals were positively correlated with each other, correlations decreased with increasing distance. Metal concentrations in soil were often negatively correlated with organic matter content, especially so for nickel. Metal concentrations in invertebrates showed considerable variation between individual species, however, some general patterns were obvious. Concentrations were high in earthworms, oribatid mites and carabid beetles, and low in springtails, centipedes and spiders. There was no relationship between the trophic position of a species and its metal accumulating ability. Iron concentrations in invertebrates at the polluted site were a factor of 2 to 4 higher than at the most remote (reference) site; for zinc and copper the internal concentrations were also elevated, but to a lesser extent than the soil concentrations. The data illustrate the extremely complicated relationship between metal residues in invertebrates and metal concentrations in soil. For most of the saprophageous and predatory arthropods studied total concentrations nor exchangeable concentrations in soil are good predictors; species-specific feeding mechanisms and metal physiologies seem to be the main determinants.</t>
  </si>
  <si>
    <t>10.1078/0031-4056-00099</t>
  </si>
  <si>
    <t>Mulder, CPH; Jumpponen, A; Hogberg, P; Huss-Danell, K</t>
  </si>
  <si>
    <t>How plant diversity and legumes affect nitrogen dynamics in experimental grassland communities</t>
  </si>
  <si>
    <t>nitrogen fixer; sampling effect; species richness; stable isotopes</t>
  </si>
  <si>
    <t>DIFFERENT ROOTING DEPTHS; NATURAL N-15 ABUNDANCE; ECOSYSTEM FUNCTION; PRODUCTIVITY; BIODIVERSITY; COMPETITION; POPULATIONS</t>
  </si>
  <si>
    <t>Positive relationships between species richness and ecosystem processes such as productivity or nitrogen cycling can be the result of a number of mechanisms. We examined how species richness, biomass, and legume presence, diversity, and abundance explained nitrogen dynamics in experimental grassland plots in northern Sweden. Nitrogen concentrations and delta(15)N values were measured in plants grown in 28 mixtures (58 plots) including 1, 2, 4, 8 or 12 local grassland species over four years. Values for delta(15)N declined over time for all three functional groups (grasses, legumes, and non-leguminous forbs), suggesting greater reliance on N fixed by legumes over time by all species. Above ground percent nitrogen (%N) also declined over time but root %N and total N did not. Path analysis of above ground data suggested that two main factors affected %N and the size of the N pool. First, higher plant diversity (species richness) increased total N through increased biomass in the plot. Although in the first two years of the experiment this was the result of a greater probability of inclusion of at least one legume, in the last two years diversity had a significant effect on biomass beyond this effect. Second, percent legumes planted in the plots had a strong effect on above ground %N and delta(15)N, but a much smaller effect on above ground biomass. In contrast, greater plant diversity affected N in roots both by increasing biomass and by decreasing %N (after controlling for effects mediated by root biomass and legume biomass). Increased legume biomass resulted in higher %N and lower delta(15)N for both non-legume forbs and grasses in the first year, but only for grasses in the third year. We conclude that a sampling effect (greater probability of including a legume) contributed towards greater biomass and. total N in high-diversity communities early on in the experiment, but that over time this effect weakened and other positive effects of diversity became more important.</t>
  </si>
  <si>
    <t>10.1007/s00442-002-1043-0</t>
  </si>
  <si>
    <t>Ruthven, JS; Walters, AW</t>
  </si>
  <si>
    <t>Invasive Brook Stickleback Culaea inconstans minimally alters the trophic ecology of four native fishes in Wyoming, USA</t>
  </si>
  <si>
    <t>Non-native fishes; Diet; Stable isotope analysis; Competition; Resource use</t>
  </si>
  <si>
    <t>STABLE-ISOTOPE; FEEDING ECOLOGY; BIOLOGICAL INVASIONS; GENERALIST CONSUMERS; YAMPA RIVER; NICHE WIDTH; BIODIVERSITY; THREATS; IMPACTS; HOMOGENIZATION</t>
  </si>
  <si>
    <t>Invasive species introductions are a primary threat facing populations of native freshwater fishes. There are multiple mechanisms by which an invader can affect native species, with competition for food resources being one mechanism that can lead to declines in the distribution and abundance of native species. Invaders that are trophic generalists may cause shifts in the trophic ecology of native species and may be better suited for long-term persistence amid environmental stochasticity. Therefore, trophic studies can provide valuable informa-tion on the risk an invader poses to native species. Brook Stickleback Culaea inconstans is an invasive fish species in Wyoming whose effect on native fish assemblages is poorly understood. Our goal was to understand the potential for competitive interactions between Brook Stickleback and native fishes. We used stable isotopes of carbon (delta C-13) and nitrogen (delta N-15) to evaluate the feeding ecology of Brook Stickleback relative to four native fishes, and to explore whether native fish isotopic niches changed in sympatry with Brook Stickleback. We hy-pothesized that the isotopic niche of Brook Stickleback would be larger than that of native fishes, suggesting broader resource use. Additionally, we hypothesized that the isotopic niche of native fish populations sympatric with Brook Stickleback would contract. We did not find support for our hypotheses as the isotopic niche of Brook Stickleback was not substantially different from that of native fishes. Further, the isotopic niche of native fishes was not substantially affected by Brook Stickleback presence. As a result, we do not currently see evidence of Brook Stickleback altering the trophic ecology of native fish species. Our results provide insight to the effects of a small-bodied invasive fish species on native fishes in a previously unstudied region, and can help managers prioritize management actions to conserve native fishes.</t>
  </si>
  <si>
    <t>e00275</t>
  </si>
  <si>
    <t>10.1016/j.fooweb.2023.e00275</t>
  </si>
  <si>
    <t>Sanchez-Carrillo, S; Angeler, DG; Alvarez-Cobelas, M; Rojo, C</t>
  </si>
  <si>
    <t>Abiotic drivers of consumer foodweb structure in lakes</t>
  </si>
  <si>
    <t>stable-isotope analysis; ecosystem-structure; community-metrics; lakes; link properties; abiotic attributes</t>
  </si>
  <si>
    <t>MULTIVARIATE REGRESSION TREES; STABLE-ISOTOPE; WEB STRUCTURE; CHAIN LENGTH; COMMUNITY-METRICS; TROPHIC CASCADES; BOTTOM-UP; TOP-DOWN; PATTERNS; SIZE</t>
  </si>
  <si>
    <t>The effects of the combined roles of abiotic and biotic factors defining foodweb structure are often ignored. In aquatic systems, abiotic variables can regulate food webs through bottom-up effects, but abiotic settings also can have indirect effects on aquatic food webs that are mediated through shifts in the magnitudes of top-down and bottom-up effects. We used link-and-chain properties (LCP) and stable-isotope community metrics (SIM) to assess the trophic structure of consumers in 10 world lakes. Our goal was to identify the key abiotic variables driving these metrics through multivariate regression trees (MRTs). Food-chain length in the lakes did not depend on any LCP metric and was controlled mainly by resource availability and foraging biology of top generalist (omnivore) species. Variances explained by abiotic variables used in MRT models on LCP and SIM were high (71-74%) and showed that altitude, followed by water temperature, was the main factor of dissimilarity among lake food webs. This result implies that abiotic variables other than those related to water quality were accountable for some variance of the lake foodweb structure. MRT results showed that these abiotic variables exerted a common pattern of influence among foodweb size and trophic redundancy in food webs of lakes. The physical environment was the main driver of abiotic variables on trophic structure in pristine lakes, whereas effects of water quality (which include most human effects) were restricted to lakes at the lower part of river basins.</t>
  </si>
  <si>
    <t>10.1086/697927</t>
  </si>
  <si>
    <t>Hurst, TP; Miller, JA; Ferm, N; Heintz, RA; Farley, EV</t>
  </si>
  <si>
    <t>Spatial variation in potential and realized growth of juvenile Pacific cod in the southeastern Bering Sea</t>
  </si>
  <si>
    <t>Bering Sea; Growth rate; Bioenergetics; Nursery habitat; Diet</t>
  </si>
  <si>
    <t>POLLOCK THERAGRA-CHALCOGRAMMA; AGE-0 WALLEYE POLLOCK; GADUS-MACROCEPHALUS; CLIMATE-CHANGE; LIFE-HISTORY; HABITAT ASSOCIATIONS; BIOENERGETICS MODEL; ENERGY ALLOCATION; FISH; RECRUITMENT</t>
  </si>
  <si>
    <t>In the southeast Bering Sea, age-0 Pacific cod Gadus macrocephalus primarily occupy 2 distinct habitat types: shallow, coastal waters along the central Alaska Peninsula and surface waters over the broad continental shelf. We examined functional aspects of habitat use by describing regional and habitat-specific variation in feeding and growth energetics based on sampling conducted in late summer 2012. Diets varied among regions, with more benthic copepods, amphipods, and shrimps consumed in coastal regions and more pelagic copepods, krill, and pteropods consumed in surface waters over the shelf. Growth rates measured from otolith edge increments were highest along the Alaska Peninsula, the region supporting the highest density of age-0 cod. Interestingly, fish energetic condition was comparatively low in the region with the highest growth rates, suggesting a tradeoff between growth and energy storage. Water temperatures and prey energy densities were used with a bioenergetic model to derive spatially explicit estimates of growth potential. Growth potential was correlated with observed station-specific growth rates, providing an independent, empirical validation of the model. We also contrasted patterns of growth potential in 2012, a cold year in the Bering Sea, with those for 2005, a representative warm year. Growth potential was reduced in the warm year by up to 27%, and there was a shift in the region offering the highest growth potential. The observed thermally induced changes in growth potential, as well as the location of highest growth potential, may have significant implications for the recruitment of this important resource species under episodic or prolonged warming.</t>
  </si>
  <si>
    <t>10.3354/meps12494</t>
  </si>
  <si>
    <t>Ricci, P; Sion, L; Capezzuto, F; Cipriano, G; D'Onghia, G; Libralato, S; Maiorano, P; Tursi, A; Carlucci, R</t>
  </si>
  <si>
    <t>Modelling the trophic roles of the demersal Chondrichthyes in the Northern Ionian Sea (Central Mediterranean Sea)</t>
  </si>
  <si>
    <t>Marine food web; Keystone species; Top-down control; Regulation services; Natural capital; Ecosystem overfishing</t>
  </si>
  <si>
    <t>The maintenance of natural capital and the stability of regulation services of marine ecosystems has proved to be linked to the conservation of key species supporting the ecosystems function. Chondrichthyes are key top 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 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t>
  </si>
  <si>
    <t>10.1016/j.ecolmodel.2021.109468</t>
  </si>
  <si>
    <t>Coull, BC</t>
  </si>
  <si>
    <t>Role of meiofauna in estuarine soft-bottom habitats</t>
  </si>
  <si>
    <t>AUSTRALIAN JOURNAL OF ECOLOGY</t>
  </si>
  <si>
    <t>Australia; estuaries; future research; meiofauna; pollution; review; trophic-interactions</t>
  </si>
  <si>
    <t>SPOT LEIOSTOMUS-XANTHURUS; GREAT-BARRIER-REEF; POLYCYCLIC AROMATIC-HYDROCARBONS; HUNTER-RIVER-ESTUARY; MEIOBENTHIC HARPACTICOID COPEPODS; SEDIMENT QUALITY CRITERIA; JUVENILE PACIFIC SALMON; FREE-LIVING NEMATODES; FOOD SOURCE; CORAL-REEF</t>
  </si>
  <si>
    <t>Meiofauna are ubiquitous in estuaries worldwide averaging 10(6) m(-2). Abundance and species composition are controlled primarily by three physical factors: sediment particle size, temperature and salinity. While meiofauna are integral parts of estuarine food webs, the evidence that they are biologically controlled is equivocal. Top down (predation) control clearly does not regulate meiofaunal assemblages. Meiofauna reproduce so rapidly and are so abundant that predators cannot significantly reduce population size. Food quantity (bottom up control) also does not appear to limit meiofaunal abundance; there is little data on the effect of food quality. In estuarine sediments meiofauna: (i) facilitate biomineralization of organic matter and enhance nutrient regeneration; (ii) serve as food for a variety of higher trophic levels; and (iii) exhibit high sensitivity to anthropogenic inputs, making them excellent sentinels of estuarine pollution. Generally mineralization of organic matter is enhanced and bacterial production stimulated in the presence of meiofauna. Tannins from mangrove detritus in northern Queensland appear to inhibit meiofaunal abundance and therefore the role of meiofauna in breakdown of the leaves. Meiofauna, particularly copepods, are known foods for a variety of predators especially juvenile fish and the meiofaunal copepods are high in the essential fatty acids required by fish. The copepod's fatty acid composition is like that of the microphytobenthos they eat; bacterial eaters (nematodes?) do not have the essential fatty acids necessary for fish. Most contaminants in estuaries reside in sediments, and meiofauna are intimately associated with sediments over their entire life-cycle, thus they are increasingly being used as pollution sentinels. Australian estuarine meiofauna research has been concentrated in Queensland, the Hunter River estuarine system in New South Wales, and Victoria's coastal lagoons. Studies in northern Queensland have primarily concentrated on the role of nematodes in mineralization of organic matter, whereas those from southern Queensland have concentrated on the role of meiofauna as food for fish and as bacterial grazers. The New South Wales studies have concentrated on the Hunter River estuary and on the structure and function of marine nematode communities. In Victoria, several fish have been shown to eat meiofauna. The Australian world of meiofaunal research has hardly been touched; there are innumerable opportunities for meiofaunal studies. In contaminated estuarine sediments reduced trophic coupling between meiofauna and juvenile fish is a basic ecological question of habitat suitability, but also a question with relevance to management of estuarine resources. Because meiofauna have short lifecycles, the effects of a contaminant on the entire life-history can be assessed within a relatively short time. The use of modern molecular biology techniques to assess genetic diversity of meiofauna in contaminated vs uncontaminated sediments is a promising avenue for future research. Much of the important meiofaunal functions take place in very muddy substrata; thus, it is imperative to retain mudflats in estuaries.</t>
  </si>
  <si>
    <t>10.1046/j.1442-9993.1999.00979.x</t>
  </si>
  <si>
    <t>Kaylor, MJ; White, SM; Sedell, ER; Sanders, AM; Warren, DR</t>
  </si>
  <si>
    <t>Carcass Additions Influence Food Webs Through Bottom-Up and Direct Consumption Pathways Along a Fish Species Assemblage Gradient</t>
  </si>
  <si>
    <t>Food webs; Salmon subsidies; Salmonids; Columbia River Basin; Stable isotopes; Fish diets; Marine-derived nutrients</t>
  </si>
  <si>
    <t>COLUMBIA RIVER-BASIN; PACIFIC SALMON; STREAM PRODUCTIVITY; NUTRIENT ENRICHMENT; SOUTHEASTERN ALASKA; FRESH-WATER; COHO SALMON; DYNAMICS; COMMUNITY; ECOSYSTEM</t>
  </si>
  <si>
    <t>The loss of subsidies delivered by anadromous fish to inland stream ecosystems may have profound influences on stream food webs. However, studies have focused on food web responses in ecosystems where the fish assemblage is dominated by salmonids. We evaluated food web responses to carcass additions in three locations of an interior Columbia River Basin stream with varying native fish assemblages. Periphyton biomass responses were mixed with increases in treatment compared to control reaches of the middle and downstream pairs, but not in the upstream pair where scavenging by bears removed the majority of carcasses. Stable isotope analysis revealed marine-derived nutrient (MDN) enrichment of periphyton and invertebrate functional feeding groups in the middle and downstream pairs (up to 12% MDN derived), but not in the upstream pair. Non-salmonid fish exhibited limited MDN assimilation ( 5 and 10% MDN derived), with isotopic enrichment patterns similar to lower trophic levels and little evidence of eggs and carcass material consumption, suggesting bottom-up transfer of MDN to non-salmonid fishes. In contrast, across the three study pairs, juvenile Chinook Salmon (Oncorhynchus tshawytscha) and steelhead trout (O. mykiss) assimilated MDN rapidly, obtaining up to 25% and 57% of their nitrogen from carcasses, respectively. Diet analysis and isotopic enrichment patterns indicated that juvenile salmonid assimilation occurred primarily through direct consumption of eggs and carcass tissue. Our findings suggest that salmonids in this region may experience more benefit from carcass additions containing eggs, while non-salmonids are likely to experience minimal MDN incorporation whether or not eggs are present.</t>
  </si>
  <si>
    <t>10.1007/s10021-020-00510-x</t>
  </si>
  <si>
    <t>Zgliczynski, BJ; Williams, GJ; Hamilton, SL; Cordner, EG; Fox, MD; Eynaud, Y; Michener, RH; Kaufman, LS; Sandin, SA</t>
  </si>
  <si>
    <t>Foraging consistency of coral reef fishes across environmental gradients in the central Pacific</t>
  </si>
  <si>
    <t>Fishes; Foraging; Trophic; Stomach contents; Isotopes; Primary production</t>
  </si>
  <si>
    <t>HERBIVOROUS FISHES; NUTRITIONAL ECOLOGY; NICHE WIDTH; BODY-SIZE; DIVERSITY; HABITAT; PATTERNS; PREY; DIET; FLOW</t>
  </si>
  <si>
    <t>We take advantage of a natural gradient of human exploitation and oceanic primary production across five central Pacific coral reefs to examine foraging patterns in common coral reef fishes. Using stomach content and stable isotope (delta N-15 and delta C-13) analyses, we examined consistency across islands in estimated foraging patterns. Surprisingly, species within the piscivore-invertivore group exhibited the clearest pattern of foraging consistency across all five islands despite there being a considerable difference in mean body mass (14 g-1.4 kg) and prey size (0.03-3.8 g). In contrast, the diets and isotopic values of the grazer-detritivores varied considerably and exhibited no consistent patterns across islands. When examining foraging patterns across environmental contexts, we found that delta N-15 values of species of piscivore-invertivore and planktivore closely tracked gradients in oceanic primary production; again, no comparable patterns existed for the grazer-detritivores. The inter-island consistency in foraging patterns within the species of piscivore-invertivore and planktivore and the lack of consistency among species of grazer-detritivores suggests a linkage to different sources of primary production among reef fish functional groups. Our findings suggest that piscivore-invertivores and planktivores are likely linked to well-mixed and isotopically constrained allochthonous oceanic primary production, while grazer-detritivores are likely linked to sources of benthic primary production and autochthonous recycling. Further, our findings suggest that species of piscivore-invertivore, independent of body size, converge toward consuming low trophic level prey, with a hypothesized result of reducing the number of steps between trophic levels and increasing the trophic efficiency at a community level.</t>
  </si>
  <si>
    <t>10.1007/s00442-019-04496-9</t>
  </si>
  <si>
    <t>Higgins, SN; Althouse, B; Devlin, SP; Vadeboncoeur, Y; Vander Zanden, MJ</t>
  </si>
  <si>
    <t>Potential for large-bodied zooplankton and dreissenids to alter the productivity and autotrophic structure of lakes</t>
  </si>
  <si>
    <t>autotrophic structure; benthic-pelagic coupling; community structure; eutrophication; food web; primary production; trophic cascade</t>
  </si>
  <si>
    <t>TOP-DOWN; SUBMERGED MACROPHYTES; BENTHIC RESOURCES; ALGAL PRODUCTION; SHALLOW LAKES; SAGINAW BAY; BOTTOM-UP; FOOD WEBS; CHLOROPHYLL; PHOSPHORUS</t>
  </si>
  <si>
    <t>While limnological studies have emphasized the importance of grazers on algal biomass and primary production in pelagic habitats, few studies have examined their potential role in altering total ecosystem primary production and it's partitioning between pelagic and benthic habitats. We modified an existing ecosystem production model to include biotic feedbacks associated with two groups of large-bodied grazers of phytoplankton (large-bodied zooplankton and dreissenid mussels) and estimated their effects on total ecosystem production (TEP), and the partitioning of TEP between phytoplankton and periphyton (autotrophic structure) across large gradients in lake size and total phosphorus (TP) concentration. Model results indicated that these filter feeders were capable of reducing whole-lake phytoplankton production by 20-70%, and increasing whole-lake benthic production between 0% and 600%. Grazer effects on TEP were constrained by lake size, trophic status, and potential feedbacks between grazing and maximum rates of benthic photosynthesis (BPMAX). In small (mean depth (Z) over bar &lt; 10 m) oligotrophic and mesotrophic (TP &lt; 100 mg P/m(2)) lakes, both large-bodied zooplankton and dreissenids were capable of increasing the benthic fraction (Bf) by 10-50% of TEP. Small lakes were also the only systems where TEP had the potential to increase in the presence of large-bodied grazers, but such increases only occurred if grazer-induced changes in water clarity, macrophyte coverage, or nutrient availability stimulated specific growth rates of periphyton. In other scenarios, TEP declined by a maximum of 50%. In very large lakes ((Z) over bar &gt;100 m), Bf was minor (&lt;10%) in the presence or absence of grazers, but increases in littoral habitat and the stimulation of benthic production in these ecosystems could be of ecological relevance because littoral zones in large lakes contain a relatively high proportion of within-lake biodiversity and are important for whole-lake food webs.</t>
  </si>
  <si>
    <t>10.1890/13-2333.1</t>
  </si>
  <si>
    <t>Wardle, DA; Bonner, KI; Barker, GM</t>
  </si>
  <si>
    <t>Stability of ecosystem properties in response to above-ground functional group richness and composition</t>
  </si>
  <si>
    <t>SPECIES-DIVERSITY; ECOLOGICAL COMMUNITIES; GRASSLAND ECOSYSTEMS; MICROBIAL BIOMASS; PLANT COMPOSITION; FOOD-WEB; BIODIVERSITY; PRODUCTIVITY; HERBIVORY; CONSEQUENCES</t>
  </si>
  <si>
    <t>While there has been a rapidly increasing research effort focused on understanding whether and how composition and richness of species and functional groups may determine ecosystem properties, much remains unknown about how these community attributes affect the dynamic properties of ecosystems. We conducted an experiment in 540 mini-ecosystems in glasshouse conditions, using an experimental design previously shown to be appropriate for testing for functional group richness and composition effects in ecosystems. Artificial communities representing 12 different above-ground community structures were assembled. These included treatments consisting of monoculture and two- and four-species mixtures from a pool of four plant species; each plant species represented a different functional group. Additional treatments included two herbivore species, either singly or in mixture, and with or without top predators. These experimental units were then either subjected to an experimentally imposed disturbance (drought) for 40 d or left undisturbed. Community composition and drought both had important effects on plant productivity and biomass, and on several below-ground chemical and biological properties, including those linked to the functioning of the decomposer subsystem. Many of these compositional effects were due to effects both of plant and of herbivore species. Plant functional group richness also exerted positive effects on plant biomass and productivity, but not on any of the below-ground properties. Above-ground composition also had important effects on the response of below-ground properties to drought and thus influenced ecosystem stability (resistance); effects of composition on drought resistance of above-ground plant response variables and soil chemical properties were weaker and less consistent. Despite the positive effects of plant functional group richness on some ecosystem properties, there was no effect of richness on the resistance of any of the ecosystem properties we considered. Although herbivores had detectable effects on the resistance of some ecosystem properties, there were no effects of the mixed herbivore species treatment on resistance relative to the single species herbivore treatments. Increasing above-ground food chain length from zero to three trophic levels did not have any consistent effect on the stability of ecosystem properties. There was no evidence of either above-ground composition or functional group richness affecting the recovery rate of ecosystem properties from drought and hence ecosystem resilience. Our data collectively point to the role of composition (identity of functional group), but not functional group richness, in determining the stability (resistance to disturbance) of ecosystem properties, and indicates that the nature of the above-ground community can be an important determinant of the consistency of delivery of ecosystem services.</t>
  </si>
  <si>
    <t>10.1034/j.1600-0706.2000.890102.x</t>
  </si>
  <si>
    <t>Takai, N; Kawabe, K; Togura, K; Kawasaki, K; Kuwae, T</t>
  </si>
  <si>
    <t>The seasonal trophic link between Great Cormorant Phalacrocorax carbo and ayu Plecoglossus altivelis altivelis reared for mass release</t>
  </si>
  <si>
    <t>Food chain; Foraging behavior; Stable isotope; Stomach content; Fish fauna</t>
  </si>
  <si>
    <t>STABLE-ISOTOPES; FOOD WEBS; NITROGEN; JAPAN; DIET; DELTA-N-15; FISHERIES; ANIMALS; HANEDAE; TISSUES</t>
  </si>
  <si>
    <t>The feeding ecology of Great Cormorants (Phalacrocorax carbo) during the breeding season in the Kano River basin, central Japan, was examined to clarify the trophic relationship between the cormorants and ayu (Plecoglossus altivelis altivelis) reared for mass release in the river. The ayu was most frequently found in stomachs of cormorants culled during the breeding season, despite relatively poor catch in the year-round fish fauna research in the watershed. Carbon and nitrogen stable isotope ratios of some ayu individuals extracted from the stomachs of the culled cormorants were similar to the isotopic values of ayu caught in the watershed, whereas the other stomach-content ayu showed peculiarly high nitrogen isotopic values, clearly distinct from the values of the ayu caught in the watershed, and overlapped with the values of mass-release ayu. Furthermore, isotopic values of past diets inferred by the isotope analysis of livers of the culled cormorants were closer to the values of the mass-release ayu, relative to the past diet values inferred by the analysis of the cormorant muscles. This suggests that the food supply from the mass-release ayu had increased in the breeding season, since the isotopic turnover rate is faster in livers than in muscles. The huge number of formula-fed ayu released in the watershed create an anthropogenic food chain which is assumed to significantly support the breeding of the cormorants.</t>
  </si>
  <si>
    <t>10.1007/s11284-018-1610-4</t>
  </si>
  <si>
    <t>Lee, D; Kim, J; Lee, KS; Kim, S</t>
  </si>
  <si>
    <t>Partitioning of catchment water budget and its implications for ecosystem carbon exchange</t>
  </si>
  <si>
    <t>RAINFALL INTERCEPTION; STABLE-ISOTOPES; RIVER-BASIN; FOREST; EVAPOTRANSPIRATION; EVAPORATION; ENERGY</t>
  </si>
  <si>
    <t>Spatially averaged annual carbon budget is one of the key information needed to understand ecosystem response and feedback to climate change. Water availability is a primary constraint of carbon uptake in many ecosystems and therefore the estimation of ecosystem water use may serve as an alternative to quantify Gross Primary Productivity (GPP). To examine this concept, we estimated a long-term steady state water budget for the Han River basin (similar to 26 000 km(2)) in Korea and examined its application for catchment scale carbon exchange. For this, the catchment scale evapotranspiration (ET) was derived from the long term precipitation (P) and discharge (Q) data. Then, using stable isotope data of P and Q along with other hydrometeorological information, ET was partitioned into evaporation from soil and water surfaces (E-S), evaporation from intercepted rainfall (E-I, and transpiration (T). E-S was identified as a minor component of ET in the study areas regardless of the catchment scales. The annual T, estimated from ET after accounting for E-I and E-S for the Han River basin from 1966 to 2007, was 22 similar to 31% of annual P and the proportion decreased with increasing P. Assuming that T further constrains the catchment scale GPP in terms of water use efficiency (WUE), we examined the possibility of using T as a relative measure for the strength and temporal changes of carbon uptake capacity. The proposed relationship would provide a simple and practical way to assess the spatial distribution of ecosystem GPP, provided the WUE estimates in terms of GPP/T at ecosystem scale could be obtained. For carbon and water tracking toward a sustainable Asia, ascertaining such a spatiotemporally representative WUE and their variability is a requisite facing the flux measurement and modeling communities.</t>
  </si>
  <si>
    <t>10.5194/bg-7-1903-2010</t>
  </si>
  <si>
    <t>Bransky, JW; Dorn, NJ</t>
  </si>
  <si>
    <t>Prey use of wetland benthivorous sunfishes: ontogenetic, interspecific and seasonal variation</t>
  </si>
  <si>
    <t>Everglades; Centrarchidae; Trophic ecology; Grass shrimp; Crayfish</t>
  </si>
  <si>
    <t>LARGEMOUTH BASS; NICHE SHIFTS; FISH; COMPETITION; CRAYFISH; INVERTEBRATES; CENTRARCHIDAE; POPULATIONS; PREDATION; DYNAMICS</t>
  </si>
  <si>
    <t>The intensity of competitive interactions between fishes is partly determined by prey use and ontogenetic niche shifts. In a wetland where distinct habitat shifts are missing we compared prey use of three generalist benthivorous sunfishes to look for evidence of ontogenetic, interspecific, and seasonal variation in prey composition. Diet analysis revealed evidence of diet ontogeny in warmouth (Lepomis gulosus, 30-152 mm standard length, SL), but not in bluespotted sunfish (Enneacanthus gloriosus, 30-47 mm SL) or dollar sunfish (Lepomis marginatus, 30-60 mm SL). Bluespotted and dollar sunfishes consumed small dipteran and amphipod prey and had similar diets in both seasons suggesting a potential for strong interspecific competition. In the dry season, warmouth shifted from using smaller insect prey to larger decapod and fish prey with increasing size. This shift to prey types that were little used by the other species reduced dietary niche overlap with the other sunfishes. After drought and re-flooding (in the wet season), decapods and small fish were less abundant in the wetland and the warmouth ontogenetic shift was less distinct. When matched for gape width, prey composition differed between warmouth and both dollar and bluespotted sunfishes in the wet season, suggesting differences in sunfish foraging modes, but prey use differences were less clear in the dry season when prey were abundant. Both warmouth ontogenetic diet shifts and seasonal variation in prey use (probably mediated by prey abundance) had strong influences on diet overlap and therefore the potential for intra- and interspecific competition between sunfishes in this wetland ecosystem.</t>
  </si>
  <si>
    <t>10.1007/s10641-013-0110-1</t>
  </si>
  <si>
    <t>HEMMINGA, MA; SLIM, FJ; KAZUNGU, J; GANSSEN, GM; NIEUWENHUIZE, J; KRUYT, NM</t>
  </si>
  <si>
    <t>CARBON OUTWELLING FROM A MANGROVE FOREST WITH ADJACENT SEAGRASS BEDS AND CORAL-REEFS (GAZI BAY, KENYA)</t>
  </si>
  <si>
    <t>MANGROVES; SEAGRASS; CORAL REEFS; THALASSODENDRON-CILIATUM; STABLE CARBON ISOTOPES; PARTICULATE ORGANIC MATTER; OUTWELLING</t>
  </si>
  <si>
    <t>ZOSTERA-MARINA L; SPARTINA-ALTERNIFLORA; ORGANIC-CARBON; COASTAL LAGOON; DETRITUS; LITTER; DYNAMICS; DECOMPOSITION; AUSTRALIA; DEGRADATION</t>
  </si>
  <si>
    <t>Carbon fluxes from a mangrove creek with adjacent seagrass meadows and coral reefs (at 4 km from the creek) were investigated in Gazi Bay (Kenya). Analysis of the stable isotope signature of sediment carbon in the seagrass zone and data on the sediment carbon content indicate that outwelling of particulate organic matter (POM) from the mangrove forest occurs, but that deposition of this POM rapidly decreases away from the forest. No evidence for any input of mangrove POM in the seagrass zone was found at a distance of 3 km from the mangrove creek, near the reefs. The gradient in sediment deltaC-13 values in the seagrass zone was paralleled by a similar gradient of deltaC-13 values in Thalassodendron ciliatum, the dominant subtidal seagrass. This gradient probably reflects the availability of respiratory CO2 derived from mangrove POM as a carbon source for the seagrass. Analysis of C:N ratios of particulate material (&lt; 1 mm) collected with sediment traps in the seagrass zone yielded values ranging from 8.5 to 11.2. This range is remarkably low compared to C:N ratios of plant material produced in the mangrove forest, and suggests that some of the mangrove-derived organic particles deposited in the seagrass zone have gone through a phase of intensive processing. During flood tides conspicuous decreases were found in deltaC-13 values of seston flowing over the seagrass zone, coinciding with significant increases in the carbon content of the seston. These findings point to a reversed flux of organic particles from the seagrass zone to the mangrove forest. Our data indicate that, as far as POM fluxes are concerned, the mangrove forest and adjacent seagrass meadows are tightly coupled, but that the nearby coral reefs may exist in relative isolation.</t>
  </si>
  <si>
    <t>10.3354/meps106291</t>
  </si>
  <si>
    <t>Abrahms, B; Scales, KL; Hazen, EL; Bograd, SJ; Schick, RS; Robinson, PW; Costa, DP</t>
  </si>
  <si>
    <t>Mesoscale activity facilitates energy gain in a top predator</t>
  </si>
  <si>
    <t>body condition; elephant seal; energy transfer; foraging; Lagrangian coherent structures; resource selection</t>
  </si>
  <si>
    <t>FORAGING SUCCESS; MARINE PREDATOR; BEHAVIOR; MOVEMENT; ECOLOGY; BUOYANCY; FEATURES; EDDIES; WHALES; SEALS</t>
  </si>
  <si>
    <t>How animal movement decisions interact with the distribution of resources to shape individual performance is a key question in ecology. However, links between spatial and behavioural ecology and fitness consequences are poorly understood because the outcomes of individual resource selection decisions, such as energy intake, are rarely measured. In the open ocean, mesoscale features (approx. 10-100 km) such as fronts and eddies can aggregate prey and thereby drive the distribution of foraging vertebrates through bottom-up biophysical coupling. These productive features are known to attract predators, yet their role in facilitating energy transfer to top-level consumers is opaque. We investigated the use of mesoscale features by migrating northern elephant seals and quantified the corresponding energetic gains from the seals' foraging patterns at a daily resolution. Migrating elephant seals modified their diving behaviour and selected for mesoscale features when foraging. Daily energy gain increased significantly with increasing mesoscale activity, indicating that the physical environment can influence predator fitness at fine temporal scales. Results show that areas of high mesoscale activity not only attract top predators as foraging hotspots, but also lead to increased energy transfer across trophic levels. Our study provides evidence that the physical environment is an important factor in controlling energy flow to top predators by setting the stage for variation in resource availability. Such understanding is critical for assessing how changes in the environment and resource distribution will affect individual fitness and food web dynamics.</t>
  </si>
  <si>
    <t>10.1098/rspb.2018.1101</t>
  </si>
  <si>
    <t>Henschel, JR; Wassenaar, TD; Kanandjembo, A; Louw, MK; Neef, G; Shuuya, T; Soderberg, K</t>
  </si>
  <si>
    <t>Roots point to water sources of Welwitschia mirabilis in a hyperarid desert</t>
  </si>
  <si>
    <t>fog; gypsum; long-lived broadleaved evergreen; perched water; petrocalcic horizon; resilience to drought stress; root map</t>
  </si>
  <si>
    <t>CENTRAL NAMIB DESERT; HOOK FIL; PLANT; SOIL; GYPSUM; GROWTH; ISOTOPES; PATTERNS; FOG; VEGETATION</t>
  </si>
  <si>
    <t>Welwitschia mirabilis is a long-lived evergreen in the hyperarid Namib Desert; at our study site, rainfall is rare (mean annual precipitation = 31 mm), groundwater deep (57-75 m), and fog frequent (50-90 events per year). By examining root architecture in relation to soil moisture and analysing the isotopic composition of hydrogen and oxygen of plant and soil water, we established whether welwitschia sources water from a stable supply of deep groundwater, or from shallow moisture originating from fog and dew, or from rainwater at infiltration depth. Isotopes suggested rainwater as principal water source. Most (55%) major roots and fine roots occurred in 10- to 66-cm-deep layers of gypsum containing 10% moisture. A further 25% of both root types grew in moist sand in petrocalcic horizons at 93- to 125-cm depths. A high density of fine roots (14% of total) grew upwards towards the ground surface in a 1.5-m radius around plants, an area occasionally wetted by run-off of fog and dew. We conclude that welwitschia mainly relies on rainwater obtained in perched horizons. Supplemental water is obtained from fog and dew from the surface and potentially from gypsum blocks. Multiple strategies enable this extremely long-lived evergreen to be resilient against dehydration in hyperarid conditions.</t>
  </si>
  <si>
    <t>e2039</t>
  </si>
  <si>
    <t>10.1002/eco.2039</t>
  </si>
  <si>
    <t>Gamarra, B; Kahmen, A</t>
  </si>
  <si>
    <t>Concentrations and delta H-2 values of cuticular n-alkanes vary significantly among plant organs, species and habitats in grasses from an alpine and a temperate European grassland</t>
  </si>
  <si>
    <t>Ecophysiology; Paleoecology; n-Alkanes; Stable isotopes; Grass organs</t>
  </si>
  <si>
    <t>HYDROGEN ISOTOPE RATIOS; BIOMASS ALLOCATION; TERRESTRIAL PLANTS; LIPID BIOMARKERS; ROOT TURNOVER; D/H RATIOS; LEAF; GROWTH; CARBON; GRADIENT</t>
  </si>
  <si>
    <t>n-Alkanes are long-chained hydrocarbons contained in the cuticle of terrestrial plants. Their hydrogen isotope ratios (delta H-2) have been used as a proxy for environmental and plant ecophysiological processes. Calibration studies designed to resolve the mechanisms that determine the delta H-2 values of n-alkanes have exclusively focused on n-alkanes derived from leaves. It is, however, unclear in which quantities n-alkanes are also produced by other plant organs such as roots or inflorescences, or whether different plant organs produce distinct n-alkane delta H-2 values. To resolve these open questions, we sampled leaves, sheaths, stems, inflorescences and roots from a total of 15 species of European C3 grasses in an alpine and a temperate grassland in Switzerland. Our data show slightly increased n-alkane concentrations and n-alkane delta H-2 values in the alpine compared to the temperate grassland. More importantly, inflorescences had typically much higher n-alkane concentrations than other organs while roots had very low n-alkane concentrations. Most interestingly, the delta H-2 values of the carbon autonomous plant organs leaves, sheaths and stems were in general depleted compared to the overall mean delta H-2 value of a species, while non-carbon autonomous organs such as roots and inflorescences show delta H-2 values that are higher compared to the overall mean delta H-2 value of a species. We attribute organ-specific delta H-2 values to differences in the H-NADPH biosynthetic origin in different plant organs as a function of their carbon relationships. Finally, we employed simple mass balance calculations to show that leaves are in fact the main source of n-alkanes in the sediment. As such, studies assessing the environmental and physiological drivers of n-alkanes that focus on leaves produce relationships that can be employed to interpret the delta H-2 values of n-alkanes derived from sediments. This is despite the significant differences that we found among the delta H-2 values in the different plant organs. Our study brings new insights into the natural variability of n-alkane delta H-2 values and has implications for the interpretation of n-alkane delta H-2 values in ecological and paleohydrological research.</t>
  </si>
  <si>
    <t>10.1007/s00442-015-3278-6</t>
  </si>
  <si>
    <t>Cornwell, WK; Wright, IJ; Turner, J; Maire, V; Barbour, MM; Cernusak, LA; Dawson, T; Ellsworth, D; Farquhar, GD; Griffiths, H; Keitel, C; Knohl, A; Reich, PB; Williams, DG; Bhaskar, R; Cornelissen, JHC; Richards, A; Schmidt, S; Valladares, F; Korner, C; Schulze, ED; Buchmann, N; Santiago, LS</t>
  </si>
  <si>
    <t>Climate and soils together regulate photosynthetic carbon isotope discrimination within C-3 plants worldwide</t>
  </si>
  <si>
    <t>carbon isotopes; environmental drivers; global; leaf traits; leaves; soil</t>
  </si>
  <si>
    <t>RAINFALL GRADIENT; TERRESTRIAL BIOSPHERE; MESOPHYLL CONDUCTANCE; TEMPERATURE RESPONSE; STOMATAL CONDUCTANCE; C-13 DISCRIMINATION; LEAF; WATER; NITROGEN; CO2</t>
  </si>
  <si>
    <t>Aim Within C-3 plants, photosynthesis is a balance between CO2 supply from the atmosphere via stomata and demand by enzymes within chloroplasts. This process is dynamic and a complex but crucial aspect of photosynthesis. We sought to understand the spatial pattern in CO2 supply-demand balance on a global scale, via analysis of stable isotopes of carbon within leaves (C-13), which provide an integrative record of CO2 drawdown during photosynthesis.Global1951-2011.Vascular plants.LocationTime period Major taxa studiedMethods We assembled a database of leaf carbon isotope ratios containing 3,979 species-site combinations from across the globe, including 3,645 for C-3 species. We examined a wide array of potential climate and soil drivers of variation in C-13. ResultsThe strongest drivers of carbon isotope discrimination at the global scale included atmospheric pressure, potential evapotranspiration and soil pH, which explained 44% of the variation in C-13. Addition of eight more climate and soil variables (each explaining small but highly significant amounts of variation) increased the explained variation to 60%. On top of this, the largest plant trait effect was leaf nitrogen per area, which explained 11% of C-13 variation. Main conclusions: By considering variation in C-13 at a considerably larger scale than previously, we were able to identify and quantify key drivers in CO2 supply-demand balance previously unacknowledged. Of special note is the key role of soil properties, with greater discrimination on low-pH and high-silt soils. Unlike other plant traits, which show typically wide variation within sets of coexisting species, the global pattern in carbon stable isotope ratios is much more conservative; there is relatively narrow variation in time-integrated CO2 concentrations at the site of carboxylation among plants in a given soil and climate.</t>
  </si>
  <si>
    <t>10.1111/geb.12764</t>
  </si>
  <si>
    <t>Nelson, JA; Harris, JM; Lesser, JS; James, WR; Suir, GM; Broussard, WP</t>
  </si>
  <si>
    <t>New mapping metrics to test functional response of food webs to coastal restoration</t>
  </si>
  <si>
    <t>Landscape metrics; UAS; Drone; Saltmarsh; Stable isotopes; Mixing models; Remote sensing</t>
  </si>
  <si>
    <t>SHRIMP LITOPENAEUS-SETIFERUS; GALVESTON BAY; HABITATS; MARSHES; ECOLOGY; NEKTON; SCALE</t>
  </si>
  <si>
    <t>The recovery of natural energy flow in food webs is an important indication that a restoration project has been a success, yet is typically considered a challenging component of post-restoration monitoring protocols. Advancements in remote sensing and SIA offer unique opportunities to build and test new metrics that more easily measure food web recovery following restoration. Here, we combine fine-scale remotely sensed data with SIA mixing model outputs to demonstrate a method for creating energetic landscape maps, or E-scapes, that assess the energetic quality of a multi-year marsh restoration effort for white shrimp (Litopenaeus setiferus). These maps explicitly link spatial features with the resources used by a consumer to allow managers to visualize and quantify how a restored landscape is producing energy for a target species. Our results support many known restoration paradigms concerning the relationship between habitat cover and use, highlighting its potential usefulness for monitoring purposes. With further testing and development, these products could also be used in the design of restoration projects and increase their potential for success. (C) 2020 Elsevier Inc. All rights reserved.</t>
  </si>
  <si>
    <t>e00179</t>
  </si>
  <si>
    <t>10.1016/j.fooweb.2020.e00179</t>
  </si>
  <si>
    <t>Collins, AL; Williams, LJ; Zhang, YS; Marius, M; Dungait, JAJ; Smallman, DJ; Dixon, ER; Stringfellow, A; Sear, DA; Jones, JI; Naden, PS</t>
  </si>
  <si>
    <t>Sources of sediment-bound organic matter infiltrating spawning gravels during the incubation and emergence life stages of salmonids</t>
  </si>
  <si>
    <t>Sediment-bound organic matter; Sources; Carbon and nitrogen stable isotopes; Near infra-red reflectance spectroscopy; Salmonids; Farm manures</t>
  </si>
  <si>
    <t>NEAR-INFRARED SPECTROSCOPY; TEMPERATE GRASSLAND SOIL; DISSOLVED-OXYGEN; HYPORHEIC ZONE; SUSPENDED SEDIMENT; ATLANTIC SALMON; WATER-QUALITY; BROWN TROUT; CARBON; NITROGEN</t>
  </si>
  <si>
    <t>The biodegradation of organic matter ingressing spawning gravels in rivers exerts an oxygen demand which is believed to contribute to detrimental impacts on aquatic ecology including salmonids. Catchment management strategies therefore require reliable information on the key sources of sediment-bound organic matter. Accordingly, a novel source fingerprinting procedure based on analyses of bulk stable C-13 and N-15 isotope values and organic molecular structures detected using near infrared reflectance (NIR) spectroscopy was tested for assessing the primary sources of sediment-bound organic matter infiltrating artificial Atlantic salmon spawning redds in five rivers across England and Wales. Statistically-verified source fingerprints were identified using a combination of the Kruskal-Wallis H-test, principal component analysis and GA-driven discriminant function analysis. Interstitial sediment samples were obtained from artificial redds using retrievable basket traps inserted at the start of the salmonid spawning season and extracted subsequently in conjunction with critical juvenile phases (eyeing, hatch, emergence, late spawning) of fish development associated with incubation and emergence. Over the duration of these four basket extractions, the overall relative frequency-weighted average median source contributions to the interstitial sediment-bound organic matter sampled in the study rivers ranged between 26% (full uncertainty range 0-100%) and 44% (full uncertainty range 0-100%) for farm yard manures/slurries, 11% (full uncertainty range 0-75%) and 48% (full uncertainty range 0-99%) for damaged road verges, 16% (full uncertainty range (0-78%) and 52% (full uncertainty range (0-100%) for decaying instream vegetation and 4% (full uncertainty range 0-31%) and 10% (full uncertainty range (0-44%) for human septic waste. The results of mass conservation tests suggest that the procedure combining bulk C-13 and N-15 isotope values and NIR spectroscopy data on organic molecular structures is sensitive to the risks of significant non-conservative tracer behaviour in the fluvial environment and will therefore not necessarily work at all in-channel sites in all catchments. (C) 2014 Elsevier B.V. All rights reserved.</t>
  </si>
  <si>
    <t>10.1016/j.agee.2014.06.018</t>
  </si>
  <si>
    <t>Acosta-Pachon, TA; Ortega-Garcia, S; Graham, B</t>
  </si>
  <si>
    <t>Assessing residency and movement dynamics of swordfish Xiphias gladius in the Eastern North Pacific Ocean using stable isotope analysis</t>
  </si>
  <si>
    <t>Billfish; delta C-13; delta N-15; Muscle; Anal fin spine</t>
  </si>
  <si>
    <t>FEEDING ECOLOGY; NATURAL-ABUNDANCE; TROPHIC RELATIONSHIPS; SOUTHEASTERN PACIFIC; BROADBILL SWORDFISH; NITROGEN ISOTOPES; CARBON ISOTOPES; YELLOWFIN TUNA; STRIPED MARLIN; DIET</t>
  </si>
  <si>
    <t>Swordfish are migratory fish that inhabit tropical to temperate waters, but little is known about movement patterns or mixing between subpopulations of this species. This study examines carbon (delta C-13) and nitrogen (delta N-15) stable isotope ratios in growth rings of the anal fin spine and muscle tissue of swordfish from 3 different areas of the Eastern North Pacific Ocean (ENPO)-off Baja California Sur (Mexico) and California (USA), and in the North Pacific Subtropical Gyre (NPSG)-to assess swordfish movements between these areas. The analysis of delta C-13 and delta N-15 revealed no relationship between fish size and delta N-15, suggesting a consistent consumption of prey items by this species over time. Differences between the anal fin spine and muscle were found, but interpreting these isotopic differences requires information on tissue-specific isotope turnover rates. The spatial pattern suggests that swordfish populations from these areas in the ENPO exhibit a relatively unexpected homing behavior at the temporal scale, according to anal spine and muscle turnover rates. Our findings support that swordfish may show site fidelity, which has important implications for their management and stock assessments.</t>
  </si>
  <si>
    <t>10.3354/meps13363</t>
  </si>
  <si>
    <t>Snyder, KA; Williams, DG</t>
  </si>
  <si>
    <t>Defoliation alters water uptake by deep and shallow roots of Prosopis velutina (Velvet Mesquite)</t>
  </si>
  <si>
    <t>carbon assimilation; hydrogen isotopes; oxygen isotopes; plant water sources; sap flow</t>
  </si>
  <si>
    <t>COLD DESERT COMMUNITY; STABLE-ISOTOPE; EUCALYPTUS-CAMALDULENSIS; SUMMER PRECIPITATION; COLORADO PLATEAU; STREAM WATER; PLANTS; TREES; SOIL; VEGETATION</t>
  </si>
  <si>
    <t>1. Prosopis velutina Woot. (Velvet Mesquite) at a site with limited groundwater availability derived a greater percentage of water from shallow soil at the onset of the summer rainy season than did trees at a site with greater availability of groundwater. Predawn leaf water potentials (Psi(pd)) were not a strong indicator of shallow water use for this species with roots in multiple soil layers. 2. We experimentally defoliated P. velutina plants to determine if reduced-canopy photosynthesis would alter vertical patterns of root activity. After natural rain events, hydrogen isotope ratios of xylem sap indicated that defoliated P. velutina took up a greater percentage of its water from shallow soils than did undefoliated plants. 3. Irrigation with deuterium-labelled water further demonstrated that undefoliated plants were able to use shallow soil water. Defoliation appeared to affect the ability of trees to use deep-water sources. 4. Reduced carbon assimilation limited water uptake from deep soil layers. These data highlight that there are internal physiological controls on carbon allocation that may limit water uptake from different soil layers. During periods of high vapour pressure deficit or soil drought, when leaf gas exchange and carbon assimilation decline, this may create positive feedbacks where plants are unable to forage for deep water due to carbon limitations.</t>
  </si>
  <si>
    <t>10.1046/j.1365-2435.2003.00739.x</t>
  </si>
  <si>
    <t>Liu, WJ; Li, JT; Lu, HJ; Wang, PY; Luo, QP; Liu, WY; Li, HM</t>
  </si>
  <si>
    <t>Vertical patterns of soil water acquisition by non-native rubber trees (Hevea brasiliensis) in Xishuangbanna, southwest China</t>
  </si>
  <si>
    <t>pronounced dry season; rubber trees; stable isotope; water-use patterns</t>
  </si>
  <si>
    <t>STABLE-ISOTOPES; WOODY-PLANTS; RAIN-FOREST; DRY-SEASON; DROUGHT; ALTERS; RESOURCES; COMMUNITY; MOVEMENT; PARKLAND</t>
  </si>
  <si>
    <t>The rubber tree (Hevea brasiliensis) has been extensively cultivated in Xishuangbanna, southwest (SW) China. It shows strong synchronicity for flushing and shedding, displaying a very different phenology to the native vegetation. However, little is known about the water-use patterns of the plant in this area. We assessed seasonal water-use strategies of rubber trees over the course of a rainy/dry season cycle. Stable isotope compositions of water in xylem, soil, rain and groundwater were sampled on seasonally distinct dates, and soil water content, root distribution and leaf water potential on sunny days were measured in order to determine the proportion of water derived from different soil layers. Midday leaf water potential of rubber trees was relatively stable throughout the year and did not drop significantly during the late dry season, displaying isohydric behaviour. Soil and stem water isotope signatures along with rooting distributional patterns revealed that rubber trees extracted their water mostly from the top 30 cm and less from below 70 cm of the soil profile during the late rainy season when soil water was plentiful. During the late dry season, as the moisture in the middle soil layers (30-70 cm) was gradually depleted, the depth of water uptake shifted to deeper soil levels. Model calculations showed that the proportion of water uptake from the shallow soil layer (&lt;30 cm) increased markedly after the most recent rainfall in the late dry season and the early rainy season (varying between 65% and 71%), indicating significant plasticity in sources of water uptake in this dimorphic-rooted species. This ability to take up a large proportion of shallow soil water after rainfall is likely the key feature enabling rubber trees to thrive through the period of greatestwater demand. Our results suggest that rubber trees are able to adjust the allocation of resources and thus acclimate to the spatiotemporal changes to water conditions in the soil profile. Copyright (C) 2013 John Wiley &amp; Sons, Ltd.</t>
  </si>
  <si>
    <t>10.1002/eco.1456</t>
  </si>
  <si>
    <t>Zhao, CS; Pan, X; Xiang, H; Yang, ST; Zhao, J; Gan, XJ; Dong, BE; Ding, SY</t>
  </si>
  <si>
    <t>Determination of priority areas and principal environmental factors for water ecosystem health remediation</t>
  </si>
  <si>
    <t>HUAI RIVER-BASIN; PHYTOPLANKTON COMMUNITY; ESTUARINE PHYTOPLANKTON; OXYGENIC PHOTOSYNTHESIS; HABITAT SUITABILITY; MICROCYSTIS BLOOM; COASTAL WATERS; RETENTION TIME; CLIMATE-CHANGE; SURFACE-WATER</t>
  </si>
  <si>
    <t>Globally, the deterioration of aquatic ecosystems has attracted wide concentrations of scholars and governments, and how to wisely remediate the damaged ecosystem is a hot issue. Determination of prior areas is critical for ecosystem remediation. However, there are very few systematically feasible methods available for comprehensively addressing the issue, and consequently, the benefits of water ecosystem remediation projects are reduced. Therefore, this paper proposes a framework for determining priority areas based on phytoplankton response to environmental factors. Phytoplankton constitute the main component of global aquatic biomes and water blooms. The effects of water ecosystem remediation projects are highly related to phytoplankton. First, we identified the dominant species of phytoplankton using a dominance accumulation model. Then, we determined the main environmental factors of phytoplankton using detrended correspondence analysis and canonical correspondence analysis. Afterwards, we calculated the adaptability of a single species to all principal environmental factors and the responsiveness of all dominant species to a single environmental factor using methods of integrated habitat suitability index and multispecies-based habitat suitability index. On the basis of these results, we finally developed a new model of the suitability of aquatic biomes to habitat factors (IHSIA) whereby to determine the priority areas and the principal environmental factors by time-space coupling analysis. We applied the method to Jinan, a pilot city for the construction of a civilized ecological city in China. The results indicated that waters in urban areas are priority areas for remediation; principal environmental factors in both the whole study area and the priority areas for phytoplankton are NH3-N, water temperature, total phosphorus, and dissolved oxygen where the NH3-N is the most urgent environmental factor to be remediated in the study area. Reducing the concentration of NH3-N can facilitate phytoplankton biome remediation. We found that dominant phytoplankton species can reflect the actual status of phytoplankton populations and can provide important reference data for global aquatic life research; space-time scale is an important factor in selecting principal environmental factors; limiting environmental factors that are poorly adaptable to dominant species could help provide a new path for water bloom prevention; the newly proposed model IHSIA can make the ecological environment remediation more objective. These results can help water managers reduce the scale of phytoplankton biomes by adjusting the environmental factors. The presented framework can provide new ways for water bloom prevention and can serve as the theoretical and scientific basis for the high success rate of water ecosystem restoration projects across the world.</t>
  </si>
  <si>
    <t>e2165</t>
  </si>
  <si>
    <t>10.1002/eco.2165</t>
  </si>
  <si>
    <t>Soong, JL; Dam, M; Wall, DH; Cotrufo, MF</t>
  </si>
  <si>
    <t>Below-ground biological responses to pyrogenic organic matter and litter inputs in grasslands</t>
  </si>
  <si>
    <t>fire; litter decomposition; nematodes; phospholipid fatty acid; pyrogenic organic matter; stable isotopes; tallgrass prairie</t>
  </si>
  <si>
    <t>SOIL NEMATODE COMMUNITIES; MICROBIAL BIOMASS; BIOCHAR ADDITION; BLACK CARBON; LONG-TERM; FOOD-WEB; DECOMPOSITION; FIRE; ECOSYSTEM; QUALITY</t>
  </si>
  <si>
    <t>1. Terrestrial ecosystems are often burned by both managed and wildfires. During a fire, the above-ground biomass that would typically accumulate and be decomposed as litter on the soil surface is combusted. Pyrogenic organic matter (PyOM) remaining after a fire is a considerably more recalcitrant organic input to the soil than fresh litter. The activity and community composition of soil organisms responsible for decomposition of organic matter and nutrient recycling in the soil could thus be affected by altered resource availability caused by frequent fires. 2. We examined the effect of PyOM vs. fresh litter inputs to soil biota at both an annually burned and an infrequently burned tallgrass prairie site by tracing (13) C-and N-15-labelled litter and PyOM into growing plant roots, microbial phospholipid fatty acids (PLFAs) and soil nematodes for 1 year. 3. Litter-derived C or N was incorporated into microbes, nematodes and roots, while PyOM contributed minimally to soil microbes and plant roots and was not detectable in nematodes. Soil microbial and nematode abundances in the PyOM amended plots did not significantly differ from the bare soil plots, but nematodes were more abundant and microbial PLFAs less abundant in litter-amended plots. The annually burned site had less predator and omnivore nematodes, with increased abundance of microbial feeders and greater microbial uptake of litter C. 4. An alteration of the soil food web structure caused by burning and the removal of the litter layer, along with the accumulation of non-microbially decomposed PyOM in the soil, contributes to the limitation of N cycling in frequently burned ecosystems.</t>
  </si>
  <si>
    <t>10.1111/1365-2435.12693</t>
  </si>
  <si>
    <t>Amin, A; Zuecco, G; Geris, J; Schwendenmann, L; McDonnell, JJ; Borga, M; Penna, D</t>
  </si>
  <si>
    <t>Depth distribution of soil water sourced by plants at the global scale: A new direct inference approach</t>
  </si>
  <si>
    <t>climate; deuterium excess; direct inference; global scale; meta-analysis; soil water; stable isotopes; xylem water</t>
  </si>
  <si>
    <t>STABLE-ISOTOPES; SUMMER PRECIPITATION; SEASONAL PATTERNS; UNSATURATED ZONE; TREES; TRANSPIRATION; OXYGEN; GROUNDWATER; HYDROGEN; FORESTS</t>
  </si>
  <si>
    <t>The depth distribution of soil water contributions to plant water uptake is poorly known. Here we evaluate the main water sources used by plants at the global scale and the effect of climate and plant groups on water uptake variability and depth distribution. The global meta-analysis is based on isotope data (delta H-2 and delta O-18) extracted from 65 peer-reviewed papers published between 1990 and 2017. We applied a new direct inference method to quantify the overlap between xylem water and soil water sources used by plants. The median overlap between xylem water and soil water at different depths varied between 28% and 100%, but they were generally &gt;50%. The shallow (0-10 cm) soil water overlap with xylem water was largest in cold regions (100% +/- 0%) and lowest at tropical sites (about 28%). Conversely, the median overlap between xylem water and deep soil water was largest in the arid and the tropical zones (&gt;75%) and much smaller in the temperate and cold zones. Our results suggest that the isotopic composition of xylem water reflects mostly the signature of shallow soil water (&lt;30 cm) in the cold and the temperate zones, whereas in the arid and the tropical zones, plants appear to exploit water in deeper soil layers. Our novel, simple statistically-based direct inference method performed well in determining these differences in water sources, and can be applied more widely to isotope-based plant water uptake studies.</t>
  </si>
  <si>
    <t>e2177</t>
  </si>
  <si>
    <t>10.1002/eco.2177</t>
  </si>
  <si>
    <t>Tandberg, AH; Rapp, HT; Schander, C; Vader, W; Sweetman, AK; Berge, J</t>
  </si>
  <si>
    <t>Exitomelita sigynae gen. et sp nov.: a new amphipod from the Arctic Loki Castle vent field with potential gill ectosymbionts</t>
  </si>
  <si>
    <t>Vent fauna; Norwegian Sea; Melitidae; Symbioses; Arctic mid-ocean ridge; Hydrothermal vents; Stable isotopes</t>
  </si>
  <si>
    <t>MID-ATLANTIC RIDGE; HYDROTHERMAL VENTS; CRUSTACEA; BIOGEOGRAPHY; MACROBENTHOS; PERACARIDA; MELITIDAE; PACIFIC; BIOLOGY; ECOLOGY</t>
  </si>
  <si>
    <t>The newly discovered deep-sea hydrothermal vent field Loki's Castle at 2,350 m depth at 70A degrees N on the Knipovich Ridge north of the island Jan Mayen is the only known black smoker field from the Arctic Ridge system. This vent field holds a unique fauna clearly distinct from vent sites along the Mid-Atlantic Ridge south of Iceland. In addition to numerous maldanid and ampharetid polychaetes one animal of particular interest at this vent site, is a new genus and species of melitid amphipod. This new species is found in cracks and crevices on vent chimneys as well as in areas where diffuse venting is common such as the base of vent chimneys. Here, we present a formal morphological description of this new melitid species and hypothesize about the main form of its nutrition using stable isotope and molecular data.</t>
  </si>
  <si>
    <t>10.1007/s00300-011-1115-x</t>
  </si>
  <si>
    <t>Blakely, TJ; Didham, RK</t>
  </si>
  <si>
    <t>Disentangling the mechanistic drivers of ecosystem-size effects on species diversity</t>
  </si>
  <si>
    <t>aquatic insects; community composition; forest canopy; microcosm; mixed-effects model; resource concentration; structural equation modelling</t>
  </si>
  <si>
    <t>FOOD-CHAIN LENGTH; COMMUNITY STRUCTURE; HABITAT QUANTITY; WEB STRUCTURE; ISLAND AREA; DISTURBANCE; PRODUCTIVITY; MICROHABITAT; HYPOTHESIS; DETRITUS</t>
  </si>
  <si>
    <t>P&gt;1. Species richness is typically positively correlated with ecosystem size, yet there is no general consensus on the proximate mechanisms (resource concentration, disturbance, colonization-extinction dynamics or habitat heterogeneity) driving this relationship. Ecosystem-size effects are often attributed to increasing resource concentration, but the inherent intercorrelation of resource concentration with other potential proximate mechanisms has led to strong debate over its significance as a mediator of ecosystem-size effects. 2. We disentangle the proximate mechanisms underlying ecosystem-size effects on species richness by experimentally reversing resource concentration and enhancing drought disturbance, while holding colonization-extinction dynamics and habitat heterogeneity constant, in field microcosms. 3. Contrary to theory and much empirical evidence, species richness decreased with increasing ecosystem size, due explicitly to experimental manipulation of the resource-concentration gradient. Structural equation modelling revealed that resource concentration was the principal driver of ecosystem-size effects on species richness, while drought disturbance and habitat quality strongly determined the identity and composition of colonizing species. 4. Our results support the logical contention that 'ecosystem size' is not a mechanism of effect in its own right, and that with appropriate experimental manipulation it is possible to tease apart the multiple underlying proximate drivers of ecosystem-size effects on species richness. 5. Our results imply that the universally accepted relationship between ecosystem size and biodiversity can be reversed by nutrient enrichment, an increasingly observed human-induced driver of global environmental change.</t>
  </si>
  <si>
    <t>10.1111/j.1365-2656.2010.01729.x</t>
  </si>
  <si>
    <t>Kishida, O; Trussell, GC; Nishimura, K; Ohgushi, T</t>
  </si>
  <si>
    <t>Inducible defenses in prey intensify predator cannibalism</t>
  </si>
  <si>
    <t>behavior; cannibalism; diet; food webs; Hynobius retardatus (Dunn); inducible defense; predation risk; Rana pirica (Matsui); salamander; trait-mediated indirect effects; trophic cascade</t>
  </si>
  <si>
    <t>MEDIATED INDIRECT INTERACTIONS; TROPHIC CASCADES; FOOD-WEB; EXPLOITATION ECOSYSTEMS; ANTIPREDATOR BEHAVIOR; PHENOTYPIC PLASTICITY; COMMUNITY DYNAMICS; TRAIT COMPENSATION; ANURAN LARVAE; CONSEQUENCES</t>
  </si>
  <si>
    <t>Trophic cascades are often a potent force in ecological communities, but abiotic and biotic heterogeneity can diffuse their influence. For example, inducible defenses in many species create variation in prey edibility, and size-structured interactions, such as cannibalism, can shift predator diets away from heterospecific prey. Although both factors diffuse cascade strength by adding heterogeneity to trophic interactions, the consequences of their interaction remain poorly understood. We show that inducible defenses in tadpole prey greatly intensify cannibalism in predatory larval salamanders. The likelihood of cannibalism was also strongly influenced by asymmetries in salamander size that appear to be most important in the presence of defended prey. Hence, variation in prey edibility and the size structure of the predator may synergistically affect predator-prey population dynamics by reducing prey mortality and increasing predator mortality via cannibalism. We also suggest that the indirect effects of prey defenses may shape the evolution of predator traits that determine diet breadth and how trophic dynamics unfold in natural systems.</t>
  </si>
  <si>
    <t>10.1890/08-2158.1</t>
  </si>
  <si>
    <t>Whalen, MA; Duffy, JE; Grace, JB</t>
  </si>
  <si>
    <t>Temporal shifts in top-down vs. bottom-up control of epiphytic algae in a seagrass ecosystem</t>
  </si>
  <si>
    <t>direct vs. indirect effects; epiphyte; mesograzer; seagrass; structural equation modeling; top-down vs. bottom-up processes; trophic cascade; York River, Virginia, USA; Zostera marina</t>
  </si>
  <si>
    <t>MICROCOSM EXPERIMENTS; NUTRIENT ENRICHMENT; LIMITED RELEVANCE; CORAL-REEF; COMMUNITY; EELGRASS; GROWTH; CONSUMER; ECOLOGY; FISH</t>
  </si>
  <si>
    <t>In coastal marine food webs, small invertebrate herbivores (mesograzers) have long been hypothesized to occupy an important position facilitating dominance of habitat-forming macrophytes by grazing competitively superior epiphytic algae. Because of the difficulty of manipulating mesograzers in the field, however, their impacts on community organization have rarely been rigorously documented. Understanding mesograzer impacts has taken on increased urgency in seagrass systems due to declines in seagrasses globally, caused in part by widespread eutrophication favoring seagrass overgrowth by faster-growing algae. Using cage-free field experiments in two seasons (fall and summer), we present experimental confirmation that mesograzer reduction and nutrients can promote blooms of epiphytic algae growing on eelgrass (Zostera marina). In this study, nutrient additions increased epiphytes only in the fall following natural decline of mesograzers. In the summer, experimental mesograzer reduction stimulated a 447% increase in epiphytes, appearing to exacerbate seasonal dieback of eelgrass. Using structural equation modeling, we illuminate the temporal dynamics of complex interactions between macrophytes, mesograzers, and epiphytes in the summer experiment. An unexpected result emerged from investigating the interaction network: drift macroalgae indirectly reduced epiphytes by providing structure for mesograzers, suggesting that the net effect of macroalgae on seagrass depends on macroalgal density. Our results show that mesograzers can control proliferation of epiphytic algae, that top-down and bottom-up forcing are temporally variable, and that the presence of macroalgae can strengthen top-down control of epiphytic algae, potentially contributing to eelgrass persistence.</t>
  </si>
  <si>
    <t>10.1890/12-0156.1</t>
  </si>
  <si>
    <t>Abrantes, KG; Barnett, A; Bouillon, S</t>
  </si>
  <si>
    <t>Stable isotope-based community metrics as a tool to identify patterns in food web structure in east African estuaries</t>
  </si>
  <si>
    <t>Bayesian models; community metrics; food web structure; tropical systems</t>
  </si>
  <si>
    <t>ORGANIC-MATTER; BETSIBOKA ESTUARY; TROPHIC POSITION; RATIOS PROVIDE; WIDE MEASURES; NICHE WIDTH; CARBON; NITROGEN; DELTA-N-15; FISH</t>
  </si>
  <si>
    <t>Quantitative tools to describe biological communities are important for conservation and ecological management. The analysis of trophic structure can be used to quantitatively describe communities. Stable isotope analysis is useful to describe trophic organization, but statistical models that allow the identification of general patterns and comparisons between systems/sampling periods have only recently been developed. Here, stable isotope-based Bayesian community-wide metrics are used to investigate patterns in trophic structure in five estuaries that differ in size, sediment yield and catchment vegetation cover (C3/C4): the Zambezi in Mozambique, the Tana in Kenya and the Rianila, the Betsiboka and Pangalanes Canal (sampled at Ambila) in Madagascar. Primary producers, invertebrates and fish of different trophic ecologies were sampled at each estuary before and after the 2010-2011 wet season. Trophic length, estimated based on N-15, varied between 3 center dot 6 (Ambila) and 4 center dot 7 levels (Zambezi) and did not vary seasonally for any estuary. Trophic structure differed the most at Ambila, where trophic diversity and trophic redundancy were lower than at the other estuaries. Among the four open estuaries, the Betsiboka and Tana (C4-dominated) had lower trophic diversity than the Zambezi and Rianila (C3-dominated), probably due to the high loads of suspended sediment, which limited the availability of aquatic sources. There was seasonality in trophic structure at Ambila and Betsiboka, as trophic diversity increased and trophic redundancy decreased from the prewet to the postwet season. For Ambila, this probably resulted from the higher variability and availability of sources after the wet season, which allowed diets to diversify. For the Betsiboka, where aquatic productivity is low, this was likely due to a greater input of terrestrial material during the wet season. The comparative analysis of community-wide metrics was useful to detect patterns in trophic structure and identify differences/similarities in trophic organization related to environmental conditions. However, more widespread application of these approaches across different faunal communities in contrasting ecosystems is required to allow identification of robust large-scale patterns in trophic structure. The approach used here may also find application in comparing food web organization before and after impacts or monitoring ecological recovery after rehabilitation.</t>
  </si>
  <si>
    <t>10.1111/1365-2435.12155</t>
  </si>
  <si>
    <t>Ishihi, Y</t>
  </si>
  <si>
    <t>Feeding of the bivalve Theora lubrica on benthic microalgae: isotopic evidence</t>
  </si>
  <si>
    <t>stable isotope; benthic mircoalgae; marcobenthos; estuary; Theora lubrica</t>
  </si>
  <si>
    <t>NITROGEN STABLE-ISOTOPES; MARSH FOOD-WEBS; SETO INLAND SEA; SALT-MARSH; ORGANIC-MATTER; MARENNES-OLERON; SPARTINA-ALTERNIFLORA; CARBON ISOTOPES; BAY; ESTUARINE</t>
  </si>
  <si>
    <t>A stable isotope study was conducted to identify the sources of nutrition for the semelid bivalve Theora lubrica living in estuarine subtidal sediments. Along an estuarine gradient in Gokasho Bay, central Japan, delta(13)C and delta(15)N were determined both in tissues of T lubrica and its potential food sources, i.e. particulate organic matter (POM) from riverine and marine sites, sedimentary organic matter (SOM) and microalgae on an intertidal mudflat. Differences existed among delta(13)C and delta(15)N in riverine POM (yearly mean value: -26.5parts per thousand and 0.5parts per thousand, respectively), marine POM (-20.4parts per thousand, 6.3parts per thousand) and benthic microalgae (-14.7parts per thousand, 4.9parts per thousand). SOM exhibited a gradual isotopic enrichment both in C-13 and N-15 from the estuarine station adjacent to the mudflats to the more seaward stations, indicating a progressive mixing of terrestrial and marine sources. However, the isotopic composition of T lubrica did not follow this trend: as the sampling station was shifted seaward, delta(15)N increased from 7.5 to 9.4parts per thousand., whereas delta(13)C decreased from -16.0 to -17.8parts per thousand. These values cannot be due to the utilization of terrestrial organic matter carried by the river inflow. The observed spatial variation in the delta(13)C values suggest that T. lubrica has 2 dominant food sources, i.e. benthic microalgae (mainly diatoms) and marine POM (mainly coastal phytoplankton), and that in subtidal areas near the mudflats benthic microalgae were an important dietary component.</t>
  </si>
  <si>
    <t>10.3354/meps255303</t>
  </si>
  <si>
    <t>Gama, LR; Domit, C; Broadhurst, MK; Fuentes, MMPB; Millar, RB</t>
  </si>
  <si>
    <t>Green turtle Chelonia mydas foraging ecology at 25 degrees S in the western Atlantic: evidence to support a feeding model driven by intrinsic and extrinsic variability</t>
  </si>
  <si>
    <t>Brazil; Chelonia mydas; Conservation; Diet; Foraging; Life history</t>
  </si>
  <si>
    <t>SEA-TURTLES; HABITAT USE; HALODULE-WRIGHTII; PARANAGUA BAY; DIET; SEAGRASSES; CALIFORNIA; IMPACTS; ESTUARY; BIOMASS</t>
  </si>
  <si>
    <t>Long-term temporal variation in juvenile Chelonia mydas foraging ecology and key intrinsic/extrinsic explanatory factors were assessed at the southwestern Atlantic tropical-temperate transition zone. During a 7 yr period, 120 stranded C. mydas (30 to 62 cm curved carapace length; CCL) were collected from beaches in Parana, adjacent to the World Heritage listed Paranagua estuarine complex (PEC). The digestive tracts of these specimens were excised and evaluated for dietary contents and morphology. A total of 12 items/groups were found, but mainly comprised Ulva sp. (43% of specimens), Sargassum sp. (28%), Halodule wrightii (26%), Avicennia schaueriana (26%), Gracilaria domingensis (22%), unidentified angiosperms (21%) and cephalopod beaks (8%). Nearly 70% of all C. mydas had ingested marine debris. Proportionally more items occurred in the stomach, followed by the intestines and oesophagus. Canonical analysis of principal coordinates revealed several trends, including a negative relationship between CCL and cephalopod consumption, and strong short-and long-term temporal associations with different herbivorous foods. The latter manifested as (1) more H. wrightii consumed during the wet season, and other species (but especially A. schaueriana and Sargassum sp.) during the dry; and (2) a diet change between 2008-2010 and 2012-2014, with a shift towards Ulva sp. in the latter period (particularly in 2013). The observed extrinsic variation was attributed to environmental perturbations associated with El Nino, and anthropogenic impacts associated with dredging that started in 2010 in the PEC and which affected foraging habitats. The results reaffirm the foraging variability of C. mydas, but also demonstrate that sufficient time-series data are required to adequately describe the ecology of the species as a precursor to management actions that conserve regional populations.</t>
  </si>
  <si>
    <t>10.3354/meps11576</t>
  </si>
  <si>
    <t>Enners, L; Schwemmer, P; Corman, AM; Voigt, CC; Garthe, S</t>
  </si>
  <si>
    <t>Intercolony variations in movement patterns and foraging behaviors among herring gulls (Larus argentatus) breeding in the eastern Wadden Sea</t>
  </si>
  <si>
    <t>foraging strategy; GPS tracking; Larus argentatus; pellet; stable isotope analysis</t>
  </si>
  <si>
    <t>BLACK-BACKED GULLS; COMMERCIAL FISHERIES; ENSIS-DIRECTUS; GPS TRACKING; SEABIRDS; DIET; FUSCUS; PREY; ATTACHMENT; EARTHWORMS</t>
  </si>
  <si>
    <t>Herring gulls (Larus argentatus) are opportunistic predators that prefer to forage in the intertidal zone, but an increasing degree of terrestrial foraging has recently been observed. We therefore aimed to analyze the factors influencing foraging behavior and diet composition in the German Wadden Sea. Gulls from three breeding colonies on islands at different distances from the mainland were equipped with GPS data loggers during the incubation seasons in 2012-2015. Logger data were analyzed for 37 individuals, including 1,115 foraging trips. Herring gulls breeding on the island furthest from the mainland had shorter trips (mean total distance=12.3km; mean maximum distance=4.2km) and preferred to feed on the tidal flats close to the colony, mainly feeding on common cockles (Cerastoderma edule) and shore crabs (Carcinus maenas). In contrast, herring gulls breeding close to the mainland carried out trips with a mean total distance of 26.7km (mean maximum distance=9.2km). These gulls fed on the neobiotic razor clams (Ensis leei) in the intertidal zone, and a larger proportion of time was spent in distant terrestrial habitats on the mainland, feeding on earthworms. C-13 and N-15 values were higher at the colony furthest from the mainland and confirmed a geographical gradient in foraging strategy. Analyses of logger data, pellets, and stable isotopes revealed that herring gulls preferred to forage in intertidal habitats close to the breeding colony, but shifted to terrestrial habitats on the mainland as the tide rose and during the daytime. Reduced prey availability in the vicinity of the breeding colony might force herring gulls to switch to feed on razor clams in the intertidal zone or to use distant terrestrial habitats. Herring gulls may thus act as an indicator for the state of the intertidal system close to their breeding colony.</t>
  </si>
  <si>
    <t>10.1002/ece3.4167</t>
  </si>
  <si>
    <t>Riley, WJ; Still, CJ; Helliker, BR; Ribas-Carbo, M; Berry, JA</t>
  </si>
  <si>
    <t>O-18 composition of CO2 and H2O ecosystem pools and fluxes in a tallgrass prairie: Simulations and comparisons to measurements</t>
  </si>
  <si>
    <t>atmospheric CO2; CO2 flux partitioning; ISOLSM; isotopes; model; oxygen isotope</t>
  </si>
  <si>
    <t>OXYGEN-ISOTOPE RATIO; CARBONIC-ANHYDRASE ACTIVITY; ATMOSPHERIC CO2; STABLE-ISOTOPES; 3-DIMENSIONAL SYNTHESIS; RESPIRED CO2; LEAF WATER; DELTA O-18; SOIL CO2; EXCHANGE</t>
  </si>
  <si>
    <t>In this paper we describe measurements and modeling of O-18 in CO2 and H2O pools and fluxes at a tallgrass prairie site in Oklahoma. We present measurements of the delta(18)O value of leaf water, depth-resolved soil water, atmospheric water vapor, and Keeling plot delta(18)O intercepts for net soil-surface CO2 and ecosystem CO2 and H2O fluxes during three periods of the 2000 growing season. Daytime discrimination against (COO)-O-18, as calculated from measured above-canopy CO2 and delta(18)O gradients, is also presented. To interpret the isotope measurements, we applied an integrated land-surface and isotope model (ISOLSM) that simulates ecosystem (H2O)-O-18 and (COO)-O-18 stocks and fluxes. ISOLSM accurately predicted the measured isotopic composition of ecosystem water pools and the delta(18)O value of net ecosystem CO2 and H2O fluxes. Simulations indicate that incomplete equilibration between CO2 and H2O within C-4 plant leaves can have a substantial impact on ecosystem discrimination. Diurnal variations in the delta(18)O value of above-canopy vapor had a small impact on the predicted delta(18)O value of ecosystem water pools, although sustained differences had a large impact. Diurnal variations in the delta(18)O value of above-canopy CO2 substantially affected the predicted ecosystem discrimination. Leaves dominate the ecosystem O-18-isoflux in CO2 during the growing season, while the soil contribution is relatively small and less variable. However, interpreting daytime measurements of ecosystem (COO)-O-18 fluxes requires accurate predictions of both soil and leaf O-18-isofluxes.</t>
  </si>
  <si>
    <t>10.1046/j.1365-2486.2003.00680.x</t>
  </si>
  <si>
    <t>Thothong, W; Huon, S; Janeau, JL; Boonsaner, A; de Rouw, A; Planchon, O; Bardoux, G; Parkpian, P</t>
  </si>
  <si>
    <t>Impact of land use change and rainfall on sediment and carbon accumulation in a water reservoir of North Thailand</t>
  </si>
  <si>
    <t>Soil erosion; Lake organic matter; Stable carbon isotopes; Deforestation; Annual crops; Suspended sediments; Tropical reservoir</t>
  </si>
  <si>
    <t>SOIL ORGANIC-CARBON; METHANE EMISSIONS; FRESH-WATER; PETIT-SAUT; EROSION; LAKE; CATCHMENT; RUNOFF; BUDGET; PRECIPITATION</t>
  </si>
  <si>
    <t>The lifespan of many tropical water reservoirs is limited by siltation due to soil erosion in the watershed. The objectives of this study were to determine, the amount of catchment-derived organic carbon accumulated in sediments of a reservoir of North Thailand and to relate it with the history of cultivation and rainfall regime in the watershed. Over a twelve-years period (1995-2006) since impoundment sediment delivery was high (ca. 19.6 Mg ha(-1) yr(-1)). The yearly supply of catchment-derived material was composed of coarse sediment deposits near the main inlets and of fine laminated sediment accumulations in deep-water environments. Their stable carbon isotope composition indicated that soil organic matter was the main source of organic carbon preserved in sediments (ca. 83 wt.%). Fine sediments derived from suspended loads exported from the watershed by runoff and stream waters were related to erosive rainfall, to the extent of area under annual cropping and to crop change with a marked increase after the replacement of beans by maize. However, sediment accumulation did not respond linearly to extreme rainfall events, as shown by the supply of nearly 48% of the total amount of sediments by a single exceptional flood. Total organic carbon storage in sediments reached ca. 23.8 MgC ha(-1) yr(-1) in 2006, twelve years after impoundment, falling in the upper range of small to medium size reservoirs with agricultural catchments. (C) 2011 Elsevier B.V. All rights reserved.</t>
  </si>
  <si>
    <t>10.1016/j.agee.2011.02.006</t>
  </si>
  <si>
    <t>Hagan, DL; Jose, S</t>
  </si>
  <si>
    <t>Interspecific competition enhances nitrogen fixation in an actinorhizal shrub</t>
  </si>
  <si>
    <t>Competition; Nitrogen fixation; Morella cerifera; Pinus palustris; Stable isotopes; N-15</t>
  </si>
  <si>
    <t>RESTORATION; BIOMASS</t>
  </si>
  <si>
    <t>In forest understory restoration, the establishment of reintroduced species may be strongly linked to their ability to compete for belowground resources. In this study, we provide isotopic and morphological evidence for competition-induced increases in nitrogen fixation by Morella cerifera (L.) Small (wax myrtle) when planted with Pinus palustris Mill (longleaf pine). Compared to a competition-free treatment, we found no significant differences in tissue N concentrations for M. cerifera. However, N-15 enrichment in leaves, stems and roots, as well as whole-plant values for nitrogen derived from fertilizer were significantly lower when the plants were subject to interspecific competition from P. palustris. Plants in the competition treatment also allocated a significantly greater percentage of belowground biomass to root nodules than those in the competition-free treatment (0.65 vs. 0.41%). This strongly suggests that M. cerifera is capable of upregulating nitrogen fixation in response to interspecific competition. This may help explain why M. cerifera outperformed non-nitrogen-fixing species reintroduced on the same site.</t>
  </si>
  <si>
    <t>10.1007/s11258-010-9803-0</t>
  </si>
  <si>
    <t>Lucey, JM; Tawatao, N; Senior, MJM; Khen, CV; Benedick, S; Hamer, KC; Woodcock, P; Newton, RJ; Bottrell, SH; Hill, JK</t>
  </si>
  <si>
    <t>Tropical forest fragments contribute to species richness in adjacent oil palm plantations</t>
  </si>
  <si>
    <t>Agricultural matrix; Ants; Borneo; Fragmentation; Spillover; Trophic level</t>
  </si>
  <si>
    <t>RAIN-FOREST; AGROECOLOGICAL MATRIX; COFFEE PLANTATIONS; ECOSYSTEM SERVICE; TROPHIC POSITION; STABLE-ISOTOPES; NORTHERN BORNEO; BIODIVERSITY; LANDSCAPE; ANTS</t>
  </si>
  <si>
    <t>In Southeast Asia, large-scale conversion of rainforest to oil palm plantations is one of the major causes of biodiversity declines. Recommendations for reducing species losses and increasing the sustainability of palm oil production advocate the retention of natural forest patches within plantations, but there is little evidence for the effectiveness of this strategy. Here, we examine to what extent rainforest remnants with different characteristics contribute to biodiversity within surrounding plantations. We sampled ground-dwelling ants in Sabah (Malaysian Borneo) using unbaited pit-fall traps along I km transects spanning forest-plantation ecotones of 10 forest fragments (area 5 ha-500 ha) and two continuous forest sites which bordered plantations. Ant species richness in plantations varied according to richness in adjacent forest fragments, which increased with fragment size. A trend of declining species richness in plantations with distance from the forest ecotone was consistent with spillover of forest species into plantations adjacent to forest remnants. Ant assemblages in plantations also contained more carnivorous species adjacent to large forest fragments, suggesting large fragments may have benefits for pest control in plantations, as well as benefits for local biodiversity. Our results indicate that large forest fragments support distinctive ant assemblages and increase diversity within the planted area, but small fragments (&lt;similar to 200 ha) contribute little to plantation diversity. Thus retaining large fragments of forest may help mitigate the loss of species within oil palm plantations. Crown Copyright (C) 2013 Published by Elsevier Ltd. All rights reserved.</t>
  </si>
  <si>
    <t>10.1016/j.biocon.2013.11.014</t>
  </si>
  <si>
    <t>McInerney, FA; Stromberg, CAE; White, JWC</t>
  </si>
  <si>
    <t>The Neogene transition from C-3 to C-4 grasslands in North America: stable carbon isotope ratios of fossil phytoliths</t>
  </si>
  <si>
    <t>GREAT-PLAINS; PHYLOGENETIC VARIATION; ANCIENT IRRIGATION; DOMINATED HABITATS; GRASSES POACEAE; LATE MIOCENE; C4 PLANTS; ASSEMBLAGES; EXPANSION; EVOLUTION</t>
  </si>
  <si>
    <t>C-4 grasses form the foundation of warm-climate grasslands and savannas and provide important food crops such as corn, but their Neogene rise to dominance is still not fully understood. Carbon isotope ratios of tooth enamel, soil carbonate, carbonate cements, and plant lipids indicate a late Miocene-Pliocene (8-2 Ma) transition from C-3 vegetation to dominantly C-4 grasses at many sites around the world. However, these isotopic proxies cannot identify whether the C-4 grasses replaced woody vegetation (trees and shrubs) or C-3 grasses. Here we propose a method for reconstructing the carbon isotope ratio of Neogene grasses using the carbon isotope ratio of organic matter trapped in plant silica bodies (phytoliths). Although a wide range of plants produce phytoliths, we hypothesize that in grass-dominated ecosystems the majority of phytoliths will be derived from grasses, and will yield a grass carbon isotope signature. Phytolith extracts can be contaminated by non-phytolith silica (e.g., volcanic ash). To test the feasibility of the method given these potential problems, we examined sample purity (phytolith versus non-phytolith silica), abundance of grass versus non-grass phytoliths, and carbon isotope ratios of phytolith extracts from late Miocene-Pliocene paleosols of the central Great Plains. Isotope results from the purest samples are compared with phytolith assemblage analysis of these same extracts. The dual record spans the interval of focus (ca. 12-2 Ma), allowing us, for the first time, to investigate how isotopic shifts correlate with floral change. We found that many samples contained high abundances of non-biogenic silica; therefore, only a small subset of pure samples (&gt;50% of phytoliths by volume) with good preservation were considered to provide reliable carbon isotope ratios. All phytolith assemblages contained high proportions (on average 85%) of grass phytoliths, supporting our hypothesis for grass-dominated communities. Therefore, the carbon isotope ratio of pure, well-preserved samples that are dominated by grass biosilica is considered a reliable measure of the proportion of C-3 and C-4 grasses in the Neogene. The carbon isotope ratios of the pure fossil phytolith samples indicate a transition from predominantly C-3 grasses to mixed C-3-C-4 grasses by 5.5 Ma and then a shift to more than 80% C-4 grasses by 3-2 Ma. With the exception of the Pliocene sample, these isotopic data are broadly concordant with phytolith assemblages that show a general increase in C-4 grasses in the late Miocene. However, phytolith assemblage analysis indicates lower relative abundance of C-4 grasses in overall vegetation than do the carbon isotopes from the, same phytolith assemblages. The discrepancy may relate to either (1) incomplete identification of (C-4) PACMAD phytoliths, (2) higher production of non-diagnostic phytoliths in C-4 grasses compared to C-3 grasses, or (3) biases in the isotope record toward grasses rather than overall vegetation. The impact of potential incomplete characterization of (C-4) PACMAD phytoliths on assemblage estimates of proportion of C-4, though important, cannot reconcile discrepancies between the methods. We explore hypothesis (2) by analyzing a previously published data set of silica content in grasses and a small data set of modern grass leaf assemblage composition using analysis of variance, independent contrasts, and sign tests. These tests suggest that C-4 grasses do not have more silica than C-3 grasses; there is also no difference with regard to production of non-diagnostic phytoliths. Thus, it is most likely that the discrepancy between phytolith assemblages and isotope ratios is a consequence of hypothesis (3), that the isotope signature is influenced by the contribution of non-diagnostic grass phytoliths, whereas the assemblage composition is not. Assemblage-based estimates of % C-4 within grasses, rather than overall vegetation, are in considerably better agreement with the isotope-based estimates. These results support the idea that, in grass-dominated assemblages, the phytolith carbon isotope method predominantly records shifts in dominant photosynthetic pathways among grasses, whereas phytolith assemblage analysis detects changes in overall vegetation. Carbon isotope ratios of fossil phytoliths in conjunction with phytolith assemblage analysis suggest that the late Neogene expansion of C-4 grasses was largely at the expense of C-3 grasses rather than C-3 shrubs/trees. Stable isotopic analysis of phytoliths can therefore provide unique information about grass community changes during the Neogene, as well as help test how grass phytolith morphology relates to photosynthetic pathway.</t>
  </si>
  <si>
    <t>10.1666/09068.1</t>
  </si>
  <si>
    <t>Osterback, AMK; Frechette, DM; Hayes, SA; Shaffer, SA; Moore, JW</t>
  </si>
  <si>
    <t>Long-term shifts in anthropogenic subsidies to gulls and implications for an imperiled fish</t>
  </si>
  <si>
    <t>Brandes Cormorant; MixSIAR; Steelhead Stable isotope mixing models; Subsidized predation; Western Gull</t>
  </si>
  <si>
    <t>YELLOW-LEGGED GULL; STABLE-ISOTOPE; CENTRAL CALIFORNIA; FEEDING ECOLOGY; REPRODUCTIVE OUTPUT; RECENT COLLAPSE; FOOD RESOURCES; TROPHIC LEVEL; WESTERN GULLS; DIET</t>
  </si>
  <si>
    <t>Over the last century, human activities have altered coastal ecosystems by fishing through the marine food web and increasing anthropogenic resources (e.g. landfills), both of which may alter native predator-prey interactions. We conducted a 100-year retrospective stable isotope analysis to investigate temporal shifts in relative resource use and individual variation of a generalist seabird (Western Gull, Larus occidentalis) and the implications of gulls' shifting resource use on one of their native prey threatened steelhead populations (Oncorhynchus mykiss). We applied a Bayesian mixing model (MixSIAR) to historical (early 1900s) and modern (early 2000s) populations of generalist gulls and compared changes in resource use to a piscivorous seabird population (Brandt's Cormorant, Phalacrocorax penicillatus) in Monterey Bay (California, USA). 655N significantly declined for both seabird species, suggesting shifts to lower trophic-level marine prey in the last 100 years. The shift in delta N-15 was significantly larger for Western Gulls, suggesting a shift in gull resource use to prey not in the marine environment. Mixing models suggest anthropogenic resources (e.g., landfills) comprise the majority of modem gull diet (0.31; 0.18-0.44 95% Cl), whereas it contributed relatively little to gull diet in the early 1900s (0.10; 0.01-0.26 Cl). Furthermore, we found although steelhead contribute relatively less to overall modern gull diet, increasing gull populations and simultaneous steelhead population decline likely results in increased per capita predation risk to modern steelhead populations our best estimate is that modern predation risk is -2.4 times higher than historically, but this estimate depends on parameter values and overlaps with zero. This study highlights the impact of human activities on coastal predators and the potential consequences for native imperiled prey. (C) 2015 Elsevier Ltd. All rights reserved.</t>
  </si>
  <si>
    <t>10.1016/j.biocon.2015.07.038</t>
  </si>
  <si>
    <t>Ito, M; Minami, H; Tanaka, Y; Watanuki, Y</t>
  </si>
  <si>
    <t>Seasonal and inter-annual oceanographic changes induce diet switching in a piscivorous seabird</t>
  </si>
  <si>
    <t>Prey switching; Stable isotope signatures; Rhinoceros auklets; Anchovy; Tsushima Current</t>
  </si>
  <si>
    <t>BLACK-LEGGED KITTIWAKES; SEA-SURFACE TEMPERATURE; EASTERN BERING-SEA; STABLE-ISOTOPES; CERORHINCA-MONOCERATA; RHINOCEROS AUKLETS; TEURI ISLAND; REPRODUCTIVE-PERFORMANCE; TROPHIC RELATIONSHIPS; ANOMALOUS CONDITIONS</t>
  </si>
  <si>
    <t>The structure of a marine food web can change quickly within seasons as well as interannually in response to physical oceanographic changes. In this study, we examined the relationship between temporal changes in the marine ecosystem of northern Hokkaido, Japan, and diets of rhinoceros auklets Cerorhinca monocerata breeding in this region. To obtain an integrated measure of changes in diet composition on short (days) and inter-annual (2004 and 2005) time scales, we used a 2-pronged approach. We examined (1) the diets of adults using stomach contents and stable isotope signatures in tissues, and (2) chick diets using the composition of bill-loads delivered to chicks. During the incubation period, the diet of adults comprised euphausiids (Thysanoessa longipes and T inermis). During the chick-rearing period, the diet of adults was age 0 Japanese sandlance Ammodytes personatus and age 0 Japan Sea greenling Pleurogrammus azonus in the early period, but switched quickly (&lt;10 d) to warm-water-pref erring Japanese anchovy Engraulis japonicus when the warm Tsushima Current intruded into their foraging range. Adult blood plasma stable isotope ratios reflected these seasonal changes in stomach content. Diets did not differ between age categories. Furthermore, the timing of diet switching to anchovy differed inter-annually, and was about 10 d later in 2005 than 2004, reflecting a difference in the timing of the intrusion of warm water. We conclude that rhinoceros auklets respond sensitively to current-related rapid marine food web changes.</t>
  </si>
  <si>
    <t>10.3354/meps08192</t>
  </si>
  <si>
    <t>Arnold, JM; Oswald, SA; Wilson, S; Szczys, P</t>
  </si>
  <si>
    <t>Understanding widespread declines for Common Terns across inland North America: productivity estimates, causes of reproductive failure, and movement of Common Terns breeding in the large lakes of Manitoba</t>
  </si>
  <si>
    <t>gene flow; habitat change; Lake Winnipeg; metapopulation dynamics; population connectivity; population decline; productivity; waterbird</t>
  </si>
  <si>
    <t>STERNA-HIRUNDO; GREAT-LAKES; COLONIAL WATERBIRDS; POPULATION; CONSERVATION; ABUNDANCE; WINNIPEG; PREDATION; INFERENCE; GENETICS</t>
  </si>
  <si>
    <t>Common Tern (Sterna hirundo) breeding populations in inland North America have declined significantly since the 1970s. A 2012 survey of the large Manitoba lakes, previously the largest known inland population stronghold, reported a 57-67% decline in 20 years. A further 38% decline by 2017 highlights the urgent need for research and management. We use ground-based estimates of productivity and analysis of microsatellite markers to provide the first detailed insight into breeding status and movements of Common Terns in this region. At six breeding colonies in 2012, we recorded breeding success in fenced plots, counted fledglings, documented predators and floods, and collected blood samples for microsatellite analysis of movement. Productivity ranged from 0.0 to 2.0 chicks fledged per nest, being highest at large colonies (&gt; 1000 nests) located far away from human settlements (20-30 km). Large-scale breeding failure from predation occurred at smaller colonies close to human settlement. The most common predators were Blackcrowned Night Herons (Nycticorax nycticorax) and Great Horned Owls (Bubo virginianus), but we also report three novel predators: Bald Eagles (Haliaeetus leucocephalus), gray wolves (Canis lupus), and river otters (Lontra canadensis). Microsatellite analysis suggested little eastward emigration, but instead a 100-fold increase in immigration from the Great Lakes between the 1990s and 2010s. Substantial population declines in the Manitoba Lakes despite this influx imply that net losses are occurring within inland-breeding populations. Terns now appear to switch frequently between breeding colonies in the region, possibly in response to predation and/or flooding. Although some colonies achieved productivity during the one-year study, continued population decline indicates that monitoring and studies of adult survival and movement are needed, especially given the on-going environmental changes within the region. Only by coupling these data with further efforts in unsurveyed boreal regions can the status of inland-breeding Common Terns be determined and strategies developed to curb apparent, large-scale population declines.</t>
  </si>
  <si>
    <t>10.5751/ACE-02067-170114</t>
  </si>
  <si>
    <t>Eck, T; Potthoff, M; Dyckmans, J; Wichern, F; Joergensen, RG</t>
  </si>
  <si>
    <t>Priming effects of Aporrectodea caliginosa on young rhizodeposits and old soil organic matter following wheat straw addition</t>
  </si>
  <si>
    <t>Aporrectodea caliginosa; Rhizodeposition; Soil organic matter; Wheat straw; Microbial biomass; Stable isotopes</t>
  </si>
  <si>
    <t>MICROBIAL BIOMASS-C; FUMIGATION-EXTRACTION; EARTHWORMS LUMBRICIDAE; NATURAL-ABUNDANCE; CROP RESIDUES; DECOMPOSITION; CARBON; C-13; NITROGEN; TURNOVER</t>
  </si>
  <si>
    <t>Previous work has shown that endogeic earthworms cause different, i.e. apparent as well as true positive priming effects, presumably due to unknown interactions of substrate-colonising fungi and labile SOM, e.g. rhizodeposits. To explore these interactions, a soil that had previously been enriched with C-13- and N-15-labelled rhizodeposits of pea (Pisum sativum L) plants was used in an incubation experiment. The objective was to determine whether Aporrectodea caliginosa causes a priming effect on the decomposition of young rhizodeposits and old soil organic matter (SOM) following wheat straw addition. After 56 days of incubation at 12 degrees C, earthworm effects on autochthonous SOM-derived CO2 (+88%) were higher than on rhizodeposit-derived CO2 (+16%), indicating a stronger true positive priming effect on old SOM than on young rhizodeposits. Feeding of A. caliginosa significantly reduced microbial biomass C (-12%) and N (-30%) derived from rhizodeposits. In contrast, SOM-derived microbial biomass C and N remained unaffected, indicating a higher palatability of rhizodeposits. However, they were not catabolized to CO2, but preferentially anabolized, i.e. transferred to the biomass of microorganisms and earthworms. Not only straw but also A. caliginosa generally caused a shift in the microbial community towards saprotrophic fungi, as indicated by increased ergosterol contents and ergosterol to microbial biomass C ratios. A. caliginosa decreased delta N-15, total N, and N derived from rhizodeposits in the non-decomposed straw recovered as particulate organic matter, indicating the importance of rhizodeposits as an N source. (C) 2015 Elsevier Masson SAS. All rights reserved.</t>
  </si>
  <si>
    <t>10.1016/j.ejsobi.2015.07.002</t>
  </si>
  <si>
    <t>Cook, PLM; Jennings, M; Holland, DP; Beardall, J; Briles, C; Zawadzki, A; Doan, P; Mills, K; Gell, P</t>
  </si>
  <si>
    <t>Blooms of cyanobacteria in a temperate Australian lagoon system post and prior to European settlement</t>
  </si>
  <si>
    <t>BALTIC SEA; NITROGEN; HYPOXIA; ECOSYSTEMS; MANAGEMENT; PIGMENTS; IMPACTS; ECOLOGY; DIATOM; LAKES</t>
  </si>
  <si>
    <t>Blooms of noxious N-2 fixing cyanobacteria such as Nodularia spumigena are a recurring problem in some estuaries; however, the historic occurrence of such blooms in unclear in many cases. Here we report the results of a palaeoecological study on a temperate Australian lagoon system (the Gippsland Lakes) where we used stable isotopes and pigment biomarkers in dated cores as proxies for eutrophication and blooms of cyanobacteria. Pigment proxies show a clear signal, with an increase in cyanobacterial pigments (echinenone, canthaxanthin and zeaxanthin) in the period coinciding with recent blooms. Another excursion in these proxies was observed prior to the opening of an artificial entrance to the lakes in 1889, which markedly increased the salinity of the Gippsland Lakes. A coincident increase in the sediment organic-carbon content in the period prior to the opening of the artificial entrance suggests that the bottom waters of the lakes were more stratified and hypoxic, which would have led to an increase in the recycling of phosphorus. After the opening of the artificial entrance, there was a similar to aEuro parts per thousand aEuro-60-year period with low values for the cyanobacterial proxies as well as a low sediment organic-carbon content suggesting a period of low bloom activity associated with the increased salinity of the lakes. During the 1940s, the current period of re-eutrophication commenced, as indicated by a steadily increasing sediment organic-carbon content and cyanobacterial pigments. We suggest that increasing nitrogen inputs from the catchment led to the return of hypoxia and increased phosphorus release from the sediment, which drove the re-emergence of cyanobacterial blooms.</t>
  </si>
  <si>
    <t>10.5194/bg-13-3677-2016</t>
  </si>
  <si>
    <t>Codron, D; Brink, JS</t>
  </si>
  <si>
    <t>Trophic ecology of two savanna grazers, blue wildebeest Connochaetes taurinus and black wildebeest Connochaetes gnou</t>
  </si>
  <si>
    <t>carbon isotopes; dentine; diet; feces; nitrogen isotopes</t>
  </si>
  <si>
    <t>CARBON-ISOTOPE FRACTIONATION; NATURAL-ABUNDANCE; AFRICAN BOVIDAE; SOUTHERN-AFRICA; STABLE CARBON; DIETS; MAMMALS; PLANTS; VEGETATION; PATTERNS</t>
  </si>
  <si>
    <t>The feeding niches and trophic ecology of two South African grazers, blue wildebeest Connochaetes taurinus and black wildebeest Connochaetes gnou, are compared using stable carbon and nitrogen isotope data from feces and tooth dentine collagen. As sympatric, closely related taxa predicted to occupy similar trophic positions, the blue and black wildebeest provide a good model for studying the mechanisms of coexistence and macroevolution in mammals. Data from feces collected from a single reserve in the Free State Province reveal different trophic behaviors between two herds of blue wildebeest and between both compared with a single herd of black wildebeest. These data suggest that sympatric coexistence of blue and black wildebeest is facilitated by differential niche occupation at family group or herd levels, rather than between species. However, such separation does not occur over longer time scales: results from dentine collagen support the hypothesis that the two species are indistinct in terms of trophic behavior, although blue wildebeest show more feeding flexibility, probably because of their wider habitat tolerance range. Similarities in premaxillary width of males and females of both species also suggest that both species are adapted to similar feeding styles. Thus, it is unlikely that changes in trophic behavior provided the trigger for divergence of the black from the blue wildebeest lineage in the Middle Pleistocene. We argue that the case of these two species represents an example of speciation that was not driven by resource competition, as is often assumed for many turnover events in mammalian evolution. We briefly discuss a previous suggestion that links black wildebeest evolution to their more territorial breeding behavior associated with Middle-to-Late Pleistocene landscape changes in southern Africa.</t>
  </si>
  <si>
    <t>10.1007/s10344-006-0070-2</t>
  </si>
  <si>
    <t>Ringler, D; Russell, JC; Le Corre, M</t>
  </si>
  <si>
    <t>Trophic roles of black rats and seabird impacts on tropical islands: Mesopredator release or hyperpredation?</t>
  </si>
  <si>
    <t>Rattus rattus; Apex predators; Trophic relationships; Mesopredator release effect; Hyperpredation process; Seabird conservation; Tropical islands</t>
  </si>
  <si>
    <t>WESTERN INDIAN-OCEAN; INTRAGUILD PREDATION; RATTUS-RATTUS; MOZAMBIQUE CHANNEL; PROTECTING BIRDS; CAT ERADICATION; INTRODUCED RATS; ILES EPARSES; SOOTY TERNS; RABBITS</t>
  </si>
  <si>
    <t>Rats contribute to the decline of tropical seabird populations by affecting their breeding success through direct predation of eggs and chicks. When they coexist with other predators, invasive rats may also generate indirect interactions via the changes they impose on the structure of communities and trophic interactions following invasion ('hyperpredation process'), or when apex predators are eradicated from the ecosystem ('mesopredator release effect'). Understanding these effects is necessary to implement restoration operations that actually benefit threatened seabird populations. We investigated these processes on two French tropical seabird islands of the western Indian Ocean, Europa and Juan de Nova, where black rats coexist with two different apex predator species (introduced cats and potentially native barn owls). The parallel use of several methods (diet analysis, stable isotopes, seabird monitoring) to identify trophic roles of rats revealed that the direct impact of rats on seabirds was particularly high on Europa where only rats and owls occur, with high consumption of chicks resulting in low breeding success for several seabird species. We also suggested that hyperpredation associated with top-down regulation of cats is occurring on Juan de Nova, although territoriality of cats may buffer this process. Conversely we found evidence that mesopredator release effect is unlikely, irrespective of the apex predator identity. Considering the most likely effects on both islands we provided recommendations on eradication priorities to mitigate the risk of local extinction that seabirds are currently facing. (C) 2014 Elsevier Ltd. All rights reserved.</t>
  </si>
  <si>
    <t>10.1016/j.biocon.2014.12.014</t>
  </si>
  <si>
    <t>Witt, GB; Luly, J; Fairfax, RJ</t>
  </si>
  <si>
    <t>How the west was once: vegetation change in south-west Queensland from 1930 to 1995</t>
  </si>
  <si>
    <t>Australia; degradation; grazing; long-term ecology; pastoral landscapes; rangelands; sheep diet; stable carbon isotopes; tree thickening; vegetation history</t>
  </si>
  <si>
    <t>TREES</t>
  </si>
  <si>
    <t>Conflicting perceptions of past and present rangeland condition and limited historical data have led to debate regarding the management of vegetation in pastoral landscapes both internationally and in Australia. In light of this controversy we have sought to provide empirical evidence to determine the trajectory of vegetational change in a semi-arid rangeland for a significant portion of the 20th century using a suite of proxy measures. Ambathala Station, approximately 780 km west of Brisbane, in the semi-arid rangelands of south-western Queensland, Australia. We excavated stratified deposits of sheep manure which had accumulated beneath a shearing shed between the years 1930 and 1995. Multi-proxy data, including pollen and leaf cuticle analyses and analysis of historical aerial photography were coupled with a fine resolution radiocarbon chronology to generate a near annual history of vegetation on the property and local area. Aerial photography indicates that minor (&lt; 5%) increases in the density of woody vegetation took place between 1951 and 1994 in two thirds of the study area not subjected to clearing. Areas that were selectively or entirely cleared prior to the 1950s (approximately 16% of the study area) had recovered to almost 60% of their original cover by the 1994 photo period. This slight thickening is only partially evident from pollen and leaf cuticle analyses of sheep faeces. Very little change in vegetation is revealed over the nearly 65 years based on the relative abundances of pollen taxonomic groups. Microhistological examination of sheep faeces provides evidence of dramatic changes in sheep diet. The majority of dietary changes are associated with climatic events of sustained above-average rainfall or persistent drought. Most notable in the dietary analysis is the absence of grass during the first two decades of the record. In contrast to prevailing perceptions and limited research into long-term vegetation change in the semi-arid areas of eastern Australia, the record of vegetation change at the Ambathala shearing shed indicates only a minor increase in woody vegetation cover and no decrease in grass cover on the property over the 65 years of pastoral activity covered by the study. However, there are marked changes in the abundance of grass cuticles in sheep faeces. The appearance and persistence of grass in sheep diets from the late 1940s can be attributed to the effects of periods of high rainfall and possibly some clearing and thinning of vegetation. Lower stock numbers may have allowed grass to persist through later drought years. The relative abundances of major groups of plant pollen have not changed significantly over the past 65 years.</t>
  </si>
  <si>
    <t>10.1111/j.1365-2699.2006.01531.x</t>
  </si>
  <si>
    <t>Baylis, AMM; Orben, RA; Costa, DP; Tierney, M; Brickle, P; Staniland, IJ</t>
  </si>
  <si>
    <t>Habitat use and spatial fidelity of male South American sea lions during the nonbreeding period</t>
  </si>
  <si>
    <t>foraging site fidelity; juveniles; niche width; Otaria byronia; repeatability; resource partitioning; stable isotopes</t>
  </si>
  <si>
    <t>FORAGING SITE FIDELITY; ANTARCTIC FUR SEALS; MARINE PREDATOR; NEW-ZEALAND; DISPERSAL; PATTERNS; SEGREGATION; STRATEGIES; BEHAVIOR; REPEATABILITY</t>
  </si>
  <si>
    <t>Conditions experienced during the nonbreeding period have profound long-term effects on individual fitness and survival. Therefore, knowledge of habitat use during the nonbreeding period can provide insights into processes that regulate populations. At the Falkland Islands, the habitat use of South American sea lions (Otaria flavescens) during the nonbreeding period is of particular interest because the population is yet to recover from a catastrophic decline between the mid-1930s and 1965, and nonbreeding movements are poorly understood. Here, we assessed the habitat use of adult male (n=13) and juvenile male (n=6) South American sea lions at the Falkland Islands using satellite tags and stable isotope analysis of vibrissae. Male South American sea lions behaved like central place foragers. Foraging trips were restricted to the Patagonian Shelf and were typically short in distance and duration (127 +/- 66km and 4.1 +/- 2.0days, respectively). Individual male foraging trips were also typically characterized by a high degree of foraging site fidelity. However, the isotopic niche of adult males was smaller than juvenile males, which suggested that adult males were more consistent in their use of foraging habitats and prey over time. Our findings differ from male South American sea lions in Chile and Argentina, which undertake extended movements during the nonbreeding period. Hence, throughout their breeding range, male South American sea lions have diverse movement patterns during the nonbreeding period that intuitively reflects differences in the predictability or accessibility of preferred prey. Our findings challenge the long-standing notion that South American sea lions undertake a winter migration away from the Falkland Islands. Therefore, impediments to South American sea lion population recovery likely originate locally and conservation measures at a national level are likely to be effective in addressing the decline and the failure of the population to recover.</t>
  </si>
  <si>
    <t>10.1002/ece3.2972</t>
  </si>
  <si>
    <t>Gerschlauer, F; Dannenmann, M; Kuhnel, A; Meier, R; Kolar, A; Butterbach-Bahl, K; Kiese, R</t>
  </si>
  <si>
    <t>Gross Nitrogen Turnover of Natural and Managed Tropical Ecosystems at Mt. Kilimanjaro, Tanzania</t>
  </si>
  <si>
    <t>gross nitrogen turnover; land-use change; Africa; tropics</t>
  </si>
  <si>
    <t>LAND-USE CHANGE; DISSIMILATORY NITRATE REDUCTION; OLD-GROWTH LOWLAND; SOIL N DYNAMICS; PLANTATION FORESTS; AGRICULTURAL LAND; OXIDE EMISSIONS; CYCLING RATES; MINERALIZATION; NITRIFICATION</t>
  </si>
  <si>
    <t>In our study at Mt. Kilimanjaro, East Africa, we quantified gross rates of ammonification, nitrification, nitrogen immobilization, and dissimilatory nitrate reduction to ammonium in soils across different land uses, climate zones (savanna, montane forest ecosystems, extensive agroforest homegarden, and intensively managed coffee plantation), and seasons (dry, wet, and transition from dry to wet season) to identify if and to what extent conversion of natural ecosystems to cultivated land has affected key soil microbial nitrogen turnover processes. Overall variation of gross soil nitrogen turnover rates across different ecosystems was more pronounced than seasonal variations, with the highest turnover rates occurring at the transition between dry and wet seasons. Nitrogen production and immobilization rates positively correlated with soil organic carbon and total nitrogen concentrations as well as substrate availability of dissolved organic carbon and nitrogen r &gt; 0.67, P &lt; 0.05), but did not correlate with soil ammonium and nitrate concentrations. Soil nitrogen turnover rates were highest in the montane Ocotea forest (ammonification 29.84, nitrification 12.67, NH4 (+) immobilization 38.92, NO3 (-) immobilization 10.74, and DNRA 1.54 A mu g N g(-1) SDW d(-1)) and progressively decreased with decreasing annual rainfall and increasing land-use intensity. Using indicators of N retention and characteristics of soil nutrient status, we observed a grouping of faster, but tighter N cycling in the (semi-) natural savanna and Ocotea forest. This contrasted with a more open N cycle in managed systems (the homegarden and coffee plantation) where N was more prone to leaching or gaseous losses due to high nitrate production rates. The partly disturbed (selected logging) lower montane forest ranged between these two groups.</t>
  </si>
  <si>
    <t>10.1007/s10021-016-0001-3</t>
  </si>
  <si>
    <t>Carl, LM; McGuiness, F</t>
  </si>
  <si>
    <t>Lake whitefish and lake herring population structure and niche in ten south-central Ontario lakes</t>
  </si>
  <si>
    <t>catch per unit effort; diet; size at age; bet-hedging</t>
  </si>
  <si>
    <t>TROUT SALVELINUS-NAMAYCUSH; FISH COMMUNITIES; PREDATION; OPEONGO; BURBOT</t>
  </si>
  <si>
    <t>This study compares simple fish communities of ten oligotrophic lakes in south-central Ontario. Species densities and population size structure vary significantly among these lake communities depending on fish species present beyond the littoral zone. Lake whitefish are fewer and larger in the presence of lake herring than in their absence. Diet analysis indicates that lake whitefish shift from feeding on both plankton and benthic prey when lake herring are absent to a primarily benthic feeding niche in the presence of lake herring. When benthic round whitefish are present, lake whitefish size and density decline and they move lower in the lake compared to round whitefish. Burbot are also fewer and larger in lakes with lake herring than in lakes without herring. Burbot, in turn, appear to influence the population structure of benthic coregonine species. Lower densities of benthic lake whitefish and round whitefish are found in lakes containing large benthic burbot than in lakes with either small burbot or where burbot are absent. Predation on the pelagic larvae of burbot and lake whitefish by planktivorous lake herring alters the size and age structure of these populations. As life history theory predicts, those species with poor larval survival appear to adopt a bet-hedging life history strategy of long-lived individuals as a reproductive reserve.</t>
  </si>
  <si>
    <t>10.1007/s10641-006-0030-4</t>
  </si>
  <si>
    <t>Bates, S; Saint-Pierre, P</t>
  </si>
  <si>
    <t>Adaptive Policy Framework through the Lens of the Viability Theory: A Theoretical Contribution to Sustainability in the Anthropocene Era</t>
  </si>
  <si>
    <t>Social-Ecological System built around Money; Anticipatory governance; Adaptive governance; Mathematical viability theory; Vulnerability; Resilience</t>
  </si>
  <si>
    <t>SOCIAL-ECOLOGICAL SYSTEMS; GLOBAL CHANGE RESEARCH; CLIMATE-CHANGE; RESOURCE-MANAGEMENT; ROBUST-CONTROL; GOVERNANCE; COMANAGEMENT; CRISIS; PARTICIPATION; COLLABORATION</t>
  </si>
  <si>
    <t>The Earth is an evolutionary system that can be viewed as a Social-Ecological System built around Money (SESM) because of the coupling of the Anthropocene Era with globalization. Given the simultaneous (environmental -economic) risks of total uncertainty and systemic aftermath, several paradigmatic turns are required. Ecological economics is a cutting-edge field that tackles this issue. An integrative framework involving co-evolutionary modelling offers methods for addressing the regulation issue that arises from the significant uncertainty driven by global economic and ecological risks. We tackle the issue of adaptive policy for SESM regulation by answering the call for paradigmatic turns, which leads us to support tychastic vs. stochastic uncertainty, in time adaptation vs. optimal belated solutions, viability vs. stationary equilibrium, and interdisciplinarity and participatory processes in modelling and policy action. We describe step by step how to conceive SESM modelling through the lens of the mathematical viability theory (MVT), and we argue that this lens, when adjusted for anticipatory and adaptive governance (AAG), is relevant to examining sustainability for complex adaptive SESMs from a local or global perspective.</t>
  </si>
  <si>
    <t>10.1016/j.ecolecon.2017.09.007</t>
  </si>
  <si>
    <t>Sieve, F; Isselstein, J; Kayser, M</t>
  </si>
  <si>
    <t>C-13 analysis of cow tail hair and farm slurry can be used to implicitly distinguish between different dairy production systems</t>
  </si>
  <si>
    <t>Stable isotopes; Natural C-13 abundance; Environmental indicator; Maize; Dietary composition; Traceability</t>
  </si>
  <si>
    <t>SHORT-TERM SEQUESTRATION; ISOTOPE COMPOSITION; ORIGIN ASSIGNMENT; CARBON; ABUNDANCE; CATTLE; NITROGEN; MILK; INDICATORS; PASTURE</t>
  </si>
  <si>
    <t>BackgroundPublic interest in the way food is produced on the farm and processed along the food-production chain is increasing. The analysis of isotopic signatures (C-13) in cow tail hair provides a method to reconstruct the dietary proportion of maize in cow diets. Based on this, we further investigated whether there is a relationship between isotopic signatures in cow tail hair or farm slurry and the proportion of maize of the total utilized agricultural area per farm [%]. We did an on-farm survey on 17 dairy farms in coastal Northwest Germany and collected cow tail hair from dairy cows and slurry samples on each farm. The farms differed in their feeding regime (C-3 vs. C-4 plants), their site conditions (sandy soil = 'Geestland'; organic soil = 'Peatland'; clayey soil = 'Marshland'), and in the area cultivated with maize as a proportion of the total utilized agricultural area per farm.ResultsWe found a positive relationship between delta C-13 values in both cow tail hair and slurry and the annual dietary proportion of maize (R-2 = 0.67; and R-2 = 0.63). Furthermore, we confirmed that there was a relationship between delta C-13 values in cow tail hair and area of maize as a proportion of the total utilized agricultural area per farm (R-2 = 0.69).ConclusionOur findings suggest a general applicability of using isotopic signatures (C-13) along a wide gradient of site conditions and productions systems in practice.</t>
  </si>
  <si>
    <t>10.1186/s13717-023-00420-5</t>
  </si>
  <si>
    <t>Inger, R; McDonald, RA; Rogowski, D; Jackson, AL; Parnell, A; Preston, SJ; Harrod, C; Goodwin, C; Griffiths, D; Dick, JTA; Elwood, RW; Newton, J; Bearhop, S</t>
  </si>
  <si>
    <t>Do non-native invasive fish support elevated lamprey populations?</t>
  </si>
  <si>
    <t>Bayesian; conservation dilemma; Coregonus autumnalis; hyperpredation; Lampetra fluviatilis; pollan; potamodromous; River lamprey; stable isotope analysis in R; stable isotope</t>
  </si>
  <si>
    <t>COREGONUS-AUTUMNALIS; STABLE-ISOTOPES; GOLDEN EAGLES; LOCH-LOMOND; FERAL PIGS; CARBON; DELTA-N-15; NITROGEN; SIZE; FRACTIONATION</t>
  </si>
  <si>
    <t>1. Managing populations of predators and their prey to achieve conservation or resource management goals is usually technically challenging and frequently socially controversial. This is true even in the simplest ecosystems but can be made much worse when predator-prey relationships are influenced by complex interactions, such as biological invasions, population trends or animal movements. 2. Lough Neagh in Northern Ireland is a European stronghold for pollan Coregonus autumnalis, a coregonine fish and for river lamprey Lampetra fluviatilis, which feeds parasitically as an adult. Both species are of high conservation importance. Lampreys are known to consume pollan but detailed knowledge of their interactions is scant. While pollan is well known to be a landlocked species in Ireland, the life cycle of normally anadromous river lamprey in Lough Neagh has been unclear. The Lough is also a highly perturbed ecosystem, supporting several invasive, non-native fish species that have the potential to influence lamprey-pollan interactions. 3. We applied stable isotope techniques to resolve both the movement patterns of lamprey and trophic interactions in this complex community. Recognizing that stable isotope studies are often hampered by high-levels of variability and uncertainty in the systems of interest, we employed novel Bayesian mixing models, which incorporate variability and uncertainty. 4. Stable isotope analyses identified trout Salmo trutta and non-native bream Abramis brama as the main items in lamprey diet. Pollan only represented a major food source for lamprey between May and July. 5. Stable isotope ratios of carbon in tissues from 71 adult lamprey showed no evidence of marine carbon sources, strongly suggesting that Lough Neagh is host to a highly unusual, nonanadromous freshwater population. This finding marks out the Lough's lamprey population as of particular scientific interest and enhances the conservation significance of this feature of the Lough. 6.Synthesis and applications. Our Bayesian isotopic mixing models illustrate an unusual pattern of animal movement, enhancing conservation interest in an already threatened population. We have also revealed a complex relationship between lamprey and their food species that is suggestive of hyperpredation, whereby non-native species may sustain high lamprey populations that may in turn be detrimental to native pollan. Long-term conservation of lamprey and pollan in this system is likely to require management intervention, but in light of this exceptional complexity, no simple management options are currently supported. Conservation plans will require better characterization of population-level interactions and simulation modelling of interventions. More generally, our study demonstrates the importance of considering a full range of possible trophic interactions, particularly in complex ecosystems, and highlights Bayesian isotopic mixing models as powerful tools in resolving trophic relationships.</t>
  </si>
  <si>
    <t>10.1111/j.1365-2664.2009.01761.x</t>
  </si>
  <si>
    <t>Castella, JC; Trung, TN; Boissau, S</t>
  </si>
  <si>
    <t>Participatory simulation of land-use changes in the northern mountains of Vietnam: the combined use of an agent-based model, a role-playing game, and a geographic information system</t>
  </si>
  <si>
    <t>participatory simulation; agent-based model; role-playing game; geographic information systems; land-use change; mountain agriculture; Vietnam</t>
  </si>
  <si>
    <t>NATURAL-RESOURCE MANAGEMENT; COVER CHANGE; NEGOTIATION</t>
  </si>
  <si>
    <t>In Vietnam, the remarkable economic growth that resulted from the doi moi ( renovation) reforms was based largely on the rural households that had become the new basic unit of agricultural production in the early 1990s. The technical, economic, and social changes that accompanied the decollectivization process transformed agricultural production, resource management, land use, and the institutions that defined access to resources and their distribution. Combined with the extreme biophysical, technical, and social heterogeneity encountered in the northern mountains, these rapid changes led to the extreme complexity of the agrarian dynamics that today challenges traditional diagnostic approaches. Since 1999, a participatory simulation method has been developed to disentangle the cause-and-effect relationships between the different driving forces and changes in land use observed at different scales. Several tools were combined to understand the interactions between human and natural systems, including a narrative conceptual model, an agent-based spatial computational model ( ABM), a role-playing game, and a multiscale geographic information system (GIS). We synthesized into an ABM named SAMBA-GIS the knowledge generated from the above tools applied to a representative sample of research sites. The model takes explicitly into account the dynamic interactions among: ( 1) farmers' strategies, i.e., the individual decision-making process as a function of the farm's resource profile; ( 2) the institutions that define resource access and usage; and ( 3) changes in the biophysical and socioeconomic environment. The next step consisted of coupling the ABM with the GIS to extrapolate the application of local management rules to a whole landscape. Simulations are initialized using the layers of the GIS, e. g., land use in 1990, accessibility, soil characteristics, etc., and statistics available at the village level, e. g., population, ethnicity, livestock, etc. At each annual time step, the agrarian landscape changes according to the decisions made by agent-farmers about how to allocate resources such as labor force, capital, and land to different productive activities, e. g., crops, livestock, gathering of forest products, off-farm activities. The participatory simulations based on SAMBA-GIS helped identify villages with similar land-use change trajectories to which the same types of technical and/or institutional innovations could be applied. Scenarios of land-use changes were developed with local stakeholders to assess the potential impact of these changes on the natural resource base and on agricultural development. This adaptive approach was gradually refined through interactions between researchers and the local population.</t>
  </si>
  <si>
    <t>Silva, LCR; Doane, TA; Correa, RS; Valverde, V; Pereira, EIP; Horwath, WR</t>
  </si>
  <si>
    <t>Iron-mediated stabilization of soil carbon amplifies the benefits of ecological restoration in degraded lands</t>
  </si>
  <si>
    <t>carbon sequestration; iron; land restoration; soil-plant interactions; stable isotopes; urban waste</t>
  </si>
  <si>
    <t>ORGANIC-MATTER; SEWAGE-SLUDGE; AGGREGATION; PHOSPHORUS; MINERALOGY; BIOSOLIDS; DYNAMICS; SAVANNAS; FORESTS; OXIDES</t>
  </si>
  <si>
    <t>Recent observations across a 14-year restoration chronosequence have shown an unexpected accumulation of soil organic carbon in strip-mined areas of central Brazil. This was attributed to the rapid plant colonization that followed the incorporation of biosolids into exposed regoliths, but the specific mechanisms involved in the stabilization of carbon inputs from the vegetation remained unclear. Using isotopic and elemental analyses, we tested the hypothesis that plant-derived carbon accumulation was triggered by the formation of iron-coordinated complexes, stabilized into physically protected (occluded) soil fractions. Confirming this hypothesis, we identified a fast formation of microaggregates shortly after the application of iron-rich biosolids, which was characterized by a strong association between pyrophosphate-extractable iron and plant-derived organic matter. The formation of microaggregates preceded the development of macroaggregates, which drastically increased soil carbon content (similar to 140 Mg C/ha) a few years after restoration. Consistent with previous theoretical work, iron-coordinated organic complexes served as nuclei for aggregate formation, reflecting the synergistic effect of biological, chemical, and physical mechanisms of carbon stabilization in developing soils. Nevertheless, iron was not the only factor affecting soil carbon content. The highest carbon accumulation was observed during the period of highest plant diversity (&gt;30 species; years 3-6), declining significantly with the exclusion of native species by invasive grasses (years 9-14). Furthermore, the increasing dominance of invasive grasses was associated with a steady decline in the concentration of soil nitrogen and phosphorus per unit of accumulated carbon. These results demonstrate the importance of interdependent ecological and biogeochemical processes, and the role of soil-plant interactions in determining the success of restoration efforts. In contrast with previous but unsuccessful attempts to restore mined areas through nutrient application alone, iron-mediated stabilization of vegetation inputs favored the regeneration of a barren stable state that had persisted for over five decades since disturbance. The effectiveness of coupled organic matter and iron fertilization, combined with management of invasive species, has the possibility to enhance terrestrial carbon sequestration and accelerate the restoration of degraded lands, while addressing important challenges associated with urban waste disposal.</t>
  </si>
  <si>
    <t>10.1890/14-2151.1</t>
  </si>
  <si>
    <t>Young, RC; Kitaysky, AS; Barger, CP; Dorresteijn, I; Ito, M; Watanuki, Y</t>
  </si>
  <si>
    <t>Telomere length is a strong predictor of foraging behavior in a long-lived seabird</t>
  </si>
  <si>
    <t>Brunnich's Guillemot; data logger; diving behavior; foraging ecology; Pribilof Islands; seabird; telomeres; temperature-depth recorder; Thick-billed Murre; Uria lomvia</t>
  </si>
  <si>
    <t>THICK-BILLED MURRES; COMMON MURRES; MONOMORPHIC SEABIRD; STABLE-ISOTOPES; URIA-AALGE; AGE; SEX; PATTERNS; FEMALE; BIRDS</t>
  </si>
  <si>
    <t>Telomeres are an increasingly studied component of physiological ecology. However, in long-lived birds a large telomere loss with chronological age is not the norm. Telomeres are now regarded less as a chronological aging tool and more as an indicator of individual quality, residual lifespan, or biological age. If telomeres indicate biological aging processes, then they should also be associated with other variables that change with age, especially foraging and reproductive behaviors. This study compared telomere length to a suite of foraging parameters in Thick-billed Murres breeding on three colonies in the Bering Sea. Telomere length, environmental conditions at colonies, and sex played pivotal roles in determining foraging habitat selection. Spatial habitat use, foraging efficiency, and prey selection variables all changed with telomere length. The behavioral evidence indicates that despite losing telomeres, birds with short telomere length retain their ability to use the environment efficiently. This indicates that aging birds remain behaviorally flexible, despite paying physiological costs. Changes in spatial use were largely sex-dependent: females and males differed in their use of the environment as telomere lengths declined. Prey selection was related to telomere length and colony; changes in murre trophic level depended on telomere length, but their direction also depended on habitat quality. We found much support for the continued able functioning of birds with shorter telomeres, indicating that physiological aging does not carry only costs. Murres appear to modify their behavior depending on environmental conditions as their physiological reserves decline.</t>
  </si>
  <si>
    <t>10.1890/ES14-00345.1</t>
  </si>
  <si>
    <t>Solis-Sosa, R; Semeniuk, CAD; Larrivee, M; Cox, S</t>
  </si>
  <si>
    <t>Investing in monarch conservation: understanding private funding dynamics</t>
  </si>
  <si>
    <t>FRONTIERS IN CONSERVATION SCIENCE</t>
  </si>
  <si>
    <t>systems dynamics; monarch butterfly; socio-ecological systems; milkweed; modelling; habitat restoration; discrete choice experiments</t>
  </si>
  <si>
    <t>DECISION-MAKING; NGOS; VALUATION; BENEFITS; SCIENCE; DONORS; FALL; RISE</t>
  </si>
  <si>
    <t>Non-profit environmental organizations (NGOs) rely heavily on external donors to fulfill their mandates. However, forecasting donations for long-term planning is an elusive task at best. The non-compulsory nature of donation requires NGOs to understand how donors' attention and funding allocations change over time as conservation scenarios change and incorporate these insights into their budgeting plans. We hypothesize that an NGO can hinder its capacity to reach its conservation goals by neglecting its donor-NGO-natural system (DNNS), which is reactive to the socio-ecological context. To test our hypothesis, we compared the ecological outcomes derived from a budgeting strategy assuming donors have a fixed willingness to pay throughout the program (open-loop) against the reality that donor preferences change over time (closed-loop) based on the evolving ecological context, partly driven by the program's actions. Our analysis was performed using two different willingness to pay (WTP) behavioural models, one representing donors informed about the success of the program supported (GPI), and another without such information (GPI), evidencing how the underlying assumptions about the target donors can radically change the organization's fundraising strategy. Next, we used our closed-loop approach to estimate NGO's optimal yearly donation requests to achieve a conservation target. Finally, we tested the consequences of presuming an incorrect WTP behavioural model while estimating optimal yearly donation requests by applying the optimization results from the previous step into a model parameterized with a different behavioural model. Our model was created by coupling a discrete choice experiment (DCE) and a systems dynamics model, developing a coupled social-ecological model of the eastern Monarch butterfly (Danaus plexippus), a charismatic long-distant migrant butterfly that has dwindled in numbers across North America mainly due to the increases in GMO agriculture. Our results showed a significant difference in donations received and ecological outcome forecasted by an open-loop model and the actual numbers obtained by the more real-life, closed-loop model, highlighting the importance of accounting for human behaviour during the planning phase of a long-term conservation strategy. Next, when we used our closed-loop to estimate optimal donation requests, the conservation objectives and funds raised were consistently and efficiently achieved, regardless of the underlying behavioural WTP model. We also designed novel visual tools from the behaviour WTP model exploration to bridge the gap between science insights obtained from DCEs and decision-making. However, when we used closed-loop optimal donation requests obtained from one WTP behaviour model into a simulation parameterized with different WTP behavioural models, considerable ecological and financial targets deviations arose. These deviations highlight the importance of acknowledging the dynamic nature of donor's behaviour and the need to thoroughly characterize such behaviour. Finally, we introduce a novel forecasting tool that conservation managers will have at their disposal to improve the accuracy of their budget forecasting and, ultimately, increase the program's success rate.</t>
  </si>
  <si>
    <t>10.3389/fcosc.2022.903132</t>
  </si>
  <si>
    <t>Sherwood, GD; Rose, GA</t>
  </si>
  <si>
    <t>Influence of swimming form on otolith delta C-13 in marine fish</t>
  </si>
  <si>
    <t>otolith; stable isotopes; delta C-13; marine fish; metabolism; swimming activity; caudal aspect ratio; morphometrics</t>
  </si>
  <si>
    <t>STABLE ISOTOPIC COMPOSITION; COD GADUS-MORHUA; WESTERN-AUSTRALIA; ATLANTIC COD; CARBON; OXYGEN; GROWTH; RATIOS; WILD; IDENTIFICATION</t>
  </si>
  <si>
    <t>While temperature records are available from otolith 8180 profiles in fish, interpreting changes in otolith delta(13)C remains ambiguous. We compiled a global database of published otolith delta(13)C values for 60 species representing 30 families of marine fishes. Species' mean otolith delta(13)C ranged from + 0.5 to - 8.6 parts per thousand. Among-family variance in otolith delta(13)C was uniquely explained by a morphometric index for aerobic swimming activity (caudal aspect ratio, r(2) = 0.61). The models that consistently explained the maximum among-species variance in otolith delta(13)C included caudal aspect ratio and maximum depth of occurrence. Our analysis supports the use of otolith carbon-isotope ratios to indicate metabolism (primarily active) in marine fish. This information may be applied to studies of fish feeding and related food-web structure, both past and present.</t>
  </si>
  <si>
    <t>10.3354/meps258283</t>
  </si>
  <si>
    <t>Yule, CM</t>
  </si>
  <si>
    <t>Loss of biodiversity and ecosystem functioning in Indo-Malayan peat swamp forests</t>
  </si>
  <si>
    <t>Bacteria; Biodiversity; Carbon sequestration; Hydrology; Indonesia; Malaysia; Microbial communities; Peat fires; Tropical forests</t>
  </si>
  <si>
    <t>PENINSULAR MALAYSIA; CARBON DYNAMICS; SMOKE-HAZE; FIRES; PEATLANDS; INDONESIA; POLLUTION; FISH; COMMUNITIES; KALIMANTAN</t>
  </si>
  <si>
    <t>The tropical peat swamp forests of Indonesia and Malaysia are unusual ecosystems that are rich in endemic species of flora, fauna and microbes despite their extreme acidic, anaerobic, nutrient poor conditions. They are an important refuge for many endangered species including orang utans. Ecosystem functioning is unusual: microbial decomposition is inhibited because the leaves are sclerophyllous and toxic to deter herbivory in the nutrient poor environment, yet bacteria are abundant and active in the surface layers of the peat, where they respire DOC leached from newly fallen leaves. The bacteria are subsequently consumed by aquatic invertebrates that are eaten by fish, and bacterially respired CO2 is assimilated by algae, so bacteria are thus vital to carbon and nutrient cycling. Peat swamp forests are highly sensitive to the impacts of logging, drainage and fire, due to the interdependence of the vegetation with the peat substrate, which relies on the maintenance of adequate water, canopy cover and leaf litter inputs. Even minor disturbances can increase the likelihood of fire, which is the major cause of CO2 emissions from regional peat swamp forests and which impact ecosystems worldwide by contributing to climate change. Indo-Malayan peat swamps affect the hydrology of surrounding ecosystems due to their large water storage capacity which slows the passage of floodwaters in wet seasons and maintains stream base flows during dry seasons. These forests are of global importance yet they are inadequately protected and vanishing rapidly, particularly due to agricultural conversion to oil palm, logging, drainage and annual fires.</t>
  </si>
  <si>
    <t>10.1007/s10531-008-9510-5</t>
  </si>
  <si>
    <t>Pratte, I; Robertson, GJ; Mallory, ML</t>
  </si>
  <si>
    <t>Four sympatrically nesting auks show clear resource segregation in their foraging environment</t>
  </si>
  <si>
    <t>Seabird; Foraging distribution; Niche overlap; Diet; Isotopic niche</t>
  </si>
  <si>
    <t>THICK-BILLED MURRES; CAPELIN MALLOTUS-VILLOSUS; PUFFIN FRATERCULA-ARCTICA; GANNET ISLANDS; URIA-AALGE; TROPHIC RELATIONSHIPS; CHICK DIET; BREEDING SEABIRDS; PROVIDES EVIDENCE; STABLE-ISOTOPES</t>
  </si>
  <si>
    <t>Auks share ecological similarities and are often found in sympatrically nesting assemblages at suitable nesting sites. It is expected that co-existing species would have evolved strategies to reduce niche overlap in response to resource competition. The presence of Atlantic puffins Fratercula arctica, razorbills Alca torda, thick-billed murres Uria lomvia and common murres U. aalge at the Gannet Islands, Labrador, is an opportunity to study interspecific interactions in a major seabird community. We compared the foraging movements of adult breeding birds and the diet of the birds inferred through (1) stable isotopes in the blood of adults, and (2) prey delivered to the chicks, as dimensions in the foraging niche among these 4 auks. Our results revealed that puffins and thick-billed murres headed offshore to forage, while razorbills and common murres were more coastal, heading towards mainland Labrador. The patterns of spatial segregation found among coastal and pelagic birds were mirrored by their stable isotope ratios, with one group of species foraging at a higher trophic level of an inshore food web and the other foraging on a lower trophic level of an offshore, pelagic food web. The 'pelagic' species segregated by prey choice for their chicks while differential alternate prey selection was the source of segregation between the 'coastal' species. Our research highlights the importance of segregation patterns in both spatial and diet dimensions of the foraging niche among the 4 auks-a potential mechanism for reducing interspecific competition among ecologically similar seabirds and ex plaining the persistence of such seabird assemblages through time.</t>
  </si>
  <si>
    <t>10.3354/meps12144</t>
  </si>
  <si>
    <t>KOOIJMAN, AM; WESTHOFF, V</t>
  </si>
  <si>
    <t>VARIATION IN HABITAT FACTORS AND SPECIES COMPOSITION OF SCORPIDIUM SCORPIOIDES COMMUNITIES IN NW-EUROPE</t>
  </si>
  <si>
    <t>VEGETATIO</t>
  </si>
  <si>
    <t>BRYOPHYTES; RICH-FEN; WATER CHEMISTRY</t>
  </si>
  <si>
    <t>RED LAKE PEATLAND; WATER CHEMISTRY; ANNOTATED LIST; RICH FENS; NETHERLANDS; VEGETATION; MINNESOTA; SYNONYMS; ALBERTA; CANADA</t>
  </si>
  <si>
    <t>To assess the natural range in habitat parameters of the once common rich-fen bryophyte Scorpidium scorpioides, water chemistry and vegetation were studied in different regions characteristic of its NW-European distribution area: the Netherlands, Ireland, Denmark and Fennoscandia. Scorpidium scorpioides was found in an environment with circumneutral pH. The variation in solute content and composition was large and nutrient (N and P) concentrations ranged from zero to values indicative of more eutrophic conditions. Six different vegetation types with S. scorpioides were distinguished, resembling Caricion davallianae, Caricion curto-nigrae and Hydrocotylo-Baldellion communities. Type of substrate and solute levels were strongly correlated with the first ordination axis (DCA) and nutrient status and geographic position with the second axis. Habitat and vegetation characteristics in Dutch rich-fens with S. scorpioides indicated that mineral status was higher than in Fennoscandia and Ireland; solute-poor habitats with S. scorpioides have disappeared from the Netherlands. Trophic status was higher in the Netherlands than in Fennoscandia, but in some cases lower than in Ireland. Acidification and eutrophication may have played a role in the decrease of the species in the Netherlands. However, the wide ecological ranges su that the decrease of S. scorpioides is not a physiological effect of unsuitable environmental conditions per se.</t>
  </si>
  <si>
    <t>10.1007/BF00045505</t>
  </si>
  <si>
    <t>Ingram, LJ; Adams, MA</t>
  </si>
  <si>
    <t>Does season and grazing influence the delta C-13 and delta N-15 of C-4 native grasses in semi-arid rangelands of the Pilbara region of NW Australia?</t>
  </si>
  <si>
    <t>Astrebla pectinata; Eragrostis xerophila; Stable abundance isotopes; Themeda triandra; C-4 pathways</t>
  </si>
  <si>
    <t>CARBON-ISOTOPE DISCRIMINATION; N-15 NATURAL-ABUNDANCE; BUNDLE-SHEATH LEAKINESS; TERRESTRIAL PLANT ECOLOGY; WATER-USE EFFICIENCY; MYCORRHIZAL FUNGI; RAINFALL GRADIENT; FOLIAR DELTA-N-15; EXTERNAL HYPHAE; SORGHUM-BICOLOR</t>
  </si>
  <si>
    <t>Much of the semi-arid, native rangelands Pilbara region of NW Australia is used for cattle production with the most productive grasslands for cattle grazing dominated by the C-4 perennials grasses; Astrebla pectinata, Themeda triandra, and Eragrostis xerophila. In both grazed and ungrazed plots, we quantified the seasonal variation in the natural abundance of C-13 and N-15 of green foliage. We assigned the C-4 pathway of individual species (NAD-ME vs. NADP-ME) on the basis of delta C-13. Foliage delta C-13 varied with seasonal conditions that in turn dictated patterns of growth (and of photosynthate production), and possibly also with the 'leakiness' of the bundle sheath cells. However the significant differences present in grazed and ungrazed plots for Astrebla and Themeda, indicate that grazing may result in greater water use efficiency in these semi-arid rangelands. Seasonal patterns of delta N-15 were highly variable and exhibited little correlation with seasonal patterns of growth and periods of inorganic N uptake. While it is possible that N obtained from sources other than the simple uptake of inorganic N contributed to observed delta N-15 patterns, there is little additional evidence to support this hypothesis. There was no difference in delta N-15 between grazed and ungrazed treatments for any of these grasses. (C) 2016 Elsevier B.V. All rights reserved.</t>
  </si>
  <si>
    <t>10.1016/j.agee.2016.12.008</t>
  </si>
  <si>
    <t>Merlo-Galeazzi, A; Zambrano, L</t>
  </si>
  <si>
    <t>The Effect of Land Use on Isotope Signatures of the Detritus Pathway in an Urban Wetland System</t>
  </si>
  <si>
    <t>Isotopes; Land use; Detritus; Urban wetland; Chironomids</t>
  </si>
  <si>
    <t>PARTICULATE ORGANIC-MATTER; NITROGEN STABLE-ISOTOPES; FOOD-WEB; SEDIMENT RESUSPENSION; SPATIAL HETEROGENEITY; BENTHIC PATHWAYS; CARBON; LAKE; DELTA-N-15; LANDSCAPE</t>
  </si>
  <si>
    <t>Land use may be the anthropogenic alteration with the greatest effect on ecosystem dynamics. In aquatic systems, food web pathways are highly influenced by the land use of surrounding areas, leading to different responses to the role of detritus in aquatic food web pathways. We studied the influence of land use on benthic isotopic signatures in Xochimilco, a shallow, tropical high-elevation wetland impacted by a mix of rural and urban activities, such as agriculture, housing, tourism and mixed zones. We obtained carbon (delta C-13) and nitrogen (delta N-15) isotope signatures in benthic organic matter (BOM), suspended organic matter (SOM) and Chironomus sp. The results for delta N-15 values split Xochimilco into two regions, dominated by urban or rural activities. The values of the delta C-13 signatures showed several differences among the zones, but without a clear pattern related to any land use. Spatial analyses showed high heterogeneity within the canals for SOM and chironomid isotope signatures, whereas the sediment values were more homogenous. This can be explained by the contribution of SOM to chironomid signatures (&gt; 96 %) calculated using mixing models. These findings suggest that land uses have different influences on carbon and nitrogen isotope signatures, affecting benthic food web pathways.</t>
  </si>
  <si>
    <t>10.1007/s13157-014-0577-3</t>
  </si>
  <si>
    <t>de Kroon, H; van der Zalm, E; van Rheenen, JWA; van Dijk, A; Kreulen, R</t>
  </si>
  <si>
    <t>The interaction between water and nitrogen translocation in a rhizomatous sedge (Carex flacca)</t>
  </si>
  <si>
    <t>clonal plants; physiological integration; water and nitrogen transport; stable isotopes; hydraulic lift</t>
  </si>
  <si>
    <t>DIVISION-OF-LABOR; FRAGARIA-CHILOENSIS; PHYSIOLOGICAL INTEGRATION; CLONAL INTEGRATION; ENVIRONMENTAL HETEROGENEITY; HYDROCOTYLE-BONARIENSIS; RESOURCE HETEROGENEITY; GLECHOMA-HEDERACEA; TRIFOLIUM-REPENS; HYDRAULIC LIFT</t>
  </si>
  <si>
    <t>In order to examine whether the translocation of water and nitrogen in clonal plants is interdependent, interramet translocation of these two resources was investigated in the greenhouse. Two-ramet systems of Carex. flacca were imposed to different spatial patterns of water and nitrogen supply. The experimental design allowed to examine the effects of water heterogeneity on nitrogen sharing: and, vice versa, the effects of nitrogen heterogeneity on water sharing. Interramet translocation of both water and nitrogen was quantified by stable isotope labelling. If one of the ramets was deprived of water, nitrogen or both resources (parallel resource heterogeneity), resource translocation towards this ramet was markedly enhanced compared to a control treatment in which both ramets received ample water and ample nitrogen. Under these conditions, the amount of water or nitrogen translocated was not significantly affected by the pattern of heterogeneity of the other resource imposed on the two-ramet system. If one of the interconnected ramets was rooted in dry but nitrogen-rich soil and the other ramet was placed in nitrogen-deficient but well-watered soil (reciprocal resource heterogeneity), a significant amount of water was translocated towards the ramet in dry soil, while the low-N ramet hardly received any nitrogen. These results show that little nitrogen is translocated between ramets in a direction opposite to the transpiration stream within the rhizome. However, nitrogen may be translocated independently from water if both are transported in a similar direction within the clonal system. The effects of translocation on ramet performance (in terms of transpiration, nitrogen accumulation, and biomass) were assessed by comparing interconnected ramets with isolated (severed) ramets that were treated identically. Integration enhanced the performance of ramets deficient of one or both of the resources. In case of water translocation, the transpiration and growth of the water exporting (donor) ramets was similar to the transpiration and growth of their isolated counterparts. When nitrogen was heterogeneously supplied, however, nitrogen accumulation and growth of the donor ramet was reduced to the same extent as the performance of the nitrogen-deficient ramet was increased. Water translocation thus enhanced the performance of the whole plant, while nitrogen only reduced the differences in ramet performance within the plant. In the case of the reciprocal heterogeneity treatment, the benefits of translocation were strongly unidirectional towards the ramet in dry soil. The data for this treatment suggested that total nitrogen accumulation was enhanced by the acquisition of nitrogen from the dry pot as a result of hydraulic lift and water exudation in the dry soil. We conclude that nitrogen translocation in clonal plants, and the associated benefits in terms of resource utilization and growth, may strongly depend on the pattern of interramet water transport. The implications are discussed for studies of physiological integration in clonal plants and the patterns of interramet resource sharing in the field.</t>
  </si>
  <si>
    <t>10.1007/s004420050561</t>
  </si>
  <si>
    <t>Stevenson, BA; Parfitt, RL; Schipper, LA; Baisden, WT; Mudge, P</t>
  </si>
  <si>
    <t>Relationship between soil delta N-15, C/N and N losses across land uses in New Zealand</t>
  </si>
  <si>
    <t>Nitrogen isotopes; Pastoral systems; Dairy soils; N loss; Land-use change</t>
  </si>
  <si>
    <t>N-15 NATURAL-ABUNDANCE; NITROGEN INPUTS; ISOTOPE RATIOS; FOREST; PASTURE; QUALITY; FERTILITY; FOLIAR; URINE; NUTRIENTS</t>
  </si>
  <si>
    <t>Several of the major processes that result in N loss from soil (nitrification, ammonia volatilization, and denitrification) discriminate against N-15 and fractionate the stable N isotopes, thus delta N-15 of ecosystem components has been suggested as an indicator of ecosystem N leakiness. This concept has been applied more successfully to native systems (primarily forest) than to managed systems where N inputs are greater and N cycling processes have potentially been modified. We analysed 210 New Zealand soils (0-100 mm depth) from different land-use systems (increasing in intensity of land use management from indigenous, to plantation forestry, pasture under drystock, pasture under dairy, and cropping) for delta N-15 and measures of N availability (total N. C/N, and N mineralization) to determine whether increasing intensity of land use management would lead to increased soil delta N-15 values. Mean soil delta N-15 differed between land uses with intensively managed cropping having the highest mean soil delta N-15 (6.2 parts per thousand) followed by dairy (5.4 parts per thousand), drystock (3.8 parts per thousand), forestry (2.8 parts per thousand) and indigenous forests (2.1 parts per thousand). Over all land uses there was a negative correlation between delta N-15 and the soil C/N ratio (rho = -0.73) and regression analysis indicated a relatively strong linear relationship between delta N-15 and C/N (r(2) = 0.56, P &lt; 0.001) when cropping sites (where significant loss of soil C had occurred), and sites with C/N ratio &gt;18 were excluded. Typical N balances for each land use showed that total N loss (and in particular fractionating N losses from ammonia volatilization and nitrate leaching) also increased with increasing land-use intensity. Our. results indicate that soil delta N-15 may be a useful tool in assessing potential N losses in different soils. (C) 2010 Elsevier B.V. All rights reserved.</t>
  </si>
  <si>
    <t>10.1016/j.agee.2010.10.020</t>
  </si>
  <si>
    <t>Vilas, JS; Retuerto, R</t>
  </si>
  <si>
    <t>Sexual dimorphism in water and nitrogen use strategies in Honckenya peploides: timing matters</t>
  </si>
  <si>
    <t>cost of reproduction; Honckenya peploides; leaf nitrogen content; sexual dimorphism; stable isotopes; water use efficiency</t>
  </si>
  <si>
    <t>CARBON-ISOTOPE DISCRIMINATION; RESOURCE-ALLOCATION; DIOECIOUS SHRUB; USE EFFICIENCY; PISTACIA-LENTISCUS; PLANT PERFORMANCE; STABLE-ISOTOPES; DROUGHT STRESS; SALIX-ARCTICA; RESPONSES</t>
  </si>
  <si>
    <t>Aims Sexes of dimorphic species often differ in ecophysiological traits and display spatial segregation. These differences have been interpreted as an evolved response of the sexes to meet the specific resource demands associated with reproduction. Sexes may differ not only in the amount of resources allocated to reproduction but also in the timing of allocation to reproduction. In this study, we hypothesize that as a consequence of their specific resource demands for reproduction, the sexes of the dune plant Honckenya peploides differ in terms of temporal patterns of water use efficiency and nitrogen use and acquisition. Methods Water use efficiency, as inferred from leaf carbon isotope discrimination (Lambda C-13), nitrogen use, estimated by leaf nitrogen isotope composition (delta N-15), and the foliar carbon and nitrogen contents were measured in males and females at three different points in time. Important Findings Females had greater water use efficiency than males, regardless of time. The ratio of N-15 to N-14 did not change with time in males, but significantly decreased in August for females. The total N content in the leaf tissues of females decreased as the season progressed, while in males a decrease was only found from April to June and then it remained constant from June to August. A similar pattern, but reversed, was followed by the foliar C/N ratio. Additionally, negative relationships between leaf Delta C-13 and N content were found at all times for males and only at the end of the season for females. Thus, our hypothesis that sex-specific patterns of nitrogen and water use efficiency will depend on time was supported. Overall, our results highlight the importance of including time in studies of sexual dimorphism, and also the role that physiological specialization plays in meeting the specific demands associated with reproduction.</t>
  </si>
  <si>
    <t>10.1093/jpe/rtw072</t>
  </si>
  <si>
    <t>Schallhart, N; Tusch, MJ; Wallinger, C; Staudacher, K; Traugott, M</t>
  </si>
  <si>
    <t>Effects of plant identity and diversity on the dietary choice of a soil-living insect herbivore</t>
  </si>
  <si>
    <t>C-13; N-15; Agriotes; food preference; isotopic labeling; root herbivory; wireworms</t>
  </si>
  <si>
    <t>AGRIOTES-OBSCURUS COLEOPTERA; INVERTEBRATE HERBIVORY; STABLE-ISOTOPES; SPECIES DIVERSITY; ELATERID LARVAE; GENERALIST; BIODIVERSITY; SPECIALIST; GRASSLANDS; SELECTION</t>
  </si>
  <si>
    <t>Plant identity and diversity influence herbivore communities in many different ways. While it is well known how they affect the feeding preferences of aboveground herbivores, this information is lacking for soil ecosystems, where examining plant-herbivore trophic interactions is difficult. We performed a mesocosm experiment assessing how plant identity and diversity affect the food choice of Agriotes larvae, which are soil-living generalist herbivores. We offered four plant species, (maize, a grass, a legume, and a forb) at varying combinations and diversity levels to these larvae, and analyzed their feeding behavior using stable isotopes. We hypothesized that (1) their food choice is driven by preference for certain plant species rather than by root abundance and that (2) the preference for specific plants changes with increasing plant diversity. We found that larvae preferred the grass and legume but avoided maize and the forb. Whether a plant was preferred or avoided was independent of diversity, but the extent of avoidance or preference changed with increasing plant diversity. Our findings reveal that the dietary choice of soil-living generalist herbivores is determined by plant-specific traits rather than root abundance. Our data also suggest that soil herbivore feeding preferences are modulated by plant diversity.</t>
  </si>
  <si>
    <t>10.1890/11-2067.1</t>
  </si>
  <si>
    <t>Engel, M; Frentress, J; Penna, D; Andreoli, A; van Meerveld, I; Zerbe, S; Tagliavini, M; Comiti, F</t>
  </si>
  <si>
    <t>How do geomorphic characteristics affect the source of tree water uptake in restored river floodplains?</t>
  </si>
  <si>
    <t>floodplains; riparian vegetation; river restoration; stable water isotopes</t>
  </si>
  <si>
    <t>RATIO INFRARED-SPECTROSCOPY; PLANT-WATER; RIPARIAN; SOIL; RESTORATION; PRECIPITATION; GROUNDWATER; DELTA-O-18; DELTA-H-2; TRANSPIRATION</t>
  </si>
  <si>
    <t>Alpine rivers and their floodplains have been highly modified by human activities during the last decades. River restoration projects aim to counteract these negative impacts and to restore ecosystem services provided by riparian habitats. We studied two recently restored river sites in the Ahr/Aurino and Mareit/Mareta Rivers (Italian Alps) to investigate how geomorphic conditions, soil moisture, and groundwater level affect the source of water used by grey alder (Alnus incana (L.) Moench). We compared the isotopic composition (delta H-2) of tree sap at different locations (low terraces formed during bed incision and recent floodplains formed after restoration) with that of potential water sources, that is, groundwater, soil water, and rainfall. The monthly variation in the isotopic composition of rainfall was reflected in both shallow and deeper soil water, as well as in the isotopic composition of sap. The redistribution of precipitation and groundwater in the soil differed between the post-restoration floodplain sites and the post-incision terraces, leading to a different relation between the sap water, soil water, and groundwater isotopic composition. The results show that transpiration of A. incana trees growing on recent floodplains is mostly supported by stream-fed soil water, whereas trees growing on terraces mainly use precipitation-fed soil water. These marked, morphology-related differences in the source of transpiration water of grey alder highlight how channel degradation still affects the ecohydrological processes in Alpine fluvial corridors. Nonetheless, large restoration interventions-in terms of channel widening-can enable the self-formation of new floodplain areas characterized by stream water-fed riparian ecosystems.</t>
  </si>
  <si>
    <t>e2443</t>
  </si>
  <si>
    <t>10.1002/eco.2443</t>
  </si>
  <si>
    <t>Driscoll, AW; Bitter, NQ; Ehleringer, JR</t>
  </si>
  <si>
    <t>Interactions among intrinsic water-use efficiency and climate influence growth and flowering in a common desert shrub</t>
  </si>
  <si>
    <t>iWUE; Carbon isotopes; Plasticity; Leaf nitrogen; Mojave Desert</t>
  </si>
  <si>
    <t>CARBON-ISOTOPE DISCRIMINATION; PHENOTYPIC PLASTICITY; ATMOSPHERIC DEMAND; ENCELIA-FARINOSA; USE STRATEGIES; DROUGHT; RESPONSES; TRAITS; COMPETITION; ADAPTATION</t>
  </si>
  <si>
    <t>Plants make leaf-level trade-offs between photosynthetic carbon assimilation and water loss, and the optimal balance between the two is dependent, in part, on water availability. Conservative water-use strategies, in which minimizing water loss is prioritized over assimilating carbon, tend to be favored in arid environments, while aggressive water-use strategies, in which carbon assimilation is prioritized over water conservation, are often favored in mesic environments. When derived from foliar carbon isotope ratios, intrinsic water-use efficiency (iWUE) serves as a seasonally integrated indicator of the balance of carbon assimilation to water loss at the leaf level. Here, we used a multi-decadal record of annual iWUE, growth, and flowering from a single population of Encelia farinosa in the Mojave Desert to evaluate the effect of iWUE on plant performance across interannual fluctuations in water availability. We identified substantial variability in iWUE among individuals and found that iWUE interacted with water availability to significantly influence growth and flowering. However, the relationships between iWUE, water availability, and plant performance did not universally suggest that conservative water-use strategies were advantageous in dry years or that aggressive strategies were advantageous in wet years. iWUE was positively related to the odds of growth regardless of water availability and to the odds of flowering in dry years, but negatively related to growth rates in dry years. In addition, we found that leaf nitrogen content affected interannual plant performance and that an individual's iWUE plasticity in response to fluctuations in aridity was negatively related to early life drought survival and growth.</t>
  </si>
  <si>
    <t>10.1007/s00442-020-04825-3</t>
  </si>
  <si>
    <t>Hayden, B; McWilliam-Hughes, SM; Cunjak, RA</t>
  </si>
  <si>
    <t>Evidence for limited trophic transfer of allochthonous energy in temperate river food webs</t>
  </si>
  <si>
    <t>River Continuum Concept; autochthonous; allochthonous; bryophyte; biofilm; leaf litter; fish; shredder; stable isotope analysis</t>
  </si>
  <si>
    <t>STABLE-ISOTOPES; STREAM INVERTEBRATES; ORGANIC-MATTER; CARBON-SOURCES; UNCERTAINTY; BRYOPHYTES; SUBSIDIES; GRADIENT; RIPARIAN; NITROGEN</t>
  </si>
  <si>
    <t>The River Continuum Concept (RCC) predicts that riverine food webs shift from a reliance on allochthonous energy in headwaters to autochthonous production in lower reaches. However, estimates of resource reliance often fail to account for resource segregation within the food web. Stable-isotope biomarkers can be used to estimate the relative importance of allochthonous and autochthonous material to specific groups and within the food web. delta C-13 and delta N-15 isotope ratios were calculated for allochthonous (conditioned leaf litter) and autochthonous (biofilm and bryophytes) basal energy sources, macroinvertebrate functional feeding groups (shredder, grazer, collector-filterer, collector gatherer, predator), and resident fish species at 17 locations spanning the headwaters to lower reaches of 2 river systems in eastern Canada. Stable-isotope mixing models and correlations were used to identify longitudinal trends in the food webs of both rivers. In headwater streams, allochthonous material was the predominant resource for shredders, whereas all other primary, secondary, and tertiary consumers predominantly used autochthonous basal resources. Stable-isotope ratios of allochthonous material varied minimally between sites. Both autochthonous basal sources were significantly C-13-enriched and N-15-depleted in lower-reach relative to headwater sites. Shredders displayed minimal variation across sites, whereas longitudinal variation in all other primary consumers, macroinvertebrate predators, and fishes was closely correlated with autochthonous basal sources. These results highlight the role of resource segregation within river food webs and indicate that the RCC may not predict energy pathways in all temperate river systems.</t>
  </si>
  <si>
    <t>10.1086/686001</t>
  </si>
  <si>
    <t>Burress, ED; Holcomb, JM; Tan, M; Armbruster, JW</t>
  </si>
  <si>
    <t>Ecological diversification associated with the benthic-to-pelagic transition by North American minnows</t>
  </si>
  <si>
    <t>adaptive radiation; craniofacial shape; Cyprinidae; diversification; morphology</t>
  </si>
  <si>
    <t>CRATER LAKE CICHLIDS; ADAPTIVE RADIATION; SEXUAL SELECTION; MORPHOLOGICAL DIVERSIFICATION; EXPLOSIVE DIVERSIFICATION; LIKELIHOOD APPROACH; PHYLOGENETIC TREES; R PACKAGE; EVOLUTION; FISHES</t>
  </si>
  <si>
    <t>Ecological opportunity is often regarded as a key factor that explains why diversity is unevenly distributed across life. Colonization of novel environments or adaptive zones may promote diversification. North American minnows exhibit an ancestral benthic-to-pelagic habitat shift that coincided with a burst in diversification. Here, we evaluate the phenotypic and ecological implications of this habitat shift by assessing craniofacial and dietary traits among 34 species and testing for morphology-diet covariation, convergence and adaptive optima. There were several instances of morphology-diet covariation such as correlations between mouth angle and the consumption of terrestrial insects and between relative gut length and the consumption of algae. After accounting for size and phylogenetic nonindependence, benthic species had longer heads, longer snouts, eyes positioned higher on their head, smaller mouth angles and longer digestive tracts than pelagic minnows. Benthic minnows also consumed more algae but less terrestrial insects, by volume, than pelagic minnows. Lastly, there were three distinct evolutionary regimes and more convergence in morphology and dietary characteristics than expected under a Brownian motion model of evolution. These findings indicate that colonization of the pelagic zone by minnows involved myriad phenotypic and dietary changes associated with exploitation of terrestrial subsidies. Thus, minnows exhibit phenotype-dietary covariation, an expansion of ecological roles and a burst in diversification rates in response to the ecological opportunity afforded by the colonization of a novel habitat.</t>
  </si>
  <si>
    <t>10.1111/jeb.13024</t>
  </si>
  <si>
    <t>GARTEN, CT; TAYLOR, GE</t>
  </si>
  <si>
    <t>FOLIAR DELTA C-13 WITHIN A TEMPERATURE DECIDUOUS FOREST - SPATIAL, TEMPORAL, AND SPECIES SOURCES OF VARIATION</t>
  </si>
  <si>
    <t>STABLE ISOTOPES; DECIDUOUS FORESTS; C-13 C-12 RATIOS; TOPOGRAPHIC VARIATION; WATER USE EFFICIENCY</t>
  </si>
  <si>
    <t>WATER-USE EFFICIENCY; LEAF CARBON ISOTOPE; LEAVES; PHOTOSYNTHESIS; DISCRIMINATION; STRATIFICATION; DIOXIDE; CANOPY; PLANTS; RATIOS</t>
  </si>
  <si>
    <t>Foliar C-13-abundance (delta-C-13) was analyzed in the dominant trees of a temperate deciduous forest in east Tennessee (Walker Branch Watershed) to investigate the variation in foliar delta-C-13 as a function of time (within-year and between years), space (canopy height, watershed topography and habitat) and species (deciduous and coniferous taxa). Various hypotheses were tested by analyzing (i) samples collected from the field during the growing season and (ii) foliar tissues maintained in an archived collection. The delta-C-13-value for leaves from the tops of trees was 2 to 3 parts per thousand more positive than for leaves sampled at lower heights in the canopy. Quercus prinus leaves sampled just prior to autumn leaf fall had significantly more negative delta-C-13-values than those sampled during midsummer. On the more xeric ridges, needles of Pinus spp. had more positive delta-C-13-values than leaves from deciduous species. Foliar delta-C-13-values differed significantly as a function of topography. Deciduous leaves from xeric sites (ridges and slopes) had more positive delta-C-13-values than those from mesic (riparian and cove) environments. On the more xeric sites, foliar delta-C-13 was significantly more positive in 1988 (a dry year) relative to that in 1989 (a year with above-normal precipitation). In contrast, leaf delta-C-13 in trees from mesic valley bottoms did not differ significantly among years with disparate precipitation. Patterns in foliar delta-C-13 indicated a higher ratio of net CO2 assimilation to transpiration (A/E) for trees in more xeric versus mesic habitats, and for trees in xeric habitats during years of drought versus years of normal precipitation. However, A/E (units of mmol CO2 fixed/mol H2O transpired) calculated on the basis of delta-C-13-values for leaves from the more xeric sites was higher in a wet year (6.6 +/- 1.2) versus a dry year (3.4 +/- 0.4). This difference was attributed to higher transpiration (and therefore lower A/E) in the year with lower relative humidity and higher average daily temperature. The calculated A/E values for the forest in 1988-89, based on delta-C-13, were within +/- 55% of estimates made over a 17 day period at this site in 1984 using micrometeorological methods.</t>
  </si>
  <si>
    <t>10.1007/BF00317801</t>
  </si>
  <si>
    <t>Ford, JKB; Ellis, GM; Olesiuk, PF; Balcomb, KC</t>
  </si>
  <si>
    <t>Linking killer whale survival and prey abundance: food limitation in the oceans' apex predator?</t>
  </si>
  <si>
    <t>killer whale; Orcinus orca; predation</t>
  </si>
  <si>
    <t>ORCINUS-ORCA; BRITISH-COLUMBIA</t>
  </si>
  <si>
    <t>Killer whales (Orcinus orca) are large predators that occupy the top trophic position in the world's oceans and as such may have important roles in marine ecosystem dynamics. Although the possible top-down effects of killer whale predation on populations of their prey have received much recent attention, little is known of how the abundance of these predators may be limited by bottom-up processes. Here we show, using 25 years of demographic data from two populations of fish-eating killer whales in the northeastern Pacific Ocean, that population trends are driven largely by changes in survival, and that survival rates are strongly correlated with the availability of their principal prey species, Chinook salmon (Oncorhynchus tshawytscha). Our results suggest that, although these killer whales may consume a variety of fish species, they are highly specialized and dependent on this single salmonid species to an extent that it is a limiting factor in their population dynamics. Other ecologically specialized killer whale populations may be similarly constrained to a narrow range of prey species by culturally inherited foraging strategies, and thus are limited in their ability to adapt rapidly to changing prey availability.</t>
  </si>
  <si>
    <t>10.1098/rsbl.2009.0468</t>
  </si>
  <si>
    <t>Polak-Juszczak, L; Nermer, T</t>
  </si>
  <si>
    <t>Methylmercury and Total Mercury in Eels, Anguilla anguilla, from Lakes in Northeastern Poland: Health Risk Assessment</t>
  </si>
  <si>
    <t>ECOHEALTH</t>
  </si>
  <si>
    <t>Methylmercury; Mercury; Eel; EWI; Hazard index</t>
  </si>
  <si>
    <t>FISH; CONSUMPTION; SELENIUM; RIVER; BIOMAGNIFICATION; VARIABILITY; CONSUMERS; SEAFOOD; BENEFIT; METALS</t>
  </si>
  <si>
    <t>In the aquatic environment, mercury is readily methylated into its most toxic form of methylmercury. In this form, it enters the aquatic food chain and its concentrations increase in subsequent links, which decreases the quality of fish meat and poses risks to consumer health. Concentrations of methylmercury (MeHg) and total mercury (THg) were determined in the muscle tissues of 64 eel specimens measuring from 59 to 95 cm in length as functions of specimen size and weight. Risks posed to consumers by eel from different length classes were also assessed. The mean concentration of THg in all of the eel examined was 0.179 mg kg(-1), but the range was from 0.028 to 0.487 mg kg(-1). The mean concentration of MeHg was 0.147 mg kg(-1), and the range was also wide from 0.023 to 0.454 mg kg(-1). Accumulated MeHg and THg increased with eel body length. The percentage share of MeHg in THg also changed with specimen length, and there was a positive correlation between the concentrations of MeHg and THg. Risk assessment was performed based on the doses of THg and MeHg ingested with fish for several specimen length classes. Consuming the meat of eel measuring 80 cm in length increased the estimated weekly intake (EWI) of THg and MeHg twofold in comparison to that from specimens 60 cm in length and fourfold in specimens exceeding 90 cm in length. The percentage shares of the EWI in the tolerable weekly intake and the target hazard quotient coefficient also increased proportionally. Generally, concentrations of MeHg and THg in eel are below current limits and pose no risk to consumer health as long as the consumption of larger specimens is avoided.</t>
  </si>
  <si>
    <t>10.1007/s10393-016-1139-3</t>
  </si>
  <si>
    <t>Bartz, KK; Naiman, RJ</t>
  </si>
  <si>
    <t>Effects of salmon-borne nutrients on riparian soils and vegetation in southwest Alaska</t>
  </si>
  <si>
    <t>salmon; marine-derived nutrients; fertilization; boreal; riparian ecosystems; soils; stable isotopes</t>
  </si>
  <si>
    <t>ELEMENTS TRANSPORTED UPSTREAM; REPEATED N FERTILIZATION; JACK PINE FOREST; PACIFIC SALMON; NITROGEN-FERTILIZATION; COHO SALMON; ONCORHYNCHUS-KISUTCH; DELTA-C-13 EVIDENCE; PLANT-COMMUNITIES; STRAW APPLICATION</t>
  </si>
  <si>
    <t>Spawning Pacific salmon (oncorhynchus spp.) contribute marine-derived nutrients to riparian ecosystems, potentially affecting characteristics of the associated soils and vegetation. We quantified these effects by comparing soil and vegetative characteristics upstream and downstream of natural migratory barriers on ten spawning streams in southwest Alaska. Mean delta N-15 values-indicative of salmon-borne nutrients-were significantly higher in the O horizon and surface mineral soils downstream of barriers (near spawning reaches) than in soils upstream of barriers (near non-spawning reaches). However, the mean total N concentration in surface mineral soil was lower downstream than upstream. Mean foliar delta N-15 values were higher downstream for three plant species (Picea glauca, Salix alaxensis and Arctagrostis latifolia) with contrasting physiognomies. Mean overstory stem density was 100% higher downstream, primarily due to a fivefold difference in the density of largediameter willows (Salix spp.). Mean understory stem density was 47% lower downstream, also driven by a difference in willow density. Mean ground layer non-vascular and dwarf shrub species covers were 28% and 73% lower downstream, respectively. of the ten soil and vegetative characteristics that differed upstream to downstream, two (O horizon and Picea glauca delta N-15) were correlated with the density of spawning salmon. Collectively, the data suggest that salmon-borne nutrients alter riparian soils and vegetation, while factors unrelated to salmon are responsible for the ultimate expression of many community characteristics.</t>
  </si>
  <si>
    <t>10.1007/s10021-005-0064-z</t>
  </si>
  <si>
    <t>Bengfort, M; Feudel, U; Hilker, FM; Malchow, H</t>
  </si>
  <si>
    <t>Plankton blooms and patchiness generated by heterogeneous physical environments</t>
  </si>
  <si>
    <t>Plankton; Predator-prey systems; Two dimensional flows; Reaction-diffusion equations; Eddy diffusion</t>
  </si>
  <si>
    <t>SMALL-SCALE TURBULENCE; EXCITABLE MEDIA; FUNCTIONAL-RESPONSE; CHAOTIC FLOWS; MODEL; SYSTEM; POPULATIONS; PREDATION; DYNAMICS; NOISE</t>
  </si>
  <si>
    <t>Microscopic turbulent motions of water have been shown to influence the dynamics of microscopic species living in that habitat. The number, stability, and excitability of stationary states in a predator-prey model of plankton species can therefore change when the strength of turbulent motions varies. In a spatial system these microscopic turbulent motions are naturally of different strength and form a heterogeneous physical environment. Spatially neighboring plankton communities with different physical conditions can impact each other due to diffusive coupling. We show that local variations in the physical conditions can influence the global system in form of propagating pulses of high population densities. For this we consider three different local predator-prey models with different local responses to variations in the physical environment. The degree of spatial heterogeneity can, depending on the model, promote or reduce the number of propagating pulses, which can be interpreted as patchy plankton distributions and recurrent blooms. (C) 2014 Elsevier B.V. All rights reserved.</t>
  </si>
  <si>
    <t>10.1016/j.ecocom.2014.10.003</t>
  </si>
  <si>
    <t>Eeva, T; Rainio, M; Berglund, A; Kanerva, M; Stauffer, J; Stowe, M; Ruuskanen, S</t>
  </si>
  <si>
    <t>Experimental manipulation of dietary lead levels in great tit nestlings: limited effects on growth, physiology and survival</t>
  </si>
  <si>
    <t>Biomarkers; Breeding success; Carotenoids; Heavy metals; Nestling growth; Stress hormones</t>
  </si>
  <si>
    <t>AMINOLEVULINIC-ACID DEHYDRATASE; FLYCATCHERS FICEDULA-HYPOLEUCA; HEAVY-METAL ACCUMULATION; PARUS-MAJOR; CORTICOSTERONE EXCRETION; REPRODUCTIVE SUCCESS; STRESS-PROTEINS; RISK-ASSESSMENT; NESTING BIRDS; FOOD-CHAIN</t>
  </si>
  <si>
    <t>We manipulated dietary lead (Pb) levels of nestlings in wild populations of the great tit (Parus major L) to find out if environmentally relevant Pb levels would affect some physiological biomarkers (haematocrit [HT], fecal corticosterone metabolites [CORT], heat shock proteins [HSPs], erythrocyte delta-aminolevulinic acid dehydratase activity [ALAd]), growth (body mass, wing length), phenotype (plumage coloration) or survival of nestlings. The responses to three experimental manipulation (control, low and high: 0, 1 and 4 mu g/g body mass/day) are compared with those in a P. major population breeding in the vicinity of a heavy metal source, a copper smelter. Our Pb supplementation was successful in raising the fecal concentrations to the levels found in polluted environments (high: 8.0 mu g/g d.w.). Despite relatively high range of exposure levels we found only few effects on growth rates or physiology. The lack of blood ALAd inhibition suggests that the circulating Pb levels were generally below the toxic level despite that marked accumulation of Pb in femur (high: 27.8 mu g/g d.w.) was observed. Instead, birds in the metal polluted environment around the smelter showed decreased growth rates, lower HT, higher CORT, less colorful plumage and lower survival probabilities than any of the Pb treated groups. These effects are likely related to decreased food quality/quantity for these insectivorous birds at the smelter site. In general, the responses of nestlings to metal exposure and/or associated resource limitation were not gender specific. One of the stress proteins (HSP60), however, was more strongly induced in Pb exposed males and further studies are needed to explore if this was due to higher accumulation of Pb or higher sensitivity of males. In all, our results emphasize the importance of secondary pollution effects (e.g. via food chain disruption) on reproductive output of birds.</t>
  </si>
  <si>
    <t>10.1007/s10646-014-1235-5</t>
  </si>
  <si>
    <t>Pocewicz, A; Morgan, P; Kavanagh, K</t>
  </si>
  <si>
    <t>The effects of adjacent land use on nitrogen dynamics at forest edges in northern idaho</t>
  </si>
  <si>
    <t>N-15 NATURAL-ABUNDANCE; DOUGLAS-FIR; CONIFER STANDS; UNITED-STATES; UNDERSTOREY VEGETATION; ECOSYSTEM RESPONSES; RIPARIAN FOREST; SOIL-NITROGEN; TREE GROWTH; DEPOSITION</t>
  </si>
  <si>
    <t>The effects of immediately adjacent agricultural fertilization on nitrogen (N) at upland forest edges have not been previously studied. Our objective was to determine whether N from fertilized agriculture enters northern Idaho forest edges and significantly impacts their N status. We stratified 27 forest edge sampling sites by the N fertilization history of the adjacent land: current, historical, and never. We measured N stable isotopes (delta N-15), N concentration (%N), and carbon-to-nitrogen (C/N) ratios of conifer tree and deciduous shrub foliage, shrub roots, and bulk soil, as well as soil available N. Conifer foliage delta N-15 and %N, shrub root delta N-15, and bulk soil N were greater and soil C/N ratios lower (P &lt; 0.05) at forest edges than interiors, regardless of adjacent fertilization history. For shrub foliage and bulk soil delta N-15, shrub root %N and C/N ratios, and soil nitrate, significant edge-interior differences were limited to forests bordering lands that had been fertilized currently or historically. Foliage and soil delta N-15 were most enriched at forest edges bordering currently fertilized agriculture, suggesting that these forests are receiving N fertilizer inputs. Shrub root %N was greater at forest edges bordering currently fertilized agriculture than at those bordering grasslands that had never been fertilized (P = 0.01). Elevated N at forest edges may increase vegetation growth, as well as susceptibility to disease and insects. The higher N we found at forest edges bordering agriculture may also be found elsewhere, given similar agricultural practices in other regions and the prevalence of forest fragmentation.</t>
  </si>
  <si>
    <t>10.1007/s10021-007-9015-1</t>
  </si>
  <si>
    <t>Munroe, SEM; Guerin, GR; McInerney, FA; Martin-Fores, I; Welti, N; Farrell, M; Atkins, R; Sparrow, B</t>
  </si>
  <si>
    <t>A vegetation carbon isoscape for Australia built by combining continental-scale field surveys with remote sensing</t>
  </si>
  <si>
    <t>Photosynthesis; C-4; C-3; Isoscape; Carbon</t>
  </si>
  <si>
    <t>SEASONAL WATER AVAILABILITY; CLIMATE-CHANGE; STABLE-ISOTOPES; USE EFFICIENCY; C-4 GRASSES; EVOLUTION; PLANTS; DISCRIMINATION; FRACTIONATION; DISTRIBUTIONS</t>
  </si>
  <si>
    <t>Context Maps of C-3 and C-4 plant abundance and stable carbon isotope values (delta C-13) across terrestrial landscapes are valuable tools in ecology to investigate species distribution and carbon exchange. Australia has a predominance of C-4-plants, thus monitoring change in C-3:C-4 cover and delta C-13 is essential to national management priorities. Objectives We applied a novel combination of field surveys and remote sensing data to create maps of C-3 and C-4 abundance in Australia, and a vegetation delta C-13 isoscape for the continent. Methods We used vegetation and land-use rasters to categorize grid-cells (1 ha) into woody (C-3), native herbaceous, and herbaceous cropland (C-3 and C-4) cover. Field surveys and environmental factors were regressed to predict native C-4 herbaceous cover. These layers were combined and a delta C-13 mixing model was used to calculate site-averaged delta C-13 values. Results Seasonal rainfall, maximum summer temperature, and soil pH were the best predictors of C-4 herbaceous cover. Comparisons between predicted and observed values at field sites indicated our approach reliably predicted generalised C-3:C-4 abundance. Southern Australia, which has cooler temperatures and winter rainfall, was dominated by C-3 vegetation and low delta C-13 values. C-4-dominated areas included northern savannahs and grasslands. Conclusions Our isoscape approach is distinct because it incorporates remote sensing products that calculate cover beneath the canopy, the influence of local factors, and extensive validation, all of which are critical to accurate predictions. Our models can be used to predict C-3:C-4 abundance under climate change, which is expected to substantially alter current C-3:C-4 abundance patterns.</t>
  </si>
  <si>
    <t>10.1007/s10980-022-01476-y</t>
  </si>
  <si>
    <t>Bagchi, S; Sharma, RK; Bhatnagar, YV</t>
  </si>
  <si>
    <t>Change in snow leopard predation on livestock after revival of wild prey in the Trans-Himalaya</t>
  </si>
  <si>
    <t>arid ecosystems; diet analysis; human-wildlife conflict; Panthera; predator; rangeland</t>
  </si>
  <si>
    <t>CONSERVATION; EUTROPHICATION; CONSTRAINTS; PASTORALISM; COMPETITION; CONFLICTS; UNCIA; LAKES; HARM</t>
  </si>
  <si>
    <t>Human-wildlife conflict arising from livestock-losses to large carnivores is an important challenge faced by conservation. Theory of prey-predator interactions suggests that revival of wild prey populations can reduce predator's dependence on livestock in multiple-use landscapes. We explore whether 10-years of conservation efforts to revive wild prey could reduce snow leopard's Panthera uncia consumption of livestock in the coupled human-and-natural Trans-Himalayan ecosystem of northern India. Starting in 2001, concerted conservation efforts at one site (intervention) attempted recovery of wild-prey populations by creating livestock-free reserves, accompanied with other incentives (e.g. insurance, vigilant herding). Another site, 50km away, was monitored as status quo without any interventions. Prey remains in snow leopard scats were examined periodically at five-year intervals between 2002 and 2012 to determine any temporal shift in diet at both sites to evaluate the effectiveness of conservation interventions. Consumption of livestock increased at the status quo site, while it decreased at the intervention-site. At the intervention-site, livestock-consumption reduced during 2002-2007 (by 17%, p = 0.06); this effect was sustained during the next five-year interval, and it was accompanied by a persistent increase in wild prey populations. Here we also noted increased predator populations, likely due to immigration into the study area. Despite the increase in the predator population, there was no increase in livestock-consumption. In contrast, under status quo, dependence on livestock increased during both five-year intervals (by 7%, p = 0.08, and by 16%, p=0.01, respectively). These contrasts between the trajectories of the two sites suggest that livestock-loss can potentially be reduced through the revival of wild prey. Further, accommodating counter-factual scenarios may be an important step to infer whether conservation efforts achieve their targets, or not.</t>
  </si>
  <si>
    <t>wlb.00583</t>
  </si>
  <si>
    <t>10.2981/wlb.00583</t>
  </si>
  <si>
    <t>Gray, DP; Harding, JS; Elberling, B; Horton, T; Clough, TJ; Winterbourn, MJ</t>
  </si>
  <si>
    <t>Carbon Cycling in Floodplain Ecosystems: Out-Gassing and Photosynthesis Transmit Soil delta C-13 Gradient Through Stream Food Webs</t>
  </si>
  <si>
    <t>biogeochemistry; connectivity; carbon; braided river; food web; stable isotopes; New Zealand</t>
  </si>
  <si>
    <t>DISSOLVED INORGANIC CARBON; ISOTOPIC COMPOSITION; LANDSCAPE ECOLOGY; STABLE-ISOTOPE; BRAIDED-RIVER; GROUND-WATER; ENERGY-FLOW; DYNAMICS; BASIN; DIOXIDE</t>
  </si>
  <si>
    <t>Natural braided river floodplains typically possess high groundwater-surface water exchange, which is vital to the overall function and structure of these complex ecosystems. Spring-fed streams on the floodplain are also hotspots of benthic invertebrate diversity and productivity. The sources of carbon that drive these productive spring-fed systems are not well-known. We conducted field assessments and a manipulation, modeling, and a laboratory experiment to address this issue. Initially delta C-13 values of both dissolved inorganic carbon (DIC) and food-web components of five springs were used to assess the sources of carbon to spring food webs. Partial pressures of CO2 in upwelling water ranged from 2 to 7 times atmospheric pressure, but rapidly approached equilibrium with the atmosphere downstream commensurate with C-13 enrichment of DIC. Speciation modeling and a laboratory out-gassing experiment suggested that downstream changes in pH could be explained solely by CO2 out-gassing. However, field results indicated that both out-gassing and photosynthetic drawdown by aquatic plants controlled the net flux of CO2. A whole stream manipulation indicated out-gassing was the primary effect at the spring source, which was confirmed by invariant diel pH. At 1296 m downstream from the spring source a large diel shift in pH indicated a plant effect on CO2 concentration which would contribute to the overall downstream gradient in delta C-13 DIC. Within the first 1296 m the gradient in delta(13) DIC was transmitted through three trophic levels of the spring food web. These findings indicate dependency on groundwater inorganic carbon by spring stream food webs and strong hydrologically mediated linkages connecting terrestrial, subsurface, and aquatic components of the floodplain.</t>
  </si>
  <si>
    <t>10.1007/s10021-011-9430-1</t>
  </si>
  <si>
    <t>Baylis, AMM; Tierney, M; Orben, RA; Staniland, IJ; Brickle, P</t>
  </si>
  <si>
    <t>Geographic variation in the foraging behaviour of South American fur seals</t>
  </si>
  <si>
    <t>Colony segregation; Arctocephalus austrails; Patagonian Shelf; Stable isotopes; Resource partitioning; Satellite telemetry; Movement ecology</t>
  </si>
  <si>
    <t>INTRA-SPECIFIC COMPETITION; CENTRAL-PLACE FORAGER; ARCTOCEPHALUS-AUSTRALIS; MARINE PREDATOR; TRACKING; ECOLOGY; VARIABILITY; PHYSIOLOGY; HABITATS; FIDELITY</t>
  </si>
  <si>
    <t>The implicit assumption of many ecological studies is that animal behaviour and resource use are geographically uniform. However, central place foraging species often have geographically isolated breeding colonies that are associated with markedly different habitats. South American fur seals Arctocephalus australis (SAFS) are abundant and widely distributed colonial breeding central place foragers that provide potentially useful insights into geographic variation in animal behaviour and resource use. However, SAFS movement ecology is poorly understood. To address knowledge gaps and to explicitly test geographic variation in behaviour, we examined the foraging behaviour of 9 adult female SAFS from 2 Falkland Islands breeding colonies separated in distance by 200 km. A total of 150 foraging trips over 7 mo revealed striking colony differences. Specifically, SAFS that bred at Volunteer Rocks undertook long foraging trips (mean +/- SD: 314 +/- 70 km and 15.2 +/- 2.7 d) to the Patagonian Shelf and shelf slope (bathymetric depth: 263 +/- 28 m). In contrast, SAFS that bred at North Fur Island undertook short foraging trips (94 +/- 40 km and 5.3 +/- 2.1 d) and typically foraged near the Falkland Islands' coastline (bathymetric depth: 85 +/- 24 m). Stable isotope analysis of vibrissae delta C-13 and delta N-15 values also revealed colony differences in the isotopic niche area occupied, which indicated that resource use also differed. Contrary to popular models (Ashmole's halo, hinterland model), colony size was unrelated to distance travelled, and SAFS did not necessarily use foraging grounds closest to their breeding colony. SAFS are likely subject to different selective pressures related to different environmental demands at the 2 breeding colonies. Accordingly, we reason that behavioural differences between breeding colonies reflect different phenotypes, and habitat use is more immediately influenced by phenotype, philopatry and the local environment, rather than density-dependent competition typically attributed to colony segregation in foraging areas.</t>
  </si>
  <si>
    <t>10.3354/meps12557</t>
  </si>
  <si>
    <t>Figueroa, LL; Grab, H; Ng, WH; Myers, CR; Graystock, P; McFrederick, QS; McArt, SH</t>
  </si>
  <si>
    <t>Landscape simplification shapes pathogen prevalence in plant-pollinator networks</t>
  </si>
  <si>
    <t>agricultural land use; basic reproductive number; Bombus impatiens; Crithidia bombi; diet breadth; disease transmission; network connectance; structural equation models</t>
  </si>
  <si>
    <t>BIODIVERSITY; ABUNDANCE; ALTERS; WILD; TRANSMISSION; ARCHITECTURE; VISITATION; IMPACTS; SPREAD</t>
  </si>
  <si>
    <t>Species interaction networks, which play an important role in determining pathogen transmission and spread in ecological communities, can shift in response to agricultural landscape simplification. However, we know surprisingly little about how landscape simplification-driven changes in network structure impact epidemiological patterns. Here, we combine mathematical modelling and data from eleven bipartite plant-pollinator networks observed along a landscape simplification gradient to elucidate how changes in network structure shape disease dynamics. Our empirical data show that landscape simplification reduces pathogen prevalence in bee communities via increased diet breadth of the dominant species. Furthermore, our empirical data and theoretical model indicate that increased connectance reduces the likelihood of a disease outbreak and decreases variance in prevalence among bee species in the community, resulting in a dilution effect. Because infectious diseases are implicated in pollinator declines worldwide, a better understanding of how land use change impacts species interactions is therefore critical for conserving pollinator health.</t>
  </si>
  <si>
    <t>10.1111/ele.13521</t>
  </si>
  <si>
    <t>Ordonez-Grande, B; Fernandez-Alacid, L; Sanahuja, I; Sanchez-Nuno, S; Fernandez-Borras, J; Blasco, J; Ibarz, A</t>
  </si>
  <si>
    <t>Evaluating mucus exudation dynamics through isotopic enrichment and turnover of skin mucus fractions in a marine fish model</t>
  </si>
  <si>
    <t>exudation; isotopic natural abundance; mucus renewal; Sparus aurata; skin mucus fractions</t>
  </si>
  <si>
    <t>Fish skin mucus is composed of insoluble components, which form the physical barrier, and soluble components, which are key for interrelationship functions. Mucus is continuously secreted, but rates of production and exudation are still unknown, as are the underlying mechanisms. Using stable isotope analysis, here, we evaluate skin mucus turnover and renewal in gilthead sea bream, separating raw mucus and its soluble and insoluble fractions. Isotopic abundance analysis reveals no differences between mucus and white muscle, thus confirming mucus samples as reliable non-invasive biomarkers. Mucus production was evaluated using a single labelled meal packaged in a gelatine capsule, with both C-13 and N-15, via a time-course trial. C-13 was gradually allocated to skin mucus fractions over the first 12 h and was significantly (4-fold) higher in the soluble fraction, indicating a higher turnover of soluble mucus components that are continuously produced and supplied. N-15 was also gradually allocated to mucus, indicating incorporation of new proteins containing the labelled dietary amino acids, but with no differences between fractions. When existent mucuswas removed, dietary stable isotopes revealed stimulated mucus neoformation dependent on the components. All this is novel knowledge concerning skin mucus dynamics and turnover in fish and could offer interesting non-invasive approaches to the use of skin mucus production in ecological or applied biological studies such as climate change effects, human impact, alterations in trophic networks or habitat degradation, especially of wild-captured species or protected species.</t>
  </si>
  <si>
    <t>coaa095</t>
  </si>
  <si>
    <t>10.1093/conphys/coaa095</t>
  </si>
  <si>
    <t>Huang, S; Meijers, MJM; Eyres, A; Mulch, A; Fritz, SA</t>
  </si>
  <si>
    <t>Unravelling the history of biodiversity in mountain ranges through integrating geology and biogeography</t>
  </si>
  <si>
    <t>Anatolia; biogeographic history; compositional turnover; mountain biodiversity; paleobiology; paleofauna; paleoflora; paleogeography; surface uplift; terrestrial mammals</t>
  </si>
  <si>
    <t>CENTRAL ANATOLIAN PLATEAU; MIOCENE SURFACE UPLIFT; BODY-SIZE EVOLUTION; CLIMATE-CHANGE; SPECIES-DIVERSITY; ENVIRONMENTAL HETEROGENEITY; COEXISTENCE APPROACH; FASTING ENDURANCE; STABLE-ISOTOPES; EXTINCTION RISK</t>
  </si>
  <si>
    <t>Aim We advocate an interdisciplinary approach to biogeography, integrating geology and paleobiology to examine how biodiversity dynamics evolved as mountain ranges formed through (geological) time. Location Global; case study: Anatolia (Turkey). Methods We discuss the links between surface uplift and biodiversity dynamics and review recent developments for reconstructing the history of geography and biodiversity. To illustrate an integrative approach to biogeography, we present a case study of Neogene Anatolia. In particular, we reconstruct Anatolian paleogeography based on a synthesis of both quantitative and qualitative evidence, and review the fossil record of the regional flora and fauna, to identify changes in compositions that might be induced by surface uplift and associated environmental changes. Results The Central Anatolian Plateau and its mountainous margins display different histories of surface uplift during the late Miocene to Pliocene, which are detectable in the regional fossil record of large mammals. Overall changes in vegetation and climatic conditions for the whole region also align with the general time frame of surface uplift. Main conclusions Our discussion and case study highlight the value of an integrative biogeographic framework, by combining knowledge and techniques from geology and paleobiology to simultaneously consider the biotic and environmental dynamics in space and time. Neogene surface uplift in Anatolia has affected the regional biota, particularly the diversity of plants and large mammals, along with well-known global and regional changes in climate and other environmental factors. To disentangle the effects of different, but most likely interactive environmental changes at various scales, we call for rigorous examination of the geological record in a biogeographic framework, using innovative methods to uncover how environmental and biotic processes have shaped mountain biodiversity.</t>
  </si>
  <si>
    <t>10.1111/jbi.13622</t>
  </si>
  <si>
    <t>StJohn, MA; Lund, T</t>
  </si>
  <si>
    <t>Lipid biomarkers: Linking the utilization of frontal plankton biomass to enhanced condition of juvenile North Sea cod</t>
  </si>
  <si>
    <t>lipid biomarkers; larval and juvenile cod; North Sea; frontal processes; lipid condition</t>
  </si>
  <si>
    <t>MARINE FOOD-CHAIN; GADUS-MORHUA; FATTY-ACIDS; AREA; LARVAE; PHYTOPLANKTON; GROWTH; ZOOPLANKTON; STARVATION; FEATURES</t>
  </si>
  <si>
    <t>The effects of physical mixing processes on phytoplankton production in the marine environment are well established. However, the effects of these processes on growth and condition of zooplankton and larval fish are at present poorly understood. In this study, we utilized phytoplankton group-specific fatty acid content to trace the phytoplankton group and mixing regime contributing to the condition of individual juvenile North Sea cod. In order to establish a relationship between lipid tracer content and algal utilization, post yolk-sac larval North Sea cod were reared in the laboratory on food chains based on monocultures of either the diatom Skeletonema costatum or the dinoflagellate Heterocapsa triquetra (algae dominating in the mixed and stratified regions of the North Sea). In the laboratory, these algae were fed to cultures of adult Acartia tonsa, the copepod eggs were collected, hatched and the N1 nauplii from these different feeding regimes fed to post yolk-sac larval North Sea cod. Post yolk-sac larval cod required 8 d on either a Heterocapsa- or Skeletonema-based food chain before tracer Lipid signals (the ratio of the lipids 16:1 omega 7 to 16:0) in the larvae began to change from their original values to those similar to the algae at the base of their respective food chains. The cod larvae displayed a lipid tracer content similar to that of their algal food source after 13 d on their respective feeding regimes. During a cruise in May 1992 to examine the distribution of larval and juvenile North Sea cod, a subsample of 100 juvenile cod from the stratified, mixed and frontal regimes of the northeastern North Sea were examined for their content of lipid biomarkers and condition (as determined by the ratio of total lipid content to total length). Juvenile cod displaying a lipid tracer content indicating utilization of diatom-basea food webs (found in proximity to regions of frontal mixing) were observed to be in significantly better condition (p less than or equal to 0.05) than those containing a lipid signal indicative of utilization of flagellate-based food webs (found in stratified regions of the North Sea).</t>
  </si>
  <si>
    <t>10.3354/meps131075</t>
  </si>
  <si>
    <t>Pedler, RD; Brandle, R; Read, JL; Southgate, R; Bird, P; Moseby, KE</t>
  </si>
  <si>
    <t>Rabbit biocontrol and landscape-scale recovery of threatened desert mammals</t>
  </si>
  <si>
    <t>arid ecosystems; biological control; conservation funding; small mammal; threat abatement; threatened species; trophic cascades; cascadas troficas; control biologico; disminucion de amenazas; ecosistemas aridos; especies amenazadas; financiamiento de la conservacion; mamifero pequeno</t>
  </si>
  <si>
    <t>BIOLOGICAL-CONTROL AGENT; DUSKY HOPPING-MOUSE; ORYCTOLAGUS-CUNICULUS; CONSERVATION BENEFITS; HEMORRHAGIC-DISEASE; POPULATION-DYNAMICS; PREDATORS; AUSTRALIA; IMPACT; PATTERNS</t>
  </si>
  <si>
    <t>Funding for species conservation is insufficient to meet the current challenges facing global biodiversity, yet many programs use expensive single-species recovery actions and neglect broader management that addresses threatening processes. Arid Australia has the world's worst modern mammalian extinction record, largely attributable to competition from introduced herbivores, particularly European rabbits (Oryctolagus cuniculus) and predation by feral cats (Felis catus) and foxes (Vulpes vulpes). The biological control agent rabbit hemorrhagic disease virus (RHDV) was introduced to Australia in 1995 and resulted in dramatic, widespread rabbit suppression. We compared the area of occupancy and extent of occurrence of 4 extant species of small mammals before and after RHDV outbreak, relative to rainfall, sampling effort, and rabbit and predator populations. Despite low rainfall during the first 14 years after RHDV, 2 native rodents listed by the International Union for Conservation of Nature (IUCN), the dusky hopping-mouse (Notomys fuscus) and plains mouse (Pseudomys australis), increased their extent of occurrence by 241-365%. A threatened marsupial micropredator, the crest-tailed mulgara (Dasycercus cristicauda), underwent a 70-fold increase in extent of occurrence and a 20-fold increase in area of occupancy. Both bottom-up and top-down trophic effects were attributed to RHDV, namely decreased competition for food resources and declines in rabbit-dependent predators. Based on these sustained increases, these 3 previously threatened species now qualify for threat-category downgrading on the IUCN Red List. These recoveries are on a scale rarely documented in mammals and give impetus to programs aimed at targeted use of RHDV in Australia, rather than simply employing top-down threat-based management of arid ecosystems. Conservation programs that take big-picture approaches to addressing threatening processes over large spatial scales should be prioritized to maximize return from scarce conservation funding. Further, these should be coupled with long-term ecological monitoring, a critical tool in detecting and understanding complex ecosystem change. Biocontrol de Conejos y Recuperacion a Escala de Paisaje de Mamiferos Amenazados del Desierto El financiamiento para la conservacion de especies no es suficiente para enfrentar a la crisis actual de la biodiversidad y aun asi, muchos programas usan acciones inasequibles de recuperacion y de una sola especie y descuidan al manejo mas general que aborda los procesos amenazantes. La zona arida de Australia tiene el peor registro moderno de extincion de mamiferos del mundo, en su mayoria atribuible a la competencia con los herbivoros introducidos, particularmente el conejo europeo (Oryctolagus cuniculus), y a la depredacion por parte de los gatos ferales (Felis catus) y los zorros (Vulpes vulpes). El agente de control biologico VEHC (virus de la enfermedad hemorragica de conejos) se introdujo a Australia en 1995 y resulto en una represion dramatica y extendida de los conejos. Comparamos el area de ocupacion y la extension de la presencia de cuatro especies existentes de mamiferos pequenos antes y despues de la epidemia de VEHC en relacion a la lluvia, esfuerzo de muestreo y poblaciones de conejos y depredadores. A pesar de la poca lluvia durante los primeros 14 anos despues del VEHC, dos roedores nativos enlistados por la Union Internacional para la Conservacion de la Naturaleza (UICN), la rata canguro (Notomys fuscus) y el raton de las praderas (Pseudomys australis), incrementaron su extension en un 241-365%. Un micro-depredador marsupial amenazado, la rata marsupial de cola crestada (Dasycercus cristicauda), experimento un incremento de 70 veces en la extension de su presencia y una de 20 veces en el area de ocupacion. Ambos efectos troficos de abajo-hacia-arriba y de arriba-hacia-abajo fueron atribuidos al VEHC, especificamente la competencia reducida por los recursos alimenticios y la declinacion de depredadores dependientes de los conejos. Con base en estos incrementos prolongados, estas tres especies previamente amenazadas ahora califican para una baja de categoria en la Lista Roja de la UICN. Estas recuperaciones son a una escala que rara vez se documenta en mamiferos y dan impetu a los programas centrados en el uso enfocado del VEHC en Australia, en lugar de emplear simplemente el manejo de arriba-abajo basado en amenazas en los ecosistemas aridos. Los programas de conservacion que adoptan estrategias generales para abordar los procesos de amenaza a grandes escalas espaciales deberian ser prioridad para maximizar el retorno del poco financiamiento para la conservacion. Ademas, estos programas deberian emparejarse con el monitoreo ecologico a largo plazo, una herramienta critica en la deteccion y el entendimiento del cambio complejo de los ecosistemas. Resumen</t>
  </si>
  <si>
    <t>10.1111/cobi.12684</t>
  </si>
  <si>
    <t>Knapp, BA; Seeber, J; Podmirseg, SM; Rief, A; Meyer, E; Insam, H</t>
  </si>
  <si>
    <t>Molecular fingerprinting analysis of the gut microbiota of Cylindroiulus fulviceps (Diplopoda)</t>
  </si>
  <si>
    <t>Polymerase chain reaction-denaturing gradient get etectrophoresis; (PCR-DGGE) analysis; Gut microbiota; Microbial community composition; Soil invertebrate</t>
  </si>
  <si>
    <t>16S RIBOSOMAL-RNA; GRADIENT GEL-ELECTROPHORESIS; MILLIPEDE GLOMERIS-MARGINATA; BACTERIAL COMMUNITIES; SOIL DIPLOPODS; DNA; PCR; DIVERSITY; SEQUENCES; FECES</t>
  </si>
  <si>
    <t>Interactions between soil invertebrates and microorganisms are important for ecosystem functioning as they affect soil processes such as organic matter decomposition and nutrient cycling. This is also true for the alpine region, where the abandonment of pastures leads to a dramatic change in the diet of saprotrophic invertebrates, shifting from pre-digested ruminant dung to highly recalcitrant dwarf shrub titter, which in turn, affects food web and decomposition processes. To get a better understanding of the influence such a diet shift exerts on titter-feeding animals and associated microorganisms, we studied the gut microbiota of Cylindroiulus fulviceps (Julidae, Diplopoda), an essential macrodecomposer on abandoned alpine pastureland in the Central Alps. We investigated if the type of food ingested affects the composition of the gut microbiota of C. fulviceps or if its intestinal tract hosts an indigenous microbiota resilient to substrate changes. A feeding experiment was set up for which individuals were collected in the field, transferred to a climate chamber and fed with cow manure, grass titter or dwarf shrub Litter for 6 weeks. DNA extracted from the substrate and the diplopods' guts was amplified and analysed using PCR-DGGE. The fingerprinting analyses of bacterial., archaeal and fungal communities showed that the intestinal microbiota of C. fulviceps was only little influenced by the substrate ingested. Specific microorganisms that were robust against diet changes were found in the intestinal tracts. Identification of specific bacterial bands in the fingerprinting profiles revealed the dominance of Proteobacteria within the gut samples. (C) 2008 Elsevier GmbH. All rights reserved.</t>
  </si>
  <si>
    <t>10.1016/j.pedobi.2008.11.005</t>
  </si>
  <si>
    <t>Salomon, AK; Shears, NT; Langlois, TJ; Babcock, RC</t>
  </si>
  <si>
    <t>CASCADING EFFECTS OF FISHING CAN ALTER CARBON FLOW THROUGH A TEMPERATE COASTAL ECOSYSTEM</t>
  </si>
  <si>
    <t>carbon flow; context-dependence; detritus; fishing; food web; indirect effects; kelp forest; marine reserve; sea urchin; stable isotopes; temperate reef; trophic cascade</t>
  </si>
  <si>
    <t>NORTHEASTERN NEW-ZEALAND; SNAPPER PAGRUS-AURATUS; MARINE PROTECTED AREAS; TROPHIC CASCADES; COMMUNITY STRUCTURE; FOOD WEBS; TOP-DOWN; EVECHINUS-CHLOROTICUS; DELTA-N-15 ANALYSIS; FRESH-WATER</t>
  </si>
  <si>
    <t>Mounting evidence suggests that fishing can trigger trophic cascades and alter food web dynamics, yet its effects on ecosystem function remain largely unknown. We used the large-scale experimental framework of four marine reserves, spanning an oceanographic gradient in northeastern New Zealand, to test the extent to which the exploitation of reef predators can alter kelp carbon flux and secondary production. We provide evidence that the reduction of predatory snapper (Pagrus auratus) and lobster (Jasus edwardsii) can lead to an increase in sea urchins (Evechinus chloroticus) and indirect declines in kelp biomass in some locations but not others. Stable carbon isotope ratios (delta(13)C) of oysters (Crassostrea gigas) and mussels (Perna canaliculus) transplanted in reserve and. shed sites within four locations revealed that fishing indirectly reduced the proportion of kelp-derived organic carbon assimilated by filter feeders in two locations where densities of actively grazing sea urchins were 23.7 and 8.3 times higher and kelp biomass was an order of magnitude lower than in non. shed reserve sites. In contrast, in the two locations where fishing had no effect on urchin density or kelp biomass, we detected no effect of fishing on the carbon signature of filter feeders. We show that the effects of fishing on nearshore trophic structure and carbon flux are context-dependent and hinge on large-scale, regional oceanographic factors. Where cascading effects of fishing on kelp biomass were documented, enhanced assimilation of kelp carbon did not result in the magnification of secondary production. Instead, a strong regional gradient in filter feeder growth emerged, best predicted by chlorophyll a. Estimates of kelp contribution to the diet of transplanted consumers averaged 56.9% +/- 6.2% (mean +/- SE) for mussels and 33.8% +/- 7.3% for oysters, suggesting that organic carbon flxed by kelp is an important food source fueling northeastern New Zealand's nearshore food webs. The importance of predators in mediating benthic primary production and organic carbon flux suggests that over fishing can have profound consequences on ecosystem functioning particularly where pelagic primary production is limiting. Our results underscore the broader ecosystem repercussions of overfishing and its context-dependent effects.</t>
  </si>
  <si>
    <t>10.1890/07-1777.1</t>
  </si>
  <si>
    <t>Olsen, Y; Andersen, T; Gismervik, I; Vadstein, O</t>
  </si>
  <si>
    <t>Protozoan and metazoan zooplankton-mediated carbon flows in nutrient-enriched coastal planktonic communities</t>
  </si>
  <si>
    <t>metazoan; protozoan; coastal eutrophication; assimilation efficiency; growth efficiency; carbon feeding rates; carbon release</t>
  </si>
  <si>
    <t>REPRODUCTIVE SUCCESS; ACARTIA-TONSA; CELL-VOLUME; GROWTH; INGESTION; RESPONSES; COPEPODS; BACTERIA; MODEL; CYCLE</t>
  </si>
  <si>
    <t>The objective of the present study was to study the dynamics of protozoan and metazoan zooplankton food webs in coastal NE Atlantic waters exposed to variable nutrient input. Data were derived from a mesocosm experiment (7 units, 40 m(3), 12 m deep) receiving variable nutrient input. The food web included 3 autotrophic groups based on size, and 4 functional heterotrophic groups mainly based on trophic position. Inverse modelling was used to construct networks of carbon flows for the planktonic food web. Heterotrophic nanoplankton, microplankton and mesoplankton (HNP, CIL and COP, respectively) were found to be equally important contributors to grazing and carbon release during undisturbed summer situations. The release of dissolved organic carbon by zooplankton was comparable to that of phytoplankton. Autotrophic food was generally more important for zooplankton than heterotrophic (mean 75%). Assimilation and growth efficiencies (AE and GE, respectively) of zooplankton groups in undisturbed situations were in the range of 33 to 69% and 10 to 41%, respectively. Values were inversely related to gross primary production (GPP). Sedimentation rates of carbon were low. High nutrient input rates increased food availability and most CIL and COP carbon flows. HNP did not respond, and neither did its food, that is, bacteria and picoautotrophs, The response in biomass was generally lower than that for the flows. Values of AE and GE of the zooplankton during high nutrient input and food availability varied between 11 and 29% and 5.7 and 19%, respectively, and throughout were lower than at low nutrient input. The sedimentation rate of particulate carbon increased strongly, resulting in an enhanced organic input rate in deep water.</t>
  </si>
  <si>
    <t>10.3354/meps331067</t>
  </si>
  <si>
    <t>Guehl, JM; Domenach, AM; Bereau, M; Barigah, TS; Casabianca, H; Ferhi, A; Garbaye, J</t>
  </si>
  <si>
    <t>Functional diversity in an Amazonian rainforest of French Guyana: a dual isotope approach (delta N-15 and delta C-13)</t>
  </si>
  <si>
    <t>tropical rainforest; stable isotopes; interspecific diversity; root symbioses; functional grouping</t>
  </si>
  <si>
    <t>N-15 NATURAL-ABUNDANCE; TROPICAL RAIN-FOREST; WATER-USE EFFICIENCY; SOIL ORGANIC-MATTER; BIOLOGICAL NITROGEN-FIXATION; FAGUS-SYLVATICA L; DIFFERENT COMPARTMENTS; MYCORRHIZAL FUNGI; CLIMATE-CHANGE; TREE LEAVES</t>
  </si>
  <si>
    <t>Functional aspects of biodiversity were investigated in a lowland tropical rainforest in French Guyana (5 degrees 2'N, annual precipitation 2200 mm). We assessed leaf delta(15)N as a presumptive indicator of symbiotic N-2 fixation, and leaf and wood cellulose delta(13)C as an indicator of leaf intrinsic water-use efficiency (CO assimilation rate/leaf conductance for water vapour) in dominant trees of 21 species selected for their representativeness in the forest cover, their ecological strategy (pioneers or late successional stage species, shade tolerance) or their potential ability for N-2 fixation. Similar measurements were made in trees of native species growing in a nearby plantation after severe perturbation (clear cutting, mechanical soil disturbance). Bulk soil delta(15)N was spatially quite uniform in the forest (range 3-5%), whereas average leaf delta(15)N ranged from -0.3% to 3.5% in the different species. Three species only, Diplotropis purpurea, Recordoxylon speciosum (Fabaceae), and sclerolobium melinonii (Caesalpiniaceae), had root bacterial nodules, which was also associated with leaf N concentrations higher than 20 mg g(-1). Although nodulated trees displayed significantly lower leaf delta(15)N values than non-nodulated trees. leaf delta(15)N did not prove a straightforward indicator of symbiotic fixation, since there was a clear overlap of delta(15)N values for nodulated and non-nodulated species at the lower end of the delta(15)N range. Perturbation did not markedly affect the difference delta(15)N(soil) - delta(15)N(leaf), and thus the isotopic data provide no evidence of an alteration in the different N acquisition patterns. Extremely large interspecific differences in sunlit leaf delta(13)C were observed in the forest (average values from -31.4 to -26.7%), corresponding to intrinsic water-use efficiencies (ratio CO2 assimilation rate/leaf conductance for water vapour) varying over a threefold range. Wood cellulose delta(13)C was positively related to total leaf delta(13)C. the former values being 2-3% higher than the latter ones. Leaf delta(13)C was not related to leaf delta(15)N at either intraspecific or interspecific levels. delta(13)C of sunlit leaves was highest in shade hemitolerant emergent species and was lower in heliophilic, but also in shade-tolerant species. For a given species, leaf delta(13)C did not differ between the pristine forest and the disturbed plantation conditions. Our results are not in accord with the concept of existence of functional types of species characterized by common suites of traits underlying niche differentiation; rather, they support the hypothesis that each trait leads to a separate grouping of species.</t>
  </si>
  <si>
    <t>10.1007/s004420050593</t>
  </si>
  <si>
    <t>Arismendi, I; Penaluna, BE; Jara, CG</t>
  </si>
  <si>
    <t>Introduced beaver improve growth of non-native trout in Tierra del Fuego, South America</t>
  </si>
  <si>
    <t>CASTOR-CANADENSIS; INVASIONAL MELTDOWN; CAPE-HORN; NOTHOFAGUS-BETULOIDES; WEIGHT BIOMASS; STREAM; FISH; COMMUNITY; ABUNDANCE; DYNAMICS</t>
  </si>
  <si>
    <t>Species introductions threaten ecosystem function worldwide, and interactions among introduced species may amplify their impacts. Effects of multiple invasions are still poorly studied, and often, the mechanisms underlying potential interactions among invaders are unknown. Despite being a remote and well-conserved area, the southern portion of South America has been greatly impacted by invasions of both the American beaver (Castor canadensis) and Brown Trout (Salmo trutta fario). Here, we compared growth, condition, diet, and stable isotopes of sulfur delta S-34, nitrogen delta N-15, and carbon delta C-13 for stream-living Brown Trout from streams with (n = 6) and without (n = 6) beaver in Tierra del Fuego, Chile. We show that beaver may facilitate the success of trout by positively influencing fish growth. Beaver indirectly provide greater food subsidies (i.e., macroinvertebrate abundances) by modifying the local aquatic environment through active dam and lodge building suggesting a one-way positive interaction. Trout in beaver-influenced streams occupied a slightly higher trophic level with more depleted sulfur and carbon isotopic ratios suggesting that food web pathways rely on secondary production from autochthonous origin. Trout in beaver-influenced streams had a wider dietary breadth with diptera and amphipoda as the prey items providing most of the energy, whereas in streams without beaver, trichoptera were the main source of energy for trout. Ultimately, we find that these two species, which have never co-occurred naturally, bring about the same ecosystem function and the beneficial influences in their native ranges as in invaded systems.</t>
  </si>
  <si>
    <t>10.1002/ece3.6636</t>
  </si>
  <si>
    <t>Cloyed, CS; DaCosta, KP; Hodanbosi, MR; Carmichael, RH</t>
  </si>
  <si>
    <t>The effects of lipid extraction on delta C-13 and delta N-15 values and use of lipid-correction models across tissues, taxa and trophic groups</t>
  </si>
  <si>
    <t>bottlenose dolphins; chemical lipid extraction; lipid extraction; lipid-correction models; meta-analysis; stable isotopes; trophic discrimination; West Indian manatees</t>
  </si>
  <si>
    <t>STABLE-ISOTOPE RATIOS; NORMALIZATION MODELS; MIXING MODELS; FISH-TISSUES; CARBON; DIET; MUSCLE; DISCRIMINATION; ATLANTIC; FRACTIONATION</t>
  </si>
  <si>
    <t>Lipid-rich animal tissues have low delta C-13 values, which can lead to inaccurate ecological inferences. Chemical lipid extraction (LE) or correction models account for this depletion, but the need for LE or correction is tissue- and species-specific. Also, LE can alter delta N-15 values, increasing labour and costs because bulk samples must be analysed for delta N-15 values separately. We studied the effects of LE on delta C-13 and delta N-15 values in liver, muscle and skin of common bottlenose dolphins Tursiops truncatus and West Indian manatees Trichechus manatus, two ecologically important species that occupy different trophic levels. We fit lipid-correction models to each species. We also performed a meta-analysis to more broadly determine the effects of LE across taxa, tissues and trophic groups (carnivores, omnivores and herbivores) and to fit lipid-correction models to different taxonomic and trophic groups. Lipid extraction increased the delta C-13 values in dolphin tissues but had little effect on manatee tissues and no effect on the delta N-15 values in either species. A mass balance lipid-correction model best fit the data from all dolphin tissues, and a linear model best fit data for manatee liver while null models best fit data from manatee muscle and skin. Across 128 terrestrial and aquatic species, the effects of LE varied among tissues and were lower for herbivores compared to carnivores. The best-fitting lipid-correction models varied among tissue, taxa and trophic groups. Finally, the delta N-15 values from muscle and liver were affected by LE. Our results strengthen the growing body of evidence that the need for LE is tissue- and species-specific, without a reliable C:N ratio predictive threshold. The prediction errors of lipid-correction models generally decreased with taxonomic and trophic specificity. The smaller effects of LE in herbivores may be due to differences in diet composition or the physiology of lipid synthesis in members of this trophic group. These results suggest that researchers should use the most species-, tissue- and trophic group-specific information on LE available and, if not available, perform LE on a subset of samples prior to analysis to determine effects.</t>
  </si>
  <si>
    <t>10.1111/2041-210X.13386</t>
  </si>
  <si>
    <t>Palacio, S; Montserrat-Marti, G; Ferrio, JP</t>
  </si>
  <si>
    <t>Water use segregation among plants with contrasting root depth and distribution along gypsum hills</t>
  </si>
  <si>
    <t>Artemisia herba-alba; Atriplex halimus; Dryland ecosystems; Eco-hydrology; Gypsophila struthium subsp hispanica; Gypsophile endemism; Gypsumoutcrops; Helianthemum squamatum; Hydrological niche; Lepidium subulatum; Ononis tridentata; Plant community ecology; Salsola vermiculata; Stable isotopes; Suaeda vera</t>
  </si>
  <si>
    <t>MEDITERRANEAN SUB-SHRUBS; PATTERNS; ISOTOPES; DESERT</t>
  </si>
  <si>
    <t>Aims: Plant communities growing along gypsum hills in NE Spain show a distinct zonation that may depend on water table depth, salt and nutrient availability gradients between hilltops and saline depressions. We analysed the main sources of water used by woody species in these communities. Specifically, we assessed whether hydrological niche segregation occurred among dominant woody species with different root depth and plant location along gypsum hills during spring and summer. Location: Miocene gypsum formations of NE Spain, Middle-Ebro depression. Methods: We analysed the oxygen and hydrogen isotope composition of the xylem water of ten dominant woody species growing along gypsum hills and compared it to water extracted from the top 20 cm of the soil, gypsum crystallization water and groundwater, both in spring and summer. Bayesian isotope mixing models were used to estimate the proportion of each water source used by different species. Results: There was a clear segregation in the sources of water used by dominant woody species from plant communities co-existing on gypsum hills, and such segregation responded to their rooting depth and position along the hill. Shallow-rooted plants growing out of saline depressions exploited superficial free soil water and gypsum crystallization water, and had limited access to groundwater, particularly during summer. In contrast, deep-rooted plants and shallow-rooted plants from saline depressions thrived preferentially on the water table. Such differences were noticeable in spring, but became sharper during summer. Conclusions: Woody species from gypsum hills have different hydrological niches. Niche segregation is mainly related to the depth of the root system of plants and to their position along gypsum hills, which determine proximity to the water table. It is accentuated during summer, highlighting the role of summer drought as a structuring factor in gypsum plant communities. The segregation of the water sources used by plants is related to a suite of phenological, functional and anatomical features, indicating adaptation of plant species to their respective hydrological niches.</t>
  </si>
  <si>
    <t>10.1111/jvs.12570</t>
  </si>
  <si>
    <t>Takahashi, A; Ito, M; Suzuki, Y; Watanuki, Y; Thiebot, JB; Yamamoto, T; Iida, T; Trathan, P; Niizuma, Y; Kuwae, T</t>
  </si>
  <si>
    <t>Migratory movements of rhinoceros auklets in the northwestern Pacific: connecting seasonal productivities</t>
  </si>
  <si>
    <t>Seabird foraging; Light-based geolocation; Productivity; Seasonal movements; Stable isotope analysis; Japan Sea</t>
  </si>
  <si>
    <t>TRANS-EQUATORIAL MIGRATION; STABLE-ISOTOPE DELTA-N-15; AT-SEA DISTRIBUTION; CERORHINCA-MONOCERATA; TROPHIC ECOLOGY; PELAGIC SEABIRD; NORTHERN JAPAN; STRATEGIES; RESOURCES; PENGUINS</t>
  </si>
  <si>
    <t>Spatial and temporal variability in marine biological productivity may drive heterogeneity in seasonal resources available for marine animals in temperate waters. Migratory seabirds are expected to adjust their annual cycle of breeding activities and migratory movements to exploit seasonally available resources efficiently. We studied the movement and trophic position of rhinoceros auklets Cerorhinca monocerata breeding at Teuri Island, Japan Sea, during the nonbreeding and early breeding periods over 2 yr. After breeding, the auklets moved northward from the colony to the Sea of Okhotsk, where phytoplankton blooms enhanced biological productivity in autumn. The birds then moved southward to the southwestern Japan Sea (similar to 1470 km from the colony), where major epipelagic fish and squid concentrations have been reported in winter. Stable isotope analyses suggest that the auklets fed on higher-trophic level prey, including fish and/or squid during the autumn and winter nonbreeding periods. The auklets moved northward and returned to the colony in mid-March. During the early breeding period, the birds foraged close to the colony (similar to 380 km) on lower-trophic level prey including fish and/or krill, which were available during the spring phytoplankton bloom. The timing of the return migration does not match with the northward migration of warm-water anchovy, a profitable prey during summer, but may be related to timing the chick-rearing period to correspond with anchovy arrival. We suggest that rhinoceros auklets follow spatial and seasonal changes in prey availability by a distinctive '3-step' migration (first northward, second southward, third northward) in the temperate marine system of the northwestern Pacific.</t>
  </si>
  <si>
    <t>10.3354/meps11179</t>
  </si>
  <si>
    <t>Umezawa, Y; Yamaguchi, A; Ishizaka, J; Hasegawa, T; Yoshimizu, C; Tayasu, I; Yoshimura, H; Morii, Y; Aoshima, T; Yamawaki, N</t>
  </si>
  <si>
    <t>Seasonal shifts in the contributions of the Changjiang River and the Kuroshio Current to nitrate dynamics in the continental shelf of the northern East China Sea based on a nitrate dual isotopic composition approach</t>
  </si>
  <si>
    <t>CHEMICAL HYDROGRAPHY; YELLOW SEA; NITROGEN; WATER; FRACTIONATION; SUMMER; WINTER; DELTA-N-15; INTRUSION; REDUCTION</t>
  </si>
  <si>
    <t>The northern East China Sea (ECS) serves as a spawning and nursery ground for many species of fish and squid. To clarify the basis of the food web in the northern ECS, we examined the nitrate (NO3) dynamics along four latitudinal transects based on stable nitrogen and oxygen isotopes of NO3 (delta N-15(NO3) and delta O-18(NO3)) and temperature-salinity dynamics in both winter (February 2009) and summer (July 2009 and July 2011). The delta N-15(NO3) and delta O-18(NO3), which were distinctly different among the potential NO3 sources, were useful for clarifying NO3 sources and its actual usage by phytoplankton. In winter, Kuroshio Subsurface-Water (KSSW) and the Yellow Sea Mixed Water (YSMW) predominantly contributed to NO3 distributed in the shelf water. In the surface water of the Okinawa Trough, NO3 from the KSSW, along with a temperature increase caused by an intrusion of Kuroshio Surface Water (KSW), seemed to stimulate phytoplankton growth. In summer, Changjiang Diluted Water (CDW), Yellow Sea Cold Water Mass (YSCWM), and KSSW affected the distribution and abundance of NO3 in the northern ECS, depending on precipitation in the Changjiang drainage basin and the development of the YSCWM in the shelf bottom water. Although isotopic fractionation during NO3 uptake by phytoplankton seemed to drastically increase delta N-15(NO3) and delta O-18(NO3) in summer, relatively light nitrate with delta N-15(NO3) lower than expected from this fractionation effect might be explained by contribution of atmospheric nitrogen and/or nitrification to NO3 dynamics in the surface and subsurface layers. If the latter were a dominant process, this would imply a tightly coupled nitrogen cycle in the shelf water of the northern ECS.</t>
  </si>
  <si>
    <t>10.5194/bg-11-1297-2014</t>
  </si>
  <si>
    <t>Schrimpf, MB; Parrish, JK; Pearson, SF</t>
  </si>
  <si>
    <t>Trade-offs in prey quality and quantity revealed through the behavioral compensation of breeding seabirds</t>
  </si>
  <si>
    <t>Foraging behavior; Seabird diet; Provisioning rate; Environmental variability; Common murre; Uria aalge; Northern California Current</t>
  </si>
  <si>
    <t>THICK-BILLED MURRES; STELLER SEA LIONS; FORAGING BEHAVIOR; ENERGY-EXPENDITURE; NUTRITIONAL STRESS; CALIFORNIA CURRENT; MARINE PREDATOR; CLIMATE-CHANGE; COMMON MURRES; COASTAL OCEAN</t>
  </si>
  <si>
    <t>Many productive ocean ecosystems are also highly variable, resulting in complex trophic interactions. We analyzed interannual patterns in the diet of a seabird, the common murre Uria aalge, in a region of high oceanographic productivity, the northern California Current, to investigate how these top predators adjust their chick provisioning to cope with environmental variability. Murres relied chiefly on Pacific herring Clupea harengus pallasi and surf smelt Hypomesus pretiosus to provision chicks, although they regularly returned 8 other fish taxa. Provisioning success was measured by the energy return rate to chicks, which in turn was disarticulated into energy per meal (quality) and meal delivery rate (quantity). Parents exhibited 'compensation' during 2 years in which smaller, low quality prey were returned more quickly than in years with normal (i.e. 'good') provisioning. Despite the increased delivery rate, energy return rates were still lower in 'compensation' vs. 'good' years. The lowest energy return rates occurred in 3 'poor' years, during which ocean productivity was also depressed. Our results suggest that murres in this system have the ability to shift provisioning strategies to deal with some variability in prey resources, but not when limited by exceptionally poor environmental conditions.</t>
  </si>
  <si>
    <t>10.3354/meps09750</t>
  </si>
  <si>
    <t>Fitzgerald, DB; Winemiller, KO; Perez, MHS; Sousa, LM</t>
  </si>
  <si>
    <t>Using trophic structure to reveal patterns of trait-based community assembly across niche dimensions</t>
  </si>
  <si>
    <t>alpha-niche; community assembly; fish; functional diversity; null model; stable isotope; Xingu River</t>
  </si>
  <si>
    <t>FUNCTIONAL TRAITS; SPECIES TRAITS; FISH ASSEMBLAGES; MECHANISMS; CONVERGENCE; COEXISTENCE; SIMILARITY; DISPERSION; DIVERSITY; EVOLUTION</t>
  </si>
  <si>
    <t>1. Trait-based approaches for studying community assembly have improved understanding of mechanisms; however, the challenge of interpreting process from pattern is complicated by the possibility of multiple mechanisms operating simultaneously. Different traits may influence the assembly process in different ways. Analysing patterns of functional diversity among co-occurring species for each trait individually may aid interpretation of complex assembly processes; yet, few studies have tested whether patterns vary depending on trait function. 2. We used tropical fish assemblages from the Xingu River, Brazil to test whether traits associated with resource acquisition play a stronger role in niche segregation relative to other traits. First, a null modelling approach was used to determine how trait distributions within local assemblages deviated from expectations under random assembly. Then, correlations between functional traits and stable isotope ratios (C-13, N-15) were used as a measure of a trait's association with trophic structure. Finally, we used mixed effects models to test whether traits having higher correlations with trophic structure also had greater deviation from null expectations. In addition, we explored how well stable isotopes explain multivariate functional trait variation and compared our correlation-based approach for organizing traits with previous categorical approaches. 3. A significant relationship was found between a trait's deviation from null expectations and its correlation with isotopic patterns. Traits strongly associated with trophic structure had greater dispersion from the assemblage mean and were more evenly spaced than weakly associated traits. Traits strongly associated with trophic structure also were more clustered because trophic diversification tended to occur around some basic feeding strategies, such as benthic grazing or capturing food items from the water column. Based on redundancy analysis, isotopic ratios explained a low (116%) but significant portion of trait variation. 4. In this study system, traits strongly associated with trophic ecology were more influential in niche differentiation among coexisting species compared to weakly associated traits. These results suggest that certain traits may respond to assembly mechanisms in predictable ways despite the complex, multidimensional nature of the assembly process. Methods designed to identify differential trait response will be critical to developing a general theory of trait-based community assembly.</t>
  </si>
  <si>
    <t>10.1111/1365-2435.12838</t>
  </si>
  <si>
    <t>Bai, SH; Trueman, SJ; Nevenimo, T; Hannet, G; Bapiwai, P; Poienou, M; Wallace, HM</t>
  </si>
  <si>
    <t>Effects of shade-tree species and spacing on soil and leaf nutrient concentrations in cocoa plantations at 8 years after establishment</t>
  </si>
  <si>
    <t>Canarium indicum; Gliricidia sepium; Intercropping; Papua New Guinea; Soil fertility; Stable isotopes</t>
  </si>
  <si>
    <t>FOLIAR NITROGEN CONCENTRATION; CACAO AGROFORESTRY SYSTEMS; LITTER DECOMPOSITION; THEOBROMA-CACAO; CARBON STORAGE; PLANT CARBON; FOREST; PHOSPHORUS; PATTERNS; BIOMASS</t>
  </si>
  <si>
    <t>Intercropping in agroforestry systems improves ecosystem services. Appropriate species compositions and spacing regimes are critical to achieve ecosystem benefits and improve yields of all the component crops. Cocoa (Theobroma cacao) is an important cash crop globally but it requires shade for survival and growth. However, the effects of shade-tree species composition and spacing regime on nutrient cycling in cocoa plantations are not well understood. This study investigated the effects of shade tree species and spacing regimes on soil and plant nutrient availability at 8 years after plantation establishment in Papua New Guinea. Three cocoa intercropping systems were established in which T. cacao was planted with either a non-legume timber tree, Canarium indicum, or a legume non-timber tree, Gliricidia sepium. The shade-tree spacing regimes included either 8 m x 16 m or 8 m x 8 m in the Theobroma + Canarium plantations. There was an ongoing thinning regime in the Theobroma + Gliricidia plantation, with a final shade-tree spacing of 12 m x 12 m. Soil total carbon (TC) and total nitrogen (TN) were significantly higher in the Theobroma + Gliricidia plantation with 12 m x 12 m spacing and the Theobroma + Canarium plantation with 8 m x 16 m spacing than in the Theobroma + Canarium plantation with 8 m x 8 m spacing. Foliar TN and P were correlated with soil TN and P, respectively, whereas no correlation was detected between soil and leaf K concentrations. Foliar TN, P and K were under ideal concentrations for T. cacao in all of the plantations. The Theobroma + Gliricidia plantation had higher soil water extractable phosphorus (P) than the two Theobroma + Canarium plantations, probably due to frequent pruning of the G. sepium trees. Foliar C isotope composition (delta C-13) of T. cacao suggested that T. cacao close to G. sepium or close to C. indicum with spacing of 8 m x 16 m and 8 m x 8 m had similar light interception. However, increased C. indicum spacing increased the light interception of T. cacao trees that were not planted next to C. indicum. This study indicated that non-legume timber trees with an optimized spacing regime can be used as overstorey shade trees for T. cacao. However, our study indicated all three plantations required fertilisation and better nutrient management.</t>
  </si>
  <si>
    <t>10.1016/j.agee.2017.06.003</t>
  </si>
  <si>
    <t>Ohshimo, S; Kodama, T; Sakamoto, T; Sakai, T; Saito, M</t>
  </si>
  <si>
    <t>Growth, reproduction, and feeding habits of striped bonito, Sarda orientalis, in the East China Sea</t>
  </si>
  <si>
    <t>von Bertalanffy; Histology; Otolith; Stomach contents analysis; Pelagic piscivore</t>
  </si>
  <si>
    <t>PACIFIC BLUEFIN TUNA; THUNNUS-ORIENTALIS; BLACK-SEA; AGE; WATERS; DIET; SCOMBRIDAE; JAPONICUS; ISOTOPES; PATTERNS</t>
  </si>
  <si>
    <t>We evaluated the growth, reproduction, and feeding habits of striped bonito (Sarda orientalis) in the East China Sea. We collected a total of 289 specimens and determined their age from polished otoliths. The estimated growth function was FLt = 586.98{1 - exp[-0.76 exp(t 0.33)]1, where FLt represents fork length (mm) at age t. Males reached spermiation in April through September, and females spawned in May through July. The main spawning periods for females were May and June. The smallest sexually mature female and male reached 445 and 436 mm in FL, respectively, and were both age 1. The principal prey species were jack mackerel (Trachurus japonicus), scad (genus Decapterus), and anchovy (Engraulis japonicus). The mean carbon and nitrogen stable isotope ratios of the striped bonito were -16.6 parts per thousand and 13.7 parts per thousand, respectively. The relative contribution of prey species based on stable isotope ratios indicates that the striped bonito is an opportunistic feeder of small pelagic fishes. These biological and ecological data on the striped bonito will be of great importance for stock assessment and the development of ecosystem-based fisheries management schemes. (C) 2022 Elsevier B.V. All rights reserved.</t>
  </si>
  <si>
    <t>10.1016/j.rsma.2022.102536</t>
  </si>
  <si>
    <t>Stromberg, CAE; McInerney, FA</t>
  </si>
  <si>
    <t>The Neogene transition from C-3 to C-4 grasslands in North America: assemblage analysis of fossil phytoliths</t>
  </si>
  <si>
    <t>STABLE-ISOTOPE EVIDENCE; GREAT-PLAINS; LATE MIOCENE; TERRESTRIAL ECOSYSTEM; ENVIRONMENTAL-CHANGE; DOMINATED HABITATS; FUNCTIONAL TYPES; CARBON ISOTOPES; GRASSES POACEAE; CLIMATE-CHANGE</t>
  </si>
  <si>
    <t>The rapid ecological expansion of grasses with C-4 photosynthesis at the end of the Neogene (8-2 Ma) is well documented in the fossil record of stable carbon isotopes. As one of the most profound vegetation changes to occur in recent geologic time, it paved the way for modern tropical grassland ecosystems. Changes in CO2 levels, seasonality, aridity, herbivory, and fire regime have all been suggested as potential triggers for this broadly synchronous change, long after the evolutionary origin of the C-4 pathway in grasses. To date, these hypotheses have suffered from a lack of direct evidence for floral composition and structure during this important transition. This study aimed to remedy the problem by providing the first direct, relatively continuous record of vegetation change for the Great Plains of North America for the critical interval (ca. 12-2 Ma) using plant silica (phytolith) assemblages. Phytoliths were extracted from late Miocene-Pliocene paleosols in Nebraska and Kansas. Quantitative phytolith analysis of the 14 best-preserved assemblages indicates that habitats varied substantially in openness during the middle to late Miocene but became more uniformly open, corresponding to relatively open grassland or savanna, during the late Miocene and early Pliocene. Phytolith data also point to a marked increase of grass short cells typical of chloridoid and other potentially C-4 grasses of the PACMAD clade between 8 and 5 Ma; these data suggest that the proportion of these grasses reached up to similar to 50-60% of grasses, resulting in mixed C-3-C-4 and highly heterogeneous grassland communities by 5.5 Ma. This scenario is consistent with interpretations of isotopic records from paleosol carbonates and ungulate tooth enamel. The rise in abundance of chloridoids, which were present in the central Great Plains since the early Miocene, demonstrates that the globally observed lag between C-4 grass evolution/taxonomic diversification and ecological expansion occurred at the regional scale. These patterns of vegetation alteration imply that environmental change during the late Miocene-Pliocene played a major role in the C-3-C-4 shift in the Great Plains. Specifically, the importance of chloridoids as well as a decline in the relative abundance of forest indicator taxa, including palms, point to climatic drying as a key trigger for C-4 dominance.</t>
  </si>
  <si>
    <t>10.1666/09067.1</t>
  </si>
  <si>
    <t>Putz, B; Drapela, T; Wanek, W; Schmidt, O; Frank, T; Zaller, JG</t>
  </si>
  <si>
    <t>A simple method for in situ-labelling with 15N and 13C of grassland plant species by foliar brushing</t>
  </si>
  <si>
    <t>carbon; foliar labelling technique; IRMS; native grassland species; nitrogen; stable isotope tracers; urea</t>
  </si>
  <si>
    <t>BELOW-GROUND NITROGEN; SOIL; UREA; CARBON; DYNAMICS; TRACERS; LEGUMES; WHEAT; C-13</t>
  </si>
  <si>
    <t>P&gt;1. Labelling plants with 15N and 13C stable isotopes usually require cultivation of plants in isotopically enriched soil and gas-tight labelling chambers - both approaches are not suitable if one aims to investigate in situ species interactions in real plant communities. 2. In this greenhouse experiment, we tested a labelling method in which dual-labelled (15N, 13C) urea solution is brushed directly onto leaves of twelve temperate grassland species representing grasses, non-leguminous forbs and legumes. 3. Across all plant species, shoots (15N: 0 center dot 145; 13C: 0 center dot 090 atom percent excess, APE) and roots (15N: 0 center dot 051; 13C: 0 center dot 023 APE) were significantly enriched after five daily labelling events. Generally, isotopic enrichments were significantly higher in shoots than in roots. No clear pattern of absolute isotopic enrichment was observed between plant functional groups; however, grasses showed a more even allocation between shoots and roots than forbs and legumes. Isotopic enrichment levels after 4 weeks were lower, higher or unchanged compared to those of week one and varied between species or plant parts. 4. Considering the consistent enrichment levels and simplicity of this method, we conclude that it can be applied widely in ecological studies of above-belowground plant-plant or plant-animal interactions even in real plant communities.</t>
  </si>
  <si>
    <t>10.1111/j.2041-210X.2010.00072.x</t>
  </si>
  <si>
    <t>Dortel, E; Pecquerie, L; Chassot, E</t>
  </si>
  <si>
    <t>A Dynamic Energy Budget simulation approach to investigate the eco-physiological factors behind the two-stanza growth of yellowfin tuna (Thunnus albacares)</t>
  </si>
  <si>
    <t>DEB theory; Body-size scaling; Behavioral changes; Ontogeny</t>
  </si>
  <si>
    <t>TROPICAL TUNA; INDIAN-OCEAN; BLUEFIN TUNA; STABLE-ISOTOPES; BIOENERGETICS; TEMPERATURE; FISHERIES; RATES; POPULATIONS; MANAGEMENT</t>
  </si>
  <si>
    <t>The growth of yellowfin tuna has been the subject of considerable research efforts since the early 1960s. Most studies support a complex two-stanza growth pattern with a sharp acceleration departing from the von Bertalanffy growth curve used for most fish populations. This growth pattern has been assumed to result from a combination of physiological, ecological and behavioral factors but the role and contribution of each of them have not been addressed yet. We developed a bioenergetic model for yellowfin tuna in the context of Dynamic Energy Budget theory to mechanistically represent the processes governing yellowfin tuna growth. Most parameters of the model were inferred from Pacific bluefin tuna using body-size scaling relationships while some essential parameters were estimated from biological data sets collected in the Indian Ocean. The model proved particularly suitable for reproducing the data collected during the Pacific yellowfin tuna farming experience conducted by the Inter-American Tropical Tuna Commission at the Achotines Laboratory in Panama. In addition, model predictions appeared in agreement with knowledge of the biology and ecology of wild yellowfin tuna. We used our model to explore through simulations two major assumptions that might explain the existence of growth stanzas observed in wild yellowfin tuna: (i) a lower food supply during juvenile stage in relation with high infra- and inter-species competition and (ii) ontogenetic changes in food diet. Our results show that both assumptions are plausible although none of them is self-sufficient to explain the intensity of growth acceleration observed in wild Indian Ocean yellowfin tuna, suggesting that the two factors may act in concert. Our study shows that the yellowfin growth pattern is likely due to behavioral changes triggered by the acquisition of physiological abilities and anatomical traits through ontogeny that result in a major change in intensity of schooling and in a shift in the biotic habitat and trophic ecology of this commercially important tuna species.</t>
  </si>
  <si>
    <t>10.1016/j.ecolmodel.2020.109297</t>
  </si>
  <si>
    <t>Winstanley, RK; Buttemer, WA; Saunders, G</t>
  </si>
  <si>
    <t>Field metabolic rate and body water turnover of the red fox Vulpes vulpes in Australia</t>
  </si>
  <si>
    <t>body condition; doubly labelled water; energetics; stable isotopes; water flux</t>
  </si>
  <si>
    <t>DAILY ENERGY-EXPENDITURE; BALANCE; FLUX</t>
  </si>
  <si>
    <t>We measured the daily energy expenditure of free-living red foxes Vulpes vulpes occupying a temperate region of New South Wales, Australia. Field metabolic rate (FMR) and body water turnover were estimated using doubly labelled water. In autumn, male body mass ranged from 5 to 6.1 kg (mean 5.6 kg) and their FMRs averaged 2328 kJ/day. Female body mass in autumn ranged from 4.9 to 6.6 kg ( mean 5.4 kg) and their FMRs averaged 1681 kJ/day. Body water influx for males and females was 314 and 251 mL/day, respectively. Body composition of each fox was analysed after the field measurements and revealed a significant correlation between body water content, as estimated from tritiated water space, and body lipids (r(2) = 0.72). This supports the use of body water determination as a potentially non-destructive method to gauge body condition.</t>
  </si>
  <si>
    <t>10.1046/j.1365-2907.2003.00015.x</t>
  </si>
  <si>
    <t>Riccialdelli, L; Newsome, SD; Fogel, ML; Fernandez, DA</t>
  </si>
  <si>
    <t>Trophic interactions and food web structure of a subantarctic marine food web in the Beagle Channel: Bahia Lapataia, Argentina</t>
  </si>
  <si>
    <t>Food web; Community structure; Trophic level; delta C-13; delta N-15; Biological baseline data</t>
  </si>
  <si>
    <t>PARTICULATE ORGANIC-MATTER; TIERRA-DEL-FUEGO; STABLE-ISOTOPES; ONCORHYNCHUS-TSHAWYTSCHA; FEEDING-HABITS; SALMON; CARBON; DIET; DELTA-C-13; ECOLOGY</t>
  </si>
  <si>
    <t>Basic ecological knowledge regarding the importance of different sources of primary production and how it is transferred among consumer species is required to properly manage and conserve subpolar ecosystems that are particularly vulnerable to environmental changes. We used carbon (delta C-13) and nitrogen (delta N-15) stable isotope analysis to establish a baseline of species interactions and food web structure for the nearshore marine community in Bahia Lapataia, Argentina, an ecosystem that faces many threats, including a recent invasion of exotic chinook salmon. Primary producers and other organic sources (e.g., particulate organic matter) available to the food web were isotopically distinct and had a wide range in delta C-13 (-31.3 to -5.3 parts per thousand) and delta N-15 (-0.5 to 13.1 parts per thousand) values. Consumers also showed a wide range of isotope values with mean delta C-13 and delta N-15 values ranging from -20.8 to -12.3 parts per thousand and from 10.5 to 19.6 aEuro degrees, respectively. A cluster analysis of these isotope data correctly identified functional groups and expected interactions among species based on independent information. Using Bayesian isotope mixing models, we estimated that the proportional contribution of benthic production, in particular through grazing and the consumption of detritus, was a more important source of energy for primary and secondary consumers than pelagic production. Using stable isotope analysis to continually monitor species interactions and food web structure may prove to be a valuable research and management tool for assessing ecological consequences of different threats in this and other subpolar ecosystems.</t>
  </si>
  <si>
    <t>10.1007/s00300-016-2007-x</t>
  </si>
  <si>
    <t>Capriles, JM; Garcia, M; Valenzuela, D; Domic, AI; Kistler, L; Rothhammer, F; Santoro, CM</t>
  </si>
  <si>
    <t>Pre-Columbian cultivation of vegetatively propagated and fruit tree tropical crops in the Atacama Desert</t>
  </si>
  <si>
    <t>Andes; archeology; plant domestication; cultivation; tubers; archaeobotany; starch grain analysis</t>
  </si>
  <si>
    <t>MANIOC MANIHOT-ESCULENTA; POTATO IPOMOEA-BATATAS; SOUTH-CENTRAL ANDES; RICH. EX DC.; SWEET-POTATO; WILD RELATIVES; STARCH GRAINS; AZAPA VALLEY; FORMATIVE-PERIOD; NORTHERN CHILE</t>
  </si>
  <si>
    <t>South America is a megadiverse continent that witnessed the domestication, translocation and cultivation of various plant species from seemingly contrasting ecosystems. It was the recipient and supplier of crops brought to and from Mesoamerica (such as maize and cacao, respectively), and Polynesia to where the key staple crop sweet potato was exported. Not every instance of the trans-ecological expansion of cultivated plants (both domesticated and wild), however, resulted in successful farming. Here, we review the transregional circulation and introduction of five food tropical crops originated in the tropical and humid valleys of the eastern Andes-achira, cassava, ahipa, sweet potato, and pacay-to the hyper-arid coastal valleys of the Atacama Desert of northern Chile, where they have been found in early archeological sites. By means of an evaluation of the contexts of their deposition and supported by direct radiocarbon dating, stable isotopes analyses, and starch grain analysis, we evaluate different hypotheses for explaining their introduction and adaptation to the hyper-arid soils of northern Chile, by societal groups that after the introduction of cultigens still retained a strong dependence on marine hunting, gathering and fishing ways of life based on wide variety of marine coast resources. Many of the studied plants were part of a broader package of introduced goods and technological devices and procedures, linked to food, therapeutic medicine, social and ritual purposes that transformed previous hunter-gatherer social, economic, and ideological institutions. Based on archeological data, we discuss some of the possible socio-ecological processes involved in the development of agricultural landscapes including the adoption of tropical crops originated several hundred kilometers away from the Atacama Desert during the Late Holocene.</t>
  </si>
  <si>
    <t>10.3389/fevo.2022.993630</t>
  </si>
  <si>
    <t>Konopik, O; Linsenmair, KE; Grafe, TU</t>
  </si>
  <si>
    <t>Road construction enables establishment of a novel predator category to resident anuran community: a case study from a primary lowland Bornean rain forest</t>
  </si>
  <si>
    <t>Anura; Borneo; Brunei Darussalam; forest roads; logging; tropical rain forest</t>
  </si>
  <si>
    <t>INVASION FRONT; BUFO-MARINUS; DIVERSITY; ECOLOGY; DIET; TOAD</t>
  </si>
  <si>
    <t>For a total of 17 mo, we investigated the impact of a road constructed through pristine tropical lowland rain forest, on the composition and structure of the resident anuran community in the Ulu Temburong National Park (Brunei Darussalam). One year after road construction, eight new anuran species had immigrated into the impacted area. Encounter surveys were conducted and radio-transmitters attached to a total of 16 frogs to identify habitat use and distribution of the largest (&gt; 130 mm SVL) immigrant species (Limnonectes ingeri) in comparison with a similar sized resident congener. A strong preference for roadside habitat was found for the immigrant. However, several incursions of more than 500 m beyond the road into the pristine forest were also recorded. Over 200 stomach content samples as well as stable nitrogen isotope ratios of 76 individuals were used to assess the trophic ecology of the two species. Invertebrate diet composition did not differ. However, the immigrant species ate over 400% more frogs than its resident congener and had a significantly higher delta N-15 ratio, indicating a higher position in the food web. This suggests that L. ingeri acts as a new top frog predator in the system and indicates that it may have a significant negative impact on the local anuran community. Overall, road construction in the absence of logging has led to the immigration of new frog species with impacts far beyond the linear disturbance of the road itself.</t>
  </si>
  <si>
    <t>10.1017/S0266467413000795</t>
  </si>
  <si>
    <t>Posey, MH; Alphin, TD; Cahoon, L</t>
  </si>
  <si>
    <t>Benthic community responses to nutrient enrichment and predator exclusion: Influence of background nutrient concentrations and interactive effects</t>
  </si>
  <si>
    <t>benthos; eutrophication; North Carolina; nutrient enhancement; trophic controls</t>
  </si>
  <si>
    <t>TOP-DOWN; BOTTOM-UP; WATER-QUALITY; CAPITELLA SP; REPRODUCTIVE RESPONSES; INFAUNAL COMMUNITIES; CHESAPEAKE BAY; FOOD-WEB; LIMITATION; NORTH</t>
  </si>
  <si>
    <t>Potential community effects of nutrient enhancement are a topic of theoretical interest and increasing management concern in coastal marine systems. While increased nutrient levels may lead to increased microalgal production and biomass, studies have provided variable evidence regarding the existence of upward cascade effects on rnacrofauna. In benthic marine communities, limitation by predation or factors preventing recruitment response may contribute to weak coupling between resource availability and macrobenthos abundances. We conducted blocked nutrient addition and predator exclusion experiments in the intertidal of two estuaries that varied in background nutrient concentrations (Cape Fear and White Oak, southeastern North Carolina). Benthic community comparisons were also made among these and two other North Carolina estuaries to examine correlations in distribution patterns. Cape Fear, which had the highest background nitrogen and phosphorus concentrations, also had highest ambient benthic microalgal biomass. There was no significant response of microalgal biomass to local nutrient additions in Cape Fear and only one macrofaunal taxon during one season exhibited abundance responses to nutrient additions. White Oak, with lower background nutrient levels, was characterized by significant microalgal responses to nutrient additions and significant macrofauna abundance responses for 50% of the species examined during summer experiments. However, all of these macrofauna declined in abundance with nutrient enhancement while biomass remained constant or significantly increased with nutrient additions. This suggests a complex response of rnacrofauna to nutrient additions in this estuary with greater biomass per individual but a corresponding decline in abundances. Top-down/bottom-up interactive effects were observed for haustoriid amphipods, which were uncommon or absent when predators had access, but exhibited strong biomass responses to nutrient enhancement when predators were excluded. These results support a growing body of literature that indicates the importance of background conditions in regulating benthic community responses to nutrient enhancement. However, responses may be complex with biomass per individual rather than densities being the primary response variable for some taxa and predator moderation of responses occurring for some taxa but not others. (C) 2005 Elsevier B.V. All rights reserved.</t>
  </si>
  <si>
    <t>10.1016/j.jembe.2005.12.020</t>
  </si>
  <si>
    <t>Rybak, J; Rogula-Kozlowska, W; Loska, K; Widziewicz, K; Rutkowski, R</t>
  </si>
  <si>
    <t>The concentration of Cu and Pb in the funnel spider Eratigena atrica (C. L. Koch 1843) (Araneae: Agelenidae) and its web</t>
  </si>
  <si>
    <t>Araneae; heavy metals; lead; copper; concentration; webs</t>
  </si>
  <si>
    <t>HEAVY-METAL POLLUTION; WOLF SPIDER; CADMIUM; BIOACCUMULATION; ACCUMULATION; LABYRINTHICA; POLLUTANTS; GRADIENT; VICINITY</t>
  </si>
  <si>
    <t>Studies on the heavy metal concentrations on spider webs in relation to the pathways of pollution penetration (external and internal) have yet to be performed. This work assesses the concentration levels of two heavy metals: essential copper (Cu) and toxic lead (Pb) in spider webs and spiders (females, males and juveniles). Spiders divided into three treatment groups were exposed to the heavy metals in their diet as prey (fruit flies and mealworms larvae) were artificially contaminated with Cu and Pb. In general, we found higher rates of Cu compared to Pb concentrations in spiders and their webs. A positive correlation between levels of Cu and Pb in webs and spiders was found. Males had higher concentrations of both metals Cu and Pb in their bodies and webs compared to females. In an additional experiment, washed webs had significantly less metals than unwashed suggesting the dominance of external pollution in the contamination pathway.</t>
  </si>
  <si>
    <t>10.1080/02757540.2018.1546295</t>
  </si>
  <si>
    <t>Smokorowski, KE; Metcalfe, RA; Finucan, SD; Jones, N; Marty, J; Power, M; Pyrce, RS; Steele, R</t>
  </si>
  <si>
    <t>Ecosystem level assessment of environmentally based flow restrictions for maintaining ecosystem integrity: a comparison of a modified peaking versus unaltered river</t>
  </si>
  <si>
    <t>ecosystem; assessment; river; flow; restrictions; modified peaking</t>
  </si>
  <si>
    <t>SALMO-TRUTTA L.; WATER; TROUT; STREAM; BED; MACROINVERTEBRATES; INVERTEBRATES; FRACTIONATION; COMMUNITIES; POPULATIONS</t>
  </si>
  <si>
    <t>Although dams have impounded the majority of the world's altered watercourses, there is a growing awareness of the importance of mitigating or reversing some of the negative effects on aquatic ecosystems and the related services they provide. We used an ecosystem approach, including detailed studies on hydrology, geomorphology, invertebrates, fish, and food web dynamics on a river altered by waterpower production and a natural flowing river to assess system responses to a change in the altered flow regime (specifically the ramping rate or rate of change of flow). Although there was significant alteration in the flow and sediment regimes under the original restricted ramping rate regime, differences in many biotic variables in the two rivers were not significant including total invertebrate abundance and diversity, fish biomass, fish condition, and food web length. However, significant differences in the abundance and distribution of some sensitive invertebrate taxa and fish diversity were observed between the altered and natural flowing rivers as was the energy base of the food web, measured with stable isotopes. The altered river had lower overall abundance of Odonata, Ephemeroptera and Plecoptera, and Diptera, Trichoptera, Ephemeroptera, and Coleoptera increase in abundance towards the deeper and higher velocity thalweg. On average, d13C values were lighter in altered sites compared to unaltered sites, likely due to carbon export from the upstream reservoir. Results will inform Canadian federal and provincial policy concerning the efficacy of ramping rate restrictions as a tool to mitigate the environmental impacts associated with peaking waterpower dam operations. Copyright (C) 2010 John Wiley &amp; Sons, Ltd. and Crown in the right of Canada</t>
  </si>
  <si>
    <t>10.1002/eco.167</t>
  </si>
  <si>
    <t>Katano, O</t>
  </si>
  <si>
    <t>Effects of individual differences in foraging of pale chub on algal biomass through trophic cascades</t>
  </si>
  <si>
    <t>Aquatic invertebrate; Benthic algae; Foraging type; Food chain; Freshwater fish; Indirect effect; Omnivorous fish</t>
  </si>
  <si>
    <t>DARK CHUB; TOP-DOWN; CONSEQUENCES; STRENGTH; FISH; HETEROGENEITY; PERSONALITY; PREDATORS; EVOLUTION; NUTRIENTS</t>
  </si>
  <si>
    <t>The foraging behavior of pale chub, Zacco platypus in experimental ponds was observed and the fish were classified according to whether they predominantly employed near-bed cruising and bottom feeding (type B) or whether they exhibited sit-and-wait and near-surface cruising, with occasional drift and surface feeding (type S). Fish that exhibited both behaviors were classified as type I. The effects of pale chub on trophic cascades were examined in pools into which river water was pumped. Twenty pools were assigned to four treatments and contained either no fish, or six pale chub of type B, or of type I, or of type S. Fish behavior was consistent throughout the experiments, and was not related to body length or sex. All types of pale chub predominantly preyed on invertebrates, but type B consumed more benthic algae than did type S. The algal biomass in pools with types S and I was greater than that in pools without pale chub as a result of trophic cascades. In pools with type B fish, the number of algal-grazing invertebrates on the upper surface of tiles was reduced as in pools with types S and I, but algal biomass did not increase because of direct grazing by type B fish. The mechanisms of reduction of algal-grazing invertebrates were different between types B and S; type S predominantly preyed on invertebrates in the water current, whereas type B preyed on and threatened invertebrates on the upper surface of tiles and removed them. Individual differences in foraging mode had significant effects on the mechanism of trophic cascades.</t>
  </si>
  <si>
    <t>10.1007/s10641-011-9820-4</t>
  </si>
  <si>
    <t>Bichet, V; Gauthier, E; Massa, C; Perren, B; Richard, H; Petit, C; Mathieu, O</t>
  </si>
  <si>
    <t>The history and impacts of farming activities in south Greenland: an insight from lake deposits</t>
  </si>
  <si>
    <t>POLAR RECORD</t>
  </si>
  <si>
    <t>PLANT DELTA-N-15 VALUES; NORTH-ATLANTIC ISLANDS; SOIL-EROSION; EASTERN-SETTLEMENT; NORSE LANDNAM; NITROGEN DEPOSITION; CLIMATE; NETHERLANDS; IRRIGATION; SEDIMENTS</t>
  </si>
  <si>
    <t>Agriculture in southern Greenland has a two-phase history: with the Norse, who first settled and farmed the region between 985AD and circa 1450AD, and with the recent reintroduction of sheep farming (1920AD to the present). The agricultural sector in Greenland is expected to grow over the next century as anticipated climate warming extends the length of the growing season and increases productivity. This article presents a synthesis of results from a well-dated 1500-year lake sediment record from Lake Igaliku, south Greenland (61 degrees 00'N, 45 degrees 26'W, 15m asl) that demonstrates the relative impacts of modern and Norse agricultural activities. Pollen, non-pollen palynomorphs (NPPs), sediment mass accumulation rates, diatoms and stable isotopes of nitrogen provide a comprehensive history of both phases of agriculture and their associated impacts on the landscape and adjacent lake. The initial colonisation of southern Greenland is marked by a loss of tree birch pollen, a rise in weed taxa, and an increase in coprophilous fungi and sediment accumulation rate consistent with land-use changes. The biological and chemical proxies within the lake, however, show only slight changes in diatom taxa, and a rise in delta N-15. After the Norse demise and during the Little Ice Age, most of the markers return to pre-settlement conditions. However, the continuation of non-indigenous plant taxa suggests that the landscape did not completely return to a pre-disturbance state. After 1988, the character of the lake changed markedly: mesotrophic diatoms and N isotopes all reveal major shifts consistent with a trophic shift, together with a sharp rise in sediment accumulation rate. The post-1988 lake environment, affected by modern farming development, is unprecedented within the context of the last 1500 years. These results demonstrate the potential of lake sediment studies paired with archaeological investigations to reveal the relationship between climate, environment and human societies.</t>
  </si>
  <si>
    <t>10.1017/S0032247412000587</t>
  </si>
  <si>
    <t>Souza, JS; Padilha, JA; Pessoa, ARL; do Sul, JAI; Alves, MAS; Lobo-Hajdu, G; Malm, O; Costa, ES; Torres, JPM</t>
  </si>
  <si>
    <t>Trace elements in feathers of Cape Petrel (Daption capense) from Antarctica</t>
  </si>
  <si>
    <t>Procellariiformes; Sex identification; Mercury; Marine pollution; Non-invasive sample</t>
  </si>
  <si>
    <t>MERCURY LEVELS; HEAVY-METAL; TROPHIC POSITION; SEX; SELENIUM; CADMIUM; SEABIRDS; FOOD; ACCUMULATION; ISLAND</t>
  </si>
  <si>
    <t>The Cape petrel (Daption capense) has circumpolar distribution and potential to be used as sentinels of trace elements levels in the Antarctic environment. This study measured trace elements in carcass feathers (n = 30) of this yet under-studied Procellariiform species, in King George Island, Antarctica. This non-invasive sampling method was useful for quantifying mercury (Hg), cadmium (Cd), selenium (Se), and to perform the sex identification of birds. There were no significant differences between males and females for Hg (mean +/- SD, 973 +/- 930 ng g(-1); 977 +/- 570 ng g(-1)) and Se (3919 +/- 637 ng g(-1); 3782 +/- 799 ng g(-1)), levels but males had significantly lower Cd levels than females (101 +/- 76 ng g(-1); 293 +/- 251 ng g(-1)), respectively. Hg concentration in D. capense is lower than other Procellariiformes which indicate interspecific variations that may be related to their proximity to pollution sources. The reason for males having significantly lower Cd levels than females is unknown. This opportunistic and non-invasive sampling strategy can be useful in the environmental monitoring of the trace elements in polar environments.</t>
  </si>
  <si>
    <t>10.1007/s00300-020-02683-6</t>
  </si>
  <si>
    <t>Burkins, MB; Virginia, RA; Chamberlain, CP; Wall, DH</t>
  </si>
  <si>
    <t>Origin and distribution of soil organic matter in Taylor Valley, Antarctica</t>
  </si>
  <si>
    <t>carbon cycling; climate change; dry valleys; legacy model; nitrogen; Long Term Ecological Research (LTER); McMurdo Region; paleosediments; soil organic matter; stable isotopes; Taylor Valley, Antarctica</t>
  </si>
  <si>
    <t>ISOTOPE RATIOS; FOOD WEB; ECOLOGICAL IMPLICATIONS; MICROBIAL COMMUNITIES; TROPHIC RELATIONSHIPS; DRY VALLEYS; LAKE HOARE; NITROGEN; CARBON; ECOSYSTEM</t>
  </si>
  <si>
    <t>Soil organic matter in the dry valleys of the McMurdo Sound Region sustains a unique terrestrial microbial community in one of the most extreme climates on earth. The origin of this organic material has long been in question, given the absence of higher plants in this arid ecosystem. We examined the sources and distribution of organic matter from six elevational transects extending along a 30-km section of Taylor Valley (163 degrees E, 77.35 degrees S), from the head of the valley to the Ross Sea. The delta(13)C and delta(15)N of soil were determined both to identify potential sources of soil organic matter (i.e., marine, lacustrine, and/or terrestrial) and to map C and N source distribution in the valley. Results suggest that the primary source for soil organic matter is not the wind transport of organic material from modern aquatic systems (a long-held hypothesis). Instead, our data indicate that modern distributional patterns of low-elevation (&lt;150 m above sea level [a.s.l.]) soil organic matter (SOM) in Taylor Dry Valley are strongly influenced by the climatic history of the region, with the isotopic signatures of SOM along the valley door corresponding to the spatial distribution of ancient glacial tills and lacustrine systems. At many sites, higher elevation soils (&gt;150 m a.s.l.) have isotopic signatures similar to those of autotrophs currently inhabiting nearby cryptoendolithic communities, suggesting that similar autotrophic activity may be occurring in these soils and that longterm primary productivity in dry valley soils contributes to organic matter accumulations. Taken together, these findings support a new legacy model for soil organic matter origins and fluxes in the dry valley ecosystem.</t>
  </si>
  <si>
    <t>10.2307/177461</t>
  </si>
  <si>
    <t>Rayner, MJ; Carlile, N; Priddel, D; Bretagnolle, V; Miller, MGR; Phillips, RA; Ranjard, L; Bury, SJ; Torres, LG</t>
  </si>
  <si>
    <t>Niche partitioning by three Pterodroma petrel species during non-breeding in the equatorial Pacific Ocean</t>
  </si>
  <si>
    <t>Species distribution models; Stable isotope analysis; Niche; Foraging ecology; Seabirds; Tropical Pacific</t>
  </si>
  <si>
    <t>EASTERN TROPICAL PACIFIC; BOOSTED REGRESSION TREES; NEW-SOUTH-WALES; STABLE-ISOTOPES; HABITAT PREFERENCES; LEUCOPTERA-LEUCOPTERA; ROUND DISTRIBUTION; NEW-ZEALAND; SEABIRDS; MIGRATION</t>
  </si>
  <si>
    <t>Niche divergence is expected for species that compete for shared resources, including migrants that occupy similar regions during the non-breeding season. Studies of temperate seabirds indicate that both spatial and behavioural segregation can be important mechanisms for reducing competition, but there have been few investigations of resource partitioning by closely related taxa in low productivity, tropical environments. We investigated niche partitioning in 3 gadfly petrel taxa, Pterodroma leucoptera leucoptera (n = 22), P. leucoptera caledonica (n = 7) and P. pycrofti (n = 12), during their non-breeding season in the eastern tropical Pacific Ocean by combining tracking data from geolocator-immersion loggers with remotely sensed environmental data in species distribution models (SDMs), and by comparing feather stable isotope ratios. The 3 taxa showed spatial partitioning: two foraged in the North Equatorial Counter Current and one in the South Equatorial Current. This reflected differences in their realised habitat niches, with significant taxon-specific responses to thermocline depth, sea surface temperature and bathymetry. There were also differences among taxa in activity patterns, and all birds spent a much larger proportion of time in flight at night than during the day, suggesting predominance of nocturnal foraging behaviour. Comparison of stable isotope ratios in feathers suggests that P. l. leucoptera and P. pycrofti mainly consume vertically migrating mesopelagic fishes, whereas the diet of P. l. caledonica also includes some lower trophic levels including crustaceans and squid. Unique insights can be gained from studies of the foraging ecology of tropical pelagic seabirds, in comparison with temperate and polar waters, and are urgently required for understanding and protecting tropical avifauna in key marine habitats.</t>
  </si>
  <si>
    <t>10.3354/meps11707</t>
  </si>
  <si>
    <t>Lund, SS; Landkildehus, F; Sondergaard, M; Lauridsen, TL; Egemose, S; Jensen, HS; Andersen, FO; Johansson, LS; Ventura, M; Jeppesen, E</t>
  </si>
  <si>
    <t>Rapid changes in fish community structure and habitat distribution following the precipitation of lake phosphorus with aluminium</t>
  </si>
  <si>
    <t>aluminium treatment; fish community; habitat distribution; in-lake total phosphorus; lake restoration</t>
  </si>
  <si>
    <t>PERCH PERCA-FLUVIATILIS; ROACH RUTILUS-RUTILUS; RUFFE GYMNOCEPHALUS-CERNUUS; SHALLOW LAKES; DANISH LAKES; FOOD-CONSUMPTION; SPECIES RICHNESS; EUTROPHIC LAKE; DIET SHIFT; GRADIENT</t>
  </si>
  <si>
    <t>1. Fish community structure and habitat distribution of the abundant species roach, perch and ruffe were studied in Lake Nordborg (Denmark) before (August 2006) and after (August 2007) aluminium treatment to reduce internal phosphorus loading. 2. Rapid changes in fish community structure, abundance and habitat distribution occurred following a decline in in-lake phosphorus concentrations from 280 to 37 mu g P L(-1) and an increase in Secchi depth transparency from 1.1 to 1.9 m (August). The proportion of perch in overnight gill net catches increased, whilst roach decreased, and the average weight of all key species increased. 3. The habitat distribution of perch and roach changed from a high proportion in the upper pelagic and littoral zones in 2006, towards enhanced proportions in the deeper pelagic and profundal zone in 2007. The abundance of large-bodied zooplankton increased and the abundance of benthic invertebrates decreased in the same period, suggesting that the habitat shift was not induced by food limitation. 4. Ruffe shifted from the littoral and upper profundal zones towards the deep profundal zone, likely reflecting an increased predation risk in the littoral zone and better oxygen conditions in the deep profundal. 5. Our results indicate that enhanced risk of predation in the upper pelagic and the littoral zones and perhaps improved oxygen concentrations in the deeper profundal zone at decreasing turbidity are responsible for the observed habitat shift. The results indicate that fish respond rapidly to changes in nutrient state, both in terms of community structure and habitat use.</t>
  </si>
  <si>
    <t>10.1111/j.1365-2427.2009.02300.x</t>
  </si>
  <si>
    <t>Winiarski, KJ; McWilliams, SR; Rockwell, RF</t>
  </si>
  <si>
    <t>Rapid environmental degradation in a subarctic ecosystem influences resource use of a keystone avian herbivore</t>
  </si>
  <si>
    <t>Arctic herbivores; foraging ecology; gosling growth; stable isotope ecology</t>
  </si>
  <si>
    <t>LESSER SNOW GEESE; STABLE-ISOTOPES; REPRODUCTIVE SUCCESS; FORAGE QUALITY; NITROGEN; GROWTH; GOOSE; BEHAVIOR; SULFUR; CHOICE</t>
  </si>
  <si>
    <t>1. Environmental degradation can change resource use strategies of animals and thereby affect survival and fitness. Arctic herbivores may be especially susceptible to the effects of such environmental change because their rapid growth rates demand high-quality forage, which may be limited as environmental conditions deteriorate. We studied the consequences of a trophic cascade, driven by Lesser Snow Goose (Chen caerulescens caerulescens) overgrazing on the south-west coast of Hudson Bay, Canada, which has caused tidal marsh (TM) degradation and the reduction in high-quality forage plants, on gosling growth and resource use. 2. We compared resource use and body size of goslings that inhabited tidal and freshwater marsh (FM) to determine how current foraging strategies influence growth and to test the hypothesis that during early growth goslings require and so consume high-quality TM plants, but that during later growth they may switch to foraging in lower-quality FM. 3. To investigate gosling resource use throughout growth, we measured once a week for 28 days the body size of goslings as well as stable isotope ratios (d34S, d15N and d13C) in multiple tissues of goslings that were collected from both TM and nearby FM. We also measured the stable isotope ratios in forage plants sampled along transects and from gosling foreguts. We used an isotope-mixing model to determine the contribution of FM plants to gosling tissues. 4. Contrary to the proposed hypothesis, goslings inhabiting FM or TM primarily consumed FM plants during early growth. Furthermore, goslings that foraged extensively in FM had similar growth rates and grew to a similar size and body mass, as goslings that foraged in the degraded TM. However, goslings that currently inhabit freshwater or TM were significantly smaller than goslings that inhabited TM in the 1980s prior to habitat degradation. 5. Consequences of smaller overall body size include decreased survival and fecundity for arctic-nesting geese. The ability of phenotypically plastic responses to sustain persistence is limited by reaction norms and the extent of environmental change. Current research is assessing whether those limits have been reached in this system.</t>
  </si>
  <si>
    <t>10.1111/j.1365-2656.2012.01981.x</t>
  </si>
  <si>
    <t>Narita, R; Sugimoto, A; Takayanagi, A</t>
  </si>
  <si>
    <t>Animal components in the diet of Japanese black bears Ursus thibetanus japonicus in the Kyoto area, Japan</t>
  </si>
  <si>
    <t>animal foods; food habits; isotopes; Japan; Japanese black bear</t>
  </si>
  <si>
    <t>INCORPORATING CONCENTRATION-DEPENDENCE; ISOTOPE MIXING MODELS; YELLOWSTONE GRIZZLY BEARS; STABLE-ISOTOPES; BRITISH-COLUMBIA; CARBON ISOTOPES; BROWN BEARS; NITROGEN; DELTA-C-13; ECOLOGY</t>
  </si>
  <si>
    <t>We measured stable carbon and nitrogen isotope ratios of hair, muscle and potential food items of Japanese black bears Ursus thibetanus japonicus in Kyoto Prefecture and its surrounding area in order to determine the contributions of animal and plant foods. The delta C-13 values of hair samples of bears were -22.7 +/- 0.4%o in early summer, -22.8 +/- 0.3 parts per thousand in late summer and -22.7 +/- 0.7 parts per thousand in autumn, while delta N-15 values were 3.5 +/- 0.4 parts per thousand in early summer, 3.2 +/- 0.4 parts per thousand in late summer and 3.6 +/- 0.5 parts per thousand in autumn. The delta C-13 values of muscle samples of bears were -24.6 parts per thousand in early summer, -23.2 parts per thousand in late summer and -23.1 +/- 0.3 parts per thousand in autumn, while delta N-15 values of bears captured were 3.7 parts per thousand in early summer, 5.0 parts per thousand in late summer and 4.5 +/- 0.7 parts per thousand in autumn. We determined the isotopic endpoints of seven food groups from the isotope ratios of food groups and calculated the contribution of each food group using a stochastic method. Our results suggested that animal components were the major constituent of body tissue, contributing &gt; 61% in all samples except for muscle samples collected in early summer. In muscle samples collected in early summer, none of the food items were estimated to be the major source. In cases in which the animal components were estimated to be major food sources, invertebrates were estimated to account for most of the animal components. It was concluded that animal components are an important source of tissue material in Japanese black bears in Kyoto and its surrounding area.</t>
  </si>
  <si>
    <t>10.2981/0909-6396(2006)12[375:ACITDO]2.0.CO;2</t>
  </si>
  <si>
    <t>Moksnes, PO</t>
  </si>
  <si>
    <t>Self-regulating mechanisms in cannibalistic populations of juvenile shore crabs Carcinus maenas</t>
  </si>
  <si>
    <t>Carcinus maenas; density-dependent cannibalism; European green crab; functional response; larval supply; mutual interference; nursery habitat; recruitment regulation; settlement</t>
  </si>
  <si>
    <t>EARLY POSTSETTLEMENT MORTALITY; DUNGENESS CRAB; CANCER-MAGISTER; BLUE CRABS; DEPENDENT CANNIBALISM; CALLINECTES-SAPIDUS; INTERTIDAL HABITATS; RELATIVE IMPORTANCE; RECRUITMENT; PREDATION</t>
  </si>
  <si>
    <t>Juvenile cannibalism may play an important role in population regulation of marine organisms with juvenile stages that aggregate in nursery habitats. I conducted a series of field and laboratory experiments to assess whether three potential density-dependent mechanisms could regulate local recruitment of juvenile shore crabs Carcinus maenas in Swedish nursery areas: (1) intracohort cannibalism, (2) juvenile cannibals' functional response to smaller conspecific prey densities, and (3) juvenile cannibals' numerical effect on prey survival. Juvenile cannibals in mesocosms displayed a type III (sigmoid) density-dependent functional response, resulting in significantly higher proportional mortality of smaller conspecifics at high prey densities. Consistent with the laboratory result, cage-enclosed juvenile cannibals in a field experiment eliminated conspecific settlement peaks in mussel habitats and decoupled the relationship between larval and settlement abundance within three days. Density-dependent interference between cannibals in mesocosms decreased per capita predation rates, but conspecific prey mortality still increased with cannibal densities when the abundance of cannibals passed a critical threshold, suggesting that the recruitment success of consecutive cohorts may be negatively correlated. This was supported in a field experiment where the abundance of juvenile cannibals explained 71% of the variation in settlement loss from uncaged mussel habitats. Density-dependent cannibalism also occurred within juvenile cohorts even though food was provided in excess, but the resulting mortality was too low to eliminate initial density: patterns over a 30-day period. The results demonstrate that cannibalism between juvenile shore crabs can cause high and strongly density-dependent mortality at natural densities, and that both a functional response and a numerical effect of larger cannibals can regulate the recruitment of new cohorts within days of settlement. A coupling of cannibal and settlement densities on a regional scale is expected to decrease recruitment variability within and between local populations. Moreover, the interaction between the type III functional response, mutual interference, and density-dependent dispersal of cannibals is predicted to reduce cannibalistic rates at low prey and high cannibal densities, respectively, and stabilize local population dynamics in relation to the abundance of juvenile habitats, consistent with field observations of shore crab populations in the study area.</t>
  </si>
  <si>
    <t>10.1890/02-0750</t>
  </si>
  <si>
    <t>Michaud, WK; Perry, RC; Dempson, JB; Shears, M; Powers, M</t>
  </si>
  <si>
    <t>Occurrence of Lake Chub, Couesius plumbeus, in Northern Labrador</t>
  </si>
  <si>
    <t>CANADIAN FIELD-NATURALIST</t>
  </si>
  <si>
    <t>Lake Chub; Couesius plumbeus; species distribution; post-glacial dispersal; Labrador</t>
  </si>
  <si>
    <t>TROPHIC POSITION; STABLE ISOTOPES; ARCTIC CHARR; CANADA</t>
  </si>
  <si>
    <t>Lake Chub (Couesius plumbous) were recently found in seven previously undocumented locations in northern Labrador. These populations represent the first recorded accounts of this species in the Labrador region north of the Churchill River drainage and cast of the George River. Lake Chub likely invaded this region via dispersal routes provided by eastern spillways of glacial Lake Naskaupi.</t>
  </si>
  <si>
    <t>10.22621/cfn.v124i2.1048</t>
  </si>
  <si>
    <t>Andreetta, A; Huertas, AD; Lotti, M; Cerise, S</t>
  </si>
  <si>
    <t>Land use changes affecting soil organic carbon storage along a mangrove swamp rice chronosequence in the Cacheu and Oio regions (northern Guinea-Bissau)</t>
  </si>
  <si>
    <t>Soil carbon stock; Land-use change; Mangrove; Paddy soils; Stable isotopes</t>
  </si>
  <si>
    <t>MATTER SOURCES; PADDY SOILS; WEST-AFRICA; NITROGEN; SEDIMENTS; DYNAMICS; ISOTOPE; DELTA-C-13; ECOSYSTEM; FORESTS</t>
  </si>
  <si>
    <t>Guinea-Bissau has the largest area of mangrove swamp rice, an important cropping system that significantly contribute to the food security of the nation. Attempts to reclaim mangrove swamps for rice growing have shown the importance of a greater knowledge on the effects of land use change on soil properties and soil carbon storage. To address this problem, a study was undertaken within Cacheur and Oio regions in Northern Guinea-Bissau, along the following chronosequence: mangrove, rice and abandoned fields. Changes in C/N ratio, delta C-13 and delta N-15 values were used to study the dynamics of C-3 plant-derived and marine-derived carbon (C) in order to analyze the origin of soil organic matter (SOM) and estimate the impact of marine contribution to SOC. Isotopic signatures within the mangrove swamp rice soils suggested the inwelling of marine derived C. SOC stock was estimated in 0-10, 0-20, 0-40 and 0-80 cm soil layers using fixed soil depth (FD) and fixed soil mass (FM) approaches. The significantly highest values were found in mangrove soils and the lowest in the abandoned fields for both sites, while no significant differences were recorded for the topsoil (0-10 cm) between mangrove and rice fields. The results of this study revealed that conversion of mangrove to rice cropping has technical potential of SOC sequestration in the upper part of the soil (0-40 cm). On the other hand, the abandonment of the fields caused decreases in carbon storage along the whole soil depth. These findings may have important implications for national forest carbon monitoring systems and regional level reducing emission from deforestation and forest degradation (REDD+) strategies. (C) 2015 Elsevier B.V. All rights reserved.</t>
  </si>
  <si>
    <t>10.1016/j.agee.2015.10.017</t>
  </si>
  <si>
    <t>Abella, SR; Menard, KS; Schetter, TA; Hausman, CE</t>
  </si>
  <si>
    <t>Co-Variation among Vegetation Structural Layers in Forested Wetlands</t>
  </si>
  <si>
    <t>Emerald ash borer; Floodplain forest; Herbaceous layer; Linkage; Overstory-understory relationships; Seasonal wetland</t>
  </si>
  <si>
    <t>EMERALD ASH BORER; FLOODPLAIN FORESTS; NORTHWESTERN OHIO; CANOPY GAPS; DIVERSITY; PATTERNS; OVERSTORY; TEMPERATE; GRADIENT; IMPACTS</t>
  </si>
  <si>
    <t>Co-variation among vegetation structural layers occurs in some forests but has been minimally found in forested wetlands. We assessed co-variation in six vegetation layers (three size classes of trees, tree seedlings, shrubs, and herbs) in 39 forested wetlands including in five before and after invasion by the beetle emerald ash borer (Agrilus planipennis; EAB) in northwestern Ohio, USA. Across the 39 wetlands, cover of wetland herbs requiring full sunlight was negatively related to tree density, while herbs tolerant of shade minimally co-varied with tree layers. Several wetlands contained both large trees and regeneration (small trees and seedlings) of the same tree species, but often distributions of large trees and regeneration were disjointed. Variation in plant community quality (e.g., non-native cover, floristic quality) for understory layers was partly modeled (34-75% of variance) using multivariate combinations of tree layers. Low-density pin oak (Quercus palustris) flatwoods, which contained species-rich, high-quality understories, drove much co-variation in vegetation layers, suggesting that coupling of layers might occur on only segments of landscape gradients. Another factor was that nearly every site had a different dominant herbaceous species, producing extreme compositional heterogeneity (94% dissimilarity among plots), limiting possible co-variation, but creating high beta diversity. On the five long-term EAB sites, shrub and herb composition co-varied before EAB invasion, but not 14 years later after shrub cover doubled. High diversity in vegetation layers among sites suggests that conserving forested wetlands, including sites that individually might not have high floristic quality, can be a major contributor to landscape diversity.</t>
  </si>
  <si>
    <t>10.1007/s13157-021-01394-w</t>
  </si>
  <si>
    <t>Attermeyer, K; Hornick, T; Kayler, ZE; Bahr, A; Zwirnmann, E; Grossart, HP; Premke, K</t>
  </si>
  <si>
    <t>Enhanced bacterial decomposition with increasing addition of autochthonous to allochthonous carbon without any effect on bacterial community composition</t>
  </si>
  <si>
    <t>DISSOLVED ORGANIC-MATTER; SEASONAL DYNAMICS; GROWTH EFFICIENCY; HETEROTROPHIC BACTERIAL; STABLE ISOTOPES; FRESH; LAKES; SYSTEM; BIOAVAILABILITY; RESPIRATION</t>
  </si>
  <si>
    <t>Dissolved organic carbon (DOC) concentrations - mainly of terrestrial origin - are increasing worldwide in inland waters. Heterotrophic bacteria are the main consumers of DOC and thus determine DOC temporal dynamics and availability for higher trophic levels. Our aim was to study bacterial carbon (C) turnover with respect to DOC quantity and chemical quality using both allochthonous and autochthonous DOC sources. We incubated a natural bacterial community with allochthonous C (C-13-labeled beech leachate) and increased concentrations and pulses (intermittent occurrence of organic matter input) of autochthonous C (phytoplankton lysate). We then determined bacterial C consumption, activities, and community composition together with the C flow through bacteria using stable C isotopes. The chemical analysis of single sources revealed differences in aromaticity and low-and high-molecular-weight substance fractions (LMWS and HMWS, respectively) between allochthonous and autochthonous C sources. Both DOC sources (allochthonous and autochthonous DOC) were metabolized at a high bacterial growth efficiency (BGE) around 50%. In treatments with mixed sources, rising concentrations of added autochthonous DOC resulted in a further, significant increase in bacterial DOC consumption of up to 68% when nutrients were not limiting. This rise was accompanied by a decrease in the humic substance (HS) fraction and an increase in bacterial biomass. Changes in DOC concentration and consumption in mixed treatments did not affect bacterial community composition (BCC), but BCC differed in single vs. mixed incubations. Our study highlights that DOC quantity affects bacterial C consumption but not BCC in nutrient-rich aquatic systems. BCC shifted when a mixture of allochthonous and autochthonous C was provided simultaneously to the bacterial community. Our results indicate that chemical quality rather than source of DOC per se (allochthonous vs. autochthonous) determines bacterial DOC turnover.</t>
  </si>
  <si>
    <t>10.5194/bg-11-1479-2014</t>
  </si>
  <si>
    <t>Craig, EC; King, DT; Sparks, JP; Curtis, PD</t>
  </si>
  <si>
    <t>Aquaculture depredation by double-crested cormorants breeding in Eastern North America</t>
  </si>
  <si>
    <t>aquaculture; carbon-13; catfish; diet; double-crested cormorant; migration; nitrogen-15; Phalacrocorax auritus; sulfur-34</t>
  </si>
  <si>
    <t>PHALACROCORAX-CARBO-SINENSIS; STABLE-ISOTOPES INDICATE; GREAT-LAKES; DELTA REGION; ICTALURUS-PUNCTATUS; MIGRATION PATTERNS; POPULATION TRENDS; CHANNEL CATFISH; AURITUS; MOVEMENTS</t>
  </si>
  <si>
    <t>The double-crested cormorant (Phalacrocorax auritus) has undergone population expansion throughout much of its historical range since the 1970s, resulting in increased pressure on foraging habitats including real and perceived competition with commercial and sport fisheries and impacts on the aquaculture industry. The specific objectives of this study were to determine the stable isotope ratios of birds wintering at aquaculture facilities and natural freshwater and marine habitats, and to determine what percent of birds at distinct breeding colonies wintered in each of these habitats. We exploited natural variation in isotopic ratios of carbon, nitrogen, and sulfur (from feathers) to determine the winter habitat use (i.e., aquaculture, natural freshwater, or marine) of birds collected on their summer breeding grounds in the eastern United States (from Minnesota to Vermont). The distribution of winter habitat use varied significantly across breeding colonies and between male and female cormorants. More specifically, use of aquaculture winter habitat was most prevalent in birds breeding in Lake Huron and Lake Erie. Overall, aquaculture habitats were used more by males, and marine habitats were used more by females. The stable isotope approach used in this study provided dietary confirmation of previously observed migratory patterns in the double-crested cormorant. Because aquaculture was primarily used by males, and these males migrated to a broad range of breeding colonies, we suggest that targeting breeding birds to reduce aquaculture depredation is a less efficient strategy than managing birds at depredation sites on the wintering grounds. Published 2015. This article is a U.S. Government work and is in the public domain in the USA.</t>
  </si>
  <si>
    <t>10.1002/jwmg.989</t>
  </si>
  <si>
    <t>Hopkins, JB; Koch, PL; Ferguson, JM; Kalinowski, ST</t>
  </si>
  <si>
    <t>The changing anthropogenic diets of American black bears over the past century in Yosemite National Park</t>
  </si>
  <si>
    <t>STABLE-ISOTOPE RATIOS; HYDROGEN; EXPLOITATION; DELTA-C-13; ECOSYSTEM; NITROGEN; CARBON</t>
  </si>
  <si>
    <t>We used carbon (delta C-13) and nitrogen (delta N-15) stable isotopes derived from the tissues of American black bears (Ursus americanus) to estimate the proportion of human-derived foodstuffs and food waste (human foods) in the diets of human food-conditioned bears over the past century in Yosemite National Park, located in central-eastern California. Our goal was to understand how the foraging ecology of bears responded to changing management strategies. We found that the proportion of human foods increased in bear diets when park personnel and visitors fed bears intentionally in 1923-1971, remained relatively high and constant after artificial feeding areas were closed, and declined drastically in 1999-2007, following a $500 000 annual government appropriation used to mitigate human-bear conflicts in the park. This reduction in the amount of human foods in bear diets suggests that Yosemite managers have been successful in reducing the availability of human foods to bears. Yosemite bears currently consume human foods in the same proportion as they did in 1915-1919. This result indicates a notable management achievement in the park, considering that thousands of people visited Yosemite annually in the early 1900s while about four million people visit each year today.</t>
  </si>
  <si>
    <t>10.1890/130276</t>
  </si>
  <si>
    <t>Lourenco, R; Tavares, PC; Delgado, MD; Rabaca, JE; Penteriani, V</t>
  </si>
  <si>
    <t>Superpredation increases mercury levels in a generalist top predator, the eagle owl</t>
  </si>
  <si>
    <t>Bioaccumulation; Biomagnification; Bubo bubo; Intraguild predation; Portugal; Spain</t>
  </si>
  <si>
    <t>BUBO-BUBO; ENVIRONMENTAL CONTAMINANTS; INTRAGUILD PREDATION; BREEDING PERFORMANCE; PANDION-HALIAETUS; FEATHERS; DIET; BIRDS; POPULATION; SEABIRDS</t>
  </si>
  <si>
    <t>Superpredation can increase the length of the food chain and potentially lead to mercury (Hg) bioaccumulation in top predators. We analysed the relationship of Hg concentrations in eagle owls Bubo bubo to diet composition and the percentage of mesopredators in the diet. Hg levels were measured in the adult feathers of eagle owls from 33 owl territories in the south-western Iberian Peninsula, and in three trophic levels of their prey: primary consumers, secondary consumers and mesopredators. In addition, we studied 6,181 prey in the eagle owl diet. Hg concentrations increased along the food chain, but the concentrations in eagle owls showed considerable variation. The Hg concentration in eagle owls increased when the percentage of mesopredators in the diet increased and the percentage of primary consumers decreased. Superpredation is often related to food stress, and the associated increase in accumulation of Hg may cause additional negative effects on vertebrate top predators. Hg levels in these eagle owl populations are relatively low, but future monitoring is recommended.</t>
  </si>
  <si>
    <t>10.1007/s10646-011-0603-7</t>
  </si>
  <si>
    <t>Kray, JA; Cooper, DJ; Sanderson, JS</t>
  </si>
  <si>
    <t>Groundwater use by native plants in response to changes in precipitation in an intermountain basin</t>
  </si>
  <si>
    <t>Distichlis spicata; Ecohydrology; Ericameria nauseosa; Evapotranspiration; Phreatophyte; Rainfall manipulation; San Luis Valley; Sarcobatus vermiculatus; Sporobolus airoides; Stable isotopes</t>
  </si>
  <si>
    <t>GREAT-BASIN; SUMMER PRECIPITATION; WATER RELATIONS; SARCOBATUS-VERMICULATUS; NITROGEN RELATIONS; WINTER DROUGHT; OWENS VALLEY; SOIL-WATER; SHRUBS; RESPIRATION</t>
  </si>
  <si>
    <t>Many arid basins in western North America are likely to experience future changes in precipitation timing and amount. Where shallow water tables occur, plant acquisition of groundwater and soil water may be influenced by growing season precipitation. We conducted a rainfall manipulation experiment to investigate responses of four common native plant species to ambient, increased, and decreased summer monsoon rainfall. We measured plant xylem pressure potentials (Psi) and stable oxygen isotope signatures (delta O-18) to assess effects of altered precipitation on plant water relations and water acquisition patterns. Reduced rainfall decreased Psi more in the grasses Sporobolus airoides and Distichlis spicata than the more deeply rooted shrubs Sarcobatus vermiculatus and Ericameria nauseosa. E. nauseosa had little response to natural or experimental differences in available soil water. Plant xylem water delta O-18 indicated that S. airoides and D. spicata are almost entirely dependent on rain-recharged soil water, while E. nauseosa is almost entirely groundwater-dependent. Sarcobatus vermiculatus used groundwater during dry periods, but utilized precipitation from soil layers after large rainfall events. Persistent changes in precipitation patterns could cause shifts in plant community composition that may alter basin-scale groundwater consumption by native plants, affecting water availability for human and ecosystem uses. (C) 2012 Elsevier Ltd. All rights reserved.</t>
  </si>
  <si>
    <t>10.1016/j.jaridenv.2012.03.009</t>
  </si>
  <si>
    <t>Wilson, DS; Maguire, DA</t>
  </si>
  <si>
    <t>Environmental basis of soil-site productivity relationships in ponderosa pine</t>
  </si>
  <si>
    <t>central Oregon, USA; forest productivity; nitrogen mineralization; nitrogen productivity concept; Pinus ponderosa; stable carbon isotopes; water stress</t>
  </si>
  <si>
    <t>CARBON-ISOTOPE DISCRIMINATION; NITROGEN-USE-EFFICIENCY; GROWTH-RESPONSE; MINERAL-NUTRITION; BIRCH SEEDLINGS; LODGEPOLE PINE; LEAF-AREA; WATER; AVAILABILITY; STANDS</t>
  </si>
  <si>
    <t>Understanding the environmental basis for soil-site quality relationships requires that we connect the environmental factors important to resource availability to the physiological processes influencing tree productivity. The nitrogen productivity concept provides this link by relating nitrogen uptake rate to plant growth, although the concept has been verified almost exclusively by laboratory experiments on tree seedlings. We tested the nitrogen productivity concept in a field setting by relating foliage production to nitrogen mineralization rate in 19 mature ponderosa pine (Pinus ponderosa) stands across a moisture gradient in central Oregon, USA. Models developed following the nitrogen productivity concept predicted annual foliage production precisely and adequately represented the different influences of nitrogen and water stress. Current-year foliage production was proportional to older foliage nitrogen content (R-2 = 0.82), and a model including a water stress index (stable carbon isotope ratio, delta C-13) further explained 95% of the variability. A direct link between soil nitrogen availability and canopy nutrition was less clear. Annual foliage production was positively, but weakly, correlated with soil-estimated N-uptake (estimated in situ), likely because annual nitrogen uptake was small relative to nitrogen retained in the canopy. Foliage nitrogen was highly conserved with a mean retention time of 10.5 yr, which was 2.2 times longer than foliage retention. Annual nitrogen uptake amounted to 0-11% of total canopy N. Multiyear estimates of cumulative N fluxes are needed to adequately assess N availability. Soil nutrient pools were poorly correlated with nutrient uptake and were not useful for predicting stand productivity.</t>
  </si>
  <si>
    <t>10.1890/08-0586.1</t>
  </si>
  <si>
    <t>Grosbois, G; Vachon, D; del Giorgio, PA; Rautio, M</t>
  </si>
  <si>
    <t>Efficiency of crustacean zooplankton in transferring allochthonous carbon in a boreal lake</t>
  </si>
  <si>
    <t>allochthony; allochtrophy; carbon transfer efficiency; Cyclops scutifer; Daphnia; Leptodiaptomus minutus; seasonal pattern; secondary production; stable isotopes</t>
  </si>
  <si>
    <t>TROPHIC TRANSFER EFFICIENCY; FOOD WEBS; TERRESTRIAL SUPPORT; ORGANIC-CARBON; BACTERIAL PRODUCTION; STABLE-ISOTOPES; TEMPERATURE; GROWTH; PHYTOPLANKTON; RESOURCE</t>
  </si>
  <si>
    <t>Increased incorporation of terrestrial organic matter (t-OM) into consumer biomass (allochthony) is believed to reduce growth capacity. In this study, we examined the relationship between crustacean zooplankton allochthony and production in a boreal lake that displays strong seasonal variability in t-OM inputs. Contrary to our hypotheses, we found no effect of allochthony on production at the community and the species levels. The high-frequency seasonal sampling (time-for-space) allowed for estimating the efficiency of zooplankton in converting this external carbon source to growth. From the daily t-OM inputs in the lake (57-3,027 kg C/d), the zooplankton community transferred 0.2% into biomass (0.01-2.36 kg C/d); this level was of the same magnitude as the carbon transfer efficiency for algal-derived carbon (0.4%). In the context of the boundless carbon cycle, which integrates inland waters as a biologically active component of the terrestrial landscape, the use of the time-for-space approach for the quantifying of t-OM trophic transfer efficiency by zooplankton is a critical step toward a better understanding of the effects of increasing external carbon fluxes on pelagic food webs.</t>
  </si>
  <si>
    <t>10.1002/ecy.3013</t>
  </si>
  <si>
    <t>Payne, LX; Moore, JW</t>
  </si>
  <si>
    <t>Mobile scavengers create hotspots of freshwater productivity</t>
  </si>
  <si>
    <t>MARINE-DERIVED NUTRIENTS; ELEMENTS TRANSPORTED UPSTREAM; STABLE-ISOTOPE ANALYSIS; PACIFIC SALMON; FOOD WEBS; DELTA-C-13 EVIDENCE; SOCKEYE-SALMON; COHO SALMON; STREAM; ECOSYSTEMS</t>
  </si>
  <si>
    <t>Adjacent communities and ecosystems often differ in underlying productivity but are connected by flows of nutrients, energy, and matter. Pacific salmon (Oncorhynchus spp.) transport substantial quantities of nutrients from marine ecosystems to coastal freshwater habitats when they return to spawn and die. Nutrients from their carcasses are initially concentrated in spawning streams and lakes, but are subsequently dispersed by abiotic (floods, hyporheic flow) and biotic processes (predators and scavengers). In southwest Alaska, mobile avian scavengers (gulls; Larus spp.) breed on small islands within salmon nursery lakes and consume large quantities of spawning salmon during the chick-rearing period. However the role of birds as vectors of salmon-derived nutrients remains unknown. We examined how gulls - by transporting salmon tissues to their chicks - create hotspots of biological productivity in the aquatic habitats surrounding their nesting colonies. We found that algal production was similar to 10x higher at islands with high gull densities compared to islands without nesting gulls, but was concentrated within 40 m of island shorelines. Carbon stable isotopes (delta C-13) confirmed that gulls enhance primary production in local benthic communities and demonstrated that this production was transferred up the food web to grazers (snails) and carnivores (blackfish). Nitrogen stable isotopes (delta N-15) confirmed that salmon dominated the diet of gulls and that nutrients from gull guano were incorporated into algae and passed up the food web. By relocating and concentrating salmon-derived nutrients into new and distant locations, gulls alter and magnify production in local aquatic communities. We offer the first evidence that the avian community can move salmon-derived nutrients great distances, enriching otherwise isolated habitats.</t>
  </si>
  <si>
    <t>Barlow, DR; Torres, LG</t>
  </si>
  <si>
    <t>Planning ahead: Dynamic models forecast blue whale distribution with applications for spatial management</t>
  </si>
  <si>
    <t>blue whale; boosted regression trees; dynamic management; forecast models; New Zealand; oceanography; species distribution models; upwelling</t>
  </si>
  <si>
    <t>UPWELLING PLUME; TUNA HABITAT; AID; OCEAN; TURTLEWATCH</t>
  </si>
  <si>
    <t>Resources in the ocean are ephemeral, and effective management must therefore account for the dynamic spatial and temporal patterns of ecosystems and species of concern. We focus on the South Taranaki Bight (STB) of New Zealand, where upwelling generates productivity and prey to support an important foraging ground for blue whales that overlaps with anthropogenic pressure from industrial activities. We incorporate regional ecological knowledge of upwelling dynamics, physical-biological coupling and associated lags in models to forecast sea surface temperature (SST) and net primary productivity (NPP) with up to 3 weeks lead time. Forecasted environmental layers are then implemented in species distribution models to predict suitable blue whale habitat in the STB. Models were calibrated using data from the austral summers of 2009-2019, and ecological forecast skill was evaluated by predicting to withheld data. Boosted regression tree models skilfully forecasted SST (CV deviance explained = 0.969-0.970) and NPP (CV deviance explained = 0.738-0.824). The subsequent blue whale distribution forecast models had high predictive performance (AUC = 0.889), effectively forecasting suitable habitat on a daily scale with 1-3 weeks lead time. The spatial location and extent of forecasted blue whale habitat were variable, with the proportion of petroleum and mineral permit areas that overlapped with daily suitable habitat ranging from 0% to 70%. Hence, the STB and these forecast models are well-suited for dynamic management that could reduce anthropogenic threats to whales while decreasing regulatory burdens to industry users relative to a traditional static protected area. Synthesis and applications. We develop and test ecological forecast models that predict sea surface temperature, net primary productivity and blue whale suitable habitat up to 3 weeks in the future within New Zealand's South Taranaki Bight region. These forecasts of whale distribution can be effectively applied for dynamic spatial management due to model foundation on quantified links and lags between physical forcing and biological responses. A framework to operationalize these forecasts through a user-driven application is in development to proactively inform conservation management decisions. This framework is implemented through stakeholder engagement, allows flexibility based on management objectives, and is amenable to improvement as new knowledge and feedback are received.</t>
  </si>
  <si>
    <t>10.1111/1365-2664.13992</t>
  </si>
  <si>
    <t>Querejeta, M; Lefort, MC; Bretagnolle, V; Boyer, S</t>
  </si>
  <si>
    <t>Metabarcoding fecal samples to investigate spatiotemporal variation in the diet of the endangered Westland Petrel (Procellaria westlandica)</t>
  </si>
  <si>
    <t>biodiversity; conservation; dietary DNA; noninvasive DNA sampling; New Zealand; Procellariidae</t>
  </si>
  <si>
    <t>NEW-ZEALAND; STABLE-ISOTOPES; TROPHIC-LEVEL; METAL CONCENTRATIONS; POPULATION-DYNAMICS; THREATENED SEABIRD; MACARONI PENGUINS; MESOPELAGIC FISH; FEEDING-BEHAVIOR; CLIMATE-CHANGE</t>
  </si>
  <si>
    <t>As top predators, seabirds can be indirectly impacted by climate variability and commercial fishing activities through changes in marine communities. However, high mobility and foraging behavior enable seabirds to exploit prey distributed patchily in time and space. Despite this environmental adaptability, seabirds are the world's most threatened birds and there is, therefore, an urge to acquire information about their ecological and foraging requirements through the study of their diet. Traditionally, the diet of seabirds is assessed through the morphological identification of prey remains in regurgitates. This sampling method is invasive for the bird and limited in terms of taxonomic resolution. However, the recent progress in DNA-based approaches is now providing a noninvasive means to more comprehensively and accurately characterize animal diets. We used a noninvasive metabarcoding approach to characterize the diet of the Westland Petrel (Procellaria westlandica), which is an endangered burrowing species, endemic to the South Island of New Zealand. We collected 99 fresh fecal samples in 2 different seasons and in 2 different subcolonies. Our aim was to describe the Westland Petrel's diet and to investigate seasonal and spatial variations to their diet to understand the feeding requirements of this species. We also specifically investigated potential links with the New Zealand fishery industry to inform efficient conservation practices. Our noninvasive dietary DNA (dDNA) approach also highlighted significant differences in diet between seasons (incubation vs. chick-rearing season) and between sampling sites (two subcolonies 1.5 km apart). This suggests plasticity in the foraging strategy of the Westland Petrel. We found that amphipods were the most common prey, followed by cephalopods, and fish. Our findings could be the result of natural foraging behavior but also suggest a close link between the composition of prey items and New Zealand's commercial fishing activities. In particular, the high abundance of amphipods could be the result of Westland Petrels feeding on discarded fisheries waste (fish guts). This close relationship to New Zealand's fisheries may put stress on the resilience of the Westland Petrel. This valuable knowledge about Westland Petrel foraging needs is key to design efficient conservation plans for this iconic species. We illustrate how dDNA can inform the conservation of endangered or at-risk species that have elusive foraging behaviors.</t>
  </si>
  <si>
    <t>10.5751/ACE-02410-180117</t>
  </si>
  <si>
    <t>Subke, JA; Hahn, V; Battipaglia, G; Linder, S; Buchmann, N; Cotrufo, MF</t>
  </si>
  <si>
    <t>Feedback interactions between needle litter decomposition and rhizosphere activity</t>
  </si>
  <si>
    <t>soil organic matter; stable C isotopes; forest girdling; soil CO2 efflux; microbial biomass</t>
  </si>
  <si>
    <t>STABLE-ISOTOPE RATIO; ELEVATED CO2; MICROBIAL BIOMASS; ATMOSPHERIC CO2; SOIL; CARBON; FOREST; ROOTS; RESPIRATION; FUNGI</t>
  </si>
  <si>
    <t>The aim of our study was to identify interactions between the decomposition of aboveground litter and rhizosphere activity. The experimental approach combined the placement of labelled litter (delta(13)C=-37.9parts per thousand) with forest girdling in a 35-year-old Norway spruce stand, resulting in four different treatment combinations: GL (girdled, litter), GNL (girdled, no litter), NGL (not girdled, litter), and NGNL (not girdled, no litter). Monthly sampling of soil CO2 efflux and delta(13)C of soil respired CO2 between May and October 2002 allowed the partitioning of the flux into that derived from the labelled litter, and that derived from native soil organic matter and roots. The effect of forest girdling on soil CO2 efflux was detectable from June (girdling took place in April), and resulted in GNL fluxes to be about 50% of NGNL fluxes by late August. The presence of litter resulted in significantly increased fluxes for the first 2 months of the experiment, with significantly greater litter derived fluxes from non-girdled plots and a significant interaction between girdling and litter treatments over the same period. For NGL collars, the additional efflux was found to originate only in part from litter decomposition, but also from the decay of native soil organic matter. In GL collars, this priming effect was not significant, indicating an active role of the rhizosphere in soil priming. The results therefore indicate mutual positive feedbacks between litter decomposition and rhizosphere activity. Soil biological analysis (microbial and fungal biomass) of the organic layers indicated greatest activity below NGL collars, and we suppose that this increase indicates the mechanism of mutual positive feedback between rhizosphere activity and litter decomposition. However, elimination of fresh C input from both above- and belowground (GNL) also resulted in greater fungal abundance than for the NGNL treatment, indicating likely changes in fungal community structure (i.e. a shift from symbiotic to saprotrophic species abundance).</t>
  </si>
  <si>
    <t>10.1007/s00442-004-1540-4</t>
  </si>
  <si>
    <t>Bessey, C; Heithaus, MR</t>
  </si>
  <si>
    <t>Ecological niche of an abundant teleost Pelates octolineatus in a subtropical seagrass ecosystem</t>
  </si>
  <si>
    <t>Stomach content analysis; Stable isotope analysis; Mixing models; Primary producer; Herbivory</t>
  </si>
  <si>
    <t>SHARK BAY; TEMPORAL VARIATION; FEEDING ECOLOGY; STABLE-ISOTOPES; PREDATION RISK; FISH; FOOD; HERBIVORES; DELTA-N-15; DELTA-C-13</t>
  </si>
  <si>
    <t>This study used primary producer abundance surveys, stomach content analysis, stable isotope analysis, and mixing models to investigate the ecological niche of western striped trumpeters Pelates octolineatus in the subtropical seagrass ecosystem of Shark Bay, Australia. The percent cover of seagrass and macroalgae in the study area was 35.9 +/- 4.3 and 28.59 +/- 3.8% (mean +/- SE), respectively. Of the 2 dominant seagrass species, Amphibolis antarctica was present at a higher number of stations than Posidonia australia, and although fast-growing, smaller-bodied seagrass species occurred infrequently, only 3 stations surveyed did not contain seagrass. Algae also occurred at the majority of stations (47 of 49 stations). P. octolineatus stomach contents consisted mainly of primary producers (87.7%). The mean relative amount of seagrass and algae in P. octolineatus stomachs was similar (43.7 +/- 44.1 and 44.0 +/- 43.8%, respectively), although there was considerable variation among individuals. There was a positive relationship between fish length and percentage of seagrass consumed. Stable isotope values suggested that algae contributed a larger portion of assimilated food rather than seagrass, but predictions from mixing models more closely coincided with stomach content analysis when the standard deviation of potential food sources was increased. P. octolineatus exhibited a similar, but smaller, isotopic niche space to sympatric, largely herbivorous, green turtles Chelonia mydas (27.3 and 62.4 units, respectively). These data suggest that P. octolineatus function as herbivores in this subtropical seagrass system, thereby having the potential to structure primary producer communities and facilitate the transfer of primary production to higher trophic levels.</t>
  </si>
  <si>
    <t>10.3354/meps11542</t>
  </si>
  <si>
    <t>Benstead, JP; Pringle, CM</t>
  </si>
  <si>
    <t>Deforestation alters the resource base and biomass of endemic stream insects in eastern Madagascar</t>
  </si>
  <si>
    <t>algae; freshwater biodiversity; riparian vegetation; terrestrial detritus; tropical streams</t>
  </si>
  <si>
    <t>CARBON-ISOTOPE RATIOS; INVERTEBRATE COMMUNITIES; TROPHIC SIGNIFICANCE; STABLE-ISOTOPES; FOOD WEBS; MACROINVERTEBRATES; BIOFILM; INPUTS; FLOW</t>
  </si>
  <si>
    <t>1. Rainforest streams in eastern Madagascar have species-rich and diverse endemic insect communities, while streams in deforested areas have relatively depauperate assemblages dominated by collector-gatherer taxa. We sampled a suite of benthic insects and their food resources in three primary rainforest streams within Ranomafana National Park in eastern Madagascar and three agriculture streams in the park's deforested peripheral zone. We analysed gut contents and combined biomass and stable isotope data to examine stream community responses to deforestation in the region, which is a threatened and globally important hotspot for freshwater biodiversity. 2. Gut analyses showed that most taxa depended largely on amorphous detritus, obtained either from biofilms (collector-gatherers) or from seston (microfilterers). Despite different resource availability in forest versus agriculture streams, diets of each taxon did not differ between stream types, suggesting inflexible feeding modes. Carbon sources for forest stream insects were difficult to discern using delta(13)C. However, in agriculture streams dependence on terrestrial carbon sources was low relative to algal sources. Most insect taxa with delta(13)C similar to terrestrial carbon sources (e.g. the stonefly Madenemura, the caddisfly Chimarra sp. and Simulium blackflies) were absent or present at lower biomass in agriculture streams relative to forest streams. Conversely, collector-gatherers (Afroptilum mayflies) relied on algal carbon sources and had much higher biomass in agriculture streams. 3. Our analyses indicate that a few collector-gatherer species (mostly Ephemeroptera) can take advantage of increased primary production in biofilms and consequently dominate biomass in streams affected by deforestation. In contrast, many forest stream insects (especially those in the orders Plecoptera, Trichoptera and Diptera) depend on terrestrial carbon sources (i.e. seston and leaf litter), are unable to track resource availability and consequently decline in streams draining deforested landscapes. These forest-specialists are often micro-endemic and particularly vulnerable to deforestation. 4. The use of consumer biomass data in stable isotope research can help detect population-level responses to shifts in basal resources caused by anthropogenic change. We also suggest that restoration of vegetated riparian zones in eastern Madagascar and elsewhere could mitigate the deleterious effects of deforestation on sensitive, endemic stream taxa that are dependent on terrestrial carbon sources.</t>
  </si>
  <si>
    <t>10.1111/j.1365-2427.2004.01203.x</t>
  </si>
  <si>
    <t>Hoppe, KA</t>
  </si>
  <si>
    <t>Late Pleistocene mammoth herd structure, migration patterns, and Clovis hunting strategies inferred from isotopic analyses of multiple death assemblages</t>
  </si>
  <si>
    <t>NORTH-AMERICA; ATMOSPHERIC CO2; GREAT-PLAINS; STRONTIUM ISOTOPE; FUNCTIONAL TYPES; STABLE ISOTOPES; MASS EXTINCTION; EDWARDS PLATEAU; CLIMATIC-CHANGE; UNITED-STATES</t>
  </si>
  <si>
    <t>Many late Pleistocene fossil localities contain the remains of multiple mammoths. Some of these sites have been interpreted as representing the mass death of an entire herd, or family group, of mammoths. These assemblages have been cited as evidence of intense human predation and used to reconstruct mammoth population dynamics. However, these interpretations remain controversial because the taphonomic settings of many sites are still debated. To reconstruct the taphonomic setting of each site and the movement patterns of mammoths among sites, I used analyses of carbon, oxygen, and strontium isotope ratios in mammoth tooth enamel. The carbon isotopes of fossils vary with diet and local vegetation, oxygen isotopes vary with local climate, and strontium isotopes vary with local soil chemistry. If Pleistocene mammoths traveled together in small family groups, then mammoths from sites that represent family groups should have lower isotopic variability than mammoths from sites containing unrelated individuals. I tested this conjecture by comparing the isotopic variability among mammoths from two sites-one that represents the mass death of a single herd (Waco, Texas) and one representing a time-averaged accumulation (Friesenhahn Cave, Texas)-and then used these analyses to examine mammoths from three Clovis sites: Blackwater Draw, New Mexico; Dent, Colorado; and Miami, Texas. Low levels of carbon isotope variability were found to be the most diagnostic signal of herd/family group association. Although the variability of oxygen and strontium isotope ratios proved less useful for identifying family group assemblages, these signals did provide information about the movement patterns of individuals among different sites. High levels of variability in each of the isotope systems at Clovis sites suggest that all of the sites examined represent time-averaged accumulations of unrelated individuals, rather than the mass deaths of family groups. In addition, analyses of the mean isotope values of Clovis mammoths show that although most mammoths from Blackwater and Miami had similar values, the values of Dent mammoths were significantly different. This demonstrates that the Dent mammoths belonged to a separate population and suggests that Clovis mammoths did not routinely undertake long distance (greater than or equal to600 km) migrations.</t>
  </si>
  <si>
    <t>10.1666/0094-8373(2004)030&lt;0129:LPMHSM&gt;2.0.CO;2</t>
  </si>
  <si>
    <t>Penna, D; Zanotelli, D; Scandellari, F; Aguzzoni, A; Engel, M; Tagliavini, M; Comiti, F</t>
  </si>
  <si>
    <t>Water uptake of apple trees in the Alps: Where does irrigation water go?</t>
  </si>
  <si>
    <t>apple trees; irrigation; isotopes; root water uptake; soil water evaporation</t>
  </si>
  <si>
    <t>STABLE-ISOTOPES; PLANT WATER; SOIL RESPIRATION; IN-SITU; VARIABILITY; STREAMFLOW; DYNAMICS; HYDROGEN; REVIEWS; SHRUBS</t>
  </si>
  <si>
    <t>Understanding root water uptake sources in agricultural systems is becoming increasingly important in the sustainable management of water resources under changing climatic conditions. In this work, a stable isotope approach was adopted to investigate water sources accessed by apple trees in two orchards growing in two different locations in the upper Etsch/Adige valley (Eastern Italian Alps). We tested the general hypothesis that soil water, composed of a mixture of rain and irrigation water, was the main source for tree transpiration in both fields, but trees could also access groundwater according to the different proximity to the groundwater table of the two orchards. Our results revealed that apple trees during the 2015 and 2016 growing seasons relied mostly on soil water present in the upper 20-40 cm of soils, with an apparently negligible contribution of groundwater, irrespective of the field location in the valley bottom. The isotopic composition of xylem water did not reflect irrigation water composition (or that of groundwater) but rather of rainfall and throughfall, and soil water. We related this behaviour to the intense rate of soil evaporation during the growing period that modified the original isotopic signature of irrigation water in the shallower layers, masking its actual contribution. This work contributes to improving the understanding of water uptake strategies in Alpine apple orchards and paves the way for further analysis on the proportion of irrigation and rainwater used by apple trees in mountain agroecosystems.</t>
  </si>
  <si>
    <t>e2306</t>
  </si>
  <si>
    <t>10.1002/eco.2306</t>
  </si>
  <si>
    <t>Honea, JM; Gara, RI</t>
  </si>
  <si>
    <t>Macroinvertebrate community dynamics: strong negative response to salmon redd construction and weak response to salmon-derived nutrient uptake</t>
  </si>
  <si>
    <t>marine-derived nutrients; disturbance; Oncorhynchus keta; stable isotopes; functional feeding groups; Pacific Northwest; Kennedy Creek</t>
  </si>
  <si>
    <t>STABLE-ISOTOPE RATIOS; EGG BURIAL DEPTHS; PACIFIC SALMON; SPAWNING SALMON; SMALL-STREAM; FRESH-WATER; SOUTHEASTERN ALASKA; BENTHIC COMMUNITY; DISTURBANCE; NITROGEN</t>
  </si>
  <si>
    <t>Densely spawning salmon (Oncorhynchus spp.) affect macroinvertebrates negatively through redd construction and positively through nutrients released during spawning and carcass decomposition. We investigated the long-term characteristics of this interaction by measuring density, biomass, and C and N sources in benthic macroinvertebrates over 1 y. Total macroinvertebrate community biomass decreased during spawning and redd. construction. However, the percentage of macroinvertebrate biomass derived from salmon increased. The highest percentage (56%) and biomass (2.71 g/m(2)) of salmon-derived tissue in the macroinvertebrate community occurred 3 mo after spawning. Shredders accumulated the most salmon-derived biomass per individual; however, collector-filterers, scrapers, and predators accumulated the most salmon-derived biomass at the population level, a result that suggests multiple pathways of salmon nutrient acquisition. Salmon-derived macroinvertebrate biomass was never &lt;22% of macroinvertebrate community biomass in the spawning reach, but 6 mo after spawning, no clear density or biomass difference,; were found between reaches with and without salmon. This pattern held true at all scales examined, from whole community to functional feeding group to individual taxa in prespawning samples from both years. These results suggest that increased macroinvertebrate production from the nutrient and energy subsidy from salmon was restricted to the recovery period following the disturbance of redd construction and might have been obscured by emergence and transfer to higher trophic levels.</t>
  </si>
  <si>
    <t>10.1899/08-030.1</t>
  </si>
  <si>
    <t>Shafroth, PB; Wilcox, AC; Lytle, DA; Hickey, JT; Andersen, DC; Beauchamp, VB; Hautzinger, A; McMullen, LE; Warner, A</t>
  </si>
  <si>
    <t>Ecosystem effects of environmental flows: modelling and experimental floods in a dryland river</t>
  </si>
  <si>
    <t>beaver; benthic macroinvertebrates; fluvial geomorphology; physical habitat modelling; riparian vegetation</t>
  </si>
  <si>
    <t>RIPARIAN VEGETATION; ECOLOGICAL CONSEQUENCES; BASIC PRINCIPLES; AQUATIC INSECTS; ALLUVIAL RIVER; BEAVER DAMS; WATER; GROUNDWATER; FLOODPLAIN; REGIMES</t>
  </si>
  <si>
    <t>1. Successful environmental flow prescriptions require an accurate understanding of the linkages among flow events, geomorphic processes and biotic responses. We describe models and results from experimental flow releases associated with an environmental flow program on the Bill Williams River (BWR), Arizona, in arid to semiarid western U. S. A. 2. Two general approaches for improving knowledge and predictions of ecological responses to environmental flows are: ( 1) coupling physical system models to ecological responses and ( 2) clarifying empirical relationships between flow and ecological responses through implementation and monitoring of experimental flow releases. 3. We modelled the BWR physical system using: ( 1) a reservoir operations model to simulate reservoir releases and reservoir water levels and estimate flow through the river system under a range of scenarios, ( 2) one- and two-dimensional river hydraulics models to estimate stage-discharge relationships at the whole-river and local scales, respectively, and ( 3) a groundwater model to estimate surface-and groundwater interactions in a large, alluvial valley on the BWR where surface flow is frequently absent. 4. An example of a coupled, hydrology-ecology model is the Ecosystems Function Model, which we used to link a one-dimensional hydraulic model with riparian tree seedling establishment requirements to produce spatially explicit predictions of seedling recruitment locations in a Geographic Information System. We also quantified the effects of small experimental floods on the differential mortality of native and exotic riparian trees, on beaver dam integrity and distribution, and on the dynamics of differentially flow-adapted benthic macroinvertebrate groups. 5. Results of model applications and experimental flow releases are contributing to adaptive flow management on the BWR and to the development of regional environmental flow standards. General themes that emerged from our work include the importance of response thresholds, which are commonly driven by geomorphic thresholds or mediated by geomorphic processes, and the importance of spatial and temporal variation in the effects of flows on ecosystems, which can result from factors such as longitudinal complexity and ecohydrological feedbacks.</t>
  </si>
  <si>
    <t>10.1111/j.1365-2427.2009.02271.x</t>
  </si>
  <si>
    <t>Carlisle, AB; Litvin, SY; Hazen, EL; Madigan, DJ; Goldman, KJ; Lea, RN; Block, BA</t>
  </si>
  <si>
    <t>Reconstructing habitat use by juvenile salmon sharks links upwelling to strandings in the California Current</t>
  </si>
  <si>
    <t>Trophic ecology; Oceanography; Thermal niche; Elasmobranch; Nursery; Stable isotope analysis; Lamna ditropis</t>
  </si>
  <si>
    <t>STABLE-ISOTOPES; LAMNA-DITROPIS; INCORPORATING UNCERTAINTY; NITROGEN ISOTOPES; TISSUES; CARNOBACTERIUM; POPULATIONS; MIGRATION; PREDATOR; DIET</t>
  </si>
  <si>
    <t>The use of nursery areas by elasmobranchs is an important life history strategy that is thought to reduce juvenile mortality and increase population growth rates. The endothermic salmon shark Lamna ditropis uses the California Current System (CCS) as a nursery area, though little is known about how juveniles use this ecosystem. Juvenile salmon sharks consistently strand along the west coast of North America. Strandings in the southern CCS occurred throughout the year, while those in the northern CCS were limited to summer and autumn, when mean sea surface temperatures were warmest. Strandings primarily occurred when water temperature was between 12 and 16 degrees C, suggesting that juveniles occupy a relatively narrow thermal niche. Stable isotope analysis (SIA) indicated that juveniles primarily feed on offshore meso-and epipelagic prey from the outer shelf, slope, and oceanic habitats as opposed to inshore and coastal habitats, although sharks appeared to move closer to shore prior to stranding. Generalized additive models indicate that the probability of stranding was greatest when mean water temperatures were relatively high (similar to 14 degrees C) and sharks were exposed to acute cold-water events (similar to 9 degrees C) during coastal upwelling. This suggests that juveniles are thermally limited and stressed by upwelling events, resulting in bacterial infections that are the proximate cause of the strandings.</t>
  </si>
  <si>
    <t>10.3354/meps11183</t>
  </si>
  <si>
    <t>Fontanini, A; Steckbauer, A; Dupont, S; Duarte, CM</t>
  </si>
  <si>
    <t>Variable metabolic responses of Skagerrak invertebrates to low O-2 and high CO2 scenarios</t>
  </si>
  <si>
    <t>OCEAN ACIDIFICATION; OXYGEN CONCENTRATIONS; GULLMAR-FJORD; CARBONIC-ACID; GLOBAL CHANGE; HYPOXIA; SEAWATER; THRESHOLDS; IMPACTS; WATER</t>
  </si>
  <si>
    <t>Coastal hypoxia is a problem that is predicted to increase rapidly in the future. At the same time, we are facing rising atmospheric CO2 concentrations, which are increasing the pCO(2) and acidity of coastal waters. These two drivers are well studied in isolation; however, the coupling of low O-2 and pH is likely to provide a more significant respiratory challenge for slow moving and sessile invertebrates than is currently predicted. The Gullmar Fjord in Sweden is home to a range of habitats, such as sand and mud flats, seagrass beds, exposed and protected shorelines and rocky bottoms. Moreover, it has a history of both natural and anthropogenically enhanced hypoxia as well as North Sea upwelling, where salty water reaches the surface towards the end of summer and early autumn. A total of 11 species (Crustacean, Chordate, Echinoderm and Mollusc) of these ecosystems were exposed to four different treatments (high or low oxygen and low or high CO2; varying pCO(2) of 450 and 1300 mu atm and O-2 concentrations of 2-3.5 and 9-10 mg L-1) and respiration measured after 3 and 6 days, respectively. This allowed us to evaluate respiration responses of species of contrasting habitats to single and multiple stressors. Results show that respiratory responses were highly species specific as we observed both synergetic as well as antagonistic responses, and neither phylum nor habitat explained trends in respiratory responses. Management plans should avoid the generalized assumption that combined stressors will result in multiplicative effects and focus attention on alleviating hypoxia in the region.</t>
  </si>
  <si>
    <t>10.5194/bg-15-3717-2018</t>
  </si>
  <si>
    <t>Hall, RP; Mutumi, GL; Hedrick, BP; Yohe, LR; Sadier, A; Davies, KTJ; Rossiter, SJ; Sears, K; Davalos, LM; Dumont, ER</t>
  </si>
  <si>
    <t>Find the food first: An omnivorous sensory morphotype predates biomechanical specialization for plant based diets in phyllostomid bats</t>
  </si>
  <si>
    <t>Comparative analyses; morphology; olfaction; sensory; vision</t>
  </si>
  <si>
    <t>VISUAL-ACUITY; FRUIT BATS; R PACKAGE; DIVERSIFICATION; EVOLUTION; DYNAMICS; SYSTEMS; COMMUNICATION; CHIROPTERA; MORPHOLOGY</t>
  </si>
  <si>
    <t>The role of mechanical morphologies in the exploitation of novel niche space is well characterized; however, the role of sensory structures in unlocking new niches is less clear. Here, we investigate the relationship between the evolution of sensory structures and diet during the radiation of noctilionoid bats. With a broad range of foraging ecologies and a well-supported phylogeny, noctilionoids constitute an ideal group for studying this relationship. We used diffusible iodine-based contrast enhanced computed tomography scans of 44 noctilionoid species to analyze relationships between the relative volumes of three sensory structures (olfactory bulbs, orbits, and cochleae) and diet. We found a positive relationship between frugivory and both olfactory and orbit size. However, we also found a negative relationship between nectarivory and cochlea size. Ancestral state estimates suggest that larger orbits and olfactory bulbs were present in the common ancestor of family Phyllostomidae, but not in other noctilionoid. This constellation of traits indicates a shift toward omnivory at the base of Phyllostomidae, predating their radiation into an exceptionally broad range of dietary niches. This is consistent with a scenario in which changes in sensory systems associated with foraging and feeding set the stage for subsequent morphological modification and diversification.</t>
  </si>
  <si>
    <t>10.1111/evo.14270</t>
  </si>
  <si>
    <t>Ciaglo, M; Calhoun, R; Yanco, SW; Wunder, MB; Stricker, CA; Linkhart, BD</t>
  </si>
  <si>
    <t>Evidence of postbreeding prospecting in a long-distance migrant</t>
  </si>
  <si>
    <t>dispersal; flammulated owl; habitat selection; migration; movement; phenology; postbreeding; prospecting</t>
  </si>
  <si>
    <t>BREEDING HABITAT SELECTION; FLAMMULATED OWLS; FOREST STRUCTURE; DISPERSAL; INFORMATION; POPULATION; MIGRATION; PHILOPATRY; BEHAVIOR; RANGE</t>
  </si>
  <si>
    <t>Organisms assess biotic and abiotic cues at multiple sites when deciding where to settle. However, due to temporal constraints on this prospecting, the suitability of available habitat may be difficult for an individual to assess when cues are most reliable, or at the time they are making settlement decisions. For migratory birds, the postbreeding season may be the optimal time to prospect and inform settlement decisions for future breeding seasons. We investigated the fall movements of flammulated owls (Psiloscops flammeolus) within breeding habitat after fledglings had gained independence and before adults left for migration. From 2013 to 2016, we trapped owls within a breeding population wherein all nesting owls and their young have been banded since 1981. We used stable isotopes in combination with mark-recapture data to identify local individuals and differentiate potential prospecting behavior from other seasonal movements such as migration or staging. We commonly captured owls in the fall-predominantly hatch-year owls-that were not known residents of the study area. Several of these nonresident owls were later found breeding within the study area. Stable isotope data suggested a local origin for virtually all owls captured during the fall. Our results suggest that hatch-year flammulated owls, but also some after-hatch-year owls, use the period between the breeding season and fall migration to prospect for future breeding sites. The timing of this behavior is likely driven by seasonally variable costs associated with prospecting. Determining the timing of prospecting and the specific cues that are being assessed will be important in helping predict the extent to which climate change and/or altered disturbance regimes will modify the ecology, behavior, and demographics associated with prospecting.</t>
  </si>
  <si>
    <t>10.1002/ece3.7085</t>
  </si>
  <si>
    <t>Tang, KW; Dam, HG; Visscher, PT; Fenn, TD</t>
  </si>
  <si>
    <t>Dimethylsulfoniopropionate (DMSP) in marine copepods and its relation with diets and salinity</t>
  </si>
  <si>
    <t>DMSP; copepod biomass; diets; salinity shift; osmoregulation</t>
  </si>
  <si>
    <t>LONG-ISLAND SOUND; DIMETHYL SULFIDE; SULFUR CYCLE; ATMOSPHERIC SULFUR; TEMORA-LONGICORNIS; EMILIANIA-HUXLEYI; COASTAL WATERS; DISSOLVED DMSP; EGG-PRODUCTION; PHYTOPLANKTON</t>
  </si>
  <si>
    <t>The main goal of this study was to assess the effects of algal diets and water salinity on the bodily content of dimethylsulfoniopropionate (DMSP) in estuarine copepods. In laboratory experiments, Temora longicornis contained more DMSP when fed DMSP-rich Tetraselmis impellucida (prasinophyte) than when fed DMSP-poor Dunaliella tertiolecta (chlorophyte). The DMSP content of T. longicornis after gut clearance was curvilinearly related to the ingestion rate. These observations suggest that the copepods incorporated the dietary source of DMSP into their body tissue. On the same diet, T. longicornis contained more DMSP at higher salinity, indicating an osmoregulatory function of DMSP. However, DMSP appears to be a minor osmolyte compared with free amino acids. The DMSP content of T. longicornis decreased faster in response to a decrease in salinity than it increased with an increase in salinity, implicating separate mechanisms for accumulation and removal of DMSP in the copepod. We also measured the bodily content of DMSP from field-collected animals. Five species of calanoid copepods from Long Island Sound contained DMSP, not associated with gut content, which varied interspecifically from 0.02 to 1.03 nmol ind.(-1). Carbon-specific DMSP content of the copepods was comparable to that reported for some diatoms, chlorophytes and cryptophytes. We argue that copepod biomass may, at times, represents a substantial source of particulate DMSP in the water column.</t>
  </si>
  <si>
    <t>10.3354/meps179071</t>
  </si>
  <si>
    <t>Preston, DL; Trujillo, JL; Fairchild, MP; Morrison, RR; Fausch, KD; Kanno, Y</t>
  </si>
  <si>
    <t>Short-term effects of wildfire on high elevation stream-riparian food webs</t>
  </si>
  <si>
    <t>food web; macroinvertebrates; predator-prey interaction; reciprocal subsidy; wildfire</t>
  </si>
  <si>
    <t>LENGTH-MASS RELATIONSHIPS; TERRESTRIAL INVERTEBRATES; INSECT COMMUNITIES; RAINBOW-TROUT; DEBRIS FLOWS; BROOK TROUT; FIRE; PREY; MACROINVERTEBRATES; DISTURBANCE</t>
  </si>
  <si>
    <t>Understanding how wildfires affect food web structure and function remains an important challenge, especially at high elevations that historically have burned infrequently. In particular, fires may alter the magnitude of reciprocal cross-ecosystem subsidies, leading to indirect effects on aquatic and terrestrial consumers. We quantified characteristics of high-elevation (2500-3000 m) stream-riparian food webs at 10 locations in the southern Rocky Mountains less than one year following high-intensity, stand-replacing wildfires. Using a paired 'burned-unburned' stream survey design, we assessed benthic periphyton, aquatic macroinvertebrate community structure, trout population characteristics, trout stomach contents, inputs and emergence of insects to and from streams, and abundance of predatory riparian spiders that consume aquatic insects. Benthic macroinvertebrate density, flux of emerging aquatic insects, and riparian spider abundances were lower at burned sites. Fluxes of insect inputs entering the stream did not differ with burn status, despite the loss of riparian vegetation due to fire. Trout were somewhat less abundant, but larger on average at burned sites and did not differ in body condition. These results suggest mortality of smaller trout from fire disturbance and/or recolonization of burned sites by larger individuals. Trout showed subtle changes in diet composition with burn status, but no change in biomass or number of prey consumed. In general, burned sites showed greater variation in community characteristics than unburned sites, which may reflect differences in the timing and magnitude of post-fire flooding, erosion, and scouring of the stream bed. Taken together, our results suggest that short-term effects of fire disturbance strongly altered some food web responses, but others appeared relatively resilient, which is notable given the high severity of the wildfires in the study area.</t>
  </si>
  <si>
    <t>10.1111/oik.09828</t>
  </si>
  <si>
    <t>Duvert, C; Canham, CA; Barbeta, A; Cortes, DA; Chandler, L; Harford, AJ; Leggett, A; Setterfield, SA; Humphrey, CL; Hutley, LB</t>
  </si>
  <si>
    <t>Deuterium depletion in xylem water and soil isotopic effects complicate the assessment of riparian tree water sources in the seasonal tropics</t>
  </si>
  <si>
    <t>deuterium offset; intermittent stream; mine rehabilitation; MixSIAR; riparian vegetation; root water uptake; soil water isotopes</t>
  </si>
  <si>
    <t>CRYOGENIC EXTRACTION; NORTHERN AUSTRALIA; MESOPOROUS SILICA; GROUNDWATER USE; CAPILLARY RISE; MAGELA CREEK; DRY TROPICS; PLANT USE; VEGETATION; HYDROGEN</t>
  </si>
  <si>
    <t>Riparian trees located in seasonally dry environments may be reliant on groundwater supplies, but the prevalence and magnitude of groundwater uptake is often unclear. Using soil water matric potential and water stable isotopes, we examined the relative contributions of soil water and groundwater to the dry season water uptake of five riparian tree species along an intermittent river of tropical northern Australia. Because xylem water was depleted in deuterium relative to source water (average offset -14.0 parts per thousand), we numerically removed this offset and assessed the effect of the correction on mixing model results. We also estimated the isotopic composition of unbound soil water (i.e., the portion of soil water not tightly bound to soil particles) from bulk soil water data by using an empirical formulation from the literature and tested whether considering unbound soil water as a source would affect our results. Despite the hot and dry surface environment, we found that soil moisture was available for trees at relatively shallow (similar to 0.7-1.5 m) depths. When unbound soil water and corrected xylem water data were considered, most tree species used a combination of this soil moisture source and groundwater from the capillary fringe. However, not correcting for isotopic effects resulted in large underestimations of the groundwater contributions to tree water uptake. Our findings suggest that ignoring soil isotopic effects and deuterium depletion in xylem water may reduce the validity of source water partitioning assessments. Further research is needed on the likely causes for deuterium depletion in xylem water.</t>
  </si>
  <si>
    <t>e2383</t>
  </si>
  <si>
    <t>10.1002/eco.2383</t>
  </si>
  <si>
    <t>Butler, OM; Lewis, T; Maunsell, SC; Rashti, MR; Elser, JJ; Mackey, B; Chen, CR</t>
  </si>
  <si>
    <t>The stoichiometric signature of high-frequency fire in forest floor food webs</t>
  </si>
  <si>
    <t>biogeochemical cycling; burning; disturbance; invertebrates; microbial biomass; soil</t>
  </si>
  <si>
    <t>SCLEROPHYLL EUCALYPT FOREST; SOIL ORGANIC-MATTER; N-P STOICHIOMETRY; MICROBIAL BIOMASS; PHOSPHORUS LIMITATION; LITTER DECOMPOSITION; NUTRIENT LIMITATION; COMMUNITY STRUCTURE; PRESCRIBED FIRES; ECOSYSTEM RETROGRESSION</t>
  </si>
  <si>
    <t>Fire regimes are shifting under climate change. Decadal-scale shifts in fire regime can disrupt the biogeochemical cycling of carbon (C), nitrogen (N), and phosphorus (P) within forest ecosystems, but the full extent of these disruptions is unknown. It is also unclear whether these disruptions have consequences for the ecological characteristics (e.g., biomass, abundance, and composition) of microbial and invertebrate communities, which together comprise the majority of terrestrial biodiversity and underpin many ecosystem processes. The theoretical framework of ecological stoichiometry has great potential in this context, but it has rarely been used to develop an integrated understanding of the biogeochemical and ecological effects of altered fire regime across trophic levels. Using one of the world's longest-running fire experiments, located in Queensland, Australia, we carried out a comprehensive investigation into the stoichiometric consequences of a decadal-scale divergence in prescribed fire frequency and their links to coinciding changes in various ecological characteristics of forest floor microbial and invertebrate communities. Compared to long-term fire exclusion, forty-three years of biennial burning led to significantly N-depleted and/or P-enriched stoichiometry in soil, leaf litter, leaf litter-associated microbial biomass, and certain groups of invertebrates, although total invertebrate community stoichiometry was not affected. Microbial biomass was 42% lower in biennially burned soils. Invertebrate community composition differed between fire regime treatments on some sampling dates, but fire regime did not have consistent effects on invertebrate biomass or abundance. Microbial biomass and the abundances of some invertebrate taxa were depressed at particularly low and/or high resource N:P, consistent with a coupling of these variables to the stoichiometric effects of decadal-scale fire regime. Litter transplants likewise indicated that some invertebrate abundances were sensitive to litter properties over 12 months. Together, our results indicate that long-term changes in fire regime can decouple the within-ecosystem cycling of N and P, with N and P cycling growing more and less conservative, respectively, under high-frequency fire in a way that propagates throughout forest floor food webs. Our study provides new insights into the coupled biogeochemical and ecological responses of forest ecosystems to novel fire regimes and establishes a basis for a stoichiometric framework for fire ecology.</t>
  </si>
  <si>
    <t>e01477</t>
  </si>
  <si>
    <t>10.1002/ecm.1477</t>
  </si>
  <si>
    <t>Jellyman, PG; Booker, DJ; McIntosh, AR</t>
  </si>
  <si>
    <t>Quantifying the direct and indirect effects of flow-related disturbance on stream fish assemblages</t>
  </si>
  <si>
    <t>assemblage structure; disturbance; fish; flow variability; stream</t>
  </si>
  <si>
    <t>FOOD-CHAIN LENGTH; COMMUNITY STRUCTURE; INVERTEBRATE COMMUNITIES; SPECIES COMPOSITION; TOP-DOWN; STABILITY; HABITAT; RIVER; DYNAMICS; ABUNDANCE</t>
  </si>
  <si>
    <t>Flood-related disturbances are predicted to be seriously altered by climate change effects, and this will have strong implications for stream communities. Predicting how and why community structure responds to changes in disturbance regimes will require measures of disturbance that are closely linked to community variability. A range of disturbance measures have been tested for their ability to explain patterns in stream periphyton and invertebrate assemblages, but assessments of fish have largely focussed on flow measures as predictors. Consequently, the mechanisms driving fish assemblage responses to disturbance are poorly known. Stream disturbance was quantified using seven measures, three based on disturbance of the streambed (assessed using painted tracer particles), three associated with variation in stream discharge and one from a subjective measure of stream channel stability. Twenty streams were sampled on five occasions to evaluate which disturbance measure explained the most variation in fish assemblages and also to quantify the influence of disturbance on spatial and temporal assemblage variability. To determine whether disturbance affected fish directly or via its effect on benthic food supply (i.e. stream invertebrates), a one-off survey of 52 streams was conducted. Path analysis on data from the 20 streams indicated that fish biomass responded most strongly to flow-mediated bed movement, not flow variability. Consequently, bed-movement measures were better predictors of spatial and temporal variability in fish biomass and assemblage structure than purely hydrological measures. Furthermore, variations in fish biomass and assemblage structure were higher in more disturbed streams. A second path analysis conducted on data from the 52 stream survey compared the effects of physical habitat and food-related components of bed disturbance on fish biomass. It indicated that both had a similar influence on disturbance-related reductions in fish biomass. These results indicate that variation in fish assemblages can best be understood by measuring or predicting bed movement, because bed disturbance is likely to encompass more effectively major factors that influence stream fish, such as habitat availability and food supply. A shift in disturbance regime is likely to change the biomass of fish a habitat can support and fish assemblage structure.</t>
  </si>
  <si>
    <t>10.1111/fwb.12238</t>
  </si>
  <si>
    <t>Detto, M; Molini, A; Katul, G; Stoy, P; Palmroth, S; Baldocchi, D</t>
  </si>
  <si>
    <t>Causality and Persistence in Ecological Systems: A Nonparametric Spectral Granger Causality Approach</t>
  </si>
  <si>
    <t>spectral Granger causality; complex systems; periodic forcing; photosynthesis-respiration coupling</t>
  </si>
  <si>
    <t>PRODUCER-DECOMPOSER INTERACTIONS; CARBON-DIOXIDE; SOIL RESPIRATION; ROOT RESPIRATION; ELEVATED CO2; TIME; DYNAMICS; FOREST; PHOTOSYNTHESIS; PINE</t>
  </si>
  <si>
    <t>Directionality in coupling, defined as the linkage relating causes to their effects at a later time, can be used to explain the core dynamics of ecological systems by untangling direct and feedback relationships between the different components of the systems. Inferring causality from measured ecological variables sampled through time remains a formidable challenge further made difficult by the action of periodic drivers overlapping the natural dynamics of the system. Periodicity in the drivers can often mask the self-sustained oscillations originating from the autonomous dynamics. While linear and direct causal relationships are commonly addressed in the time domain, using the well-established machinery of Granger causality (G-causality), the presence of periodic forcing requires frequency-based statistics (e. g., the Fourier transform), able to distinguish coupling induced by oscillations in external drivers from genuine endogenous interactions. Recent nonparametric spectral extensions of G-causality to the frequency domain pave the way for the scale-by-scale decomposition of causality, which can improve our ability to link oscillatory behaviors of ecological networks to causal mechanisms. The performance of both spectral G-causality and its conditional extension for multivariate systems is explored in quantifying causal interactions within ecological networks. Through two case studies involving synthetic and actual time series, it is demonstrated that conditional G-causality outperforms standard G-causality in identifying causal links and their concomitant timescales.</t>
  </si>
  <si>
    <t>10.1086/664628</t>
  </si>
  <si>
    <t>Ometto, JPH; Flanagan, LB; Martinelli, LA; Ehleringer, JR</t>
  </si>
  <si>
    <t>Oxygen isotope ratios of waters and respired CO2 in Amazonian forest and pasture ecosystems</t>
  </si>
  <si>
    <t>carbon cycle; carbon dioxide (CO2); oxygen isotope ratio; photosynthesis; respiration; stable isotope ratio; tropical forests</t>
  </si>
  <si>
    <t>LEAF WATER; ATMOSPHERIC CO2; 3-DIMENSIONAL SYNTHESIS; MECHANISTIC MODEL; STABLE-ISOTOPES; CARBON-DIOXIDE; CLIMATE-CHANGE; RAIN-FOREST; DELTA O-18; RESPIRATION</t>
  </si>
  <si>
    <t>The oxygen isotope ratio (delta(18)O, SMOW) of atmospheric CO, is a powerful indicator of large-scale CO, exchange on land. Oxygen isotopic exchange between CO, and water in leaves and soils controls the delta(18)O of atmospheric CO, Currently there is little empirical information on the spatial and temporal variation in the delta(18)O of leaf and stem water in tropical ecosystems. We measured the seasonal dynamics of delta(18)O in atmospheric CO, and water in different ecosystem compartments in both primary forest and pasture ecosystems in three different regions of the Amazonian Basin of Brazil (Ji-Parana, Manaus, and Santarem). Within regions, the source (stem) water delta(18)O values for primary forests and pastures were similar;, neither vegetation type exhibited distinct wet-dry season patterns. Daytime leaf water isotope ratios were strongly correlated with predictions of the Craig-Gordon model. The delta(18)O value of leaf water was positively correlated with leaf height above ground because of associated variation in vapor pressure deficit and the delta(18)O of atmospheric water vapor within forest canopies. Consistent with these observations, the delta(18)O value of leaf cellulose was positively correlated with forest height. Leaf water from pasture grasses was more 180 enriched than leaf water from forest vegetation. There was a tendency for daytime leaf water to be more enriched in 180 during the dry season, reflecting generally lower humidity conditions during the dry season. Nighttime measurements of the oxygen isotope ratio of ecosystem respired CO2 in both forest and pasture vegetation were not consistent with values expected for CO2 in equilibrium with stem (soil) water, despite nighttime vapor pressure deficits close to. zero. Apparently, the delta(18)O of leaf water lagged and did not attain isotopic equilibrium at night. Thus, the deviation of nighttime delta(18)O values of ecosystem respiration from that expected from a CO2 efflux in equilibrium with soil (stem) water increased as delta(18)O values of ecosystem respiration became 180 enriched. Discrimination against CO2 containing 110 (DeltaC(18)OO) during photosynthesis was calculated based on measured leaf water delta(18)O values. Forests had consistently higher modeled DeltaC(18)OO values than pastures. The daytime isotope effects we calculate for photosynthesis and respiration were consistent with previous model predictions of a strong depletion of 110 in atmospheric CO2 over the Amazon Basin of Brazil.</t>
  </si>
  <si>
    <t>10.1890/03-5047</t>
  </si>
  <si>
    <t>Hobbs, JA; Castillo, G; Tigan, G; Lindberg, J; Ikemiyagi, N; Ramos, G</t>
  </si>
  <si>
    <t>Tagging the next generation: validation of trans-generational chemical tagging for an endangered fish</t>
  </si>
  <si>
    <t>Otolith; Microchemistry; Trans-generational chemical tag; Delta smelt; Laser ablation</t>
  </si>
  <si>
    <t>CORAL-REEF FISH; OTOLITH ELEMENTAL FINGERPRINTS; TRANSGENERATIONAL MARKING; MARINE POPULATIONS; STRONTIUM CHLORIDE; SELF-RECRUITMENT; STABLE-ISOTOPES; STRIPED BASS; LARVAL; GROWTH</t>
  </si>
  <si>
    <t>In this study we validated marking offspring through peritoneal injection of ripe females using two concentrations of strontium (strontium chloride hexahydrate). Larvae from treatments were monitored for condition morphometrics and tested for chemical mark incorporation in their otoliths via laser ablation inductively coupled plasma mass spectrometry (LA-ICPMS) to quantify the strontium concentration (Sr/Ca) and laser ablation multi-collector inductively coupled plasma mass spectrometry (LA-MC-ICPMS) to measure the strontium isotope ratios (Sr-87:Sr-86) of otoliths. Otolith strontium concentrations and strontium isotopes ratios were elevated in the high-concentration treatment, while the low-concentration and control treatments were not significantly different from each other. Larval size and eye diameter at hatch were similar among treatments; however, yolk and oil globule diameters were significantly reduced in the high-concentration treatment. Moreover, growth rates after 60 days post-hatch were significantly reduced in the high-concentration treatment relative to the low-concentration and control treatments, suggesting trans-generational tagging can have deleterious effects on offspring. Our study provides evidence for the efficacy of artificially marking offspring via injection of strontium into ripe females and could provide new tools for managing endangered fish populations; however, careful consideration of chemical concentrations and dosages may be required prior to its application in a fisheries management experiment.</t>
  </si>
  <si>
    <t>10.1007/s10641-012-0034-1</t>
  </si>
  <si>
    <t>Gobbi, M; Caccianiga, M; Cerabolini, B; De Bernardi, F; Luzzaro, A; Pierce, S</t>
  </si>
  <si>
    <t>Plant adaptive responses during primary succession are associated with functional adaptations in ground beetles on deglaciated terrain</t>
  </si>
  <si>
    <t>Carabid beetles; Functional traits; Primary succession; Species richness; Vascular plants</t>
  </si>
  <si>
    <t>GLACIER FORELAND; CLIMATE-CHANGE; ALPINE; COLEOPTERA; DIVERSITY; TRAITS; INVERTEBRATES; BIODIVERSITY; COMMUNITIES; ASSEMBLAGES</t>
  </si>
  <si>
    <t>Little is known of how changes in plant function may influence adaptive traits amongst animals further up the food chain. We addressed the hypothesis that shifts in plant functional traits are associated with the adaptive function of animal species which have an indirect trophic link. We compared community characteristics and functional traits of two trophically detached biotic groups (vascular plants and carabid beetles) along a primary succession on terrain at the Cedec glacier in the Alps, where deglaciation events following post-Little Ice Age climate warmings are marked by moraine ridges. Morphofunctional traits were recorded: canopy height (CH), leaf dry matter content (LDMC), leaf dry weight (LDW) and specific leaf area (SLA) (for plants) and the number of brachypterous, autumn-breeding and predator species, and average body length (for carabid beetles). We found that vegetation cover and plant species richness gradually increased throughout early succession, with an abrupt increase between 40 and 150 years after deglaciation. At the early stages of the succession plant traits were typical of ruderal species (high SLA, low CH, LDW) whilst a shift in traits towards stress-tolerance (low SLA) occurred &gt;150 years. Carabid communities and traits changed alongside changes in plant species richness and cover, with late successional vegetation hosting larger, more diverse, less mobile carabid species with longer larval development. Thus, ruderal plant strategies are the main contributors during vegetation development, determining vegetation quantity, and probably have the greatest impact on changes in carabid assemblages by regulating resource availability. Plants then require greater stress-tolerance to survive in stable vegetation, which supports high carabid diversity. This suggests that different plant strategies may affect ground beetle communities via contrasting mechanisms: both quantities (biomass, species richness) and qualities (functional traits, adaptive strategies) should be taken into account during studies of plant-animal interactions within ecosystems.</t>
  </si>
  <si>
    <t>10.1556/ComEc.11.2010.2.11</t>
  </si>
  <si>
    <t>Lewicka-Szczebak, D; Dyckmans, J; Kaiser, J; Marca, A; Augustin, J; Well, R</t>
  </si>
  <si>
    <t>Oxygen isotope fractionation during N2O production by soil denitrification</t>
  </si>
  <si>
    <t>NITROUS-OXIDE; ENRICHMENT FACTORS; NITRIFICATION; EXCHANGE; NITRATE; SIGNATURES; REDUCTION; N-15; CALIBRATION; NITRITE</t>
  </si>
  <si>
    <t>The isotopic composition of soil-derived N2O can help differentiate between N2O production pathways and estimate the fraction of N2O reduced to N-2. Until now, delta O-18 of N2O has been rarely used in the interpretation of N2O isotopic signatures because of the rather complex oxygen isotope fractionations during N2O production by denitrification. The latter process involves nitrate reduction mediated through the following three enzymes: nitrate reductase (NAR), nitrite reductase (NIR) and nitric oxide reductase (NOR). Each step removes one oxygen atom as water (H2O), which gives rise to a branching isotope effect. Moreover, denitrification intermediates may partially or fully exchange oxygen isotopes with ambient water, which is associated with an exchange isotope effect. The main objective of this study was to decipher the mechanism of oxygen isotope fractionation during N2O production by soil denitrification and, in particular, to investigate the relationship between the extent of oxygen isotope exchange with soil water and the delta O-18 values of the produced N2O. In our soil incubation experiments Delta O-17 isotope tracing was applied for the first time to simultaneously determine the extent of oxygen isotope exchange and any associated oxygen isotope effect. We found that N2O formation in static anoxic incubation experiments was typically associated with oxygen isotope exchange close to 100% and a stable difference between the O-18/O-16 ratio of soil water and the N2O product of delta O-18(N2O/H2O) = (17.5 +/- 1.2) %. However, flow-through experiments gave lower oxygen isotope ex-change down to 56% and a higher delta O-18(N2O = H2O) of up to 37 %. The extent of isotope exchange and delta O-18(N2O = H2O) showed a significant correlation (R-2 = 0.70, p &lt; 0.00001). We hypothesize that this observation was due to the contribution of N2O from another production process, most probably fungal denitrification. An oxygen isotope fractionation model was used to test various scenarios with different magnitudes of branching isotope effects at different steps in the reduction process. The results suggest that during denitrification, isotope exchange occurs prior to isotope branching and that this exchange is mostly associated with the enzymatic nitrite reduction mediated by NIR. For bacterial denitrification, the branching isotope effect can be surprisingly low, about (0.0 +/- 0.9) %, in contrast to fungal denitrification where higher values of up to 30% have been reported previously. This suggests that delta O-18 might be used as a tracer for differentiation between bacterial and fungal denitrification, due to their different magnitudes of branching isotope effects.</t>
  </si>
  <si>
    <t>10.5194/bg-13-1129-2016</t>
  </si>
  <si>
    <t>Gurney, LJ; Pakhomov, EA; Christensen, V</t>
  </si>
  <si>
    <t>An ecosystem model of the Prince Edward Island archipelago</t>
  </si>
  <si>
    <t>Prince Edward Islands; Southern ocean; Ecosystem model; Ecopath</t>
  </si>
  <si>
    <t>DISSOSTICHUS-ELEGINOIDES RESOURCE; SOUTHERN ELEPHANT SEAL; PATAGONIAN TOOTHFISH; FUR SEALS; FOOD-CONSUMPTION; MARINE MAMMALS; TROPHIC MODEL; FISH; BIOMASS; TRENDS</t>
  </si>
  <si>
    <t>A model of an ecosystem provides a useful tool for the exploration of management options to achieve desired objectives. With the move to a more holistic approach to marine resource management, ecosystem models and the indicators that can be derived using them, are providing a means to move away from single species management and allow for the ecosystem effects of population dynamics to be explored. This work describes the construction of an ecosystem model of the Prince Edward archipelago. The archipelago consists of two islands, Marion and Prince Edward, which are situated southeast of the southern tip of Africa at 46 degrees 46'S,37 degrees 51'E. The islands are host to millions of seabirds and seals that use the islands as a refuge for breeding and moulting. Using the Ecopath software, the ecosystem is described across three separate decades (1960s, 1980s, 2000s). All trophic links are described based on the rich published literature that exists for the islands. Local survey data for population estimates and trophic linkages were sourced for defining and quantifying the food web. The system is summarised into 37 functional groups which include 4 primary producer groups at the lower trophic spectrum, and 14 land based top predator groups (seals and seabirds) representing the majority of the higher trophic levels. Two detrital groups are included. The food web is compared across the three time periods with transfer efficiencies declining for the higher trophic levels through time, suggesting a decline in energetic coupling between groups. Comparison of the PEI ecosystem with eight other modeled sub Antarctic/Antarctic systems showed the ecosystem size (as measured in total biomass throughput per year, year(-1)) to be lower than all other systems and was found to be most similar to the Kerguelen Islands for the ecological metrics assessed. Future research priorities are highlighted based on an assessment of data availability, data gaps and sensitivity testing. The construction of this model provides a much needed tool for the advancement of management for the archipelago, which have both fisheries and conservation concerns. (C) 2014 Elsevier B.V. All rights reserved.</t>
  </si>
  <si>
    <t>10.1016/j.ecolmodel.2014.09.008</t>
  </si>
  <si>
    <t>Kayler, ZE; Badrian, M; Frackowski, A; Rieckh, H; Nitzsche, KN; Kalettka, T; Merz, C; Gessler, A</t>
  </si>
  <si>
    <t>Ephemeral kettle hole water and sediment temporal and spatial dynamics within an agricultural catchment</t>
  </si>
  <si>
    <t>evaporation; hydrologic connectivity; hydroperiod; kettle holes; sediment biogeochemistry; stable isotopes</t>
  </si>
  <si>
    <t>HYDROLOGY; LANDSCAPES; CARBON</t>
  </si>
  <si>
    <t>Kettle holes are glacially created ponds that form within landscape depressions and are numerous across young moraine landscapes. Kettle hole water budgets are based primarily on winter precipitation, and therefore, undergo pronounced short-term changes in water level fluctuations. Little is known about kettle hole sediment biogeochemistry in NE Germany, especially with regards to hydroperiod. Our objective for this study was to link the abiotic influences demarked by the evaporative isotopic signal from kettle hole water and solute chemistry to sediment organic matter turnover imprinted in the sediment C-13 and N-15 isotopic values. From the 20 kettle holes we sampled, 19 of these completely dried out, but on different dates. This dynamic was partially explained by longitudinal and elevational changes over the catchment area illustrating regional controls of kettle hole water balance. At the scale of an individual kettle hole, we estimated evaporation explained up to 38% of water volume loss. The changes in water levels were weakly related to differences in surface sediment elemental N and C concentrations between kettle hole edge and centre positions. These dynamics were primarily driven by redox conditions, Ca2+, and several nutrient concentrations (dissolved organic carbon, total dissolved nitrogen, total dissolved P, and ammonium) in the water column. Although we did not detect differences in the surface sediment C-13 and N-15 values, the N-15 signature in relation to the C:N ratio highlights the advanced decomposition state of surface sediment OM in temporarily water filled kettle holes.</t>
  </si>
  <si>
    <t>e1929</t>
  </si>
  <si>
    <t>10.1002/eco.1929</t>
  </si>
  <si>
    <t>Leu, E; Wiktor, J; Soreide, JE; Berge, J; Falk-Petersen, S</t>
  </si>
  <si>
    <t>Increased irradiance reduces food quality of sea ice algae</t>
  </si>
  <si>
    <t>Fatty acid composition; PUFA; Ice algae; Irradiance; Arctic; Diatom; Stable isotopes</t>
  </si>
  <si>
    <t>PHOTOSYNTHETIC ENERGY-CONVERSION; SOUTHEASTERN HUDSON-BAY; FATTY-ACID-COMPOSITION; HIGH-ARCTIC FJORD; SPRING BLOOM; BARENTS SEA; MCMURDO-SOUND; TROPHIC RELATIONSHIPS; NUTRIENT LIMITATION; EXTREME CONDITIONS</t>
  </si>
  <si>
    <t>The accelerating decrease of Arctic sea ice substantially changes the growth conditions for primary producers, particularly with respect to light. This affects the biochemical composition of sea ice algae, which are an essential high-quality food source for herbivores early in the season. Their high nutritional value is related to their content of polyunsaturated fatty acids (PUFAs), which play an important role for successful maturation, egg production, hatching and nauplii development in grazers. We followed the fatty acid composition of an assemblage of sea ice algae in a high Arctic fjord during spring from the early bloom stage to post bloom. Light conditions proved to be decisive in determining the nutritional quality of sea ice algae, and irradiance was negatively correlated with the relative amount of PUFAs. Algal PUFA content decreased on average by 40% from April to June, while algal biomass (measured as particulate carbon, C) did not differ. This decrease was even more pronounced when algae were exposed to higher irradiances due to reduced snow cover. The ratio of chlorophyll a (chl a) to C, as well as the level of photoprotective pigments, confirmed a physiological adaptation to higher light levels in algae of poorer nutritional quality. We conclude that high irradiances are detrimental to sea ice algal food quality, and that the biochemical composition of sea ice algae is strongly dependent on growth conditions.</t>
  </si>
  <si>
    <t>10.3354/meps08647</t>
  </si>
  <si>
    <t>Van de Broek, M; Vandendriessche, C; Poppelmonde, D; Merckx, R; Temmerman, S; Govers, G</t>
  </si>
  <si>
    <t>Long-term organic carbon sequestration in tidal marsh sediments is dominated by old-aged allochthonous inputs in a macrotidal estuary</t>
  </si>
  <si>
    <t>macrotidal estuary; organic carbon fractionation; organic carbon sequestration; radiocarbon; soil organic carbon; tidal marsh</t>
  </si>
  <si>
    <t>NITROGEN STABLE-ISOTOPES; SCHELDT ESTUARY; FRESH-WATER; SALT-MARSH; SALINITY GRADIENT; CLIMATE-CHANGE; SEA-LEVEL; SUSPENDED MATTER; COASTAL WETLANDS; NORTH-SEA</t>
  </si>
  <si>
    <t>Tidal marshes are vegetated coastal ecosystems that are often considered as hot-spots of atmospheric CO2 sequestration. Although large amounts of organic carbon (OC) are indeed being deposited on tidal marshes, there is no direct link between high OC deposition rates and high OC sequestration rates due to two main reasons. First, the deposited OC may become rapidly decomposed once it is buried and, second, a significant part of preserved OC may be allochthonous OC that has been sequestered elsewhere. In this study we aimed to identify the mechanisms controlling long-term OC sequestration in tidal marsh sediments along an estuarine salinity gradient (Scheldt estuary, Belgium and the Netherlands). Analyses of deposited sediments have shown that OC deposited during tidal inundations is up to millennia old. This allochthonous OC is the main component of OC that is effectively preserved in these sediments, as indicated by the low radiocarbon content of buried OC. Furthermore, OC fractionation showed that autochthonous OC is decomposed on a decadal timescale in saltmarsh sediments, while in freshwater marsh sediments locally produced biomass is more efficiently preserved after burial. Our results show that long-term OC sequestration is decoupled from local biomass production in the studied tidal marsh sediments. This implies that OC sequestration rates are greatly overestimated when they are calculated based on short-term OC deposition rates, which are controlled by labile autochthonous OC inputs. Moreover, as allochthonous OC is not sequestered in-situ, it does not contribute to active atmospheric CO2 sequestration in these ecosystems. A correct assessment of the contribution of allochthonous OC to the total sedimentary OC stock in tidal marsh sediments as well as a correct understanding of the long-term fate of locally produced OC are both necessary to avoid overestimations of the rate of in-situ atmospheric CO2 sequestration in tidal marsh sediments.</t>
  </si>
  <si>
    <t>10.1111/gcb.14089</t>
  </si>
  <si>
    <t>Ravinet, M; Syvaranta, J; Jones, RI; Grey, J</t>
  </si>
  <si>
    <t>A trophic pathway from biogenic methane supports fish biomass in a temperate lake ecosystem</t>
  </si>
  <si>
    <t>RUFFE GYMNOCEPHALUS-CERNUUS; PERCA-FLUVIATILIS; PRODUCTIVITY GRADIENT; SEASONAL-CHANGES; CARBON; VARIABILITY; ABUNDANCE; BACTERIA; DIET; L.</t>
  </si>
  <si>
    <t>Although some primary consumers such as chironomid larvae are known to exploit methane-derived carbon via microbial consortia within aquatic food webs, few studies have traced the onward transfer of such carbon to their predators. The ruffe Gymnocephalus cernuus is a widespread benthivorous fish which feeds predominantly on chironomid larvae and is well adapted for foraging at lower depths than other percids. Therefore, any transfer of methanogenic carbon to higher trophic levels might be particularly evident in ruffe. We sampled ruffe and chironomid larvae from the littoral, sub-littoral and profundal areas of Jyvasjarvi, Finland, a lake which has previously been shown to contain chironomid larvae exhibiting the very low stable carbon isotope ratios indicative of methane exploitation. A combination of Fish gut content examination and stable isotope analysis was used to determine trophic linkages between Fish and their putative prey. Irrespective of the depth from which the ruffe were caught, their diet was dominated by chironomids and pupae although the proportions of taxa changed. Zooplankton made a negligible contribution to ruffe diet. A progressive decrease in delta C-13 and delta N-15 values with increasing water column depth was observed for both chironomid larvae and ruffe, but not for other species of benthivorous fish. Furthermore, ruffe feeding at greater depths were significantly larger than those feeding in the littoral, suggesting an ontogenetic shift in habitat use, rather than diet, as chironomids remained the predominant prey item. The outputs from isotope mixing models suggested that the incorporation of in ethane-derived carbon to larval chironomid biomass through feeding on methanotrophic bacteria increased at greater depth, varying from 0% in the littoral to 28% in the profundal. Using these outputs and the proportions of littoral, sub-littoral or profundal chironomids contributing to ruffe biomass, we estimated that 17% of ruffe biomass in this lake was ultimately derived from chemoauotrophic sources. Methanogenic carbon thus supports considerable production of higher trophic levels in lakes.</t>
  </si>
  <si>
    <t>10.1111/j.1600-0706.2009.17859.x</t>
  </si>
  <si>
    <t>Albo-Puigserver, M; Borme, D; Coll, M; Tirelli, V; Palomera, I; Navarro, J</t>
  </si>
  <si>
    <t>Trophic ecology of range-expanding round sardinella and resident sympatric species in the NW Mediterranean</t>
  </si>
  <si>
    <t>Gelatinous zooplankton; Sardine; Anchovy; Small pelagic fish; Trophic segregation; Stable isotopes; Stomach contents; Trophic pathways</t>
  </si>
  <si>
    <t>ANCHOVY ENGRAULIS-ENCRASICOLUS; SMALL PELAGIC FISH; EUROPEAN ANCHOVY; JELLYFISH POPULATIONS; SEASONAL-CHANGES; FEEDING-HABITS; AURITA; SEA; DIET; PILCHARDUS</t>
  </si>
  <si>
    <t>The recent northward expansion of the round sardinella Sardinella aurita in the Mediterranean Sea has been documented as a consequence of rising sea temperature. At the same time, declines in sardine and anchovy biomass have been observed in the NW Mediterranean Sea, necessitating an assessment of whether the expansion of round sardinella may affect sardine and anchovy populations. Here, we combined stomach content and isotopic analyses to describe the trophic habits of round sardinella in the NW Mediterranean Sea and its trophic relationships with 2 sympatric small pelagic fish, European anchovy Engraulis encrasicolus and European pilchard Sardina pilchard us. Results revealed changes in the diet of round sardinella during the year. In summer, the most important prey were copepods (Acartia spp.) and cladocerans (Pentlia avirostris). During winter, the diet was composed mainly of copepods and tunicates (mainly appendicularians), but microplankton was also numerically important in adult diets. In contrast to previous studies, during spring, round sardinella principally fed on salps (Thaliacea). To our knowledge, this is the first time that salps have been identified as an important prey for round sardinella. When compared to coexisting small pelagic fish, we found that round sardinella adults had a different trophic niche than anchovy and sardine. In contrast, round sardinella juveniles partially overlapped the trophic niche with the juveniles of the other 2 species. Therefore, the range expansion of round sardinella probably would not affect sardine and anchovy populations. Only in a situation of food limitation could juveniles of round sardinella compete with and affect both sympatric species. Our results provide new insights into the ecological role of this range-expanding species in the NW Mediterranean Sea, and highlight the importance of gelatinous zooplankton as prey.</t>
  </si>
  <si>
    <t>10.3354/meps12962</t>
  </si>
  <si>
    <t>Multi-indicator evidence for habitat use and trophic strategy segregation of two sympatric forms of Arctic char from the Cumberland Sound region of Nunavut, Canada</t>
  </si>
  <si>
    <t>Arctic char; ecotype; trophic niche</t>
  </si>
  <si>
    <t>FATTY-ACID-COMPOSITION; SALVELINUS-ALPINUS-L; SALMON SALMO-SALAR; SOUTHERN BAFFIN-ISLAND; SHARKS SOMNIOSUS-MICROCEPHALUS; CAPELIN MALLOTUS-VILLOSUS; FRESH-WATER; STABLE-ISOTOPES; LIPID-COMPOSITION; BELUGA WHALES</t>
  </si>
  <si>
    <t>We analyzed Arctic char (Salvelinus alpinus (Linnaeus, 1758)) stable isotope ratios and fatty acid composition from two geographically proximal Nunavut lakes, Qasigiyat and Iqalugaarjuit, to determine if anadromous and resident Arctic char occupied different trophic niches. Resident Arctic char had lower delta C-13 and delta S-34, indicative of freshwater feeding, compared with anadromous individuals. Significantly lower delta N-15 of residents suggests the ecotypes feed at different trophic levels. Significantly wider delta C-13 and delta N-15 ranges in residents implied a broader trophic niche or a wider range in baseline prey isotope values. Results also provide further evidence for resident use of the estuarine environment in Qasigiyat. Immature Arctic char occupy a different trophic niche than both resident and anadromous fish within Iqalugaarjuit, but this relationship is less clear in Qasigiyat. Distinct stable isotope and fatty acid profiles indicate that resident and anadromous Arctic char have distinct trophic niches: marine for anadromous, freshwater for resident. Immature Arctic char seem to occupy a distinct niche from both anadromous and resident fish, which likely relates to use of both freshwater and estuarine environments, depending on developmental stage. We show the first evidence of the fatty acid differences and niche segregation between sympatric anadromous and resident ecotypes in Arctic char.</t>
  </si>
  <si>
    <t>10.1139/as-2019-0039</t>
  </si>
  <si>
    <t>Ehrich, D; Cerezo, M; Rodnikova, AY; Sokolova, NA; Fuglei, E; Shtro, VG; Sokolov, AA</t>
  </si>
  <si>
    <t>Vole abundance and reindeer carcasses determine breeding activity of Arctic foxes in low Arctic Yamal, Russia</t>
  </si>
  <si>
    <t>Food web; Numerical response; Reindeer carcasses; Small rodent community; Vole cycle; Diet; Vulpes lagopus</t>
  </si>
  <si>
    <t>ALOPEX-LAGOPUS; CLIMATE-CHANGE; PREY; POPULATION; DYNAMICS; PREDATORS; ECOSYSTEM; CYCLES; TUNDRA</t>
  </si>
  <si>
    <t>Background: High latitude ecosystems are at present changing rapidly under the influence of climate warming, and specialized Arctic species at the southern margin of the Arctic may be particularly affected. The Arctic fox (Vulpes lagopus), a small mammalian predator endemic to northern tundra areas, is able to exploit different resources in the context of varying tundra ecosystems. Although generally widespread, it is critically endangered in subarctic Fennoscandia, where a fading out of the characteristic lemming cycles and competition with abundant red foxes have been identified as main threats. We studied an Arctic fox population at the Erkuta Tundra Monitoring site in low Arctic Yamal (Russia) during 10 years in order to determine which resources support the breeding activity in this population. In the study area, lemmings have been rare during the last 15 years and red foxes are nearly absent, creating an interesting contrast to the situation in Fennoscandia. Results: Arctic fox was breeding in nine of the 10 years of the study. The number of active dens was on average 2.6 (range 0-6) per 100 km(2) and increased with small rodent abundance. It was also higher after winters with many reindeer carcasses, which occurred when mortality was unusually high due to icy pastures following rain-on-snow events. Average litter size was 5.2 (SD = 2.1). Scat dissection suggested that small rodents (mostly Microtus spp.) were the most important prey category. Prey remains observed at dens show that birds, notably waterfowl, were also an important resource in summer. Conclusions: The Arctic fox in southern Yamal, which is part of a species-rich low Arctic food web, seems at present able to cope with a state shift of the small rodent community from high amplitude cyclicity with lemming dominated peaks, to a vole community with low amplitude fluctuations. The estimated breeding parameters characterized the population as intermediate between the lemming fox and the coastal fox ecotype. Only continued ecosystem-based monitoring will reveal their fate in a changing tundra ecosystem.</t>
  </si>
  <si>
    <t>10.1186/s12898-017-0142-z</t>
  </si>
  <si>
    <t>Ding, WT; Tsunogai, U; Nakagawa, F; Sambuichi, T; Chiwa, M; Kasahara, T; Shinozuka, K</t>
  </si>
  <si>
    <t>Stable isotopic evidence for the excess leaching of unprocessed atmosphericnitrate from forested catchments under high nitrogen saturation</t>
  </si>
  <si>
    <t>TRIPLE OXYGEN ISOTOPES; WATER RESIDENCE TIMES; QUANTIFYING NITRATE DYNAMICS; FLOW PATHS; EXPORT; DELTA-O-17; ECOSYSTEM; STREAMS; MODEL; OXIDE</t>
  </si>
  <si>
    <t>Owing to the elevated loading of nitrogen through atmospheric deposition, some forested ecosystems become nitrogen saturated, from which elevated levels of nitrate are exported. The average concentration of stream nitrate eluted from upstream and downstream of the Kasuya Research forested catchments (FK1 and FK2 catchments) in Japan were more than 90 mu M, implying that these forested catchments were under nitrogen saturation. To verify that these forested catchments were under the nitrogen saturation, we determined the export flux of unprocessed atmospheric nitrate relative to the entire deposition flux (M-atm / D(atm )ratio) in these catchments; because the M-atm / D-atm ratio has re-cently been proposed as a reliable index to evaluate nitro-gen saturation in forested catchments. Specifically, we determined the temporal variation in the concentrations and stable isotopic compositions, including delta O-17, of stream nitrate in the FK catchments for more than 2 years. In addition, for comparison, the same parameters were also monitored in the Shiiba Research forested catchment (MY catchment) in Japan during the same period, where the average stream nitrate concentration was low, less than 10 mu M. While showing the average nitrate concentrations of 109.5, 90.9, and 7.3 mu M in FK1, FK2, and MY, respectively, the catchments showed average delta O-17 values of +2.6 %o, +1.5 %o, and +0.6 %o in FK1, FK2, and MY, respectively. Thus, the average concentration of unprocessed atmospheric nitrate ([NO3atm- ]) was estimated to be 10.8, 5.1, and 0.2 mu M in FK1, FK2, and MY, respectively, and the M-atm / D-atm ratio was estimated to be 14.1 %, 6.6 %, and 1.3 % in FK1, FK2, and MY, respectively. The estimated M-atm / D-atm ratio in FK1 (14.1 %) was the highest ever reported from temperate forested catch-ments monitored for more than 1 year. Thus, we concluded that nitrogen saturation was responsible for the enrichment of stream nitrate in the FK catchments, together with the elevated NO3atm- leaching from the catchments. While the stream nitrate concentration ([NO3- ]) can be affected by the amount of precipitation, the M-atm / D-atm ratio is independent of the amount of precipitation; thus, the M-atm / D-atm ratio can be used as a robust index for evaluating nitrogen saturation in forested catchments.</t>
  </si>
  <si>
    <t>10.5194/bg-20-753-2023</t>
  </si>
  <si>
    <t>Forsblom, L; Linden, A; Engstrom-Ost, J; Lehtiniemi, M; Bonsdorff, E</t>
  </si>
  <si>
    <t>Identifying biotic drivers of population dynamics in a benthic-pelagic community</t>
  </si>
  <si>
    <t>Baltic Sea; benthic&amp;#8211; pelagic coupling; density dependence; interactions; population dynamics; state&amp;#8208; space model</t>
  </si>
  <si>
    <t>BALTIC SEA ECOSYSTEM; MONOPOREIA-AFFINIS; DENSITY-DEPENDENCE; BIVALVE MACOMA; CLIMATE-CHANGE; RESTING EGGS; COASTAL; PHYTOPLANKTON; PREDATION; ZOOPLANKTON</t>
  </si>
  <si>
    <t>Benthic species and communities are linked to pelagic zooplankton through life-stages encompassing both benthic and pelagic habitats and through a mutual dependency on primary producers as a food source. Many zooplankton taxa contribute to the sedimentary system as benthic eggs. Our main aim was to investigate the nature of the population level biotic interactions between and within these two seemingly independent communities, both dependent on the pelagic primary production, while simultaneously accounting for environmental drivers (salinity, temperature, and oxygen conditions). To this end, we applied multivariate autoregressive state-space models to long (1966-2007) time series of annual abundance data, comparing models with and without interspecific interactions, and models with and without environmental variables included. We were not able to detect any direct coupling between sediment-dwelling benthic taxa and pelagic copepods and cladocerans on the annual scale, but the most parsimonious model indicated that interactions within the benthic community are important. There were also positive residual correlations between the copepods and cladocerans potentially reflecting the availability of a shared resource or similar seasonal dependence, whereas both groups tended to correlate negatively with the zoobenthic taxa. The most notable single interaction within the benthic community was a tendency for a negative effect of Limecola balthica on the amphipods Monoporeia affinis and Pontoporeia femorata which can help explain the observed decrease in amphipods due to increased competitive interference.</t>
  </si>
  <si>
    <t>10.1002/ece3.7298</t>
  </si>
  <si>
    <t>von Ronn, JAC; Harrod, C; Bensch, S; Wolf, JBW</t>
  </si>
  <si>
    <t>Transcontinental migratory connectivity predicts parasite prevalence in breeding populations of the European barn swallow</t>
  </si>
  <si>
    <t>avian malaria; avian migration; disease ecology; host-parasite interaction; plasmodium; stable isotope; C-13; N-15</t>
  </si>
  <si>
    <t>HIRUNDO-RUSTICA; ISOTOPE SIGNATURES; NATURAL-ABUNDANCE; WINTERING RANGES; STABLE-ISOTOPES; SOUTHERN AFRICA; CLIMATE-CHANGE; ARRIVAL DATE; MALARIA; BIRD</t>
  </si>
  <si>
    <t>Parasites exert a major impact on the eco-evolutionary dynamics of their hosts and the associated biotic environment. Migration constitutes an effective means for long-distance invasions of vector-borne parasites and promotes their rapid spread. Yet, ecological and spatial information on population-specific host-parasite connectivity is essentially lacking. Here, we address this question in a system consisting of a transcontinental migrant species, the European barn swallow (Hirundo rustica) which serves as a vector for avian endoparasites in the genera Plasmodium, Haemoproteus andLeucocytozoon. Using feather stable isotope ratios as geographically informative markers, we first assessed migratory connectivity in the host: Northern European breeding populations predominantly overwintered in dry, savannah-like habitats in Southern Africa, whereas Southern European populations were associated with wetland habitats in Western Central Africa. Wintering areas of swallows breeding in Central Europe indicated a migratory divide with both migratory programmes occurring within the same breeding population. Subsequent genetic screens of parasites in the breeding populations revealed a link between the host's migratory programme and its parasitic repertoire: controlling for effects of local breeding location, prevalence of Africa-transmitted Plasmodium lineages was significantly higher in individuals overwintering in the moist habitats of Western Central Africa, even among sympatrically breeding individuals with different overwintering locations. For the rarer Haemoproteus parasites, prevalence was best explained by breeding location alone, whereas no clear pattern emerged for the least abundant parasite Leucocytozoon. These results have implications for our understanding of spatio-temporal host-parasite dynamics in migratory species and the spread of avian borne diseases.</t>
  </si>
  <si>
    <t>10.1111/jeb.12585</t>
  </si>
  <si>
    <t>Rooker, JR; Dance, MA; Wells, RJD; Quigg, A; Hill, RL; Appeldoorn, RS; Ferreira, BP; Boswell, KM; Sanchez, PJ; Moulton, DL; Kitchens, LL; Rooker, GJ; Aschenbrenner, A</t>
  </si>
  <si>
    <t>Seascape connectivity and the influence of predation risk on the movement of fishes inhabiting a back-reef ecosystem</t>
  </si>
  <si>
    <t>acoustic telemetry; coral reef; foraging; habitat connectivity; migration; nursery habitat; stable isotopes</t>
  </si>
  <si>
    <t>CORAL-REEF; SEAGRASS BEDS; HAEMULON-FLAVOLINEATUM; HABITAT USE; ANTIPREDATOR BEHAVIOR; CARIBBEAN MANGROVES; GRUNTS HAEMULIDAE; PUERTO-RICO; TRADE-OFF; FOOD-WEB</t>
  </si>
  <si>
    <t>The mangrove-seagrass-patch reef (MSP) ecosystem serves as the principal back-reef nursery for many reef fishes in the Caribbean, but the functional roles of habitats that form this seascape remain unclear. We assessed ecosystem and trophic connectivity of two common reef fishes (schoolmaster, Lut-janus apodus; white grunt, Haemulon plumierii) and one predator (great barracuda, Sphyraena barracuda) in a Caribbean MSP ecosystem using acoustic telemetry and natural dietary tracers. Triangulated positions from an acoustic positioning system indicated that L. apodus and H. plumierii relied on multiple habitats within this MSP ecosystem, occupying areas with more cover (lower risk) during the day and areas with less cover (higher risk) at night. During the day, both species exhibited limited movement away from structured habitats (e.g., mangroves, patch reef) and avoided the primary activity space of S. barracuda in the central channel over sand bottom or seagrass. At night, L. apodus moved into the channel and adjacent seagrass beds on the margin of this high-risk area when S. barracuda occurrence was reduced, suggesting that this species adjusts its foraging activities to minimize encounter rates with predators. Haemulon plumierii also displayed distinct day-night shifts with directed movements at twilight across higher risk habitat to nighttime locations in seagrass. Conspicuous changes in the rate of movement were also detected at different times of the day, and observed mismatches between movement rates of S. barracuda and our two potential prey species appeared to be a behavioral response to reduce their vulnerability. Dietary tracer analysis supported the premise that observed shifts to nocturnal habitats were associated with foraging, with significant contributions of organic matter derived from nighttime locations. Findings from this study clearly demonstrate that the configuration of habitats and spatiotemporal variability in predation risk are key determinants of movement and foraging activities for these species, indicating that an improved understanding of seascape connectivity is critical to the management of reef-dependent species.</t>
  </si>
  <si>
    <t>e02200</t>
  </si>
  <si>
    <t>10.1002/ecs2.2200</t>
  </si>
  <si>
    <t>De Deurwaerder, HPT; Visser, MD; Detto, M; Boeckx, P; Meunier, F; Kuehnhammer, K; Magh, RK; Marshall, JD; Wang, LX; Zhao, LJ; Verbeeck, H</t>
  </si>
  <si>
    <t>Causes and consequences of pronounced variation in the isotope composition of plant xylem water</t>
  </si>
  <si>
    <t>RATIO INFRARED-SPECTROSCOPY; STABLE-ISOTOPES; SOIL-WATER; CANOPY TREES; SYSTEM; PARENCHYMA; HYDROGEN; OXYGEN; SAP; PERSPECTIVES</t>
  </si>
  <si>
    <t>Stable isotopologues of water are widely used to derive relative root water uptake (RWU) profiles and average RWU depth in lignified plants. Uniform isotope composition of plant xylem water (delta(xyl)) along the stem length of woody plants is a central assumption of the isotope tracing approach which has never been properly evaluated. Here we evaluate whether strong variation in delta(xyl) within woody plants exists using empirical field observations from French Guiana, northwestern China, and Germany. In addition, supported by a mechanistic plant hydraulic model, we test hypotheses on how variation in delta(xyl) can develop through the effects of diurnal variation in RWU, sap flux density, diffusion, and various other soil and plant parameters on the delta(xyl) of woody plants. The hydrogen and oxygen isotope composition of plant xylem water shows strong temporal (i.e., sub-daily) and spatial (i.e., along the stem) variation ranging up to 25.2 parts per thousand and 6.8 parts per thousand for delta H-2 and delta O-18, respectively, greatly exceeding the measurement error range in all evaluated datasets. Model explorations predict that significant delta(xyl) variation could arise from diurnal RWU fluctuations and vertical soil water heterogeneity. Moreover, significant differences in delta(xyl) emerge between individuals that differ only in sap flux densities or are monitored at different times or heights. This work shows a complex pattern of delta(xyl) transport in the soil-root-xylem system which can be related to the dynamics of RWU by plants. These dynamics complicate the assessment of RWU when using stable water isotopologues but also open new opportunities to study drought responses to environmental drivers. We propose including the monitoring of sap flow and soil matric potential for more robust estimates of average RWU depth and expansion of attainable insights in plant drought strategies and responses.</t>
  </si>
  <si>
    <t>10.5194/bg-17-4853-2020</t>
  </si>
  <si>
    <t>Quillien, N; Nordstrom, MC; Schaal, G; Bonsdorff, E; Grall, J</t>
  </si>
  <si>
    <t>Opportunistic basal resource simplifies food web structure and functioning of a highly dynamic marine environment</t>
  </si>
  <si>
    <t>Trophic web; Macrotidal sandy beach; Ulva; Zoobenthos; Isotopic metrics</t>
  </si>
  <si>
    <t>SANDY BEACH ECOSYSTEMS; STABLE-ISOTOPES; NICHE WIDTH; ALGAE; DELTA-C-13; COMMUNITY; NITROGEN; EUTROPHICATION; ACCUMULATION; BIODIVERSITY</t>
  </si>
  <si>
    <t>Carbon flow through ecosystems is determined by the nature, availability and incorporation of basal resources (BRs) to higher trophic levels of food webs. The occurrence of abundant supplementary BR often diversifies trophic niches within food webs. Blooms of opportunistic macroalgae, which may act as additional BRs, have increased in intensity, and are expected to amplify further because of global change. Understanding the effects of high biomasses of opportunistic BRs on the functioning of naturally unvegetated coastal ecosystems is thus crucial. We set out to assess whether and how green algae (opportunistic BR) modifies macrotidal sandy beach trophic structure and functioning. We also investigated whether these effects propagate up through the web, looking at different scales and trophic levels (i.e. primary producers, specific primary consumers, and the general higher-consumer assemblage). To achieve these objectives, we used a high-resolution field sampling (over 1200 individual stable isotope-, and 180 biodiversity samples) at pristine and macroalgal-bloom-affected macrotidal sandy beaches, together with recent and novel analytical approaches (biomass-weighted isotope signatures, Isotopic Functional Indices). We found that the opportunistic BR, both directly and indirectly affects the entire beach food web across several trophic levels, by inducing shifts in trophic interactions. Overall, we found that the dominance of a BR in the form of opportunistic algae simplifies the entire food web over time. Our findings challenge the paradigm that addition of BR inherently diversifies trophic interactions within an ecosystem, and have implications for the interpretation of shifts in dynamic system food webs and eutrophicated environments. (C) 2016 Elsevier B.V. All rights reserved.</t>
  </si>
  <si>
    <t>10.1016/j.jembe.2016.01.010</t>
  </si>
  <si>
    <t>Llopiz, JK; Cowen, RK</t>
  </si>
  <si>
    <t>Variability in the trophic role of coral reef fish larvae in the oceanic plankton</t>
  </si>
  <si>
    <t>Coral reef fish larvae; Larval fish; Feeding; Diets; Niche partitioning; Canonical correspondence analysis</t>
  </si>
  <si>
    <t>CANONICAL CORRESPONDENCE-ANALYSIS; STATES CONTINENTAL-SHELF; GREAT-BARRIER-REEF; FEEDING ECOLOGY; PELAGIC ECOSYSTEM; SOUTHERN BLUEFIN; NORTHERN GULF; MARINE FISH; PREY SIZE; FOOD</t>
  </si>
  <si>
    <t>The transport of larval coral reef fishes to juvenile habitat inherently requires that they survive the planktonic journey; however, the processes governing survival-particularly those related to feeding-are not well known. Monthly sampling across the Straits of Florida allowed for analyses of the diets and diet variability of several co-occurring taxa of coral reef fish larvae from the families Serranidae, Lutjanidae, Mullidae, Pomacentridae, Labridae, Scaridae and Acanthuridae. The proportions of larvae with food present in the gut were high (0.94 to 1.0) for all taxa except scarids (0.04), and diets were generally narrow and predator-specific. Serranus spp. (Serranidae) diets changed little with growth and were composed almost entirely of calanoid copepods, while the labrids Thalassoma bifasciatum and Xyrichtys spp. consumed harpacticoid and cyclopoid (Farranula and Oncaea) copepods almost exclusively throughout ontogeny. Lutjanine and acanthurid larvae relied increasingly upon appendicularians with growth, and mullids exhibited an ontogenetic shift from nauplii to calanoid copepodites and appendicularians, Cluster analysis examining diet similarity among taxa yielded clear groupings: small acanthurids, labrids, appendicularian-feeders, and a fourth group consisting of subgroups of larvae with calanoid and mixed diets, Within larval taxa, canonical correspondence analysis indicated how diet varied with several environmental and larva-specific variables. The trophic niche breadth of 4 taxa decreased significantly with growth, while other taxa exhibited no significant change. These results highlight distinct differences between high- and low-latitude regions, most notably the taxon-specific trophic roles and the apparent niche partitioning of larval fishes within the diverse planktonic food webs of lower latitudes.</t>
  </si>
  <si>
    <t>10.3354/meps07957</t>
  </si>
  <si>
    <t>Ali, F; Hu, XY; Wang, DQ; Yang, FY; Guo, H; Wang, YM</t>
  </si>
  <si>
    <t>Plant pathogen-mediated rapid acclimation of a host-specialized aphid to a non-host plant</t>
  </si>
  <si>
    <t>host race; host range expansion; host shift; host-plant specialization; phytopathogen-mediated host adaptation; plant-parasite interaction; polyphagous aphid</t>
  </si>
  <si>
    <t>GOSSYPII GLOVER HEMIPTERA; MYZUS-PERSICAE HEMIPTERA; ECOLOGICAL SPECIALIZATION; GENETIC DIFFERENTIATION; REPRODUCTIVE ISOLATION; FEEDING INSECTS; DIET BREADTH; COTTON APHID; RACES; EVOLUTION</t>
  </si>
  <si>
    <t>Polyphagous aphids often consist of host-specialized lineages, which have greater fitness on their native hosts than on others. The underlying causes are important for understanding of the evolution of diet breadth and host shift of aphids. The cotton-melon aphid Aphis gossypii Glover is extremely polyphagous with many strict host-specialized lineages. Whether and how the lineage specialized on the primary host hibiscus shifts to the secondary host cucumber remains elusive. We found that the hibiscus-specialized lineage suffered high mortality and gave birth to very few nymphs developing into yellow dwarfs on fresh cucumber leaves, and did not inflict any damage symptoms on cucumber plants. The poor performance did not improve with prolonged exposure to cucumber; however, it did significantly improve when the cucumber leaves were pre-infected with a biotrophic phytopathogen Pseudoperonospora cubensis. More importantly, the hibiscus-specialized lineage with two-generation feeding experience on pre-infected cucumber leaves performed as well as the cucumber-specialized lineage did on fresh cucumber leaves, and inflicted typical damage symptoms on intact cucumber plants. Electrical penetration graph (EPG) indicated that the hibiscus-specialized lineage did not ingest phloem sap from fresh cucumber leaves but succeeded in ingesting phloem sap from pre-infected cucumber leaves, which explained the performance improvement of the hibiscus-specialized lineage on pre-infected cucumber leaves. This study revealed a new pathway for the hibiscus-specialized lineage to quickly acclimate to cucumber under the assistance of the phytopathogen. We considered that the short feeding experience on pre-infected cucumber may activate expression of effector genes that are related to specific host utilization. We suggest to identify host-specific effectors by comparing proteomes or/and transcriptomes of the hibiscus-specialized lineage before and after acclimating to cucumber.</t>
  </si>
  <si>
    <t>10.1002/ece3.8209</t>
  </si>
  <si>
    <t>Agnelli, A; Bol, R; Trumbore, SE; Dixon, L; Cocco, S; Corti, G</t>
  </si>
  <si>
    <t>Carbon and nitrogen in soil and vine roots in harrowed and grass-covered vineyards</t>
  </si>
  <si>
    <t>Soil organic matter; Humic substances; Stable isotopes; Radiocarbon dating; Stocks of C and N; Root production</t>
  </si>
  <si>
    <t>DISSOLVED ORGANIC NITROGEN; LAND-USE; SEQUESTRATION RATES; MICROBIAL BIOMASS; MATTER FRACTIONS; CROP-ROTATION; LONG-TERM; DYNAMICS; TILLAGE; FOREST</t>
  </si>
  <si>
    <t>To examine the effects of vineyard soil management on soil C and N content and quality, we studied harrowed and grass-covered vineyards on a soil developed on plio-pleistocene, marine sediments. A soil naturally covered by grasses adjacent to the vineyards served as control. To reach this goal, we assessed (1) the distribution of C and N and their C-13 and N-15 signatures in different soil organic matter pools, (2) the amount of C and N as live and dead vine fine roots and their C-13, N-15 and C-14 signatures, and (3) the stocks of C and N forms accumulated at two soil-depth intervals (0-50 and 50-100 cm). Independent of the soil management, the vines increased the total organic C and total N content in the deeper soil horizons because of root turnover and rhizodeposition processes. In the upper horizons, a greater organic matter accumulation was fostered by the presence of the grass cover and the absence of tillage. The grass cover favoured the organic C storage mainly in the form of particulate and highly stabilised organic matter (humic acids and humin), and reduced the soil N content by plant uptake, whereas the harrowing produced a greater abundance of fulvic acids, which were mainly ascribed to oxidative processes enhanced by the soil tillage. In both vineyard soils, decaying vine roots represented an important source of organic C and N, especially in the deepest horizons. Indeed, isotope analyses revealed a more intense degradation of the dead vine roots in the deeper soil portion, where they likely constituted the main substrate for soil microorganisms. In the deepest horizons of the grass-covered vineyard, the greater mean residence time of the decaying vine roots and the lower root production were attributed to the easily available energetic substrates supplied by grass root turnover and rhizodeposition, which were preferentially used by microorganisms. This fact fostered a larger C accumulation in the grass-covered than in the harrowed vineyard. (C) 2014 Elsevier B.V. All rights reserved.</t>
  </si>
  <si>
    <t>10.1016/j.agee.2014.04.023</t>
  </si>
  <si>
    <t>Roswag, A; Becker, NI; Drangusch, R; Kuhring, K; Ohlendorf, B; Encarnacao, JA</t>
  </si>
  <si>
    <t>Teasing apart cryptic species groups: Nutritional ecology and its implications for species-specific conservation of the Myotis mystacinus group</t>
  </si>
  <si>
    <t>ecological niche; insectivorous bats; molecular diet analysis; C-delta 13; N-delta 15</t>
  </si>
  <si>
    <t>PHYLOGENETIC NICHE CONSERVATISM; ALCATHOE VON-HELVERSEN; HABITAT SELECTION; PIPISTRELLUS-PIPISTRELLUS; STABLE-ISOTOPES; DIET; BIODIVERSITY; NITROGEN; HELLER; VESPERTILIONIDAE</t>
  </si>
  <si>
    <t>The increasing loss of biodiversity and the need to delay the sixth mass extinction on earth resulted in several international conventions aiming at protecting threatened species. Protection improves with increasing knowledge of the biology and ecology of these species. However, species numbers rapidly increase with the ongoing description of cryptic species, resulting in a lack of ecological knowledge for each of these species. We studied the nutritional ecology of three cryptic bat species of the Myotis mystacinus group using stable isotope analysis and molecular fecal analysis. Inter- and intraspecific variations were compared by calculating the isotopic and dietary niches for each species. We hypothesized (a) that all three species are generalists, but (b) that M. mystacinus and Myotis brandtii are more similar to each other than to Myotis alcathoe. Third we assumed that the occupied niches are intraspecifically more similar than interspecifically. We could show that the members of the M. mystacinus group differ in their nutritional ecology. Our data suggest that M. alcathoe is the most specialized species of the group, occupying a more distinct ecological niche compared to the other two species. Interestingly, the dietary and isotopic niche overlap was higher interspecifically than intraspecifically. Furthermore, considering our findings and those from other studies we illustrate implications for the conservation of these cryptic species.</t>
  </si>
  <si>
    <t>10.1002/1438-390X.1003</t>
  </si>
  <si>
    <t>Velando, A; Munilla, I; Leyenda, PM</t>
  </si>
  <si>
    <t>Short-term indirect effects of the 'Prestige' oil spill on European shags: changes in availability of prey</t>
  </si>
  <si>
    <t>European shag; Phalacrocorax aristotelis; 'Prestige'; oil contamination; population dynamics; diet; reproductive performance</t>
  </si>
  <si>
    <t>PACIFIC SAND LANCE; PHALACROCORAX-ARISTOTELIS; COMMON MURRES; REPRODUCTIVE SUCCESS; NORTH-SEA; SURVIVAL; COLONY; ALASKA; DIET; CONTAMINATION</t>
  </si>
  <si>
    <t>In 2003, immediately following the 'Prestige' oil spill in Galicia, Spain, we studied the reproductive performance of European shags Phalacrocorax aristotelis at Illas Cies, the main breeding ground for the species in Spain. Over the 10 yr preceding the spill, we monitored the breeding and the dynamics of the Illas Cies population. We performed 1000 simulations of the population dynamics using the population parameters and their variability for the pre-spill period. The number of breeding pairs counted in 2003 was lower than any of the values predicted by the simulation models, suggesting that population parameters changed after the 'Prestige' wreck. Environmental conditions cannot explain the observed effects because weather conditions were far from severe in 2003. The analysis of shag casualities showed that despite the extensive oiling of Illas Cies and nearby waters it is unlikely that shags were killed in large numbers. Nevertheless, the shag feeding grounds around Illas Cies, which are mainly sandy bottoms, were continuously exposed to oil pollution throughout the shag breeding season as revealed by the high levels of pollutants in sediments, plankton, and other organisms. In the pre-spill years, shags showed low seasonal dietary variation, feeding mainly on sandeels. Nevertheless, in 2003, there was a dietary shift with a lower occurrence of sandeel that, together with sandeel fishery data, indicate lower sandeel availability at foraging areas. In addition, reproductive performance in 2003 was significantly lower and chick condition was poorer compared to the pre-spill years. When all this information is taken into account, the picture that emerges strongly suggests that the European Shag population in Illas Cies is suffering a negative impact of an indirect nature mediated through a reduction on the availability of a highly preferred forage-fish.</t>
  </si>
  <si>
    <t>10.3354/meps302263</t>
  </si>
  <si>
    <t>ROSS, MS; OBRIEN, JJ; STERNBERG, LDL</t>
  </si>
  <si>
    <t>SEA-LEVEL RISE AND THE REDUCTION IN PINE FORESTS IN THE FLORIDA KEYS</t>
  </si>
  <si>
    <t>FLORIDA KEYS; GEOGRAPHIC ANALYSIS; GROUNDWATER; LIMESTONE ISLANDS; MOISTURE STRESS; PINUS ELLIOTTII VAR DENSA; SALINITY; SALT TOLERANCE; SEA-LEVEL RISE; SLASH PINE DISTRIBUTION; SOIL CONDUCTIVITY; STABLE ISOTOPES</t>
  </si>
  <si>
    <t>CARBON ISOTOPE DISCRIMINATION; STOMATAL RESPONSES; FRESH-WATER; SALINITY; HUMIDITY; LEAVES</t>
  </si>
  <si>
    <t>Forests dominated by Pinus elliottii var densa have undergone a reduction in area in the Florida Keys (USA). A previous investigation interpreted the presence of halophytic species in a former pine forest in Key Large as evidence of sea-level rise. We therefore examined aerial photos and field evidence to learn how the 15-cm rise in local sea level over the last 70 yr had affected the distribution of pines on a second island, where intact pine forests still remained in 1991. The distribution of in situ dead pine stems showed that the area occupied by pines on Sugarloaf Key was 88 ha at some time prior to the earliest available aerial photographs, in 1935. The area of pine forest was reduced to 46 ha by 1935, and continued to decrease through 1991, when it covered 30 ha. The pattern of pine mortality was related to topographic position, with the areas where pines died earliest occupying the lowest elevations. Our analysis of current vegetation patterns showed that the areas of earliest pine mortality are now populated by a higher proportion of halophytic plant assemblages than areas of more recent pine mortality. We also compared the physiological responses of pines in two portions of the island: one where pine forest reduction had been most pronounced, and a second where the extent of the forest had changed little over the past 50 yr. Both groundwater and soil water salinity were higher in the area of rapid pine forest reduction, and the pines sampled there exhibited higher physiological stress, as indicated by pre-dawn water potential and stemwood carbon isotope ratios. These results suggest that the salinization of ground- and soil water that occurs as sea level rises is a major factor in the reduction of pine forests of Sugarloaf Key. If sea level continues to increase, the Florida Keys will experience a decline in both landscape and species diversity, as species-rich upland communities are replaced by simpler mangrove communities. This pattern may also occur in other low-lying island ecosystems with limited freshwater resources.</t>
  </si>
  <si>
    <t>10.2307/1942124</t>
  </si>
  <si>
    <t>Manosalva, AJ; Perez, S; Toledo, B; Colin, N; Habit, EM; Gorski, K</t>
  </si>
  <si>
    <t>Variation of stomach content and isotopic niche of puye Galaxias maculatus (Jenyns, 1842) in large river systems of southern Chile</t>
  </si>
  <si>
    <t>diet; estuary; galaxiids; lake; whitebait</t>
  </si>
  <si>
    <t>DIADROMOUS FISH; LANDLOCKED FORM; NEW-ZEALAND; ZOOPLANKTON; FOOD; CARBON; PATTERNS; BIOLOGY; SHIFTS; LAKES</t>
  </si>
  <si>
    <t>Understanding of trophic structure and flow of energy within river systems is essential for informed management of these ecosystems and conservation of native fish fauna and fisheries resources. Food resources used by riverine fish depend on productivity within the main stem and adjacent floodplains, terrestrial inputs, and longitudinal and lateral hydrologic connectivity. Trophic ecology of puye (Galaxias maculatus Jenyns, 1842) in Chilean river systems remains poorly understood and studies that combine short-term (stomach content) and long-term (stable isotope analyses) analyses have not been performed to date. In this study, we assessed spatial variability in diet of puye based on both stomach content and analyses of stable isotopes of carbon and nitrogen in 10 river systems of southern Chile (including main stem, headwater lakes, and estuaries). Fish in the main stems of more northern rivers, with predictable flow regimes, were characterised by the most diverse diets, broad niche space, and high proportion of terrestrial prey items and zooplankton in diet. Fish collected in lakes were characterised by narrow isotopic niche space and diet dominated by zooplankton. Diet of G. maculatus in Chilean river systems is associated with characteristics of riverine habitats within each river system (lentic, lotic, and estuarine) and hydrologic connectivity among them. Indeed, connectivity with floodplain habitats and direct supply from headwater lakes appeared to be primary drivers of fish diet in systems where these are present. These supplies maintain fish populations of good condition and allow freshwater recruitment. Therefore, maintaining seasonal flow dynamics and connectivity is essential to preserve the natural function of these river systems and conserve native fish populations.</t>
  </si>
  <si>
    <t>10.1111/fwb.13703</t>
  </si>
  <si>
    <t>van Leeuwen, A; Huss, M; Gardmark, A; Casini, M; Vitale, F; Hjelm, J; Persson, L; de Roos, AM</t>
  </si>
  <si>
    <t>Predators with Multiple Ontogenetic Niche Shifts Have Limited Potential for Population Growth and Top-Down Control of Their Prey</t>
  </si>
  <si>
    <t>ontogenetic niche shifts; life-cycle complexity; mixed interactions; predator-prey dynamics; Gadus morhua; size-structured population</t>
  </si>
  <si>
    <t>COD GADUS-MORHUA; TROPHIC CASCADES; INTRAGUILD PREDATION; RESOURCE UTILIZATION; DIET SHIFTS; RECRUITMENT SUCCESS; MARINE ECOSYSTEM; STAGE STRUCTURE; REGIME SHIFTS; ATLANTIC COD</t>
  </si>
  <si>
    <t>Catastrophic collapses of top predators have revealed trophic cascades and community structuring by top-down control. When populations fail to recover after a collapse, this may indicate alternative stable states in the system. Overfishing has caused several of the most compelling cases of these dynamics, and in particular Atlantic cod stocks exemplify such lack of recovery. Often, competition between prey species and juvenile predators is hypothesized to explain the lack of recovery of predator populations. The predator is then considered to compete with its prey for one resource when small and to subsequently shift to piscivory. Yet predator life history is often more complex than that, including multiple ontogenetic diet shifts. Here we show that no alternative stable states occur when predators in an intermediate life stage feed on an additional resource (exclusive to the predator) before switching to piscivory, because predation and competition between prey and predator do not simultaneously structure community dynamics. We find top-down control by the predator only when there is no feedback from predator foraging on the additional resource. Otherwise, the predator population dynamics are governed by a bottleneck in individual growth occurring in the intermediate life stage. Therefore, additional resources for predators may be beneficial or detrimental for predator population growth and strongly influence the potential for top-down community control.</t>
  </si>
  <si>
    <t>10.1086/670614</t>
  </si>
  <si>
    <t>Madsen, H; Kamanga, KCJ; Stauffer, JR; Likongwe, J</t>
  </si>
  <si>
    <t>Biology of the Molluscivorous Fish Trematocranus placodon (Pisces: Cichlidae) from Lake Malawi</t>
  </si>
  <si>
    <t>INTERMEDIATE HOST; SCHISTOSOMIASIS; SNAIL</t>
  </si>
  <si>
    <t>Tramatocranus placodon is a facultative molluscivore endemic to the Lake Malawi catchment basin, Malawi, Africa. T placodon feeds on both Bulinus nyassanus, which is a host of human urinary schistosomes, and Melanoides spp. in the open waters of Lake Malawi. We found that there was a dietary shift from insects and small snails to larger snails as the fish grew, and this correlated with the development of the lower pharyngeal bone, which is instrumental in crushing snails. There was also an increase of the proportion B. nyassanus in the diet just before the onset of spawning.</t>
  </si>
  <si>
    <t>10.1080/02705060.2010.9664388</t>
  </si>
  <si>
    <t>Moreno, R; Jover, L; Velando, A; Munilla, I; Sanpera, C</t>
  </si>
  <si>
    <t>Influence of trophic ecology and spatial variation on the isotopic fingerprints of seabirds</t>
  </si>
  <si>
    <t>S-34; C-13; N-14; Upwelling; Feeding ecology; Atlantic Ocean; European shag</t>
  </si>
  <si>
    <t>STABLE NITROGEN ISOTOPE; AMERICAN SEA LIONS; MARINE FOOD-WEB; GEOGRAPHIC ASSIGNMENT; COMMERCIAL FISHERIES; LEATHERBACK TURTLES; UPWELLING ECOSYSTEM; LIPID EXTRACTION; MERCURY LEVELS; FISH-TISSUES</t>
  </si>
  <si>
    <t>Notwithstanding the potential applications of stable isotopes in feeding and migration studies, the simultaneous influence of diet, foraging behavior and spatial variation on the stable isotope signatures of seabirds is poorly understood. Many studies have interpreted their isotopic signatures without considering local baseline and prey isotopic signatures; consequently, the main factors causing isotopic differences between populations have frequently not been discerned. To examine the influence of these factors on the stable isotopic signatures of seabirds, we analyzed the delta N-15, delta C-13, delta S-34 and Hg concentrations of chick feathers of the European shag Phalacrocorax aristotelis, its main fish prey and baseline indicator organisms (mussels), all sampled in 2 sectors of northwest coastal Spain with marked differences in primary productivity. Our results show that the delta N-15 signature and Hg concentration of shags are influenced by both feeding ecology and spatial variation. The delta C-13 and delta S-34 signatures, however, mainly related to spatial differences and can thus be used as reliable geographic markers. Our findings also highlight the importance of assessing spatio-temporal variation in baseline isotopic signatures and their progressive integration through the food web. Omission of potential prey and baseline values, or application of only a single baseline to the food webs of the 2 sectors, assuming isotopic homogeneity because of geographical proximity, would have led to significantly distorted interpretations of feeding ecology of shag chicks.</t>
  </si>
  <si>
    <t>10.3354/meps09420</t>
  </si>
  <si>
    <t>Brault, EK; Koch, PL; McMahon, KW; Broach, KH; Rosenfield, AP; Sauthoff, W; Loeb, VJ; Arrigo, KR; Smith, WO</t>
  </si>
  <si>
    <t>Carbon and nitrogen zooplankton isoscapes in West Antarctica reflect oceanographic transitions</t>
  </si>
  <si>
    <t>Isoscape; Antarctica; Zooplankton; Biogeochemistry; Animal migration; Food web; ENSO</t>
  </si>
  <si>
    <t>PARTICULATE ORGANIC-MATTER; SOUTHERN-OCEAN; SEA-ICE; ROSS SEA; CLIMATE-CHANGE; STABLE-ISOTOPES; FOOD-WEB; PHYTOPLANKTON DYNAMICS; MARINE-PHYTOPLANKTON; ENVIRONMENTAL-CHANGE</t>
  </si>
  <si>
    <t>Antarctic marine ecosystems are spatially and temporally dynamic. Regional climate change is significantly altering the patterns and magnitudes of this dynamism with cascading impacts on biogeochemistry, productivity, and food web architecture. Isoscapes (or isotopic maps) provide a valuable analytical framework to characterize ecosystem processes and address questions about trophic dynamics, animal movement, and elemental cycling. Applications of stable isotope methods to Antarctic ecosystems are currently limited by a paucity of information on geospatial isotope characteristics within the Southern Ocean. In response, we have created the first empirically derived zooplankton isoscapes for West Antarctica based on analysis of bulk nitrogen and carbon isotope values (delta N-15 and delta C-13) in 94 zooplankton specimens from the Drake Passage, West Antarctic Peninsula (WAP), and Amundsen and Ross Seas. The zooplankton delta N-15 values increased by 3% from north of the Polar Front (3.3 +/- 0.6%, mean +/- SD) to the Ross Sea (6.2 +/- 0.8%), reflecting a productivity gradient across this region. Abundant open water polynyas in the Amundsen and Ross Seas exhibit strong nitrate drawdown, resulting in more N-15-enriched phytoplankton and zooplankton relative to those from the generally less productive WAP and Drake Passage. Zooplankton delta C-13 values decreased by 3% from north of the Polar Front (-24.2 +/- 0.9%) to the Ross Sea (-27.5 +/- 1.6%), likely driven by decreasing sea surface temperatures with increasing latitude. Our isoscapes are a valuable first step in establishing isotopic spatial patterns in West Antarctica and are critical for addressing numerous ecosystem questions.</t>
  </si>
  <si>
    <t>10.3354/meps12524</t>
  </si>
  <si>
    <t>Reiss, H; Greenstreet, SPR; Sieben, K; Ehrich, S; Piet, GJ; Quirijns, F; Robinson, L; Wolff, WJ; Kroncke, I</t>
  </si>
  <si>
    <t>Effects of fishing disturbance on benthic communities and secondary production within an intensively fished area</t>
  </si>
  <si>
    <t>Ecosystem functioning; Ecosystem management; Fishing impact; Benthic production; Species diversity; North Sea</t>
  </si>
  <si>
    <t>SOUTHERN NORTH-SEA; PLAICE PLEURONECTES-PLATESSA; BOTTOM TRAWLING DISTURBANCE; ATLANTIC SHELF SEAS; DIFFERENT HABITATS; INVERTEBRATE COMMUNITIES; INFAUNAL COMMUNITIES; SPATIAL-DISTRIBUTION; TROPHIC STRUCTURE; GRAND-BANKS</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</si>
  <si>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t>
  </si>
  <si>
    <t>10.3354/meps08243</t>
  </si>
  <si>
    <t>Shipley, ON; Manlick, PJ; Newton, AL; Matich, P; Camhi, M; Cerrato, RM; Frisk, MG; Henkes, GA; LaBelle, JS; Nye, JA; Walters, H; Newsome, SD; Olin, JA</t>
  </si>
  <si>
    <t>Energetic consequences of resource use diversity in a marine carnivore</t>
  </si>
  <si>
    <t>Ecophysiology; Stable isotope analysis; Bayesian mixing model; Nutritional condition; Elasmobranch</t>
  </si>
  <si>
    <t>ISOTOPE MIXING MODELS; STELLER SEA LIONS; DISCRIMINATION FACTORS; DIETARY SPECIALIZATION; NUTRITIONAL CONDITION; REPRODUCTIVE SUCCESS; CARCHARIAS-TAURUS; STABLE-ISOTOPES; TURNOVER RATES; CLIMATE-CHANGE</t>
  </si>
  <si>
    <t>Understanding how intraspecific variation in the use of prey resources impacts energy metabolism has strong implications for predicting long-term fitness and is critical for predicting population-to-community level responses to environmental change. Here, we examine the energetic consequences of variable prey resource use in a widely distributed marine carnivore, juvenile sand tiger sharks (Carcharias taurus). We used carbon and nitrogen isotope analysis to identify three primary prey resource pools-demersal omnivores, pelagic forage, and benthic detritivores and estimated the proportional assimilation of each resource using Bayesian mixing models. We then quantified how the utilization of these resource pools impacted the concentrations of six plasma lipids and how this varied by ontogeny. Sharks exhibited variable reliance on two of three predominant prey resource pools: demersal omnivores and pelagic forage. Resource use variation was a strong predictor of energetic condition, whereby individuals more reliant upon pelagic forage exhibited higher blood plasma concentrations of very low-density lipoproteins, cholesterol, and triglycerides. These findings underscore how intraspecific variation in resource use may impact the energy metabolism of animals, and more broadly, that natural and anthropogenically driven fluctuations in prey resources could have longer term energetic consequences.</t>
  </si>
  <si>
    <t>10.1007/s00442-022-05241-5</t>
  </si>
  <si>
    <t>Adams, EM; Williams, KA; Olsen, BJ; Evers, DC</t>
  </si>
  <si>
    <t>Mercury exposure in migrating songbirds: correlations with physical condition</t>
  </si>
  <si>
    <t>Mercury; Bird migration; Songbirds; Stopover; Physical condition</t>
  </si>
  <si>
    <t>ENVIRONMENTAL MERCURY; REPRODUCTIVE SUCCESS; SEASONAL-VARIATION; STABLE-ISOTOPE; METHYLMERCURY; FLIGHT; BIRDS; DISTANCE; BLOOD; CONTAMINATION</t>
  </si>
  <si>
    <t>Many migratory songbirds are at high risk of methylmercury (MeHg) exposure due to their trophic position and foraging in and around wetland habitats. Methylmercury has the potential to alter migratory behaviors and physiology via neurological impairment or reduced flight performance and can be remobilized from songbird muscle tissue during migration, increasing the risk of acute MeHg exposure. To document MeHg exposure and its relationship with physical condition in migratory songbirds, we sampled passerine blood and feathers at a migration stopover site on Key Biscayne, FL during fall and spring from 2009 to 2012. We found evidence that spring blood total mercury (THg) concentrations decreased throughout the day and that fall feather THg concentrations changed over the migratory season. Total mercury exposure was marginally correlated with migratory fat stores and related to changes in pectoral muscle thickness by time of day. These patterns suggest that environmentally relevant levels of THg are related to, and may be influencing, the physical condition of free-living migrating songbirds. Further research and monitoring during the migratory period will be important to elucidate exposure risk across multiple species and assess the potential for effects during this complex period of the annual cycle.</t>
  </si>
  <si>
    <t>10.1007/s10646-020-02190-8</t>
  </si>
  <si>
    <t>Santic, M; Rada, B; Pallaoro, A</t>
  </si>
  <si>
    <t>Feeding habits of brown ray (Raja miraletus Linnaeus, 1758) from the eastern central Adriatic Sea</t>
  </si>
  <si>
    <t>Adriatic Sea; feeding habits; Raja miraletus</t>
  </si>
  <si>
    <t>SKATES BATOIDEA; SMOOTH-HOUND; DIET; ECOLOGY; STRATEGY; RAJIDAE; COAST; CHONDRICHTHYES</t>
  </si>
  <si>
    <t>The feeding habits of brown ray Raja miraletus from the eastern central Adriatic Sea were investigated. The stomach contents of 418 specimens, total length (TL) of 13.5 40.0 cm, collected from commercial bottom trawls from January to December 2010 were analysed. The prey items identified in the stomachs belong to six major groups: Decapoda (Natantia and Reptantia), Mysidacea, Teleostei, Cephalopoda, Amphipoda and Polychaeta. Decapods were the most important prey (%IRI = 88.2), whereas other prey groups were only occasionally ingested. Fish size was the most important factor affecting diet. According to the observed ontogenetic shift, small-sized individuals (&lt;20 cm TL) fed primarily on small crustaceans (mysids and amphipods), whereas large-sized specimens consumed bigger prey, such as decapods, cephalopods and teleosts. Diet composition showed low seasonal variation: decapods were the most important ingested prey in all seasons. There was high dietary similarity between sampling locations. The percentage of empty stomachs did not differ significantly among size-classes and seasons. In terms of species composition, the diet of the brown ray was characterized by a variety of rare or less important prey. As a result, the brown ray could be considered to be a generalist predator.</t>
  </si>
  <si>
    <t>10.1080/17451000.2012.739698</t>
  </si>
  <si>
    <t>Bustamante, MMC; Martinelli, LA; Silva, DA; Camargo, PB; Klink, CA; Domingues, TF; Santos, RV</t>
  </si>
  <si>
    <t>N-15 natural abundance in woody plants and soils of central Brazilian savannas (cerrado)</t>
  </si>
  <si>
    <t>Brazil; cerrado; delta N-15; fire; nitrogen; stable isotopes; woody plants</t>
  </si>
  <si>
    <t>NITRATE REDUCTASE-ACTIVITY; RAIN-FOREST; MYCORRHIZAL FUNGI; NUTRIENT DYNAMICS; NITROGEN; VEGETATION; DELTA-N-15; PATTERNS; LEAVES; WATER</t>
  </si>
  <si>
    <t>We measured the N-15 natural abundance values of 320 individuals belonging to 45 different plant species of the Brazilian cerrado. We also determined delta(15)N of soil nitrogen as a function of soil depth. Our purpose was to test the hypothesis that N-limited cerrado would have a large range of plant delta(15)N values, similar to patterns seen in northern high-latitude ecosystems. Foliar delta(15)N values did demonstrate the large range found in some other N-limited ecosystems, varying from -5parts per thousand to +7.9parts per thousand, Significant variability within individual species was also seen across cerrado community types. Several factors contributed to this variability, including the presence of N-fixing legumes, associations with mycorrhizal fungi, delta(15)N variability of soil organic matter with depth, fire events, and the seasonality of N-immobilization and mineralization processes in cerrado soils.</t>
  </si>
  <si>
    <t>S200</t>
  </si>
  <si>
    <t>S213</t>
  </si>
  <si>
    <t>Kim, NN; Shin, HS; Lee, J; Choi, CY</t>
  </si>
  <si>
    <t>Effects of recombinant growth hormone on growth factor and immune component levels in the cinnamon clownfish, Amphiprion melanopus</t>
  </si>
  <si>
    <t>Cinnamon clownfish; recombinant growth hormone; insulin-like growth factor I; immunoglobulin M; melatonin</t>
  </si>
  <si>
    <t>TROUT ONCORHYNCHUS-MYKISS; MESSENGER-RNA EXPRESSION; RAINBOW-TROUT; FACTOR-I; TISSUE DISTRIBUTION; ATLANTIC SALMON; IGF-I; INSULIN; MELATONIN; FISH</t>
  </si>
  <si>
    <t>We investigated the regulatory effects of recombinant growth hormone (rGH) on growth and immunity in an ornamental seawater fish species, the cinnamon clownfish (Amphiprion melanopus). Cinnamon clownfish received intraperitoneal injections of rGH or saline at doses of 0.1 or 1 mu g/g, weekly, for 12 weeks. At the end of the experiment, the rGH injection group exhibited the greatest total length (5.3 +/- 0.3 and 5.6 +/- 0.2 cm, respectively, for the two doses). Moreover, after injection of rGH, the expression levels of pituitary GH mRNA and liver insulin-like growth factor I (IGF-I) mRNA increased significantly (by 18.9-fold and 5.7-fold, respectively), as assessed by quantitative real-time polymerase chain reaction, while the splenic levels of immunoglobulin M protein increased significantly (by 10.5-fold) as assessed by Western blot analysis. Plasma lysozyme and melatonin levels also increased by 2.1- and 1.37-fold, respectively, over those of the control group. Plasma alanine and aspartate aminotransferase levels at 12 weeks (764 +/- 46.4 and 3002 +/- 101.2 IU/l, respectively) were significantly higher than those at baseline; however, treatment with rGH decreased these values at 12 weeks (276 +/- 30.4 and 600.5 +/- 59.2 IU/l, respectively). These findings support the hypothesis that rGH plays important roles in the regulation of the GH-IGF-I axis for growth and immunity in the cinnamon clownfish.</t>
  </si>
  <si>
    <t>10.1080/17451000.2013.819982</t>
  </si>
  <si>
    <t>Zuercher, R; Galloway, AWE</t>
  </si>
  <si>
    <t>Coastal marine ecosystem connectivity: pelagic ocean to kelp forest subsidies</t>
  </si>
  <si>
    <t>allochthonous inputs; coastal ecosystems; ecosystem connectivity; kelp forest; pelagic-benthic coupling; trophic subsidy</t>
  </si>
  <si>
    <t>CRAB CANCER-MAGISTER; JUVENILE DUNGENESS CRAB; PLEURONCODES-PLANIPES DECAPODA; SEBASTES SPP. ABUNDANCE; BAJA-CALIFORNIA-SUR; GULF-OF-CALIFORNIA; ROCKFISH SEBASTES; RESOURCE SUBSIDIES; ORGANIC-MATTER; CLIMATE-CHANGE</t>
  </si>
  <si>
    <t>The movement of trophic resources between and among ecosystems, referred to as cross-ecosystem subsidies, is a common phenomenon. In the marine environment, both adjacent and distant ecosystems are connected by oceanographic forces that transport nutrients, organisms, and other materials. Kelp forest ecosystems are one example of an open marine system that both exports and receives trophic subsidies. Though rocky reefs are rich in kelp-based energy produced internally, kelp forest organisms also rely on phytoplankton, and the influx of holoplankton and meroplankton from adjacent open ocean habitats. In this paper, we seek to clarify the identity of holoplanktonic and meroplanktonic subsidies, quantify their energetic and nutrient contributions to the kelp forest, and further explore the impacts of these subsidies for individual consumers and for kelp forest communities. We reviewed six individual subsidy organisms that are commonly advected to kelp forests on the West coast of North America, and show that these organisms from the pelagic ocean represent important resource pulses for kelp forest consumers. In addition, we summarize the characteristics of subsidies, consumers, and recipient ecosystems that provide insight into the dynamics of subsidy influx and impacts to recipient systems. Finally, we provide suggestions as scientists move forward with efforts to quantify the impacts of cross-ecosystem subsidies. Trophic subsidies are a major force shaping both marine and terrestrial communities and ecosystems. Quantitative information about these subsidies and their impacts on food webs will not only improve our understanding of these ecosystems, but also improve food web models, and predictions of ecosystem response to change.</t>
  </si>
  <si>
    <t>e02602</t>
  </si>
  <si>
    <t>10.1002/ecs2.2602</t>
  </si>
  <si>
    <t>Perkins, DM; Durance, I; Jackson, M; Jones, JI; Lauridsen, RB; Layer-Dobra, K; Reiss, J; Thompson, MSA; Woodward, G</t>
  </si>
  <si>
    <t>Systematic variation in food web body-size structure linked to external subsidies</t>
  </si>
  <si>
    <t>allometric scaling; body size; food webs; stable isotopes; streams; secondary structure</t>
  </si>
  <si>
    <t>The relationship between body mass (M) and size class abundance (N) depicts patterns of community structure and energy flow through food webs. While the general assumption is that M and N scale linearly (on log-log axes), nonlinearity is regularly observed in natural systems, and is theorized to be driven by nonlinear scaling of trophic level (TL) with M resulting in the rapid transfer of energy to consumers in certain size classes. We tested this hypothesis with data from 31 stream food webs. We predicted that allochthonous subsidies higher in the web results in nonlinear M-TL relationships and systematic abundance peaks in macroinvertebrate and fish size classes (latter containing salmonids), that exploit terrestrial plant material and terrestrial invertebrates, respectively. Indeed, both M-N and M-TL significantly deviated from linear relationships and the observed curvature in M-TL scaling was inversely related to that observed in M-N relationships. Systemic peaks in M-N, and troughs in M-TL occurred in size classes dominated by generalist invertebrates, and brown trout. Our study reveals how allochthonous resources entering high in the web systematically shape community size structure and demonstrates the relevance of a generalized metabolic scaling model for understanding patterns of energy transfer in energetically 'open' food webs.</t>
  </si>
  <si>
    <t>10.1098/rsbl.2020.0798</t>
  </si>
  <si>
    <t>Nie, M; Pendall, E</t>
  </si>
  <si>
    <t>Do rhizosphere priming effects enhance plant nitrogen uptake under elevated CO2?</t>
  </si>
  <si>
    <t>Decomposition; Elevated CO2; Plant N uptake; Rhizosphere priming; Soil organic matter; Stable isotopes</t>
  </si>
  <si>
    <t>C-4 GRASSES; SOIL CARBON; PRODUCTIVITY; FEEDBACKS; RESPONSES; CLIMATE; DECOMPOSITION; TEMPERATURE; LIMITATION; ENRICHMENT</t>
  </si>
  <si>
    <t>Numerous studies suggest that rhizosphere priming can mediate decomposition of soil organic matter (SOM), but direct evidence of priming-induced soil SOM decomposition on plant N uptake under elevated CO2 (eCO(2)) is very rare. By using a continuous dual labelling technique with C-13-depleted CO2 and N-15-enriched soil, we investigated priming of SOM decomposition and its relationship with plant N uptake of C4 and C3 grasses from a grassland ecosystem under eCO(2). We observed that eCO(2) induced increases in plant biomass, plant N uptake, rhizosphere priming, and total SOM decomposition in both grasses at an early plant life stage. Increased total SOM decomposition was positively related with plant N uptake by both C4 and C3 grasses under eCO(2). However, the C3 grass was more dependent on N acquired from rhizosphere priming of SOM than the C4 grass. Our findings highlight that plant N uptake could be enhanced under eCO(2) via accelerated SOM decomposition, and rhizosphere priming effects on SOM decomposition could play a more important role in N availability of the C3 grass in comparison with the C4 grass. (C) 2016 Elsevier B.V. All rights reserved.</t>
  </si>
  <si>
    <t>10.1016/j.agee.2016.03.032</t>
  </si>
  <si>
    <t>Huse, G; Toresen, R</t>
  </si>
  <si>
    <t>A comparative study of the feeding habits of herring (Clupea harengus, Clupeidae, L) and Capelin (Mallotus villosus, Osmeridae, Muller) in the Barents Sea</t>
  </si>
  <si>
    <t>SARSIA</t>
  </si>
  <si>
    <t>herring; capelin; feeding; competition; distribution</t>
  </si>
  <si>
    <t>VERTICAL-DISTRIBUTION; DYNAMIC OPTIMIZATION; SAMPLING ZOOPLANKTON; NORTH-SEA; MIGRATIONS; MODEL; FISH; FOOD</t>
  </si>
  <si>
    <t>Capelin (Mallotus villosus) and adolescent Norwegian spring spawning herring (Clupea harengus) co-occur in the southern Barents Sea during early summer. The diets of both species were dominated by calanoid copepods, and the overlap in diet was large. Both for herring and capelin the proportion of copepods in the diet decreased with increasing fish size, while euphausiids and appendicularians increased in importance. The ontogenetic shift in diet was thus similar for the two species. Herring showed an increasingly deeper distribution with increasing body size. Capelin were found deeper than herring in areas of spatial overlap. Based on the similarities in diet it is concluded that the two species are potential competitors for food in times of high abundance of planktivores or of low food availability in the Barents Sea.</t>
  </si>
  <si>
    <t>10.1080/00364827.1996.10413618</t>
  </si>
  <si>
    <t>Rooker, JR; Arrizabalaga, H; Fraile, I; Secor, DH; Dettman, DL; Abid, N; Addis, P; Deguara, S; Karakulak, FS; Kimoto, A; Sakai, O; Macias, D; Santos, MN</t>
  </si>
  <si>
    <t>Crossing the line: migratory and homing behaviors of Atlantic bluefin tuna</t>
  </si>
  <si>
    <t>Stable isotopes; Nursery origin; Otolith chemistry; Stock structure; Population connectivity; Migration; Philopatry</t>
  </si>
  <si>
    <t>COD GADUS-MORHUA; POPULATION-STRUCTURE; ISOTOPIC COMPOSITION; THUNNUS-THYNNUS; LIFE-HISTORY; FISH; DELTA-C-13; MOVEMENT; ORIGIN; OXYGEN</t>
  </si>
  <si>
    <t>Assessment and management of Atlantic bluefin tuna Thunnus thynnus populations is hindered by our lack of knowledge regarding trans-Atlantic movement and connectivity of eastern and western populations. Here, we evaluated migratory and homing behaviors of bluefin tuna in several regions of the North Atlantic Ocean and Mediterranean Sea using chemical tags (delta C-13 and delta O-18) in otoliths. Significant emigration of bluefin tuna from their place of origin was inferred from otolith delta C-13 and delta O-18, with both eastern and western bluefin tuna commonly 'crossing the line' (45 degrees W management boundary) in the Central North Atlantic Ocean and mixing with the other population. Several western migrants were also detected in Moroccan traps off the coast of Africa, indicating that trans-Atlantic movement occurs for members of the western population; however, the degree of mixing declined with proximity to the eastern spawning area (Mediterranean Sea). The origin of bluefin tuna collected at the entrance to the Strait of Gibraltar and from several regions within the Mediterranean Sea (Balearic Islands, Malta, and Sardinia) was essentially 100% eastern fish, demonstrating that natal homing is well developed by the eastern population, with western migrants rarely entering the Mediterranean Sea.</t>
  </si>
  <si>
    <t>10.3354/meps10781</t>
  </si>
  <si>
    <t>FORSBERG, BR; ARAUJOLIMA, CARM; MARTINELLI, LA; VICTORIA, RL; BONASSI, JA</t>
  </si>
  <si>
    <t>AUTOTROPHIC CARBON-SOURCES FOR FISH OF THE CENTRAL AMAZON</t>
  </si>
  <si>
    <t>AMAZON RIVER FLOODPLAIN; AUTOTROPHIC ENERGY SOURCES; C4 GRASSES; DETRITIVORE; FLOODED FOREST; HERBIVORE; PERIPHYTON; PHYTOPLANKTON; PLANT; PREDATOR; STABLE CARBON ISOTOPES; TROPICAL FISH FOOD WEB</t>
  </si>
  <si>
    <t>FLOODPLAIN LAKES; RATIOS; DETRITUS; ISOTOPE; RIVER; FOOD</t>
  </si>
  <si>
    <t>Effective management of the Amazon's commercial fish populations requires an understanding of the factors controlling their production. A fundamental step in the investigation of fish production is to identify the plant groups that contribute energy to fish foodwebs. Stable isotope data for plants and 35 fish species were used to identify autotrophic carbon sources for the central Amazon fish community. Adult fish, aquatic macrophytes, tree parts, periphyton, and phytoplankton were collected in lakes and other flooded environments along the central Amazon floodplain and analyzed for carbon stable isotope composition (deltaC-13) by mass spectroscopy. DeltaC-13 values for plants ranged from -39.4 to -11.9 parts per thousand with averages of -33.3, -28.8, -27.6, -26.2, and - 12.8 parts per thousand for phytoplankton, flooded forest trees, C3 aquatic macrophytes, periphyton, and C4 macrophytes, respectively. The average for all C3 Plants (phytoplankton, trees, C3 macrophytes, and periphyton) was -29.1 parts per thousand, while the average for C4 plants (mainly C4 macrophytes) was -12.8 parts per thousand. Mean deltaC-13 values for adult fish ranged from -37.0 to -19.8 parts per thousand with an average of -28.8 parts per thousand. Fish and plant data were used in an isotope mixing model to estimate the relative contribution of different plant groups to fish carbon. C4 macrophytes, which contributed over half of the primary production on the floodplain, accounted on average for only 2.5-17.6% (minimum to maximum) of the carbon in fish. The C3 plants, as a group, were the primary carbon source for 34 fish species, and accounted for an average of 82.4-97.5% of the carbon in all species. Phytoplankton, a minor C3 producer, accounted for a minimum of 36.6% of fish carbon on average, and was the principal carbon source for the commercially important characiform detritivores. Several alternative hypotheses are proposed to explain the apparent selective transfer of C3 carbon through Amazon fish foodchains.</t>
  </si>
  <si>
    <t>10.2307/1940793</t>
  </si>
  <si>
    <t>Guimaro, HR; Thompson, DR; Paiva, VH; Ceia, FR; Cunningham, DM; Moors, PJ; Xavier, JC</t>
  </si>
  <si>
    <t>Cephalopods habitat and trophic ecology: historical data using snares penguin as biological sampler</t>
  </si>
  <si>
    <t>Stable isotope analysis; Nototodarus sloanii; Moroteuthopsis ingens; Octopus campbelli; Eudyptes robustus; Snares islands</t>
  </si>
  <si>
    <t>MOROTEUTHIS-INGENS CEPHALOPODA; EASTERN ROCKHOPPER PENGUINS; SOUTHERN-OCEAN; NEW-ZEALAND; STABLE-ISOTOPES; CAMPBELL-ISLAND; CLIMATE-CHANGE; SQUID; DIET; PREY</t>
  </si>
  <si>
    <t>In the Southern Ocean and adjacent waters, early stages of cephalopods play an important role in food webs as prey to top predators, but few is known regarding their biology and availability. Snares Penguin, Eudyptes robustus, is a top predator endemic to Snares Islands (New Zealand) that feed on cephalopods. As historical data on diet are rare for this species, Snares Penguins were used as biological samplers to evaluate the cephalopod component of its diet, where habitat and trophic level of cephalopods around the Snares Islands was assessed through stable isotope analysis. Moreover, ontogenic changes of juvenile squid were evaluated. Data collection were carried out during the breeding season 1986-87 and its analysis revealed that penguins fed on three juvenile cephalopod species: two squids (Nototodarus sloanii and Moroteuthopsis ingens) and one octopod (Octopus campbelli). Nototodarus sloanii was the most important species in frequency of occurrence and mass, whereas M. ingens was the most important in number. Juvenile squid species showed similar delta C-13 values, suggesting both occupied similar habitats on the Snares shelf, whereas juvenile O. campbelli showed lower delta C-13 values. Moreover, O. campbelli fed on higher trophic level (delta N-15) prey relative to squid species. Lower diversity and larger sizes of cephalopods were found when compared with data from 2002. This study shows that Snares Penguin can be a good local biological sampler of juvenile cephalopods during their breeding season, providing both essential biogeographic information of cephalopod diversity and relevant historical information for the conservation of this endemic penguin species.</t>
  </si>
  <si>
    <t>10.1007/s00300-020-02776-2</t>
  </si>
  <si>
    <t>Keith, AM; Boots, B; Stromberger, ME; Schmidt, O</t>
  </si>
  <si>
    <t>Consequences of anecic earthworm removal over 18 months for earthworm assemblages and nutrient cycling in a grassland</t>
  </si>
  <si>
    <t>Earthworms; Exclusion experiment; Grassland; Litter decomposition; Lumbricidae; Soil functions; Stable isotopes</t>
  </si>
  <si>
    <t>NEW-ZEALAND FLATWORM; SOIL ORGANIC-MATTER; INTERSPECIFIC INTERACTIONS; LITTER DECOMPOSITION; PLANT-GROWTH; COMMUNITIES; IMPACT; INVERTEBRATES; BIODIVERSITY; DRILOSPHERE</t>
  </si>
  <si>
    <t>Earthworms are recognised widely for playing important roles in soil functioning, but few studies have attempted to assess the effects of separate functional groups under natural field conditions. We investigated the effects of selective removal of large anecic earthworms (primarily Lumbricus terrestris) over 18 months on earthworm assemblages, earthworm trophic ecology, and plant nutrient uptake in a temperate grassland. We used unenclosed field plots to simulate selective predation of large anecic individuals by alien flatworms and isotopically enriched plant material (C-13 and N-15) to trace nutrients. Though surface addition of plant material to plots increased the abundance and biomass of total and anecic earthworms, compared to control plots, earthworm composition was different and more variable where anecics had been removed. Most notably, in treatments receiving litter, abundance and biomass of the litter-feeding epi-anecic Lumbricus festivus and epigeic Satchellius mammalis were significantly greater where anecics had been removed. Addition of labelled plant material enriched individuals from all species in C-13 and N-15, especially in litter-feeding epigeics. Similar abundances but altered isotopic compositions suggest that the removal of anecics influenced the feeding activities of other earthworm species. In particular, the soil-feeding endogeic Aporrectodea caliginosa was less enriched where anecics had been removed, suggesting that this species benefits from anecic surface foraging activity. Individual L. terrestris tended to be less enriched isotopically in the removal treatment, probably reflecting re-colonisation from outside litter addition plots. There was no effect of anecic removal on N-15 uptake into above-ground biomass of each of three plant functional groups, though there was a trend of greater enrichment in removal plots. Taken together, these findings provide novel evidence, from a real field setting, that low-level reduction of anecic earthworm populations (experimental removal of 4 large individuals per 1 m2 plot over 18 months) can affect other earthworm species in terms of their abundance and trophic relations.</t>
  </si>
  <si>
    <t>10.1016/j.pedobi.2017.10.003</t>
  </si>
  <si>
    <t>Jordan, F</t>
  </si>
  <si>
    <t>A reliability-theory approach to corridor design</t>
  </si>
  <si>
    <t>reliability engineering; landscape structure; ecological corridor; metapopulation</t>
  </si>
  <si>
    <t>HABITAT FRAGMENTATION; FOOD WEBS; ECOSYSTEM RELIABILITY; TROPHIC STRUCTURE; CONSERVATION; DYNAMICS; ECOLOGY; DESTRUCTION; POPULATIONS; LANDSCAPES</t>
  </si>
  <si>
    <t>Natural habitats are small islands in the sea of human environment. Area loss and fragmentation affect seriously the survival of species, for small, isolated populations are exposed to several risks. As the area of suitable habitats decreases, one way to escape local extinction is to migrate between habitats through ecological corridors, and utilize the whole metapopulation landscape. Thus, natural and designed corridors can be key elements for survival. Here, we present a method to study corridor pattern from a reliability-theory viewpoint. We analyze the probability of successful migration in a metapopulation landscape network of habitats, stepping stones and corridors. We examine the situation when individuals of a local population must migrate from a disturbed, critical habitat to others. In the landscape graph, points represent habitats and stepping stones, while edges represent corridors. If corridors can be destroyed, migration probability depends on the pattern of permeable corridors. Engineered corridors can enhance the reliability of migration, depending on their position in the network. We present some general rules for designing reliable landscape patterns (e.g.'necklace' arrangement is less reliable for migration than 'loog'): Then, iue illustrate our viewpoint by presenting two hypothetical landscape networks and comparing the possibilities for designing reliable corridor topologies by creating one engineered corridor. Further, we determine the preferred topology for the engineered corridor. Our hope is that this reliability-theory analysis will stimulate further development of the method and in the fieldwork. (C) 2000 Elsevier Science B.V. All rights reserved.</t>
  </si>
  <si>
    <t>10.1016/S0304-3800(00)00197-6</t>
  </si>
  <si>
    <t>Abell, GCJ; Ross, DJ; Keane, JP; Oakes, JM; Eyre, BD; Robert, SS; Volkman, JK</t>
  </si>
  <si>
    <t>Nitrifying and denitrifying microbial communities and their relationship to nutrient fluxes and sediment geochemistry in the Derwent Estuary, Tasmania</t>
  </si>
  <si>
    <t>Nitrification; Denitrification; Estuarine sediment; Nutrient fluxes; Bacteria; Archaea</t>
  </si>
  <si>
    <t>AMMONIA-OXIDIZING ARCHAEA; SECONDARY-TREATED PAPER; ENVIRONMENTAL GRADIENTS; RELATIVE ABUNDANCE; STABLE-ISOTOPES; DIVERSITY; BACTERIA; NITROGEN; GENES; AMOA</t>
  </si>
  <si>
    <t>Mineralisation, nitrification and denitrification in sediments are key processes that contribute to the removal of nitrogen from coastal waters. Together these processes are important in preventing the buildup of nitrogen, which can lead to eutrophication in estuarine systems. Spatial and temporal patterns in the composition of nitrifier (bacterial [AOB] and archaeal ammonia oxidizers [AOA]; amoA), denitrifier (nirS) and total bacterial and archaeal (16S rRNA gene) communities in sediment from the Derwent Estuary in southeast Tasmania, Australia, were contrasted with key environmental parameters and benthic nutrient fluxes. Spatial and temporal factors were significant in terms of shaping microbial community composition. Organic matter composition (C:N isotope ratios, %N and %C) was significantly related to the abundance of the different microbial guilds. There was a significant correlation between both the sediment nitrogen content and carbon stable isotope ratio with community composition for total bacteria, AOA and denitrifiers. Sediment chlorophyll a was significantly associated with AOB composition and carbon isotope ratio was related to total archaeal community composition.</t>
  </si>
  <si>
    <t>10.3354/ame01642</t>
  </si>
  <si>
    <t>Pellegrini, AFA; Anderegg, L; Pinto-Ledezma, JN; Cavender-Bares, J; Hobbie, SE; Reich, PB</t>
  </si>
  <si>
    <t>Consistent physiological, ecological and evolutionary effects of fire regime on conservative leaf economics strategies in plant communities</t>
  </si>
  <si>
    <t>eco-evolution; functional traits; leaf physiology; nutrient cycling; phylogenetic constraints; savanna; stoichiometry</t>
  </si>
  <si>
    <t>LITTER DECOMPOSITION; TRAITS; NITROGEN; SAVANNA; CARBON; FREQUENCY; CONVERGENCE; THRESHOLDS; GRASSLAND; NUTRITION</t>
  </si>
  <si>
    <t>The functional response of plant communities to disturbance is hypothesised to be controlled by changes in environmental conditions and evolutionary history of species within the community. However, separating these influences using direct manipulations of repeated disturbances within ecosystems is rare. We evaluated how 41 years of manipulated fire affected plant leaf economics by sampling 89 plant species across a savanna-forest ecotone. Greater fire frequencies created a high-light and low-nitrogen environment, with more diverse communities that contained denser leaves and lower foliar nitrogen content. Strong trait-fire coupling resulted from the combination of significant intraspecific trait-fire correlations being in the same direction as interspecific trait differences arising through the turnover in functional composition along the fire-frequency gradient. Turnover among specific clades helped explain trait-fire trends, but traits were relatively labile. Overall, repeated burning led to reinforcing selective pressures that produced diverse plant communities dominated by conservative resource-use strategies and slow soil nitrogen cycling.</t>
  </si>
  <si>
    <t>10.1111/ele.14182</t>
  </si>
  <si>
    <t>Hendriksma, HP; Shafir, S</t>
  </si>
  <si>
    <t>Honey bee foragers balance colony nutritional deficiencies</t>
  </si>
  <si>
    <t>Apis mellifera; Choice; Essential amino acids; PER; Nutrient balancing; Social insects</t>
  </si>
  <si>
    <t>APIS-MELLIFERA L; ESSENTIAL AMINO-ACIDS; POLLEN QUALITY; FEEDING PREFERENCES; FORAGING BEHAVIOR; PROTEIN; DIET; DROSOPHILA; NECTAR; MELANOGASTER</t>
  </si>
  <si>
    <t>Honey bee colonies, foraging predominantly on a single pollen source, may encounter nutritional deficits. In the present study, we examined the nutritional resilience of honey bee colonies, testing whether foragers shift their foraging effort towards resources that complement a nutritional deficit. Eight honey bee colonies were kept in screened enclosures and fed for 1 week a pollen substitute diet deficient in a particular essential amino acid. Foragers were subsequently tested for a preference between the same diet previously fed, a different diet that was similarly deficient, or a diet that complemented the deficiency. Foragers preferred the complementary diet over the same or similar diets. Appetitive conditioning tests showed that bees were able to discriminate also between the same and similar diets. Overall, our results support the hypothesis that honey bees prefer dietary diversity, and that they do not just include novel sources but specifically target nutritionally complementary ones. Whereas we specifically focused on deficiencies in essential amino acids, we cannot rule out that bees were also complementing correlated imbalances in other nutrients, most notably essential fatty acids. The ability of honey bees to counter deficient nutrition contributes to the mechanisms which social insects use to sustain homeostasis at the colony level.</t>
  </si>
  <si>
    <t>10.1007/s00265-016-2067-5</t>
  </si>
  <si>
    <t>Vinebrooke, RD; Turner, MA; Kidd, KA; Hann, BJ; Schindler, DW</t>
  </si>
  <si>
    <t>Truncated foodweb effects of omnivorous minnows in a recovering acidified lake</t>
  </si>
  <si>
    <t>add-lake recovery; epiphyton; herbivory; littoral food web; metaphyton; minnows; omnivory; stable isotope analysis; Lake 302S</t>
  </si>
  <si>
    <t>STABLE-ISOTOPES; LITTORAL-ZONE; FISH; ACIDIFICATION; PERIPHYTON; COMMUNITY; NITROGEN; ALGAE; WEB</t>
  </si>
  <si>
    <t>Cyprinids (Margariscus margarita, Phoxinus spp., Pimephales promelas) have resumed reproduction in a boreal headwater lake (Lake 302S, Experimental Lakes Area, northwestern Ontario) that is recovering from experimental acidification. Concomitant changes to the littoral food web suggested that these omnivorous minnows suppressed the development of green algal mats, termed metaphyton. We tested this hypothesis by conducting an experiment using minnow enclosures, minnow exclosures, and open control plots in the shallow littoral zone of Lake 302S. Minnows significantly suppressed zooplankton biomass, and altered community composition by disproportionally reducing large daphnids and chydorids. Epiphytic chronomids were also significantly less abundant in the presence of minnows. Minnows had a significant time-dependent, negative effect on benthic invertebrate biomass and community composition because chironomids and anisopterans were suppressed during the second half of the 6-wk experiment. However, minnows did not reduce the abundance of the dominant primary producer, namely metaphyton. Stable isotope analyses revealed that minnows did not suppress metaphyton because these algae were not the primary C source for the food web. Instead, our findings suggest that the littoral food web depended mainly on sedimentary C, which resulted in the foodweb effect of minnows being truncated at the level of invertebrates. Therefore, metaphyton appears to be regulated primarily by abiotic factors (e.g., availability of dissolved inorganic C) and not herbivory in recovering acidified lakes.</t>
  </si>
  <si>
    <t>10.2307/1468093</t>
  </si>
  <si>
    <t>Horii, S; Takahashi, K; Shiozaki, T; Hashihama, F; Furuya, K</t>
  </si>
  <si>
    <t>Stable isotopic evidence for the differential contribution of diazotrophs to the epipelagic grazing food chain in the mid-Pacific Ocean</t>
  </si>
  <si>
    <t>diazotroph; grazing food chain; micronekton; nitrogen fixation; oligotrophic water; plankton; stable isotope; delta C-13; delta N-15</t>
  </si>
  <si>
    <t>VAHINE MESOCOSM EXPERIMENT; NORTH PACIFIC; NITROGEN-FIXATION; TROPHIC POSITION; YELLOWFIN TUNA; ANTHROPOGENIC NITROGEN; MARINE CYANOBACTERIUM; DINITROGEN FIXATION; EQUATORIAL PACIFIC; DELTA-C-13</t>
  </si>
  <si>
    <t>Aim Biological nitrogen fixation supports primary production in oligotrophic water, but its link to higher trophic levels has not been described fully on a biogeographical basis. Here, we determine the regional patterns of the contribution of the combined nitrogen to biological production within the epipelagic layer of the mid-Pacific Ocean using the isotopic signatures of nitrogen (delta N-15) and carbon (delta C-13) in the biological components. Location Time period The mid-Pacific Ocean along 170 degrees W between the southern subtropical front and the Chukchi Sea. Northern and austral summer in 2013 and 2014. Major taxa studied Methods Planktonic and micronektonic biota in the euphotic layer. We measured the geographical variations in delta N-15 and delta C-13 of the suspended particulate organic matter (POM), mesozooplankton assemblage and micronektonic fish. We analysed the relationships among these values and the environmental variables of temperature, nitrate concentration and biological nitrogen fixation activity along a 12,000-km meridional transect. Results Main conclusions The POM delta N-15 at 0 m was negatively correlated with in situ N-2 fixation activity in the subtropical region, whereas that in the equatorial and high-latitude regions was correlated with the nitrate concentration at 0 m. We found that the ratios of the increase in delta N-15 to delta C-13 along the grazing food chain were consistent throughout the equatorial and subtropical regions. Cluster analyses based on the stable isotopic signatures in the biotic components revealed that the food chains in the stations within the subtropical mid-Pacific Ocean were separated into three groups based on the differential contributions of biological nitrogen fixation. Distinct food chains from primary to tertiary production sustained by different nitrogen sources, nitrate below the euphotic zone, and diazotrophic nitrogen occur within the same biogeographical provinces in the subtropical mid-Pacific Ocean. The diazotroph-dominant community contributes substantially to the apex predators in the central areas of the subtropical gyres.</t>
  </si>
  <si>
    <t>10.1111/geb.12823</t>
  </si>
  <si>
    <t>Lin, MX; Simons, AL; Harrigan, RJ; Curd, EE; Schneider, FD; Ruiz-Ramos, DV; Gold, Z; Osborne, MG; Shirazi, S; Schweizer, TM; Moore, TN; Fox, EA; Turba, R; Garcia-Vedrenne, AE; Helman, SK; Rutledge, K; Mejia, MP; Marwayana, O; Ramos, MMN; Wetzer, R; Pentcheff, ND; McTavish, EJ; Dawson, MN; Shapiro, B; Wayne, RK; Meyer, RS</t>
  </si>
  <si>
    <t>Landscape analyses using eDNA metabarcoding and Earth observation predict community biodiversity in California</t>
  </si>
  <si>
    <t>beta diversity; biomonitoring; citizen science; community ecology; ecological modeling; environmental DNA; gradient forest; remote sensing; zeta diversity</t>
  </si>
  <si>
    <t>ENVIRONMENTAL DNA; CITIZEN SCIENCE; PLANT DIVERSITY; GLOBAL CHANGE; PATTERNS; ECOSYSTEMS; EVOLUTION; PROGRAM; MODELS</t>
  </si>
  <si>
    <t>Ecosystems globally are under threat from ongoing anthropogenic environmental change. Effective conservation management requires more thorough biodiversity surveys that can reveal system-level patterns and that can be applied rapidly across space and time. Using modern ecological models and community science, we integrate environmental DNA and Earth observations to produce a time snapshot of regional biodiversity patterns and provide multi-scalar community-level characterization. We collected 278 samples in spring 2017 from coastal, shrub, and lowland forest sites in California, a complex ecosystem and biodiversity hotspot. We recovered 16,118 taxonomic entries from eDNA analyses and compiled associated traditional observations and environmental data to assess how well they predicted alpha, beta, and zeta diversity. We found that local habitat classification was diagnostic of community composition and distinct communities and organisms in different kingdoms are predicted by different environmental variables. Nonetheless, gradient forest models of 915 families recovered by eDNA analysis and using BIOCLIM variables, Sentinel-2 satellite data, human impact, and topographical features as predictors, explained 35% of the variance in community turnover. Elevation, sand percentage, and photosynthetic activities (NDVI32) were the top predictors. In addition to this signal of environmental filtering, we found a positive relationship between environmentally predicted families and their numbers of biotic interactions, suggesting environmental change could have a disproportionate effect on community networks. Together, these analyses show that coupling eDNA with environmental predictors including remote sensing data has capacity to test proposed Essential Biodiversity Variables and create new landscape biodiversity baselines that span the tree of life.</t>
  </si>
  <si>
    <t>e02379</t>
  </si>
  <si>
    <t>10.1002/eap.2379</t>
  </si>
  <si>
    <t>Smith, FA; Tome, CP; Smith, EAE; Lyons, SK; Newsome, SD; Stafford, TW</t>
  </si>
  <si>
    <t>Unraveling the consequences of the terminal Pleistocene megafauna extinction on mammal community assembly</t>
  </si>
  <si>
    <t>LATE QUATERNARY EXTINCTIONS; BODY-SIZE; NORTH-AMERICA; STABLE-ISOTOPES; SOUTH-AMERICA; DIET; DIVERSITY; HABITAT; MASS; ENVIRONMENTS</t>
  </si>
  <si>
    <t>Recent studies connecting the decline of large predators and consumers with the disintegration of ecosystems often overlook that this natural experiment already occurred. As recently as 14 ka, tens of millions of large-bodied mammals were widespread across the American continents. Within 1000 yr of the arrival of humans, approximate to 80% were extinct including all &gt; 600 kg. While the cause of the late Pleistocene (LP) extinction remains contentious, largely overlooked are the ecological consequences of the loss of millions of large-bodied animals. Here, we examine the influence of the LP extinction on a local mammal community. Our study site is Hall's Cave in the Great Plains of Texas, which has unparalleled fine-grained temporal resolution over the past 20 ka, allowing characterization of the community before and after the extinction. In step with continental patterns, this community lost 80% of large-bodied herbivores and 20% of apex predators at the LP extinction. Using tightly constrained temporal windows spanning full glacial to modern time periods and comprehensive faunal lists, we reconstruct mammal associations and body size distributions over time. We find changes in alpha and beta diversity, and in the statistical moments associated with periods of climate change as well as with the LP extinction event. Additionally, there is a fundamental change in the composition of herbivores, with grazers being replaced by frugivores/granivores starting about 15 ka; the only large-bodied grazer remaining today is the bison Bison bison. Moreover, the null model program PAIRS reveals interesting temporal patterns in the disassociation or co-occurrence of species through the terminal Pleistocene and Holocene. Extinct species formed more significant associations than modern ones, and formed more aggregated pairs than do modern species. Further, negative species associations were about three times stronger than positive ones, suggesting that competitive interactions or environmental filtering are a strong force in community structure.</t>
  </si>
  <si>
    <t>10.1111/ecog.01779</t>
  </si>
  <si>
    <t>Wang, HL; Zhao, Y; Wang, FJ; Sun, XJ; Zhu, JQ; Zhang, YM; Wei, SD; Chen, H</t>
  </si>
  <si>
    <t>Diet composition and selection of Pere David's deer in Hubei Shishou Milu National Nature Reserve, China</t>
  </si>
  <si>
    <t>diet selection; Elaphurus davidianus; nutritional content; stable isotope</t>
  </si>
  <si>
    <t>WHITE-TAILED DEER; STABLE-ISOTOPE ANALYSIS; RED-DEER; CARBON ISOTOPES; CERVUS-ELAPHUS; FOOD-HABITS; SPARTINA-ALTERNIFLORA; SECONDARY METABOLITES; FEEDING PATTERNS; JIANGSU PROVINCE</t>
  </si>
  <si>
    <t>Hubei Shishou Milu National Nature Reserve is an ideal place to restore the wild population of Pere David's deer (Elaphurus davidianus). Understanding foraging ecology and diet composition is essential for assessing population development or establishing long-term effective conservation measures for endangered species. However, little is known about the diet composition of Pere David's deer and its diet selection mechanism. In this study, we used stable isotope technology to investigate the diet composition of Pere David's deer according to various tissues (i.e., fur, muscle, liver, heart, and feces) and seasons, and evaluated the correlation between the nutrient composition of plants and diet composition. Bayesian isotope analysis showed that the autumn and winter diet estimated by fur and fecal samples indicated a diet dominated by C-3 grasses (42.7%-57.2%, mean), while the summer diet estimated by muscle and liver samples was dominated by C-3 forbs (30.9%-41.6%, mean). The Pearson correlation test indicated that the contribution of winter diet composition reflected by fur and fecal samples was associated with correlations with crude protein (r = .666, p &lt; .01) and soluble sugars (r = .695, p &lt; .01). The results indicated that crude protein and soluble sugars were important factors influencing the winter diet selection of Pere David's deer. In the context of the current reintroduction facing many challenges, such as habitat fragmentation, wetland degradation, and human disturbance, comprehensively evaluating the diet selection mechanism of Pere David's deer under different resource specificities and temporal changes should be considered in the future.</t>
  </si>
  <si>
    <t>e9702</t>
  </si>
  <si>
    <t>10.1002/ece3.9702</t>
  </si>
  <si>
    <t>Essert, V; Masclaux, H; Verneaux, V; Millet, L</t>
  </si>
  <si>
    <t>Influence of thermal regime, oxygen conditions and land use on source and pathways of carbon in lake pelagic food webs</t>
  </si>
  <si>
    <t>Carbon isotope; Daphnia; lake; methane; pelagic food web; trophic functioning</t>
  </si>
  <si>
    <t>DISSOLVED INORGANIC CARBON; LONG-TERM CHANGES; METHANE OXIDATION; ORGANIC-MATTER; DELTA-C-13 ANALYSIS; TERRESTRIAL CARBON; STABLE-ISOTOPES; SEASONAL SHIFTS; CLIMATE-CHANGE; TROPHIC STATE</t>
  </si>
  <si>
    <t>Intensification of anthropogenic activities in many lake catchments during the twentieth century led to increased autochthonous organic matter sedimentation and degradation of hypolimnetic oxygen conditions due to the intensification of heterotrophic processes. These processes can be amplified by the effect of climate warming on thermal stratification in lakes. This study aimed to assess how metabolic disruptions affect carbon sources and pathways in lake pelagic food webs, focusing on methanogenic carbon. The studied lakes showed strong seasonal variations of carbon source availability and transfers to pelagic food webs, characterized by increased methanogenic carbon transfers to Daphnia populations in winter. The magnitude of these winter transfers seems to largely depend on the amount of methane stored in the hypolimnion during the stratification period, and thus on the amount of methane released with autumnal turnover. Methane production, storage and transfer mechanisms partly depend on thermal stratification intensity, but also on external factors such as land use. This study provides new insights into the impacts of global changes on the sources and pathways of carbon in pelagic food webs through their influence on lake metabolism and thermal regimes. These functional changes may lead to greater production and release of greenhouse gases into the atmosphere.</t>
  </si>
  <si>
    <t>10.1080/11956860.2022.2094630</t>
  </si>
  <si>
    <t>Pausch, RC; Mulchi, CL; Lee, EH; Meisinger, JJ</t>
  </si>
  <si>
    <t>Use of C-13 and N-15 isotopes to investigate O-3 effects on C and N metabolism in soybeans .2. Nitrogen uptake, fixation, and partitioning</t>
  </si>
  <si>
    <t>ozone; Glycine max; soybean; legume; N-15; isotope; rhizobium; nitrogen fixation; root nodule; carbon translocation; partitioning</t>
  </si>
  <si>
    <t>SOIL-MOISTURE DEFICIT; SULFUR-DIOXIDE; OZONE; GROWTH; YIELDS; PHOTOSYNTHATE; ALLOCATION; INJURY; STRESS</t>
  </si>
  <si>
    <t>Short- and long-term N uptake/partitioning dynamics were studied using stable isotope techniques to investigate the uncertain mechanism(s) of O-3 action on plant yield and photosynthate partitioning. Glycine max [L.] Merr.(soybean) plants were grown in N-15 enriched soil within open-top chambers and exposed to one of three O-3 regimes: half-ambient, ambient, or 2 X ambient, The seasonal 7 h average O-3 concentrations (nl l(-1)) were 25, 43, and 76 nl l(-1), respectively. Nitrogen fixation was estimated using the N-15 isotope dilution method utilizing a non-nodulating soybean isoline as the control. Macro-kjeldahl technique was used for determining N concentration. Short-term plant responses were investigated by evaluating the following parameters: % N, total N, total N fixed, total N fixed per organ dry weight, the proportion of N-fixed/soil N, and the fraction of N derived through rhizobial N-fixation on an individual organ (leaves, stems, roots, pods, and nodules) and whole plant basis at two reproductive growth stages. Long-term plant responses were investigated by characterizing the same N parameters of the mature grain. Ozone significantly affected both short- and long-term N uptake/partitioning dynamics. Ozone exposure reduced the amount of N derived from N-fixation, but did not significantly affect total N or % N for organs and whole plants. For mature grain, O-3 significantly decreased seed yield and all N parameters except N-fixed/soil N, but the responses were dependent upon year. Our results suggest that total nodule activity was affected rather than specific activity. Total N uptake was maintained despite significant decreases in % N-fixed and N-fixed/soil N. We conclude that N-fixation was inhibited by reduced photosynthate translocation to nodules. The photosynthate translocated was sufficient to maintain moderate rates of soil N uptake, but not adequate to maintain high rates of N-fixation, the latter costing more energy. Thus, soybeans damaged by the exposures imposed here, relied more heavily on soil N to meet their total N requirements when photosynthate translocation was inhibited. The long-term negative effects for mature seed also indicate a significant reduction in photosynthate and total N translocated to nodules, and an increased reliance on soil N. In summation, these findings and those of our companion carbon study, support the hypothesis that the mechanism of chronic O-3 action involves an inhibition of carbon translocation from leaves to other organs.</t>
  </si>
  <si>
    <t>10.1016/S0167-8809(96)01062-6</t>
  </si>
  <si>
    <t>Abid, AA; Zhang, Q; Afzal, M; Di, H</t>
  </si>
  <si>
    <t>NITROUS OXIDE EMISSION AND PRODUCTION PATHWAYS UNDER ALTERNATE WETTING-DRYING CONDITIONS IN RICE PADDY SOILS</t>
  </si>
  <si>
    <t>N2O; flux; water events; pig manure; rice straw; N-15 stable isotopes</t>
  </si>
  <si>
    <t>AMMONIA-OXIDIZING ARCHAEA; N2O EMISSIONS; NITRIFICATION INHIBITOR; AGRICULTURAL SOILS; CARBON-DIOXIDE; NO EMISSIONS; WATER-USE; DENITRIFICATION; FERTILIZATION; BACTERIA</t>
  </si>
  <si>
    <t>The aim of this study was to evaluate the relative contributions of nitrification and denitrification in rice paddy soils under various water events. A laboratory incubation study was conducted in China to quantify N2O production during alternate wetting and drying cycle (AWD) versus permanent flooding (PF). The soils were treated with long-term chemical fertilizer (CF); chemical fertilizer plus pig manure (PMCF); and chemical fertilizer plus rice straw (SRCF) for 5 years. The results showed that N2O flux during AWD was consistently higher than PF. The highest N2O flux during AWD was 1.94 mg m(-2) h(-1). The PMCF and SRCF soils had higher N2O emissions compared to CF and CK soils. Ammonia oxidizer community peaks were found at 60% field capacity (FC) (p &lt; 0.0001), while, for denitrifier, this increase was maintained for a certain period of time (10d) and then started to decrease. Autotrophic nitrification appeared to be an important and dominant process of N2O emissions during AWD and PF, contributed 79.03% of N2O emissions during AWD, while 36.53% during PF. Thus, the results concluded that under AWD event the addition of pig manure and rice straw plus chemical fertilizer significantly increased the N2O flux, by stimulating the growth of microbial communities.</t>
  </si>
  <si>
    <t>10.15666/aeer/1706_1377713792</t>
  </si>
  <si>
    <t>Newsome, SD; Wolf, N; Bradley, CJ; Fogel, ML</t>
  </si>
  <si>
    <t>Assimilation and isotopic discrimination of hydrogen in tilapia: implications for studying animal diet with delta H-2</t>
  </si>
  <si>
    <t>Delta H-2; delta H-2; controlled feeding experiment; hydrogen isotopes; isotopic routing; Oreochromis niloticus; Special Feature: Biomarkers in Trophic Ecology</t>
  </si>
  <si>
    <t>AQUATIC FOOD WEBS; STABLE-HYDROGEN; DRINKING-WATER; HUMAN-HAIR; ENVIRONMENTAL WATER; OXYGEN ISOTOPES; AMINO-ACIDS; RATIOS; VALUES; TISSUES</t>
  </si>
  <si>
    <t>Hydrogen isotope (delta H-2) analysis has become a valuable tool in the study of animal migration; however, the biochemical framework required for ecologists to confidently apply delta H-2 to quantify resource use has yet to be adequately resolved. In contrast to carbon (delta C-13) and nitrogen (delta N-15) isotopes where food is the only source of these elements, there are two distinct sources of hydrogen available to consumers for tissue synthesis: food and water. To effectively use tissue delta H-2 values as a tracer of food and water resources, two fundamental questions need to be examined in animals that inhabit different environments: (1) What proportion of hydrogen in tissues is derived from sources of food vs. water? and (2) What is the magnitude and degree of variation in total delta H-2 discrimination (Delta H-2(net)) between consumer tissues and these sources? We completed a 3 9 3 controlled feeding experiment on Nile tilapia (Oreochromis niloticus) in which we varied the delta H-2 of tank water and dietary macromolecules to examine these questions in two tissues commonly analyzed by ecologists: muscle and liver. We found that the proportion of hydrogen in tilapia tissue derived from tank water was similar for muscle (similar to 23%) and liver (similar to 25%). We then used linear regression and an isotope mixing model based on accompanying delta C-13 data to estimate the proportion of hydrogen in muscle and liver tissue derived from dietary protein (34-44%), cornmeal (21-27%), corn syrup (4-5%), and lipids (&lt;= 1%). With this information and the delta H-2 values of water, protein, carbohydrates, and lipids supplied to fish in each treatment, we calculated Delta H-2(net) values of -47 parts per thousand +/- 5 parts per thousand for muscle and -41 parts per thousand +/- 5 parts per thousand for liver. Our experiment is the first to quantify the relative proportion of hydrogen from different dietary macromolecules used by an omnivore to synthesize its tissues. Such information is needed to further refine the use of d 2. analysis as a dietary tracer for aquatic animals.</t>
  </si>
  <si>
    <t>e01616</t>
  </si>
  <si>
    <t>10.1002/ecs2.1616</t>
  </si>
  <si>
    <t>Yunda-Guarin, G; Michel, LN; Nozais, C; Archambault, P</t>
  </si>
  <si>
    <t>Interspecific differences in feeding selectivity shape isotopic niche structure of three ophiuroids in the Arctic Ocean</t>
  </si>
  <si>
    <t>Benthic community; Ophiuroidea; Trophic ecology; Isotopic niche; Canadian Arctic Ocean</t>
  </si>
  <si>
    <t>SEA-ICE; STABLE-ISOTOPES; COMMUNITY STRUCTURE; BRITTLE STARS; BAFFIN-BAY; FOOD-WEB; WATER; POPULATION; PHYTOPLANKTON; CIRCULATION</t>
  </si>
  <si>
    <t>Understanding the mechanisms that support feeding interactions and species cooccurrence in regions subject to rapid environmental changes is becoming increasingly important to predict future trends in population dynamics. However, there is still little information available on the trophic ecology for many benthic species to help us better understand trophic interactions and individual trophic roles. Here, we used stable isotopes (delta C-13, delta N-15) in conjunction with the Bayesian ellipses approach to explore spatial trends in isotopic niche width and overlap of 3 syntopic arctic brittle stars (Echinodermata: Ophiuroidea; Ophiacantha bidentata, Ophiocten sericeum, and Ophiopleura borealis) in Baffin Bay (BB), the Canadian Arctic Archipelago (CAA), and the North Water Polynya (NOW). These 3 coexisting ophiuroids displayed great interspecific plasticity in foraging behaviors and showed a high degree of inter-individual dietary flexibility. However, differences in surface carbon composition drove the variability of resource utilization at the individual level across stations, which in turn affected trophic interactions, niche overlaps, and isotopic niche breadth of ophiuroids. Greater niche overlap was found in the highly productive region of the NOW, where consumers exhibited similar food selectivity, whereas an increase in niche segregation occurred in regions with greater sea-ice concentration. These results suggest that isotopic niche size reflects individual responses to fluctuations in food availability and possibly past competition, both induced by local oceanographic features. Our study indicates that niche parameters of ophiuroids can respond quickly to ecological and environmental gradients, which suggests an important adaptability of these species facing multiple stressors.</t>
  </si>
  <si>
    <t>10.3354/meps13965</t>
  </si>
  <si>
    <t>Litzow, MA; Bailey, KM; Prahl, FG; Heintz, R</t>
  </si>
  <si>
    <t>Climate regime shifts and reorganization of fish communities: the essential fatty acid limitation hypothesis</t>
  </si>
  <si>
    <t>regime shift; essential fatty acid; climate; community ecology; lipid</t>
  </si>
  <si>
    <t>COD GADUS-MORHUA; NORTH-SEA; FOOD-WEB; PROXIMATE COMPOSITION; SPECIES VARIABILITY; GADOID OUTBURST; ENERGY DENSITY; PACIFIC-OCEAN; FORAGE FISH; ALASKA</t>
  </si>
  <si>
    <t>Climate regime shifts force fish communities through rapid transitions between alternate species assemblages, but little is known about the role that biochemical ecology plays in these transitions. We document a biochemical effect of climate-induced community transitions in boreal oceans: opposite population trajectories of lipid-rich and lipid-poor fish species. We compared published estimates of fish lipid content and population trajectories following climate shifts in 4 areas (Bering Sea, Gulf of Alaska, Scotian Shelf and North Sea). In all cases, total lipid content differed between species that increased and decreased in abundance, and the resulting relatively lipid-rich or lipid-poor communities persisted for decades. We hypothesize that these changes in fish community lipid content are the result of climate-mediated changes in the availability of essential fatty acids (EFAs), which are required by fish as components of hormones and cell membranes. EFAs are produced only by plants and must be obtained by fish through their diet, and ecosystem EFA availability is sensitive to physical forcing mechanisms. Using original data from 5 species of northeast Pacific fish (total lipid 1.0 to 28.9% wet mass) and published data for 29 species of myctophids (total lipid 0.5 to 46.3% wet mass), we found that the content of 2 important EFAs was positively correlated with total lipid content. This result suggests the possibility of species differences in EFA requirements that are related to total lipid content, and possible differences in susceptibility to changing EFA availability in lipid-rich and lipid-poor fish species.</t>
  </si>
  <si>
    <t>10.3354/meps315001</t>
  </si>
  <si>
    <t>Abrantes, K; Sheaves, M</t>
  </si>
  <si>
    <t>Use of a delta C-13-delta N-15 relationship to determine animal trophic positions in a tropical Australian estuarine wetland</t>
  </si>
  <si>
    <t>baseline delta N-15; estuary; fish; food web; stable isotope analysis; trophic level</t>
  </si>
  <si>
    <t>MULTIPLE STABLE-ISOTOPE; FOOD-WEB; NITROGEN ISOTOPES; CARBON-ISOTOPE; MANGROVE FORESTS; PENAEID PRAWNS; FISH-TISSUES; DELTA-N-15; DIET; FRACTIONATION</t>
  </si>
  <si>
    <t>Stable isotope composition of organisms from different trophic groups collected from a semi-isolated wetland pool in the Ross River estuary, northern Australia, was analysed to determine if there was a consistent relationship between delta C-13, delta N-15 and trophic level that could be used to assign trophic positions. A strong linear negative relationship between delta C-13 and delta N-15 was detected for the three trophic levels considered (primary producers, primary consumers and secondary consumers). This relationship was consistent among trophic levels, differing only in height, that is, on delta N-15 values, which indicate trophic positions. A difference of 3.6-3.8 parts per thousand between trophic levels was present, suggesting a delta N-15 fractionation of approximately 3.7 parts per thousand, a value slightly higher than the commonly assumed delta N-15 fractionation of approximately 3.4 parts per thousand. The relationship between delta C-13 and delta N-15 was similar for invertebrate and fish primary consumers, indicating similar delta N-15 trophic fractionation for both groups, meaning trophic positions and trophic length could be reliably calculated based on either invertebrates or fish.</t>
  </si>
  <si>
    <t>10.1111/j.1442-9993.2009.02017.x</t>
  </si>
  <si>
    <t>Roach, KA</t>
  </si>
  <si>
    <t>Environmental factors affecting incorporation of terrestrial material into large river food webs</t>
  </si>
  <si>
    <t>food web; large river; isotopes; riverine productivity model; flood pulse concept; river continuum concept</t>
  </si>
  <si>
    <t>AUTOTROPHIC CARBON-SOURCES; FATTY-ACID-COMPOSITION; ORGANIC-MATTER; STABLE-ISOTOPES; ORINOCO RIVER; PRIOR INFORMATION; JUVENILE FISHES; WATER VELOCITY; ENERGY-SOURCES; AMAZON RIVER</t>
  </si>
  <si>
    <t>Three enduring conceptual models make predictions regarding the basal production sources supporting the upper food web of rivers: the River Continuum Concept, the Flood Pulse Concept, and the Riverine Productivity Model. Sources of primary production supporting metazoan biomass might best be understood by using a pluralistic approach that views basal sources as a dependent variable and key physicochemical and hydrological factors as independent variables. Here, I review studies in which chemical markers (stable-isotope and fatty-acid analyses) were used to estimate dominant primary producers contributing to consumer biomass in large rivers and evaluate associated independent variables (e.g., hydrologic regime, turbidity, concentration of dissolved organic matter, floodplain vegetation, lateral connectivity, and upstream impoundment) that have been hypothesized to contribute to variation in basal production sources. My review shows that C-4 grasses rarely support riverine metazoans and that algae are the predominant source of C supporting upper trophic levels of large rivers worldwide. However, I also found that many consumers assimilate material from C-3 plants in rivers with high sediment loads and low transparency during high-flow pulses. Exceptions to this pattern occur when river reaches are downstream from an impoundment, in which case, algae assume greater importance. Terrestrial C-3 plants also subsidize consumers in rivers with high dissolved organic matter concentrations via the microbial loop and, in other rivers, after periods of high discharge or leaf fall that increase the amount of terrestrial material in the particulate organic matter pool. I highlight the natural causes of differences in turbidity and dissolved organic matter among large rivers and the importance of transported materials as a source of nutrients for ecologically and economically important fish species.</t>
  </si>
  <si>
    <t>10.1899/12-063.1</t>
  </si>
  <si>
    <t>Cipro, CVZ; Cherel, Y; Caurant, F; Miramand, P; Mendez-Fernandez, P; Bustamante, P</t>
  </si>
  <si>
    <t>Trace elements in tissues of white-chinned petrels (Procellaria aequinoctialis) from Kerguelen waters, Southern Indian Ocean</t>
  </si>
  <si>
    <t>Heavy metals; Seabirds; Procellariiformes; Southern Ocean; Sub-Antarctic Islands</t>
  </si>
  <si>
    <t>HEAVY-METAL CONCENTRATIONS; MERCURY CONTAMINATION; MARINE-ENVIRONMENT; ATLANTIC-OCEAN; SEABIRDS; CADMIUM; BIRDS; BIOACCUMULATION; ISLANDS; MAMMALS</t>
  </si>
  <si>
    <t>The use of seabirds to assess marine contamination by trace elements in areas remote from pollutant emission points has already been done at various latitudes. Nevertheless, little information is available concerning the Southern Indian Ocean. Determining the contaminants levels, there appears necessary not only due to several deleterious effects reported in literature, but also as previous studies have highlighted elevated concentrations of cadmium (Cd) and mercury (Hg) in mollusks, crustaceans and fish. Within this context, the white-chinned petrel appears as a key species due to its lifespan, diet and trophic position. Thirty-three accidentally killed (collision with lights/bycatch in longline vessels) individuals collected in Kerguelen waters were analysed for Cd, copper (Cu), Hg, selenium (Se) and zinc (Zn) in liver, kidney, pectoral muscle, feathers and for mature males, testis. Elevated Hg concentrations (average 58.4 mu g g(-1) dw in liver) are likely due to the presence of mesopelagic prey in the diet of Procellaria aequinoctialis. Cd concentrations (average of 65.7 mu g g(-1) dw in kidney) can be attributed to a high level of fisheries offal consumption, as well as crustacean and squid ingestion. Correlation of Hg with Se indicates its detoxification by co-precipitation, and correlation of Cd with Zn suggests its displacement by Cd on metallothioneins binding sites. This work also indirectly confirms ecological data (range and diet composition) from the wintering period of the species, which is rather scarce. Seasonal diet change and moulting accounted more for the obtained results than sex of the birds.</t>
  </si>
  <si>
    <t>10.1007/s00300-014-1476-z</t>
  </si>
  <si>
    <t>Zhao, LJ; Wang, LX; Xiao, HL; Liu, XH; Cheng, GD; Ruan, YF</t>
  </si>
  <si>
    <t>The effects of short-term rainfall variability on leaf isotopic traits of desert plants in sand-binding ecosystems</t>
  </si>
  <si>
    <t>Desertification; Drought Isotope; Nitrogen; Drylands; Tengger Desert</t>
  </si>
  <si>
    <t>NATURAL N-15 ABUNDANCE; WATER-USE EFFICIENCY; NITROGEN CONCENTRATIONS; STABLE-ISOTOPES; TENGGER DESERT; SOIL-NITROGEN; CARBON; DISCRIMINATION; FOLIAR; VEGETATION</t>
  </si>
  <si>
    <t>Sand-binding vegetation is effective in stabilizing sand dunes and reducing soil erosion, thus helps minimize the detrimental effects of desertification. The aim of this study is to better understand the relationships between water and nutrient usage of sand-binding species, and the effects of succession and rainfall variability on plants' water-nutrient interactions. We examined the effects of long-term succession (50 years), inter-annual rainfall variability (from 65% of the mean annual precipitation in 2004 to 42% in 2005) and seasonality on water-nutrient interactions of three major sand-binding species (Artemisia ordosica, Hedysarum scoparium and Caragana korshinskii) by measuring foliar delta C-13, delta N-15 and [N]. Long-term succession in general did not significantly alter delta C-13, delta N-15 and [N] of the three species. Short-term rainfall variability, however, significantly increased foliar delta C-13 levels of all three species by 1.0-1.8% during the severely dry year. No significant seasonal patterns were found in foliar delta C-13 and delta N-15 values of the three species, whereas foliar [N] varied by season. For the two leguminous shrubs, the correlations between delta C-13 and delta N-15 were positive in both sampling years, and the positive correlation between [N] and delta C-13 was only found in the severely dry year. The results indicate that these sand-binding plants have developed into a relatively stable stage and they are able to regulate their nitrogen and water use in responding to environmental conditions, which reinforces the effectiveness of plantation of native shrubs without irrigation in degraded areas. However, the results also indicate that short-term climate variability could have severe impact on the vegetation functions. (C) 2013 Elsevier B. V. All rights reserved.</t>
  </si>
  <si>
    <t>10.1016/j.ecoleng.2013.07.022</t>
  </si>
  <si>
    <t>Wang, J; Fu, BJ; Lu, N; Wang, S; Zhang, L</t>
  </si>
  <si>
    <t>Water use characteristics of native and exotic shrub species in the semi-arid Loess Plateau using an isotope technique</t>
  </si>
  <si>
    <t>Stable isotope; Water use; Native species; Loess Plateau; MixSIAR; Root distribution</t>
  </si>
  <si>
    <t>STABLE-ISOTOPES; USE EFFICIENCY; SOIL-MOISTURE; FOREST; PLANTS; ECOSYSTEM; DROUGHT; TREES; STRATEGIES; RESPONSES</t>
  </si>
  <si>
    <t>Knowledge of the processes underlying plant water use characteristics is critical for understanding soil-plant interactions and evaluating plant adaptability in water-limited ecosystems. The vegetation on the Loess Plateau has-dramatically changed due to the implementation of the Grain-for-Green Project from 1999. Despite this, water use characteristics of native and exotic shrub species remain poorly understood in this region. In this study, seasonal variations of water use characteristics of Spiraea pubescens (a native shrub) and Hippophae rhamnoides (an exotic shrub) in the Loess Plateau were investigated by examining the delta H-2 and delta O-2 of xylem and soil water from different soil layers within 300 cm of the surface, as well as the delta C-13 in plant leaves. Results revealed that H. rhamnoides and S. pubescens derived (similar to)80% of their water sources from the 0-120 cm soil layer during the growing seasons. However, H. rhamnoides absorbed higher proportions of deep soil water (120-300 cm) as the growing season progressed. H. rhamnoides flexibly converted its water source between shallow (0-40 cm) and deep soil layers. Moreover, H. rhamnoides had higher leaf-level water use efficiency than that of S. pubescens. These results suggest that H. rhamnoides has a greater degree of ecological plasticity in water use. Flexible water use characteristics are relevant to functionally dimorphic root systems as an adaptation strategy for the plants in water-limited environments. These findings indicate that water use characteristics of these plants should be considered when exotic species are introduced for revegetation in semiarid regions.</t>
  </si>
  <si>
    <t>10.1016/j.agee.2019.02.015</t>
  </si>
  <si>
    <t>Winner, WE; Thomas, SC; Berry, JA; Bond, BJ; Cooper, CE; Hinckley, TM; Ehleringer, JR; Fessenden, JE; Lamb, B; McCarthy, S; McDowell, NG; Phillips, N; Williams, M</t>
  </si>
  <si>
    <t>Canopy carbon gain and water use: Analysis of old-growth conifers in the Pacific Northwest</t>
  </si>
  <si>
    <t>biogenic carbon emissions; canopy processes; forest carbon budget; forest gas exchange; old-growth canopy</t>
  </si>
  <si>
    <t>PHOTOSYNTHETIC LIGHT-RESPONSE; DOUGLAS-FIR; ISOTOPE DISCRIMINATION; HYDRAULIC CONDUCTANCE; MONOTERPENE EMISSION; SEASONAL-VARIATION; DIOXIDE EXCHANGE; VAPOR EXCHANGE; GAS-EXCHANGE; RAIN-FOREST</t>
  </si>
  <si>
    <t>This report summarizes our current knowledge of leaf-level physiological processes that regulate carbon gain and water loss of the dominant tree species in an old-growth forest at the Wind River Canopy Crane Research Facility. Analysis includes measurements of photosynthesis, respiration, stomatal conductance, water potential, stable carbon isotope values, and biogenic hydrocarbon emissions from Douglas-fir (Pseudotsuga menziesii), western hemlock (Tsuga heterophylla), and western red cedar (Thuja plicata). Leaf-level information is used to scale fluxes up to the canopy to estimate gross primary production using a physiology-based process model. Both light-saturated and in situ photosynthesis exhibit pronounced vertical gradients through the canopy, but are consistently highest in Douglas-fir, intermediate in western hemlock, and lowest in western red cedar. Net photosynthesis and stomatal conductance are strongly dependent on vapor-pressure deficit in Douglas-fir, and decline through the course of a seasonal drought. Foliar respiration is similar for Douglas-fir and western hemlock, and lowest for western red cedar. Water-use efficiency varied with species and tree height, as indexed using stable carbon isotopes values for foliage. Leaf water potential is most negative for Douglas-fir and similar for western hemlock and western red cedar. Terpene fluxes from foliage equal approximately 1% of the net carbon loss from the forest. Modeled estimates based on physiological measurements show gross primary productivity (GPP) to be about 22 Mg C m(-2) y(-1). Physiological studies will be necessary to further refine estimates of stand-level carbon balance and to make long-term predictions of changes in carbon balance due to changes in forest structure, species composition, and climate.</t>
  </si>
  <si>
    <t>10.1007/s10021-004-0139-2</t>
  </si>
  <si>
    <t>Jennings, S; Maxwell, TAD; Schratzberger, M; Milligan, SP</t>
  </si>
  <si>
    <t>Body-size dependent temporal variations in nitrogen stable isotope ratios in food webs</t>
  </si>
  <si>
    <t>Food web; Body size; Stable isotope analysis; Temporal variation; Stoichiometry</t>
  </si>
  <si>
    <t>UPWELLING ECOSYSTEM; NATURAL-ABUNDANCE; LIPID EXTRACTION; BEAM TRAWL; CARBON; DELTA-N-15; DELTA-C-13; ZOOPLANKTON; FRACTIONATION; N-15</t>
  </si>
  <si>
    <t>We describe seasonal variation in nitrogen stable isotope ratios of marine animals (zooplankton, benthic infauna, benthic epifauna and fishes) in size-fractionated classes spanning 6 orders of magnitude in body mass. Variation in delta N-15 over the course of the seasonal production cycle was significantly greater in smaller animals and declined continuously with increasing body size. The duration and magnitude of a decrease in delta N-15 (as observed in the zooplankton community at the start of the production cycle) was reduced and attenuated in larger animals at higher trophic levels (higher mean delta N-15), likely reflecting different rates of energy propagation in different food web pathways and the transfer of energy to animals with slower turnover times. Animals &gt;= 16 g wet body mass integrated seasonal variation in delta N-15 of their prey, such that a single annual sampling of animals in size classes &gt;= 16 g was sufficient to determine mean delta N-15. For zooplankton and smaller infauna, very frequent sampling would be required to estimate mean delta N-15, and we show that measurements of food web properties such as trophic position and predator-prey size ratios would be biased when based on single samples of these small animals.</t>
  </si>
  <si>
    <t>10.3354/meps07653</t>
  </si>
  <si>
    <t>Vanderklift, MA; Pillans, RD; Hutton, M; De Weyer, L; Kendrick, GA; Zavala-Perez, A; Verges, A; Garthwin, R; Oades, D; McCarthy, P; George, K; Sampi, T; George, D; Sampi, C; Edgar, Z; Dougal, K; Howard, A</t>
  </si>
  <si>
    <t>High rates of herbivory in remote northwest Australian seagrass meadows by rabbitfish and green turtles</t>
  </si>
  <si>
    <t>Siganus; Chelonia; Thalassia; Enhalus; Sisotope; Tethering</t>
  </si>
  <si>
    <t>SPECIES COMPOSITION; GLOBAL PATTERNS; CHELONIA-MYDAS; FISH; DELTA-C-13; FISHERIES; ECOSYSTEM; DYNAMICS; IMPACT</t>
  </si>
  <si>
    <t>Herbivory is a key ecological process that often determines the composition and abundance of plants. Estimates of herbivory in seagrass meadows are typically lower than those in other vegetated coastal ecosystems, but herbivory can be intense when large herbivorous vertebrates are abundant. We surveyed rates of herbivory on 2 species of tropical seagrasses (Thalassia hemprichii and Enhalus acoroides), the abundance of herbivorous vertebrates, and the diet of 2 abundant herbivorous vertebrates (the green turtle Chelonia mydas and the rabbitfish Siganus lineatus) in lagoons adjacent to remote islands off northwestern Australia. Rates of herbivory in some deployments of tethered seagrass were more than 1000 times higher than rates of production and were among the highest recorded. Consumption exceeded production in half the deployments (9 of 18). Remote underwater video revealed that S. lineatus was the most abundant herbivore. Stomachs of S. lineatus contained mostly seagrass, and models based on stable isotopes indicated that seagrass was the primary source of nutrition. Stomach contents of C. mydas were more variable, containing seagrass and macroalgae (although the sample size was low), but models based on stable isotopes indicated that seagrass was likely the primary source of nutrition. Multiple lines of evidence suggest that the high rates of herbivory on the seagrasses T. hemprichii and E. acoroides are mainly due to direct consumption by the abundant S. lineatus, and perhaps also C. mydas. Seagrass is the primary contributor to the nutrition of both species.</t>
  </si>
  <si>
    <t>10.3354/meps13657</t>
  </si>
  <si>
    <t>Hoyle, JA; Bowlby, JN; Brousseau, CM; Johnson, TB; Morrison, BJ; Randall, RG</t>
  </si>
  <si>
    <t>Fish community structure in the Bay of Quinte, Lake Ontario: The influence of nutrient levels and invasive species</t>
  </si>
  <si>
    <t>Yellow Perch; White Perch; Walleye; piscivores; centrarchids; fish populations; ecosystem change; Dreissenid Mussels</t>
  </si>
  <si>
    <t>ROUND GOBY; WHITE PERCH; GREAT-LAKES; FOOD-WEB; TEMPERATURE; PREDATION; WALLEYE; ERIE</t>
  </si>
  <si>
    <t>Intensive, long-term sampling in the Bay of Quinte with multiple gears (i.e. gill nets, bottom trawls, trap nets and boat electrofishing) allowed examination of the fish community and major fish populations in the context of key stressors up to 2009. Excessive nutrient input and hyper-abundant non-native fish species, White Perch and Alewife, shaped the depreciated fish community of the 1970s. After implementation of phosphorus input control measures and simultaneous winter-kills of the hyper-abundant non-native fish in the late 1970s, Walleye recovered and served to restore a predator-prey balance to the fish community by the late 1980s. However, in the absence of a significant recovery of submerged aquatic vegetation (SAV) in littoral areas, off-shore species (e.g. Alewife and White Perch) still tended to dominate; even in littoral areas. Following establishment of Dreissenid Mussels in the mid-1990s, water transparency increased and SAV increased significantly in littoral areas. This pivotal event led to a shift in the fish community that included an overall decline in Walleye, an increase followed by a decrease in Yellow Perch, and dominance by centrarchids (i.e. Bluegill, Pumpkinseed, Black Crappie and Largemouth Bass) in the nearshore. Round Goby invaded in 1999, proliferated and became important in the diet of piscivores by 2003. The current species assemblage, including the piscivores, is diverse and indicative of a healthy fish community.</t>
  </si>
  <si>
    <t>10.1080/14634988.2012.727732</t>
  </si>
  <si>
    <t>West, EH; Henry, WR; Goldenberg, W; Peery, MZ</t>
  </si>
  <si>
    <t>Influence of food subsidies on the foraging ecology of a synanthropic species in protected areas</t>
  </si>
  <si>
    <t>food subsidies; foraging ecology; home range; marbled murrelet; protected areas; Steller's jay; synanthropic species</t>
  </si>
  <si>
    <t>COMMON RAVEN PREDATION; ISOTOPE MIXING MODELS; STABLE-ISOTOPES; DISCRIMINATION FACTORS; COMMUNITY STRUCTURE; MARBLED MURRELET; NESTING HABITAT; STELLERS JAY; SPACE USE; POPULATION</t>
  </si>
  <si>
    <t>The expansion of many synanthropic species is linked to changes in the abundance and distribution of human-derived foods, and understanding how food subsidies influence the foraging ecology of synanthropes can facilitate reducing impacts to rare species. We combined stable isotope analyses and radiotelemetry information to characterize space-use and dietary patterns in Steller's jays (Cyanocitta stelleri), a known nest predator of marbled murrelets, sampled at both campground and forest sites in California state parks. We classified jays into four groups based on patterns of space use: (1) campground (jays captured in campgrounds that predominantly used these areas), (2) periphery (jays captured in campgrounds that commonly used adjacent forests), (3) intermediate (jays captured at forest sites that made long-distance movements between forests and campgrounds), and (4) forest (jays captured and only detected in forests). In the most heavily visited park, human foods comprised more than half of the diet of campground jays based on stable isotopes; moreover, campground jays consumed a greater proportion of human foods than periphery or intermediate jays, which both consumed more human foods than forest jays. Campground jays exhibited a functional response to human foods as park visitation increased, and breeding individuals preferentially provisioned their young with human-derived foods. Based on space-use patterns of intermediate jays, we estimated that the ecological footprint of campgrounds extended 2 km beyond their spatial footprint. Thus, the impacts of seemingly spatially constrained human recreational activities can have spillover effects on animal communities at relatively broad spatial scales within protected areas.</t>
  </si>
  <si>
    <t>e01532</t>
  </si>
  <si>
    <t>10.1002/ecs2.1532</t>
  </si>
  <si>
    <t>Loescher, CR; Grosskopf, T; Desai, FD; Gill, D; Schunck, H; Croot, PL; Schlosser, C; Neulinger, SC; Pinnow, N; Lavik, G; Kuypers, MMM; LaRoche, J; Schmitz, RA</t>
  </si>
  <si>
    <t>Facets of diazotrophy in the oxygen minimum zone waters off Peru</t>
  </si>
  <si>
    <t>heterotrophic N-2 fixation; nifH diversity; oxygen minimum zone off Peru</t>
  </si>
  <si>
    <t>NITROGEN-FIXATION; DINITROGEN-FIXATION; NIFH GENES; DIVERSITY; EXPRESSION; IRON; DENITRIFICATION; PHYTOPLANKTON; DISTRIBUTIONS; PHYLOTYPES</t>
  </si>
  <si>
    <t>Nitrogen fixation, the biological reduction of dinitrogen gas (N-2) to ammonium (NH4+), is quantitatively the most important external source of new nitrogen (N) to the open ocean. Classically, the ecological niche of oceanic N-2 fixers (diazotrophs) is ascribed to tropical oligotrophic surface waters, often depleted in fixed N, with a diazotrophic community dominated by cyanobacteria. Although this applies for large areas of the ocean, biogeochemical models and phylogenetic studies suggest that the oceanic diazotrophic niche may be much broader than previously considered, resulting in major implications for the global N-budget. Here, we report on the composition, distribution and abundance of nifH, the functional gene marker for N-2 fixation. Our results show the presence of eight clades of diazotrophs in the oxygen minimum zone (OMZ) off Peru. Although proteobacterial clades dominated overall, two clusters affiliated to spirochaeta and archaea were identified. N-2 fixation was detected within OMZ waters and was stimulated by the addition of organic carbon sources supporting the view that non-phototrophic diazotrophs were actively fixing dinitrogen. The observed co-occurrence of key functional genes for N-2 fixation, nitrification, anammox and denitrification suggests that a close spatial coupling of N-input and N-loss processes exists in the OMZ off Peru. The wide distribution of diazotrophs throughout the water column adds to the emerging view that the habitat of marine diazotrophs can be extended to low oxygen/high nitrate areas. Furthermore, our statistical analysis suggests that NO2- and PO43- are the major factors affecting diazotrophic distribution throughout the OMZ. In view of the predicted increase in ocean deoxygenation resulting from global warming, our findings indicate that the importance of OMZs as niches for N-2 fixation may increase in the future.</t>
  </si>
  <si>
    <t>10.1038/ismej.2014.71</t>
  </si>
  <si>
    <t>Besnard, L; Lucca, BM; Shipley, ON; Le Croizier, G; Martinez-Rincon, RO; Sonke, JE; Point, D; Galvan-Magana, F; Kraffe, E; Kwon, SY; Schaal, G</t>
  </si>
  <si>
    <t>Mercury isotope clocks predict coastal residency and migration timing of hammerhead sharks</t>
  </si>
  <si>
    <t>connectivity; conservation; dispersal timing; fishery interaction; habitat shift; movement ecology; ontogeny; trophic ecology</t>
  </si>
  <si>
    <t>PACIFIC BLUEFIN TUNA; NURSERY AREAS; CONSERVATION; METHYLMERCURY; MANAGEMENT; HG; EXTINCTION; HABITAT; TRACER</t>
  </si>
  <si>
    <t>The management of migratory taxa relies on the knowledge of their movements. Among them, ontogenetic habitat shift, from nurseries to adult habitats, is a behavioural trait shared across marine taxa allowing resource partitioning between life stages and reducing predation risk. As this movement is consistent over time, characterizing its timing is critical to implement efficient management plans, notably in coastal areas to mitigate the impact of fisheries on juvenile stocks.In the Mexican Pacific, habitat use of the smooth hammerhead shark (Sphyrna zygaena) is poorly described, while the species is heavily harvested. Given the large uncertainties associated with the timing of out-migration from coastal nursery grounds to offshore waters prior to reproductive maturity, a more precise assessment of smooth hammerhead shark movements is needed.Photochemical degradation of mercury imparts mass-independent isotope fractionation (?Hg-199) which can be used to discriminate between neonate coastal shallow habitats and the offshore deep foraging patterns of late juveniles. Here, we present the application of muscle ?Hg-199 as molecular clocks to predict the timing of ontogenetic habitat shifts by smooth hammerhead sharks, based on their isotopic compositions at the initial and arrival habitats and on muscle isotopic turnover rate.We observed decreases in ?Hg-199 values with shark body length, reflecting increasing reliance on offshore mesopelagic prey with age. Coastal residency estimates indicated that smooth hammerhead sharks utilize coastal resources for 2 years prior to offshore migration, suggesting a prolonged residency in these ecosystems.Policy implications. This study demonstrates how mercury stable isotopes and isotopic clocks can be implemented as a complementary tool for stock management by predicting the timing of animal migration-a key aspect in the conservation of marine taxa. In the Mexican Pacific, fishing pressure on shark species occurs in coastal habitats depleting juvenile stocks. Consequently, management decision support tools are imperative for effectively maintaining early life stage population levels over time. The finding that smooth hammerhead sharks extensively rely on highly fished habitats for 2 years after parturition supports the relevance of establishing a size limit in coastal fisheries and demonstrates how the current temporal shark fishing closure could lack efficiency for the species.</t>
  </si>
  <si>
    <t>10.1111/1365-2664.14384</t>
  </si>
  <si>
    <t>Urquidi, ER; Putman, BJ</t>
  </si>
  <si>
    <t>Quantifying Southern Pacific Rattlesnake (Crotalus oreganus helleri) Hunting Behavior through Community Science</t>
  </si>
  <si>
    <t>citizen science; conservation; ontogeny; behavioral lateralization; snakes</t>
  </si>
  <si>
    <t>FEEDING ECOLOGY; TIMBER RATTLESNAKES; CITIZEN SCIENCE; SIDEWINDER RATTLESNAKES; FORAGING BEHAVIORS; SPATIAL ECOLOGY; DIET; HORRIDUS; CALIFORNIA; MOVEMENT</t>
  </si>
  <si>
    <t>It is increasingly important to study animal behaviors as these are the first responses organisms mount against environmental changes. Rattlesnakes, in particular, are threatened by habitat loss and human activity, and require costly tracking by researchers to quantify the behaviors of wild individuals. Here, we show how photo-vouchered observations submitted by community members can be used to study cryptic predators like rattlesnakes. We utilized two platforms, iNaturalist and HerpMapper, to study the hunting behaviors of wild Southern Pacific Rattlesnakes. From 220 observation photos, we quantified the direction of the hunting coil (i.e., handedness), microhabitat use, timing of observations, and age of the snake. With these data, we looked at whether snakes exhibited an ontogenetic shift in behaviors. We found no age differences in coil direction. However, there was a difference in the microhabitats used by juveniles and adults while hunting. We also found that juveniles were most commonly observed during the spring, while adults were more consistently observed throughout the year. Overall, our study shows the potential of using community science to study the behaviors of cryptic predators.</t>
  </si>
  <si>
    <t>10.3390/d13080349</t>
  </si>
  <si>
    <t>Demirhan, SA; Seyhan, K; Basusta, N</t>
  </si>
  <si>
    <t>Dietary overlap in spiny dogfish (Squalus acanthias) and thornback ray (Raja clavata) in the southeastern Black Sea</t>
  </si>
  <si>
    <t>Black Sea; dietary overlap; food composition; Raja clavata; Squalus acanthias</t>
  </si>
  <si>
    <t>FEEDING ECOLOGY; SKATES BATOIDEA; COMMUNITY; ATLANTIC; RAJIDAE; AFRICA; SHARK; COAST</t>
  </si>
  <si>
    <t>The food composition and dietary overlap between the spiny dogfish (Squalus acanthias) and thornback ray (Raja clavata) were studied in the Eastern Black Sea. It was found that the food of S. acanthias and R. clavata in the area studied consisted of mainly fish and crustaceans. The availability of prey was found to be the main criterion in the spiny dogfish feeding strategy. In winter, anchovy were the dominant prey for S. acanthias. This reflects that there is a high availability of these prey in the region. The availability of prey items affected the diet composition, the values of diet breadth, the prey similarity and the dietary overlap of the thornback ray and spiny dogfish. The study has shown that the prey similarity index of these species was 38%. The diet of R. clavata was significantly overlapped by the diet of S. acanthias (1.38). However, S. acanthias was observed to have a more unique diet and was insignificantly overlapped by R. clavata (0.36). The overall results indicate that the spiny dogfish is an indiscriminate predator preying upon those species that are most abundant and available in the area and season, and that R. clavata also feed mainly on anchovy and whiting in the winter but shift to crab and Gobius sp., a demersal species common in the area, together with whiting for the rest of the year.</t>
  </si>
  <si>
    <t>Holmer, M; Duarte, CM; Boschker, HTS; Barron, C</t>
  </si>
  <si>
    <t>Carbon cycling and bacterial carbon sources in pristine and impacted Mediterranean seagrass sediments</t>
  </si>
  <si>
    <t>seagrass; sediments; carbon cycling; delta C-13; bacterial substrates; sulfate reduction</t>
  </si>
  <si>
    <t>POSIDONIA-OCEANICA MEADOW; EELGRASS ZOSTERA-MARINA; SULFATE REDUCTION; ORGANIC-MATTER; MICROBIAL BIOMASS; STABLE-ISOTOPES; NITROGEN; GROWTH; DYNAMICS; BIOMARKERS</t>
  </si>
  <si>
    <t>Stable carbon-isotope ratios of bacterial biomarkers were studied in Mediterranean seagrass meadows and macroalgae communities to identify the sources of organic carbon used by the sediment bacteria. Bacteria delta(13)C ratios in pristine sediments vegetated by the seagrass Posidonia oceanica were either similar to the seagrass signal or slightly enriched, suggesting that seagrass detritus was of major importance as a bacterial carbon source. There was a shift in bacterial carbon sources in anthropogenic impacted P. oceanica meadows towards seston and macroalgae. The net primary productivity was reduced in these meadows, whereas the rates of mineralization as measured by sulfate reduction rates were enhanced in the sediments. This effect on mineralization was probably due to the input of less refractory organic matter compared to seagrass detritus, which enhances the bacterial decomposition of organic matter. In the fast growing seagrass Cymodocea nodosa meadow, the bacterial carbon sources consisted of a mixture of seagrass detritus and seston, and the mineralization rates were much higher compared to the P. oceanica meadows, indicating that these carbon sources were more labile and easily decomposed by the bacteria. A similar pattern was found in the macroalgae bed with Caulerpa prolifera, where the rates of mineralization were high, similar to findings in organic impacted fish farm sediments. Here C. prolifera detritus was the most important carbon source and accounted for an increase in sediment organic content. The possible impacts of a shift in bacterial carbon sources due to nutrient loading are discussed in relation to the performance of P. oceanica in carbonate sediments.</t>
  </si>
  <si>
    <t>10.3354/ame036227</t>
  </si>
  <si>
    <t>Lanna, FM; Colli, GR; Burbrink, FT; Carstens, BC</t>
  </si>
  <si>
    <t>Identifying traits that enable lizard adaptation to different habitats</t>
  </si>
  <si>
    <t>Diagonal of Open Formations; machine learning; Neotropics; random forest algorithm; range transitions; Squamata</t>
  </si>
  <si>
    <t>BODY-SIZE; CLIMATE-CHANGE; DIVERSIFICATION; EVOLUTIONARY; CONSERVATISM; ECOLOGY; DRIVEN; CLADE; BIOGEOGRAPHY; PATTERNS</t>
  </si>
  <si>
    <t>Aim Species adapt differently to contrasting environments, such as open habitats with sparse vegetation and forested habitats with dense forest cover. We investigated colonization patterns in the open and forested environments in the diagonal of open formations and surrounding rain forests (i.e. Amazonia and Atlantic Forest) in Brazil, tested whether the diversification rates were affected by the environmental conditions and identified traits that enabled species to persist in those environments. Location South America, Brazil. Taxon Squamata, Lizards. Methods We used phylogenetic information and the current distribution of species in open and forested habitats to estimate ancestral ranges and identify range shifts relative to the current habitats. To evaluate whether these environments influenced species diversification, we tested 12 models using a Hidden Geographic State Speciation and Extinction analysis. Finally, we combined phylogenetic relatedness and species traits in a machine learning framework to identify the traits permitting adaptation in those contrasting environments. Results We identified 41 total transitions between open and forested habitats, of which 80% were from the forested habitats to the open habitats. Widely distributed species had higher speciation, turnover, extinction, and extinction fraction rates than species in forested or open habitats, but had also the lower net diversification rate. Mean body temperature, microhabitat, female snout-vent length and diet were identified as putative traits that enabled adaptation to different environments, and phylogenetic relatedness was an important predictor of species occurrence. Main conclusions Transitions from forested to open habitats are most common, highlighting the importance of habitat shift in current patterns of biodiversity. The combination of phylogenetic reconstruction of ancestral distributions and the machine learning framework enables us to integrate organismal trait data, environmental data and evolutionary history in a manner that could be applied on a global scale.</t>
  </si>
  <si>
    <t>10.1111/jbi.14285</t>
  </si>
  <si>
    <t>Urbas, P; Araujo, MV; Leal, IR; Wirth, R</t>
  </si>
  <si>
    <t>Cutting more from cut forests: Edge effects on foraging and herbivory of leaf-cutting ants in Brazil</t>
  </si>
  <si>
    <t>Atlantic forest; Atta cephalotes; bottom-tip control; foraging area; Northeast Brazil</t>
  </si>
  <si>
    <t>RAIN-FOREST; HABITAT FRAGMENTATION; CANOPY STRUCTURE; ATTA-COLOMBICA; AREA INDEX; HOME-RANGE; PATTERNS; CONSEQUENCES; POPULATIONS; FORMICIDAE</t>
  </si>
  <si>
    <t>Edge-mediated changes in species composition are known to result in modified species interactions. Because of the crucial trophic position of herbivores and their far-reaching impact on plant communities, it is important to understand how edge influences herbivory. In the present paper, we investigated whether and how leaf-cutting ant foraging is altered in the forest edge, as this habitat is characterized by an increased proportion of pioneer species. We assessed basic foraging data as well as the herbivory rate (i.e., the proportion of the leaf material harvested by a colony in relation to the available leaf area in the foraging area) of Atta cephalotes colonies at the edge versus interior sites of a large remnant of the Atlantic forest in Northeast Brazil. Our results indicated clear edge effects on leaf-cutting ants: equally sized A. cephalotes colonies located at the forest edge removed about twice as much leaf area from their foraging grounds than interior colonies (14.3 vs. 7.8%/col/yr). This greater colony-level impact within the forest edge zone was a consequence of markedly reduced foraging areas (0.9 vs. 2.3 ha/col/yr) and moderately lower leaf area index in this habitat, whereas harvest rates were the same. Our results suggest that forest edges induce increased leaf-cutting ant herbivory, probably via the release of resource limitation. Together with the increase of leaf-cutting ant populations along forest edges, this may amplify environmental changes induced by habitat fragmentation.</t>
  </si>
  <si>
    <t>10.1111/j.1744-7429.2007.00285.x</t>
  </si>
  <si>
    <t>Rivas, Y; Huygens, D; Knicker, H; Godoy, R; Matus, F; Boeckx, P</t>
  </si>
  <si>
    <t>Soil nitrogen dynamics three years after a severe Araucaria-Nothofagus forest fire</t>
  </si>
  <si>
    <t>13C-NMR; Andisol; Chile; N cycling; organic matter fractionation; stable isotope</t>
  </si>
  <si>
    <t>C-13 NMR-SPECTRA; ORGANIC-MATTER; PONDEROSA PINE; NATURAL-ABUNDANCE; MICROBIAL BIOMASS; STABLE-ISOTOPES; CONIFER FORESTS; BLACK CARBON; LONG-TERM; STAND</t>
  </si>
  <si>
    <t>Wildfires have shaped the biogeography of south Chilean AraucariaNothofagus rainforest vegetation patterns, but their impact on soil properties and associated nutrient cycling remains unclear. Nitrogen (N) availability shows a site-specific response to wildfire events indicating the need for an increased understanding of underlying mechanisms that drive changes in soil N cycling. In this study, we selected unburned and burned sites in a large area of the National Park Tolhuaca that was affected by a stand-replacing wildfire in February 2002. We conducted net N cycling flux measurements (net ammonification, net nitrification and net N mineralization assays) on soils sampled 3 years after fire. In addition, samples were physically fractionated and natural abundance of C and N, and 13C-NMR analyses were performed. Results indicated that standing inorganic N pools were greater in the burned soil, but that no main differences in net N cycling fluxes were observed between unburned and burned sites. In both sites, net ammonification and net nitrification fluxes were low or negative, indicating N immobilization. Multiple linear regression analyses indicated that soil N cycling could largely be explained by two parameters: light fraction (LF) soil organic matter N content and aromatic Chemical Oxidation Resistant Carbon (CORECarom), a relative measure for char. The LF fraction, a strong NH4+ sink, decreased as a result of fire, while CORECarom increased in the burned soil profile and stimulated NO3- production. The absence of increased total net nitrification might relate to a decrease in heterotrophic nitrification after wildfire. We conclude that (i) wildfire induced a shift in N transformation pathways, but not in total net N mineralization, and (ii) stable isotope measurements are a useful tool to assess post-fire soil organic matter dynamics.</t>
  </si>
  <si>
    <t>10.1111/j.1442-9993.2011.02258.x</t>
  </si>
  <si>
    <t>Udy, JA; Wing, SR; O'Connell-Milne, SA; Durante, LM; McMullin, RM; Kolodzey, S; Frew, RD</t>
  </si>
  <si>
    <t>Regional differences in supply of organic matter from kelp forests drive trophodynamics of temperate reef fish</t>
  </si>
  <si>
    <t>Kelp forest; Reef fish; Trophic level; Organic matter; Food web; Fisheries</t>
  </si>
  <si>
    <t>ECOSYSTEM-BASED MANAGEMENT; NEW-ZEALAND; HABITAT CONVERSION; MARINE ECOSYSTEM; PRODUCTIVE CAPACITY; STABLE-ISOTOPES; FEEDING ECOLOGY; GLOBAL PATTERNS; FOOD WEBS; CARBON</t>
  </si>
  <si>
    <t>Regional differences in trophic structure and availability of alternate sources of basal organic matter to food webs can affect the volume of organic matter converted into fish biomass. The present study combined stable isotope analyses (delta C-13 and delta N-15) with estimates of biomass density of 22 common reef fishes to compare supply of organic matter derived from macroalgae versus phytoplankton to reef fish communities among 30 sites distributed across Fiordland and the Marl-borough Sounds, 2 contrasting regions in terms of land-based stressors on the South Island, New Zealand. Fish communities in the Marlborough Sounds were supported by food webs that incorporated less organic matter derived from macroalgae compared to those in Fiordland. Contribution of organic matter derived from macroalgae to fish biomass decreased with trophic level in the Marl-borough Sounds, while fishes in Fiordland were supported by a more equal mixture of organic matter derived from phytoplankton and macroalgae among trophic levels. Total fish biomass density was 1.72 times higher in Fiordland, yet the fish community converted 2.91 times more organic matter to fish biomass, as a result of a higher proportion of biomass at high trophic levels. The observed patterns were consistent with limitation in supply of organic matter derived from macroalgae in the Marlborough Sounds, where extensive losses of kelp forest habitat linked to land-based stressors have been reported. The results highlight the importance of considering regional variability in basal organic matter source pools, particularly those produced from sensitive kelp forest habitats, when applying ecosystem-based approaches to managing coastal resources.</t>
  </si>
  <si>
    <t>10.3354/meps12974</t>
  </si>
  <si>
    <t>Dou, XL; Deng, Q; Li, M; Wang, WB; Zhang, QF; Cheng, XL</t>
  </si>
  <si>
    <t>Reforestation of Pinus massoniana alters soil organic carbon and nitrogen dynamics in eroded soil in south China</t>
  </si>
  <si>
    <t>Pinus massoniana; Reforestation; Red soil; Soil fraction; Soil organic C and N</t>
  </si>
  <si>
    <t>LAND-USE CHANGE; MATTER DYNAMICS; COMMUNITY COMPOSITION; FOREST RESTORATION; SECONDARY FORESTS; SEQUESTRATION; POOLS; FRACTIONATION; TEMPERATURE; LABILE</t>
  </si>
  <si>
    <t>Reforestation of Pinus massoniana has been widely conducted to restore and protect the eroded red soil in south China in recent decades. The reforestation of P. massoniana may alter soil carbon (C) and nitrogen (N) dynamics and has implications for both biogeochemical cycling and ecological responses to management strategies aiming at restoring eroded red soil ecosystems. In this study, we investigated soil organic C (SOC) and N dynamics following uncultivated area converted to P. massoniana forest of 10, 18, 25, and 30 years old of reforestation in Changting Country of south China by soil fractionation and stable C and N isotopes. Soil samples from the uncultivated area and P. massoniana reforestation area were separated into organic soil and recalcitrant fractions, and two fractions were analyzed for their C and N concentrations, delta C-13 and delta N-15 values. We found that reforestation of P. massoniana after 18-30 years significantly increased soil C and N levels, whereas reforestation after 10 years did not significantly enhance soil C and N levels. The C accumulation following the reforestation appeared to be determined by a combination of large biomass input and low C decomposition. The change in the delta C-13 values indicated that the decay rates for old C in the 10 years old soil was faster than that at the 18-30 years old stand. The delta N-15 values of organic soil were more depleted with plantation age, indicating a decreased N loss with stand age. Our results suggest that reforestation of P. massoniana could alter soil C input and decomposition rate and thus, have potential effects on ecosystem function. (C) 2013 Elsevier B.V. All rights reserved.</t>
  </si>
  <si>
    <t>10.1016/j.ecoleng.2012.12.099</t>
  </si>
  <si>
    <t>Ezgeta-Balic, D; Lojen, S; Dolenec, T; Rozic, PZ; Dolenec, M; Najdek, M; Peharda, M</t>
  </si>
  <si>
    <t>Seasonal differences of stable isotope composition and lipid content in four bivalve species from the Adriatic Sea</t>
  </si>
  <si>
    <t>MYTILUS-EDULIS; FOOD-WEB; CERASTODERMA-EDULE; CARBON ISOTOPES; ORGANIC-MATTER; RAFT CULTURE; DELTA-C-13; NITROGEN; DELTA-N-15; DIET</t>
  </si>
  <si>
    <t>10.1080/17451000.2013.833338</t>
  </si>
  <si>
    <t>Breecker, DO; McFadden, LD; Sharp, ZD; Martinez, M; Litvak, ME</t>
  </si>
  <si>
    <t>Deep Autotrophic Soil Respiration in Shrubland and Woodland Ecosystems in Central New Mexico</t>
  </si>
  <si>
    <t>soil respiration; soil depth; desert; carbon isotopes; vapor pressure deficit; New Mexico; autotrophic</t>
  </si>
  <si>
    <t>STABLE ISOTOPIC COMPOSITION; CO2 PRODUCTION; ROOT SYSTEMS; TEMPERATURE SENSITIVITY; TEMPORAL VARIATION; ORGANIC-CARBON; FOREST SOIL; C-13; PHOTOSYNTHESIS; FRACTIONATION</t>
  </si>
  <si>
    <t>Quantifying the controls on soil respiration is important for understanding ecosystem physiology and for predicting the response of soil carbon reservoirs to climate change. The majority of soil respiration is typically considered to occur in the top 20-30 cm of soils. In desert soils, where organic matter concentrations tend to be low and plants are deeply rooted, deeper respiration might be expected. However, little is known about the depth distribution of respiration in dryland soils. Here we show that the average depth of soil respiration between pulse precipitation events is almost always greater than 20 cm and is frequently greater than 50 cm in two central New Mexico desert shrublands. The average depth of soil respiration in a pinon-juniper woodland was shallower, between 5 and 40 cm. In the shrublands, 8 parts per thousand seasonal variations in the carbon isotope composition of soil-respired CO2 (delta C-13(r-soil)) that correlate with vapor pressure deficit support root/rhizosphere respiration as the dominant source of soil CO2. Such deep autotrophic respiration indicates that shrubs preferentially allocate photosynthate to deep roots when conditions near the surface are unfavorable. Therefore, respiration rates in these soils are not necessarily correlated with root biomass. The delta(13) Cr-soil values provide no evidence for CO2 evolved from soil inorganic carbon. Our results also suggest that organic carbon cycling is rapid and efficient in these soils and that the delta C-13 value of CO2 respired from soils in much of the southwestern US, and perhaps in other semiarid regions, varies seasonally by at least 4 parts per thousand.</t>
  </si>
  <si>
    <t>10.1007/s10021-011-9495-x</t>
  </si>
  <si>
    <t>Jenerette, GD; Shen, WJ</t>
  </si>
  <si>
    <t>Experimental landscape ecology</t>
  </si>
  <si>
    <t>Experimental design; Scaling; Methodology; Synthesis</t>
  </si>
  <si>
    <t>SOIL ORGANIC-MATTER; CLIMATE-CHANGE; PATCH SHAPE; VEGETATION PATTERNS; GRASSLAND RESPONSES; MODEL SYSTEMS; SCALE; FRAGMENTATION; STREAM; DISPERSAL</t>
  </si>
  <si>
    <t>Experimentation in landscape ecology is widely conducted using diverse approaches to answer a broad range of questions. By assessing the response to controlled manipulations alternate hypotheses can be clearly refuted, model parameters quantified, and conditions are often ripe for unexpected insights. Results from landscape experiments complement the many well developed observational and modeling approaches more commonly used in landscape ecology. To better understand how landscape experimentation has been conducted and to identify future research directions, we reviewed and organized the diversity of experiments. We identified fifteen distinct landscape experiment types, which we categorized into four broad groups including (I) identifying landscape structure, (II) identifying how ecological processes vary within existing landscapes, (III) identifying how landscape structure influences ecological processes, and (IV) identifying landscape pattern formation factors. Experiment types vary along axes of scalable to real landscapes and generalizability, suitability for analysis through traditional experimental design and flexibility of experimental setup, and complexity of implementation and resource requirements. The next generation of experiments are benefiting from more explicit inclusion of scaling theories and tighter coupling between experiments and cyberinfrastructure. Future experimental opportunities for landscape ecologists include expanded collaborations among experiments, better representations of microbial-soil structure relationships at microscales, and direct evaluations of landscape interactions with global changes. The history, current practice, and future needs of landscape ecological research strongly support an expanded role of experimental approaches that complements the rich observational and modeling strengths of the field.</t>
  </si>
  <si>
    <t>10.1007/s10980-012-9797-1</t>
  </si>
  <si>
    <t>Kool, JT; Moilanen, A; Treml, EA</t>
  </si>
  <si>
    <t>Population connectivity: recent advances and new perspectives</t>
  </si>
  <si>
    <t>Dispersal; Spatial ecology; Review; Tracking; Population genetics; Modeling; Conservation; Management</t>
  </si>
  <si>
    <t>LANDSCAPE CONNECTIVITY; CLIMATE-CHANGE; LARVAL DISPERSAL; STABLE-ISOTOPES; HABITAT PATCHES; TRANSGENERATIONAL MARKING; BIODIVERSITY CONSERVATION; EMPIRICAL-EVALUATION; PARENTAGE ANALYSIS; ASSIGNMENT TESTS</t>
  </si>
  <si>
    <t>Connectivity is a vital component of metapopulation and landscape ecology, influencing fundamental processes such as population dynamics, evolution, and community responses to climate change. Here, we review ongoing developments in connectivity science, providing perspectives on recent advances in identifying, quantifying, modelling and analysing connectivity, and highlight new applications for conservation. We also address ongoing challenges for connectivity research, explore opportunities for addressing them and highlight potential linkages with other fields of research. Continued development of connectivity science will provide insights into key aspects of ecology and the evolution of species, and will also contribute significantly towards achieving more effective conservation outcomes.</t>
  </si>
  <si>
    <t>10.1007/s10980-012-9819-z</t>
  </si>
  <si>
    <t>Ludsin, SA; DeVries, DR</t>
  </si>
  <si>
    <t>First-year recruitment of largemouth bass: The interdependency of early life stages</t>
  </si>
  <si>
    <t>critical period; first-winter mortality; hatch date; Iatroscan; largemouth bass; lipids; Micropterus salmoides; otoliths; prey availability; recruitment; size-dependent survival; triglycerides</t>
  </si>
  <si>
    <t>MICROPTERUS-DOLOMIEUI PISCES; SMALLMOUTH BASS; YELLOW PERCH; BODY SIZE; OVERWINTER MORTALITY; ENGRAULIS-MORDAX; LARVAL SURVIVAL; PREY SELECTION; LAKE-MICHIGAN; GROWTH</t>
  </si>
  <si>
    <t>Four early life events (i.e., hatching, the ontogenetic diet shift to piscivory, fall lipid accumulation, and the first winter) are conceptualized as being critical to Ist-yr recruitment success of largemouth bass (Micropterus salmoides) via cause-and-effect associations among them. Toward this end, we conducted a multiple life-stage investigation of largemouth bass to examine the functional dependency and significance to recruitment of these temporally separated early life events. Specifically, we quantified growth and survival of two largemouth bass year-classes in six Alabama ponds from hatching to the end of the first winter. The first winter was an important survival bottleneck with lower largemouth bass survival in ponds with smaller largemouth bass (high-density ponds), relative to ponds with larger fish (low-density ponds). While cannibalism was not important, we found size-dependent first-winter mortality to be regulated directly by lipid reserves (i.e., triglycerides) accumulated during fall, and indirectly by both hatch date and the ontogenetic diet shift to piscivory during summer. Early-hatched largemouth bass attained an initial length advantage, remaining large relative to late-hatched fish, despite the relatively higher growth rate of late-hatched fish during their first month of life. Enhanced size permitted early-hatched fish to become piscivorous before late-hatched fish, increasing their access to fish prey (i.e., sunfishes) during fall. This in turn elevated their fall lipid accumulation and winter survival above that of late-hatched fish. Our results indeed suggest that Ist-yr recruitment of largemouth bass in southern systems is governed by several functionally dependent critical events. Because each is likely vital to understanding recruitment variability, we suggest that future recruitment studies should adopt a more synthetic (i.e., multiple life-stage) approach.</t>
  </si>
  <si>
    <t>Cloyed, CS; Balmer, BC; Schwacke, LH; Takeshita, R; Hohn, A; Wells, RS; Rowles, TK; Saliki, JT; Smith, CR; Tumlin, MC; Zolman, ES; Fauquier, DA; Carmichael, RH</t>
  </si>
  <si>
    <t>Linking morbillivirus exposure to individual habitat use of common bottlenose dolphins (Tursiops truncatus) between geographically different sites</t>
  </si>
  <si>
    <t>Barataria Bay; disease; individual habitat specialization; Mississippi Sound; movement ecology; pathogen; satellite&amp;#8208; linked telemetry; stable isotope analysis</t>
  </si>
  <si>
    <t>STABLE-ISOTOPES; HOME-RANGE; INFECTION; PATTERNS; LOUISIANA; OVERLAP; DISEASE; BAY; DISTRIBUTIONS; EPIDEMIOLOGY</t>
  </si>
  <si>
    <t>Dolphin morbillivirus (DMV) is a virulent pathogen that causes high mortality outbreaks in delphinids globally and is spread via contact among individuals. Broadly ranging nearshore and open-ocean delphinids are likely reservoir populations that transmit DMV to estuarine populations. We assessed the seroprevalence of DMV antibodies and determined the habitat use of common bottlenose dolphins, Tursiops truncatus truncatus, from two estuarine sites, Barataria Bay and Mississippi Sound, in the northern Gulf of Mexico. We predicted that risk to DMV exposure in estuarine dolphins is driven by spatial overlap in habitat use with reservoir populations. Serum was collected from live-captured dolphins and tested for DMV antibodies. Habitat use of sampled individuals was determined by analysing satellite-tracked movements and stable isotope values. DMV seroprevalences were high among dolphins at Barataria Bay (37%) and Mississippi Sound (44%), but varied differently within sites. Ranging patterns of Barataria Bay dolphins were categorized into two groups: Interior and Island-associated. DMV seroprevalences were absent in Interior dolphins (0%) but high in Island-associated dolphins (45%). Ranging patterns of Mississippi Sound dolphins were categorized into three groups: Interior, Island-east and Island-west. DMV seroprevalences were detected across Mississippi Sound (Interior: 60%; Island-east: 20%; and Island-west: 43%). At both sites, dolphins in habitats with greater marine influence had enriched delta C-13 values, and Barataria Bay dolphins with positive DMV titres had carbon isotope values indicative of marine habitats. Positive titres for DMV antibodies were more common in the lower versus upper parts of Barataria Bay but evenly distributed across Mississippi Sound. A dolphin's risk of exposure to DMV is influenced by how individual ranging patterns interact with environmental geography. Barataria Bay's partially enclosed geography likely limits the nearshore or open-ocean delphinids that carry DMV from interacting with dolphins that use interior, estuarine habitats, decreasing their exposure to DMV. Mississippi Sound's relatively open geography allows for greater spatial overlap and mixing among estuarine, nearshore and/or open-ocean cetaceans. The spread of DMV, and likely other diseases, is affected by the combination of individual movements, habitat use and the environment.</t>
  </si>
  <si>
    <t>10.1111/1365-2656.13446</t>
  </si>
  <si>
    <t>Richerson, PJ; Suchanek, TH; Zierenberg, RA; Osleger, DA; Heyvaert, AC; Slotton, DG; Eagles-Smith, CA; Vaughn, CE</t>
  </si>
  <si>
    <t>ANTHROPOGENIC STRESSORS AND CHANGES IN THE CLEAR LAKE ECOSYSTEM AS RECORDED IN SEDIMENT CORES</t>
  </si>
  <si>
    <t>C-14; Clear Lake, California, USA; dichlorodiphenyldichloroethane (DDD); human impacts; Pb-210; mercury; mining; sediment cores; Sulphur Bank Mercury Mine; watersheds</t>
  </si>
  <si>
    <t>MERCURY DEPOSITION; GAS-CHROMATOGRAPHY; HUMAN DISTURBANCE; ORGANIC-MATTER; METHYL MERCURY; CALIFORNIA; METHYLMERCURY; DISTILLATION; EXTRACTION; ETHYLATION</t>
  </si>
  <si>
    <t>Sediment cores were collected to investigate multiple stresses on Clear Lake, California, USA, through the period of European occupation to the present day. Earlier workers suggested the hypothesis that the use of mechanized earthmoving equipment, starting in the 1920s and 1930s, was responsible for erosion, mercury (Hg) contamination, and habitat loss stresses. Cores (similar to 2.5 m in depth) were collected in 1996 and 2000 from each of the three arms of the lake. Carbon-14 dating suggests that these cores represent as much as 3000 years of the lake's history, beginning long before European settlement. Total mercury (TotHg) and methylmercury (MeHg), dry matter, water, carbon, nitrogen, phosphorus, sulfur, and the stable isotopes C-13 and N-15 were measured at 5-cm intervals. Nearly all parameters show major changes at depths of 58-135 cm, beginning at ca. 1927 (dated with Pb-210). Accepting this date for concomitant major changes in seven cores yields an estimated 8.6 mm/yr average sedimentation rate after 1927. Pre-1927 sedimentation rates were similar to 1 mm/yr. Total mercury and MeHg, dry matter, phosphorus, and N-15 increase significantly, whereas nitrogen, sulfur, carbon, and water content decrease significantly above the 1927 horizon. Both TotHg and MeHg show extremely large increases (roughly 10-fold) above the 1927 horizon. A peak in inorganic deposition rate and minimum values for percentage of water is present at depths corresponding to ca. 1970. Interestingly, the first 75 years of European settlement in the Clear Lake basin (including the most productive years of the Sulphur Bank Mercury Mine) appeared to have had undetectable effects on lake cores. Changes since 1927 were dramatic. The large increase in Hg beginning about 1927 corresponds to the use of heavy equipment to exploit the ore deposit at the mine using open-pit methods. Increases in sediment deposition from increased earthmoving in the basin and sulfate loading from the mine are the most likely explanations for the dramatic changes seen in the post-1927 sections of the cores.</t>
  </si>
  <si>
    <t>A257</t>
  </si>
  <si>
    <t>A283</t>
  </si>
  <si>
    <t>10.1890/06-1458.1</t>
  </si>
  <si>
    <t>Ransom, JT; Filbrun, JE; Hernandez, FJ</t>
  </si>
  <si>
    <t>Condition of larval Spanish mackerel Scomberomorus maculatus in relation to the Deepwater Horizon oil spill</t>
  </si>
  <si>
    <t>Deepwater Horizon; Gulf of Mexico; Spanish mackerel; Larval condition</t>
  </si>
  <si>
    <t>NUTRITIONAL CONDITION; CRUDE-OIL; GROWTH; STARVATION; GULF; TEMPERATURE; MORTALITY; TOXICITY; MEXICO</t>
  </si>
  <si>
    <t>The Deepwater Horizon oil spill (DWHOS) coincided with the pelagic larval stages of many valued commercial and recreational fishes in the northern Gulf of Mexico. Larval fish survival and eventual recruitment into adult populations may have been impacted directly through toxicity or indirectly through changes in the planktonic food web caused by the release of oil and chemical dispersants during the DWHOS event. Using samples from a long-term ichthyoplankton survey off the coast of Alabama, USA, in a region impacted by the DWHOS, the abundance and condition of larval Spanish mackerel Scomberomorus maculatus were compared during summer months in years before (2007-2009), during (2010) and after (2011) the DWHOS. Changes in larval quality were examined using morphometric and weight-based body condition indices, whereas potential trophic impacts were quantified using stable C and N isotopes. Larval abundance did not differ across years. However, larvae were in better body condition during the DWHOS period relative to before the spill. Larvae had generally similar isotopic values through time. Thus, larval Spanish mackerel body condition was largely resilient to the harmful effects of the DWHOS. Responses to the DWHOS are likely taxon-specific, as the resiliency of larval Spanish mackerel starkly contrast the response of another managed species (red snapper) during the same period.</t>
  </si>
  <si>
    <t>10.3354/meps11880</t>
  </si>
  <si>
    <t>Sena-Souza, JP; Houlton, BZ; Martinelli, LA; Nardoto, GB</t>
  </si>
  <si>
    <t>Reconstructing continental-scale variation in soil delta N-15: a machine learning approach in South America</t>
  </si>
  <si>
    <t>isoscape; machine learning; nitrogen cycle; random forest; soil nitrogen; stable nitrogen isotopes</t>
  </si>
  <si>
    <t>N-15 NATURAL-ABUNDANCE; ORGANIC-CARBON STOCKS; ISOTOPIC COMPOSITION; NITROUS-OXIDE; MODELS; PLANT; PREDICTION; SAVANNAS</t>
  </si>
  <si>
    <t>Soil nitrogen isotope composition (delta N-15) is an essential tool for investigating ecosystem nitrogen balances, plant-microbe interactions, ecological niches, animal migration, food origins, and forensics. The advancement of these applications is limited by a lack of robust geospatial models that are capable of capturing variation in soil delta N-15 (i.e., isotopic landscapes or isoscapes). Due to the complexity of the nitrogen cycle and general scarcity of isotopic information, previous approaches have reconstructed regional to global soil delta N-15 patterns via highly uncertain linear regression models. Here, we develop a new machine learning approach to ascertain a finer-scale understanding of geographic differences in soil delta N-15, using the South American continent as a test case. We use a robust training set spanning 278 geographic locations across the continent, spanning all major biomes. We tested three different machine learning methods: cubist, random forest (RF), and stochastic gradient boosting (GBM). 10-fold cross-validation revealed that the RF method outperformed both the cubist and GBM approaches. Variable importance analysis of the RF framework pointed to biome type as the most crucial auxiliary variable, followed by soil organic carbon content, in determining the model performance. We thereby created a biogeographic boundary map, which predicted an expected multiscale spatial pattern of soil delta N-15 with a high degree of confidence, performing substantially better than all previous approaches for the continent of South America. Therefore, the RF machine learning framework showed to be a great opportunity to explore a broad array of ecological, biogeochemical, and forensic issues through the lens of soil delta N-15.</t>
  </si>
  <si>
    <t>e03223</t>
  </si>
  <si>
    <t>10.1002/ecs2.3223</t>
  </si>
  <si>
    <t>Aguilera, VM; Bednarsek, N</t>
  </si>
  <si>
    <t>Variations in phenotypic plasticity in a cosmopolitan copepod species across latitudinal hydrographic gradients</t>
  </si>
  <si>
    <t>coastal ocean; environmental variability; latitudinal gradient; phenotypic plasticity; copepod</t>
  </si>
  <si>
    <t>COASTAL UPWELLING SYSTEM; OXYGEN-MINIMUM-ZONE; ACARTIA-TONSA; CALANUS-CHILENSIS; NARRAGANSETT-BAY; MARINE COPEPOD; EGG-PRODUCTION; LIFE-HISTORY; CARBONATE SYSTEM; CLIMATE-CHANGE</t>
  </si>
  <si>
    <t>Studies assessing latitudinal variations in habitat conditions and phenotypic plasticity among populations yield evidence of the mechanisms governing differentiation in the potential to adapt to current/future habitat changes. The cosmopolitan copepod species Acartia tonsa thrives across ocean clines delimiting Seasonal (30-40 degrees S) and Permanent (10-30 degrees S) Upwelling coastal provinces established during the middle-late Pliocene (3.6-1.8 Ma) alongshore the South East Pacific (SEP), nowadays exhibiting contrasting variability features related to several ocean drivers (temperature, salinity, pH, and food availability). Latitudinal variation across the range of environmental conditions of the coastal provinces can contribute toward shaping divergent A. tonsa's phenotypes, for example, through specific patterns of phenotypic plasticity in morphological and physiological traits and tolerance to environmental drivers. With the aim of contributing to the understanding of these adaptive processes in a relatively little studied oceanic region, here we compared the expression of parental (i.e., adult size, egg production, and ingestion rate) and offspring (i.e., egg size) traits in relation to variation in environmental habitat conditions across different cohorts of two distant (&gt; 15 degrees latitude) A. tonsa populations inhabiting estuarine and upwelling habitats located in the Seasonal and Permanent Upwelling province, respectively. Mean conditions and ranges of variability in the habitat conditions and phenotypic plasticity of parental and offspring traits within and among cohorts of A. tonsa populations varied significantly across the different examined regions (i.e., Seasonal vs. Permanent). We also found significant differences in the coupling of habitat variability and trait expression, suggesting that the differences in trait expressions might be related to habitat variability. The phenotypic divergence was translated to cohort-related patterns of trait trade-offs regulating reproduction and tolerance of egg production efficiency that can jointly determine the level of plasticity, genetic structure, or local adaptation. The current findings provide novel evidence of how divergent phenotypes might sustain A. tonsa populations across variable coastal provinces of the SEP.</t>
  </si>
  <si>
    <t>10.3389/fevo.2022.925648</t>
  </si>
  <si>
    <t>van Rijssel, JC; Witte, F</t>
  </si>
  <si>
    <t>Adaptive responses in resurgent Lake Victoria cichlids over the past 30 years</t>
  </si>
  <si>
    <t>Body shape; Ecomorphology; Functional ecology; Morphological adaptations; Morphological trade off; Nile perch predation</t>
  </si>
  <si>
    <t>ASTATOREOCHROMIS ALLUAUDI PISCES; PHARYNGEAL JAW APPARATUS; PHENOTYPIC PLASTICITY; NILE PERCH; EAST-AFRICA; MORPHOLOGICAL-CHANGES; ECOLOGICAL CHANGES; LATES-NILOTICUS; FISH SIZE; EVOLUTION</t>
  </si>
  <si>
    <t>Textbook examples of adaptive radiation like the Galapagos finches and the East-African cichlids form a subject of major interest in evolutionary biology. Many of these species often show rapid morphological changes in response to a perturbed environment. The dramatic ecological changes in Lake Victoria during the past three decades, e.g. Nile perch predation and eutrophication, provide a unique opportunity to study environmental effects on cichlid morphology. Preliminary research has revealed that the lake's haplochromines tend to be extremely plastic and sensitive to these environmental changes. So far, long-term ecomorphological studies at short-term intervals are extremely rare. In this study, we examined morphological changes over a 30 year period in six haplochromine species. Geometric morphometric analyses at intervals of approximately 3 years revealed adaptive responses. Three out of four resurgent haplochromines had a smaller head surface/caudal peduncle area (HS/CPA) ratio during the upsurge of the predatory Nile perch. During the same period, all four resurgent species had a larger cheek depth and a smaller eye size. The smaller HS/CPA ratio and larger cheek depth are likely to be adaptive responses to a high predation pressure and a diet shift to larger prey. The smaller eye size seems to be the result of a trade off between the eyes and other morphological structures in the smaller head of these species. Interestingly, the direction of the morphological changes was different between the four resurgent cichlid species and two species that became extremely rare or even may have gone extinct. The HS/CPA ratio increased in the extinct species where it decreased in the resurgent species. This study suggests that predation is a major driver of these morphological changes, which may be due to either phenotypic plasticity or adaptive changes.</t>
  </si>
  <si>
    <t>10.1007/s10682-012-9596-9</t>
  </si>
  <si>
    <t>Bruggemann, N; Gessler, A; Kayler, Z; Keel, SG; Badeck, F; Barthel, M; Boeckx, P; Buchmann, N; Brugnoli, E; Esperschutz, J; Gavrichkova, O; Ghashghaie, J; Gomez-Casanovas, N; Keitel, C; Knohl, A; Kuptz, D; Palacio, S; Salmon, Y; Uchida, Y; Bahn, M</t>
  </si>
  <si>
    <t>Carbon allocation and carbon isotope fluxes in the plant-soil-atmosphere continuum: a review</t>
  </si>
  <si>
    <t>DISSOLVED ORGANIC-CARBON; FAGUS-SYLVATICA L.; MICROBIAL COMMUNITY COMPOSITION; CRASSULACEAN ACID METABOLISM; RECENTLY ASSIMILATED CARBON; SCALING PHLOEM TRANSPORT; SHORT-TERM VARIATIONS; WATER-USE EFFICIENCY; LEAF-RESPIRED CO2; PINUS-SYLVESTRIS</t>
  </si>
  <si>
    <t>The terrestrial carbon (C) cycle has received increasing interest over the past few decades, however, there is still a lack of understanding of the fate of newly assimilated C allocated within plants and to the soil, stored within ecosystems and lost to the atmosphere. Stable carbon isotope studies can give novel insights into these issues. In this review we provide an overview of an emerging picture of plant-soil-atmosphere C fluxes, as based on C isotope studies, and identify processes determining related C isotope signatures. The first part of the review focuses on isotopic fractionation processes within plants during and after photosynthesis. The second major part elaborates on plant-internal and plant-rhizosphere C allocation patterns at different time scales (diel, seasonal, interannual), including the speed of C transfer and time lags in the coupling of assimilation and respiration, as well as the magnitude and controls of plant-soil C allocation and respiratory fluxes. Plant responses to changing environmental conditions, the functional relationship between the physiological and phenological status of plants and C transfer, and interactions between C, water and nutrient dynamics are discussed. The role of the C counterflow from the rhizosphere to the aboveground parts of the plants, e. g. via CO2 dissolved in the xylem water or as xylem-transported sugars, is highlighted. The third part is centered around belowground C turnover, focusing especially on above-and belowground litter inputs, soil organic matter formation and turnover, production and loss of dissolved organic C, soil respiration and CO2 fixation by soil microbes. Furthermore, plant controls on microbial communities and activity via exudates and litter production as well as microbial community effects on C mineralization are reviewed. A further part of the paper is dedicated to physical interactions between soil CO2 and the soil matrix, such as CO2 diffusion and dissolution processes within the soil profile. Finally, we highlight state-of-the-art stable isotope methodologies and their latest developments. From the presented evidence we conclude that there exists a tight coupling of physical, chemical and biological processes involved in C cycling and C isotope fluxes in the plant-soil-atmosphere system. Generally, research using information from C isotopes allows an integrated view of the different processes involved. However, complex interactions among the range of processes complicate or currently impede the interpretation of isotopic signals in CO2 or organic compounds at the plant and ecosystem level. This review tries to identify present knowledge gaps in correctly interpreting carbon stable isotope signals in the plant-soil-atmosphere system and how future research approaches could contribute to closing these gaps.</t>
  </si>
  <si>
    <t>10.5194/bg-8-3457-2011</t>
  </si>
  <si>
    <t>Engelbrecht, TM; Kock, AA; O'Riain, MJ</t>
  </si>
  <si>
    <t>Running scared: when predators become prey</t>
  </si>
  <si>
    <t>apex predators; broadnose sevengill sharks; great white sharks; killer whales; selective feeding; specialized predation</t>
  </si>
  <si>
    <t>WHALES ORCINUS-ORCA; SHARK CARCHARODON-CARCHARIAS; SOUTH-AFRICAN WATERS; KILLER WHALES; DIET</t>
  </si>
  <si>
    <t>Apex predators play an important role in structuring food webs and are thus key components of healthy, stable ecosystems. While the loss of apex predators has been shown to disrupt ecosystems and trigger trophic cascades, the introduction of novel apex predators to functionally intact systems is less well understood. False Bay, South Africa, is an aggregation site for both white (Carcharodon carcharias) and broadnose sevengill sharks (Notorynchus cepedianus) which together fulfill the role of coastal apex predators. However, since 2009, their position at the top of the food chain has been subverted by the increased presence of killer whales (Orcinus orca) in False Bay. These super predators are known to specialize on certain prey species, and up until 2015 were only documented preying on marine mammals within False Bay. However, in 2015 and 2016 we documented two events in which killer whales preyed upon broadnose sevengill sharks, using a specialized feeding method in which only the liver of each shark was consumed. Although selective feeding on shark liver by killer whales is established, this is the first record of killer whale predations on sevengill sharks in False Bay, and the first documentation of a novel feeding technique, in which killer whales used force applied to the pectoral fins of each shark to rupture the pectoral girdle and thereby access the liver. These predation events resulted in the prolonged absence of sevengill sharks from what is the largest known aggregation site for this species globally, which remained abandoned for up to a month. We briefly review the literature on killer whale behavior, dietary specialization, and population delineation globally and locally, and hypothesize that the novel predations on broadnose sevengill sharks in False Bay are possibly indicative of the arrival of a different sub-group or ecotype of killer whale in the bay, which habitually feeds on sharks. Due to the unique predatory niche occupied by sevengill sharks in False Bay, the increased presence of these particular killer whales in False Bay could have profound impacts throughout the ecosystem.</t>
  </si>
  <si>
    <t>e02531</t>
  </si>
  <si>
    <t>10.1002/ecs2.2531</t>
  </si>
  <si>
    <t>Michel, ES; Flinn, EB; Demarais, S; Strickland, BK; Wang, GM; Dacus, CM</t>
  </si>
  <si>
    <t>Improved nutrition cues switch from efficiency to luxury phenotypes for a long-lived ungulate</t>
  </si>
  <si>
    <t>canalization; efficiency phenotype; luxury phenotype; maternal effects; phenotypic plasticity; phenotypic variation; white-tailed deer</t>
  </si>
  <si>
    <t>WHITE-TAILED DEER; ANTLER SIZE; RED DEER; REPRODUCTION; EVOLUTION; GROWTH; AGE; HERITABILITY; POPULATION; SELECTION</t>
  </si>
  <si>
    <t>Cervid phenotype can be categorized as efficiency, which promotes survival but not extravagant growth, or luxury which promotes growth of large weaponry and body size. Although nutritional variation greatly influences these phenotypic forms, the potential for subspecies-linked genetic or founder effects from restocking efforts of harvested species has not been eliminated. We measured intergenerational phenotypic change of males in response to improved nutrition in three captive-reared populations of white-tailed deer. Study animals were offspring of females captured from three regions displaying variation in antler and body size as well as nutritional variation. We fed all animals a high-quality diet and measured antler and body size for two generations. We predicted that improved long-term nutrition would cue a switch from efficiency to luxury phenotype for all populations and that regional compensation of antler and body size would occur. Improved nutrition positively influenced all measures of antler and body size; however, changes varied in magnitude. Antler size was more responsive than body size. Improved nutrition also facilitated regional compensation of antler size and partial compensation of body size. Our results show that improved long-term nutrition cues a shift from efficiency to luxury phenotype in a long-lived cervid with weaponry being more responsive than body size. Compensation of antler size suggests that weaponry is greatly influenced by nutrition and is not restricted by subspecies-linked genetic or founder effects from restocking efforts related to our regional populations. Therefore, strategies to improve cervid antler and body size should include habitat management that elevates long-term diet quality.</t>
  </si>
  <si>
    <t>10.1002/ece3.2457</t>
  </si>
  <si>
    <t>Weintraub, SR; Brooks, PD; Bowen, GJ</t>
  </si>
  <si>
    <t>Interactive Effects of Vegetation Type and Topographic Position on Nitrogen Availability and Loss in a Temperate Montane Ecosystem</t>
  </si>
  <si>
    <t>soil nitrogen; topographic wetness; nitrate leaching; plant-soil interactions</t>
  </si>
  <si>
    <t>PLANT-SOIL FEEDBACKS; INORGANIC NITROGEN; WATER EXCHANGES; CARBON; NITRATE; DEPOSITION; TERRESTRIAL; CONIFER; BIOGEOCHEMISTRY; DENITRIFICATION</t>
  </si>
  <si>
    <t>Determining the fate of deposited nitrogen (N) in natural ecosystems remains a challenge. Heterogeneity of vegetation types and resulting plant-soil feedbacks interact with topo-hydrologic gradients to mediate spatial patterns of N availability and loss, yet net effects of variation in these two factors together across complex terrain remain unclear. Here we measured a suite of N-cycle pools and fluxes in sites that differed factorially in vegetation type (mixed forest vs. herbaceous) and topographic position (upslope vs. downslope) in a protected montane watershed near Salt Lake City, UT. Vegetation type was associated with large variation in N availability-herbaceous sites had larger NO3 (-) pools, higher NO3 (-):NH4 (+) ratios, higher nitrification potentials, lower soil C:N values, enriched delta N-15 values, and lower microbial biomass compared to forests, especially those upslope. Downslope sites tended to exhibit higher N availability and indicators of N-cycle openness, but patterns were moderated by vegetation type. In downslope forest, soil NO3 (-) depth profiles and higher foliar N content suggested trees were accessing deep soil N and transferring it to the surface via litterfall, while more deep soil NO3 (-) but no change in surface or foliar N suggested herbaceous cover was not N limited or deeper N pools were not accessible. Soil NO3 (-) leaching from below the rooting zone closely tracked N availability, revealing a link between N status and hydrologic loss as well as an important role for roots in N retention. NO3 (-) isotopes did not reveal a similar link for gaseous losses (that is, denitrification), instead reflecting nitrification and/or transport dynamics. Together, these results suggest a coupled ecological, topo-hydrologic perspective can help assess the fate of N in complex landscapes.</t>
  </si>
  <si>
    <t>10.1007/s10021-016-0094-8</t>
  </si>
  <si>
    <t>Cantonati, M; Lowe, RL</t>
  </si>
  <si>
    <t>Lake benthic algae: toward an understanding of their ecology</t>
  </si>
  <si>
    <t>lakes; littoral zone; benthic algae; periphyton; ecology; benthic primary production; depth gradient; water-level fluctuations (WLF); light; invasive species; nutrients</t>
  </si>
  <si>
    <t>WATER-LEVEL FLUCTUATIONS; DEPTH-DISTRIBUTION; OLIGOTROPHIC LAKE; PERIPHYTON CHLOROPHYLL; CLADOPHORA-GLOMERATA; NUTRIENT LIMITATION; DIATOM ASSEMBLAGES; COMMUNITIES; GREEN; LIGHT</t>
  </si>
  <si>
    <t>Lake phytoplankton studies outnumber studies on lake periphyton by an order of magnitude, and most periphyton research has been done in streams. Most benthic algal taxa found in lakes also can be found in lotic systems, but assemblages and taxa differ in a number of ways. The ecological characteristics of some lake benthic algae reflect habitat coupling. Littoral zones (benthic areas above the light compensation depth) are areas of high productivity and biodiversity. The proportion of benthic and planktonic primary production (autotrophic structure) is a key ecosystem property. The distribution of lake benthic algae is markedly influenced by the depth gradient and substratum, and assemblages change with depth from epilithic and epiphytic rheobionts to epipsammic and epipelic limnobionts. At shallow depths, periphyton must cope with the effects of high radiation, water-level fluctuations, wave action (e.g., desiccation, ultraviolet radiation exposure, shear stress), and seasonal shifts in temperature. This situation selects for widely distributed rheophilic species. In contrast, the deeper littoral zone is stable and hosts a distinct subset of lentic periphyton. However, species experience low light intensity, which becomes increasingly severe with increasing depth, and are often threatened by eutrophication-driven increased shading by phytoplankton. Besides change across depths and substrata, adaptations to disturbance levels, competition, microdistribution of phenological stages, and physiomorphological regulation generate multiple and complex spatial patterns at different scales. Lake shores are the focus of human activities with significant consequences for periphyton. In this review, we introduce a series of 15 papers on the topic and suggest directions for future research. Overall, this special series illustrates that, despite the many important ecosystem services provided by lake benthic algae, the topic is understudied.</t>
  </si>
  <si>
    <t>10.1086/676140</t>
  </si>
  <si>
    <t>Schmitter, P; Dercon, G; Hilger, T; Hertel, M; Treffner, J; Lam, N; Vien, TD; Cadisch, G</t>
  </si>
  <si>
    <t>Linking spatio-temporal variation of crop response with sediment deposition along paddy rice terraces</t>
  </si>
  <si>
    <t>Paddy rice; Productivity; Sedimentation; Soil fertility; C-13 discrimination and N-15 natural abundance</t>
  </si>
  <si>
    <t>CARBON-ISOTOPE DISCRIMINATION; NATURAL N-15 ABUNDANCE; FED LOWLAND RICE; SOIL PROPERTIES; SPATIAL VARIABILITY; USE EFFICIENCY; WATER-STRESS; NITROGEN; PRODUCTIVITY; DELTA-N-15</t>
  </si>
  <si>
    <t>In tropical mountainous regions of South East Asia, intensive cultivation of annual crops on steep slopes makes the area prone to erosion resulting in decreasing soil fertility. Sediment deposition in the valleys, however, can enhance soil fertility, depending on the quality of the sediments, and influence crop productivity. The aim of the study was to assess (i) the spatio-temporal variation in grain yield along two rice terrace cascades in the uplands of northern Viet Nam, (ii) possible linkage of sediment deposition with the observed variation in grain yield, and (iii) whether spatial variation in soil water or nitrogen availability influenced the obtained yields masking the effect of inherent soil fertility using carbon isotope (C-13) discrimination and N-15 natural abundance techniques. In order to evaluate the impact of seasonal conditions, fertilizer use and sediment quality on rice performance, N-15 and C-13 stable isotope compositions of rice leaves and grains taken after harvest were examined and combined with soil fertility information and rice performance using multivariate statistics. The observed grain yields for the non-fertilized fields, averaged over both cascades, accounted for 4.0 +/- 1.4 Mg ha(-1) and 6.6 +/- 2.5 Mg ha(-1) in the spring and summer crop, respectively, while for the fertilized fields, grain yields of 6.5 +/- 2.1 Mg ha and 6.9 +/- 2.1 Mg ha(-1) were obtained. In general, the spatial variation of rice grain yield was strongly and significantly linked to sediment induced soil fertility and textural changes, such as soil organic carbon (r 0.34/0.77 for Cascades 1 and 2, respectively) and sand fraction (r -0.88/-0.34). However, the observed seasonal alteration in topsoil quality, due to sediment deposition over two cropping cycles, was not sufficient to fully account for spatial variability in rice productivity. Spatial variability in soil water availability, assessed through C-13 discrimination, was mainly present in the spring crop and was linearly related to the distance from the irrigation channel, and overshadowed in Cascade 2 the expected yield trends based on sediment deposition. Although delta N-15 signatures in plants indicated sufficient N uptake, grain yields were not found to be always significantly influenced by fertilizer application. These results showed the importance of integrating sediment enrichment in paddy fields within soil fertility analysis. Furthermore, where the effect of inherent soil fertility on rice productivity is masked by soil water or nitrogen availability, the use of C-13 and N-15 stable isotopes and its integration with conventional techniques showed potential to enhance the understanding of the influence of erosion - sedimentation and nutrient fluxes on crop productivity, at toposequence level. (C) 2010 Elsevier B.V. All rights reserved.</t>
  </si>
  <si>
    <t>10.1016/j.agee.2010.11.009</t>
  </si>
  <si>
    <t>Brown, DR; Marotta, H; Peixoto, RB; Enrich-Prast, A; Barroso, GC; Soares, MLG; Machado, W; Perez, A; Smoak, JM; Sanders, LM; Conrad, S; Sippo, JZ; Santos, IR; Maher, DT; Sanders, CJ</t>
  </si>
  <si>
    <t>Hypersaline tidal flats as important blue carbon systems: a case study from three ecosystems</t>
  </si>
  <si>
    <t>SEDIMENT-AIR INTERFACE; MANGROVE FORESTS; TEMPORAL VARIABILITY; CYANOBACTERIAL MATS; CO2 FLUXES; ESTUARY; ACCUMULATION; RESPONSES; NITROGEN; MARSHES</t>
  </si>
  <si>
    <t>Hypersaline tidal flats (HTFs) are coastal ecosystems with freshwater deficits often occurring in arid or semiarid regions near mangrove supratidal zones with no major fluvial contributions. Here, we estimate that organic carbon (OC), total nitrogen (TN) and total phosphorus (TP) were buried at rates averaging 21 (+/- 6), 1.7 (+/- 0.3) and 1.4 (+/- 0.3) gm(-2) yr(-1), respectively, during the previous century in three contrasting HTF systems, one in Brazil (eutrophic) and two in Australia (oligotrophic). Although these rates are lower than those from nearby mangrove, saltmarsh and seagrass systems, the importance of HTFs as sinks for OC, TN and TP may be significant given their extensive coverage. Despite the measured short-term variability between net air-saltpan CO2 influx and emission estimates found during the dry and wet season in the Brazilian HTF, the only site with seasonal CO2 flux measurements, the OC sedimentary profiles over several decades suggest efficient OC burial at all sites. Indeed, the stable isotopes of OC and TN (delta C-13 and delta N-1(5)) along with C : N ratios show that microphytobenthos are the major source of the buried OC in these HTFs. Our findings highlight a previously unquantified carbon as well as a nutrient sink and suggest that coastal HTF ecosystems could be included in the emerging blue carbon framework.</t>
  </si>
  <si>
    <t>10.5194/bg-18-2527-2021</t>
  </si>
  <si>
    <t>Hsu, YC; Shaner, PJ; Chang, CI; Ke, LH; Kao, SJ</t>
  </si>
  <si>
    <t>Trophic niche width increases with bill-size variation in a generalist passerine: a test of niche variation hypothesis</t>
  </si>
  <si>
    <t>Paradoxornis webbianus; elevational gradients; ecological specialization; trophic polymorphism; stable isotope</t>
  </si>
  <si>
    <t>SEXUAL-DIMORPHISM; ADAPTIVE SIGNIFICANCE; GENETIC-STRUCTURE; STABLE-ISOTOPES; RESOURCE USE; BODY-SIZE; EVOLUTION; POPULATION; GRADIENT; DIFFERENTIATION</t>
  </si>
  <si>
    <t>The niche variation hypothesis (NVH) predicts that populations with wider niches are phenotypically more variable than populations with narrower niches, which is frequently used to explain diversifying processes such as ecological release. However, not all empirical evidence supports the NVH. Furthermore, a relationship between population phenotypic variation and niche width can be caused by sexual selection or environmental gradients, which should be carefully considered along with competition in explaining niche variation. In this study, we used eight populations of a generalist passerine species, Paradoxornis webbianus (vinous-throated parrotbill), to test the NVH. We assessed evidence of ecological sexual dimorphism and environmental gradients in bill morphology of P.webbianus. A total of 170 P.webbianus from eight sites ranging 24-2668m in altitude were included in this study. We used two principal components to quantify bill morphology: one describes bill size and the other describes bill slenderness. We used stable carbon and nitrogen isotope values of bird feathers to quantify trophic positions, and we estimated population trophic niche width using Bayesian standardized ellipse area. Paradoxornis webbianus with larger and more slender bills fed at higher trophic levels and population trophic niche width tended to increase with bill-size variation, supporting the NVH. The males had larger bills and marginally higher nitrogen isotope values than the females, suggesting ecological sexual dimorphism. Despite a positive correlation between bill size and wing length indicating sexual selection for larger male size, only three of the eight populations showed both male-biased bill size and male-biased wing length. Sexual dimorphism explained 13%-64% of bill-size variation across sites, suggesting its role in niche variation could vary greatly among populations. The variation in bill slenderness in P.webbianus increased with elevation. However, neither bill-size variation nor trophic niche width changed with elevation. Therefore, environmental gradients that could be reflected in the elevation are not likely to drive the observed morphological and niche variation. This study provides an empirical case for the NVH and highlights the importance of investigating sexual dimorphism and environmental gradients in studies of niche dynamics.</t>
  </si>
  <si>
    <t>10.1111/1365-2656.12152</t>
  </si>
  <si>
    <t>Pennino, MJ; Kaushal, SS; Murthy, SN; Blomquist, JD; Cornwell, JC; Harris, LA</t>
  </si>
  <si>
    <t>Sources and transformations of anthropogenic nitrogen along an urban river-estuarine continuum</t>
  </si>
  <si>
    <t>OXYGEN-ISOTOPE FRACTIONATION; DISSOLVED INORGANIC NITROGEN; NITRATE SOURCES; CHESAPEAKE BAY; DENITRIFICATION RATES; SALINITY GRADIENT; ORGANIC-CARBON; NUTRIENT; NITRIFICATION; ASSIMILATION</t>
  </si>
  <si>
    <t>Urbanization has altered the fate and transport of anthropogenic nitrogen (N) in rivers and estuaries globally. This study evaluates the capacity of an urbanizing river-estuarine continuum to transform N inputs from the world's largest advanced (e.g., phosphorus and biological N removal) wastewater treatment facility. Effluent samples and surface water were collected monthly along the Potomac River estuary from Washington D.C. to the Chesapeake Bay over a distance of 150 km. In conjunction with box model mass balances, nitrate stable isotopes and mixing models were used to trace the fate of urban wastewater nitrate. Nitrate concentrations and delta N-15-NO3- values were higher down-estuary from the Blue Plains wastewater outfall in Washington D.C. (2.25 +/- 0.62 mg L-1 and 25.7 +/- 2.9 %, respectively) compared to upper-estuary concentrations (1.0 +/- 0.2 mg L-1 and 9.3 +/- 1.4 %, respectively). Nitrate concentration then decreased rapidly within 30 km down-estuary (to 0.8 +/- 0.2 mg L-1), corresponding to an increase in organic nitrogen and dissolved organic carbon, suggesting biotic uptake and organic transformation. TN loads declined down-estuary (from an annual average of 48 000 +/- 5000 kg day(-1) at the sewage treatment plant outfall to 23 000 +/- 13 000 kg day(-1)at the estuary mouth), with the greatest percentage decrease during summer and fall. Annually, there was a 70 +/- 31% loss in wastewater NO3- along the estuary, and 28 +/- 6% of urban wastewater TN inputs were exported to the Chesapeake Bay, with the greatest contribution of wastewater TN loads during the spring. Our results suggest that biological transformations along the urban riverestuary continuum can significantly transform wastewater N inputs from major cities globally, and more work is necessary to evaluate the potential of organic nitrogen and carbon to contribute to eutrophication and hypoxia.</t>
  </si>
  <si>
    <t>10.5194/bg-13-6211-2016</t>
  </si>
  <si>
    <t>Richards, C; Haro, RJ; Johnson, LB; Host, GE</t>
  </si>
  <si>
    <t>Catchment and reach-scale properties as indicators of macroinvertebrate species traits</t>
  </si>
  <si>
    <t>COMMUNITY STRUCTURE; STREAM COMMUNITY; HABITAT TEMPLET; VARIABILITY; PATTERNS; ASSEMBLAGES; STRATEGIES; SYSTEMS</t>
  </si>
  <si>
    <t>1. We used catchment and reach-scale physical properties to predict the occurrence of specific species life history and behaviour traits of aquatic insects across fifty-eight catchments in a mixed land use basin. Catchment-scale attributes were derived using a geographical information system (GIS). Logistic regression techniques were used to model the relationships. 2. The reach-scale properties were highly predictive of species traits. Fourteen of the fifteen traits had significant models with concordance values greater than 68%. Cross-sectional area at bank full discharge, % shallow, slow-water habitats, and % fines were the most important variables. 3. Life history and behavioural attributes were best related to reach-scale physical features. This suggests that species traits exhibit strong relationships to local environmental conditions. 4. Catchment-scale variables had fewer significant models with species traits (four of fifteen), however these variables may have direct or indirect influence on reach-scale properties. 5. Catchment features, in particular surficial geology, influence macroinvertebrate assemblages through their control over channel morphology and hydrologic patterns. 6. The effects of land use were masked by geology (i.e. lacustrine clay geology and rowcrop agriculture were correlated), lack of detail in land use data and the aggregation of the species data. 7. These models reflect the coupling of local environmental conditions and the set of adaptations among the local taxa. These observations underscore the idea that habitat plays a major role in organizing stream assemblages. 8. Using these approaches, predictions can be made about the ability of various taxonomic groupings to track environmental change through time, or for projecting the impact of alternative land management scenarios. Identifying fundamental life history and other traits can improve the selection and evaluation of such indicators.</t>
  </si>
  <si>
    <t>&amp;</t>
  </si>
  <si>
    <t>10.1046/j.1365-2427.1997.d01-540.x</t>
  </si>
  <si>
    <t>Bastviken, D; Ejlertsson, J; Sundh, I; Tranvik, L</t>
  </si>
  <si>
    <t>Methane as a source of carbon and energy for lake pelagic food webs</t>
  </si>
  <si>
    <t>aquatic food webs; bacterial growth efficiency; carbon cycling; methane, as source of C and energy in lake food webs; methane oxidation; methanotrophic bacteria; stable isotopes; Swedish lakes; zooplankton</t>
  </si>
  <si>
    <t>STABLE-ISOTOPE ANALYSIS; THERMALLY STRATIFIED LAKE; ORGANIC-CARBON; OXIDIZING BACTERIA; ZOOPLANKTON CARBON; ANOXIC HYPOLIMNION; DAPHNIA-LONGISPINA; EUTROPHIC LAKE; FATTY-ACIDS; HUMIC LAKE</t>
  </si>
  <si>
    <t>Water-column methane oxidation can represent a substantial carbon transformation pathway in lakes, and circumstantial evidence indicates that methane may be a potentially important source of carbon for pelagic food webs. We estimated methanotrophic bacterial production (MBP), methanotrophic bacterial growth efficiency (MBGE), heterotrophic bacterial production (HBP), primary production (PP), and the relative contribution of methanotrophic bacteria to overall bacterial biomass in three very different lakes during summer and winter. In addition, we measured stable carbon isotope ratios in particulate organic matter (POM), surface sediments, zooplankton, and methane. MBP corresponded to 0.3-7% of the organic C production by primary producers, and 0.5-17% of HBP during summer. During winter, MBP was 3-120% of HBR MBP generally dominated the heterotrophic bacterial production at greater depths. Methanotrophic biomass was 3-11% of total bacterial biomass on a depth-integrated basis. Zooplankton were generally more depleted in C-13 than POM. If phytoplankton delta(13)C signatures were -35 to -30parts per thousand, such as the POM signals, observed zooplankton signatures could be explained by a fraction of 5-15% methanotrophic bacteria in their diet. The results indicate that methanotrophic bacteria can provide a significant food source for zooplankton, and that methane oxidation represents a potentially important benthic-pelagic carbon and energy link in many lakes, particularly during winter.</t>
  </si>
  <si>
    <t>10.1890/0012-9658(2003)084[0969:MAASOC]2.0.CO;2</t>
  </si>
  <si>
    <t>Bachiller, E; Gimenez, J; Albo-Puigserver, M; Pennino, MG; Mari-Mena, N; Esteban, A; Lloret-Lloret, E; Bellido, JM; Coll, M</t>
  </si>
  <si>
    <t>Trophic niche overlap between round sardinella (Sardinella aurita) and sympatric pelagic fish species in the Western Mediterranean</t>
  </si>
  <si>
    <t>diet dissimilarity; multi-proxy diet analysis; prey preference; small pelagic fish; trophic interactions; trophic niche width</t>
  </si>
  <si>
    <t>ANCHOVY ENGRAULIS-ENCRASICOLUS; FUNCTIONAL-GROUPS; FEEDING STRATEGY; DIET; ECOLOGY; PILCHARDUS; WATERS; TROPHODYNAMICS; VALENCIENNES; INGESTION</t>
  </si>
  <si>
    <t>The northward expansion of round sardinella (Sardinella aurita) in the Mediterranean Sea, together with declines and fluctuations in biomass and landings of European sardine (Sardina pilchardus) and anchovy (Engraulis encrasicolus) observed in recent decades, may suggest potential inter-specific competition in the pelagic domain. The coexistence of sympatric zooplanktivorous fish species might therefore be exposed in part to trophic niche overlap and competition for food. Combining visual diet characterization under the microscope with DNA metabarcoding from stomach contents of fish collected in spring results show that predation on relatively large krill is equally important for sardinella than for the other two niche overlapping species. Furthermore, an important overlap is found in their isotopic niche, especially with anchovy, using nitrogen (delta N-15) and carbon (delta C-13) stable isotopes in muscle tissue. In fact, the three fish species are able to feed effectively in the whole prey size spectrum available during the sampled season, from the smallest diatoms and copepods to the larger prey (i.e., decapods and euphausiids), including fish larvae. Moreover, effective predation upon other large prey like siphonophores, which is observed only when multi-proxy analyses in stomach contents are applied, might also be relevant in the diet of sardinella. The overlapping diet composition in spring, together with the effective use of food resource by sardinella, can be of special interest in potential future scenarios with warmer water temperature leading to lower zooplankton and/or higher jellyfish availability, where sardinella may take advantage over other species due to its feeding plasticity.</t>
  </si>
  <si>
    <t>10.1002/ece3.8293</t>
  </si>
  <si>
    <t>Deshpande, AG; Boutton, TW; Hyodo, A; Lafon, CW; Moore, GW</t>
  </si>
  <si>
    <t>Bottomland hardwood forest growth and stress response to hydroclimatic variation: evidence from dendrochronology and tree ring Delta C-13 values</t>
  </si>
  <si>
    <t>CARBON-ISOTOPE DISCRIMINATION; VAPOR-PRESSURE DEFICIT; QUERCUS-ROBUR L; SCHINUS-TEREBINTHIFOLIUS; FLOODPLAIN FOREST; C-13/C-12 RATIOS; STABLE-ISOTOPES; CLIMATE-CHANGE; RADIAL GROWTH; GAS-EXCHANGE</t>
  </si>
  <si>
    <t>Wetland forests around the world have been reduced to a small proportion of their original expanse due to changing climatic conditions and intensification of human land use activities. As a case in point, the Columbia bottomland hardwood forests along the Brazos-Colorado coastal basin on the Gulf coast of Texas are currently threatened by an increasingly erratic hydroclimate in the form of both extreme floods and droughts and by urban expansion. In this study, we use dendrochronology and tree ring carbon isotopes to understand the effect of changing hydroclimatic conditions on the functional attributes of these forests. We examined the tree rings of Quercus nigra at four sites within the Columbia bottomlands, of which one site experiences frequent and prolonged flooding, while the other three are less flood prone. The objectives of this study were to (i) understand the impact of hydroclimatic variation on radial growth, using tree ring width analysis, (ii) assess the magnitude of physiological stress inflicted by extreme hydroclimatic conditions, using tree ring Delta C-13 measurements as a proxy, and (iii) evaluate the relationship between tree ring width and Delta C-13 values. Radial growth across the landscape was influenced most strongly by the midgrowing season climate, while the early growing season climate had the strongest effect on Delta C-13. Growth inhibition was minimal, and tree ring Delta C-13 values were not affected in trees at the wetter site under extreme hydrological conditions such as droughts or floods. In addition, trees at the wet site were less sensitive to precipitation and showed no response to higher temperatures. In contrast, trees at the three drier sites experienced growth inhibition and had lower tree ring Delta C-13 values during dry periods. Our results indicate more favorable growing conditions and lower stress in trees growing under wetter hydrological conditions. Management and conservation strategies dependent on site-specific conditions are critical for the health of these wetland forests under a rapidly changing hydroclimate. This study provides the first dendrochronological baseline for this region and a better understanding of favorable conditions for the growth and health of these forests, which can assist in management decisions such as streamflow regulation and conservation plans.</t>
  </si>
  <si>
    <t>10.5194/bg-17-5639-2020</t>
  </si>
  <si>
    <t>Abrantes, KG; Barnett, A</t>
  </si>
  <si>
    <t>Intrapopulation variations in diet and habitat use in a marine apex predator, the broadnose sevengill shark Notorynchus cepedianus</t>
  </si>
  <si>
    <t>Chondrichthyans; Coastal; Diet; Movement; Stable isotope; Tracking</t>
  </si>
  <si>
    <t>DISCRIMINATION FACTORS DELTA-N-15; STABLE-ISOTOPE ANALYSIS; MOVEMENT PATTERNS; MIGRATION PATTERNS; NITROGEN ISOTOPES; FORAGING ECOLOGY; DELTA-C-13; CARBON; FISH; AUSTRALIA</t>
  </si>
  <si>
    <t>Intrapopulation differences in diet and/or movement are important for understanding the role mobile predators play in different systems. However, ecological studies traditionally overlook individual differences. delta C-13 and delta N-15 were used in conjunction with diet and movement information to identify intrapopulation differences in diet and movement patterns of the apex predator broadnose sevengill shark Notorynchus cepedianus in southeast Tasmania. Sevengill samples from 3 inshore and 3 offshore sites were collected, and delta C-13 and delta N-15 compared between sites, sizes and sexes. Individuals captured offshore had lower delta N-15 than those captured inshore, indicating some degree of spatial segregation. Sevengills also had variable delta C-13 and delta N-15 within coastal habitats, suggesting intrapopulation differences in diet or migration schedules. In comparison to their main prey, most individuals had delta N-15 lower than expected for a top predator, also suggesting that they do not reside permanently in these areas, as their tissue was not in isotopic equilibrium with their known prey. This is in agreement with tracking data that showed seasonal use of coastal areas, with most animals leaving for the colder months but returning the following year. There was also a group of females with relatively high delta C-13 that suggests greater association to coastal habitats, again in agreement with tracking data, as some tagged females remained in the coastal areas over winter. Overall, together with diet and tracking information, results indicate that there are differences in movement and possibly diet in this sevengill population. This multi-methods approach allowed a better understanding of sevengill ecology than the use of any one of the techniques alone.</t>
  </si>
  <si>
    <t>10.3354/meps09395</t>
  </si>
  <si>
    <t>Lu, L; Cheng, HG; Pu, X; Wang, JT; Cheng, QD; Liu, XL</t>
  </si>
  <si>
    <t>Identifying organic matter sources using isotopic ratios in a watershed impacted by intensive agricultural activities in Northeast China</t>
  </si>
  <si>
    <t>Organic matter; Sources; Intensive agricultural activities; Isotopic ratios; Bayesian model</t>
  </si>
  <si>
    <t>SANJIANG PLAIN; LAND-USE; STABLE-ISOTOPES; MIXING MODEL; PEARL RIVER; CARBON; NITROGEN; ESTUARY; SEDIMENTS; WETLAND</t>
  </si>
  <si>
    <t>Knowledge about the origin and variation of OM (organic matter) pools in a receiving river might provide a basis for addressing non-point sources of pollution resulting from intensive agricultural activity. In this study, an isotopic approach (delta C-13, delta N-15 and C/N ratios) was used to identify potential OM sources and C and N cycle processes occurring in the Abujiao River watershed located in the Sanjiang Plain. A Bayesian model (stable isotope analysis in R, SIAR) was utilized to apportion the contributions of potential sources. In this watershed, isotopic ratios of delta C-13 ranged from -30.62%. to -23.71%o and from-28.22%. to -23.98 parts per thousand in particulate organic matter (POM) and sedimentary organic matter (SOM), respectively. Slightly lower delta N-15 values (3.12 +/- 4.12 parts per thousand in POM; 3.7 +/- 2.42% in SOM) and C/N ratios (6.62 +/- 5.28 in POM; 10.73 +/- 6.58 in SOM) were found in SOM pools. Considerable spatio-temporal variability of the organic carbon and nitrogen isotopic ratios was present in the POM pool, which was controlled by storms and land use. The unusually low delta N-15-POM values accompanied by high chlorophyll-a concentrations suggested that an isotopic fractionation effect caused by phytoplankton existed in the POM pool. However, isotopic characteristics indicated that the isotopic fractionation was absent in the SOM pool. SIAR modeling result showed that source contributions differed significantly among different sampling periods. During storms, soil OM was the major source (accounting for 45.50%) in the POM pools. During other periods, effluent detritus and phytoplankton sources were predominant in the downstream region. Compared with POM, almost half of SOM came from terrestrial sources, and the effluent detritus and soil OM sources predominated in the SOM pool. This study suggested that assessment of behaviors and sources of OM could lead to the implementation of effective non-point source pollution reduction strategies and management practices for protecting water quality. (C) 2016 Elsevier B.V. All rights reserved.</t>
  </si>
  <si>
    <t>10.1016/j.agee.2015.12.033</t>
  </si>
  <si>
    <t>Tipple, BJ; Ehleringer, JR</t>
  </si>
  <si>
    <t>Distinctions in heterotrophic and autotrophic-based metabolism as recorded in the hydrogen and carbon isotope ratios of normal alkanes</t>
  </si>
  <si>
    <t>Leaf wax; Cuticle; Stable isotope; Compound-specific isotope analysis; Ecophysiology</t>
  </si>
  <si>
    <t>DELTA-D VALUES; EOCENE THERMAL MAXIMUM; NORTH-AMERICAN MONSOON; WATER-USE EFFICIENCY; WAX N-ALKANES; LEAF-WAX; EPICUTICULAR WAX; STABLE-ISOTOPES; LIPID BIOSYNTHESIS; SEASONAL-VARIATION</t>
  </si>
  <si>
    <t>The hydrogen isotope values of n-alkanes (delta H-2 (n-alkane)) reflect a plant's water source and water relations, while the carbon isotope values (delta C-13 (n-alkane)) relate to a plant's carbon metabolism and response to environmental conditions. However, the isotopic dynamics of the transition from heterotrophic to autotrophic metabolism during foliar development on delta H-2 (n-alkane) and delta C-13 (n-alkane) remain unclear. Here, we monitored delta H-2 (n-alkane) and delta C-13 (n-alkane) across a growing season from Betula occidentalis, Populus angustifolia, and Acer negundo. In addition, we compiled delta H-2 values of atmospheric vapor, leaf water, xylem water, and stream water as well as delta C-13 values of bulk leaf tissue (delta C-13(bulk)). We found delta H-2 (n-alkane) and delta C-13 (n-alkane) varied with leaf development and indicated that the majority of wax development occurred during the initial growing season. The patterns in delta H-2 (n-alkane) were broadly consistent between species and with previous studies; however, each species had a unique final delta H-2 (n-alkane) value. The delta C-13(bulk) for all species demonstrated a characteristic C-13-enrichment during the initial growing season, followed by C-13-depletion, while delta C-13 (n-alkane) did not exhibit a consistent trend between the species. These delta C-13 data suggested a decoupling of the isotopic inputs between n-alkanes and photosynthetic leaf tissue. When coupled with delta H-2 (n-alkane), these data suggested that the precursor compounds utilized in initial production of n-alkanes might be variable and possibly indicated that the stored precursors used for initial leaf tissue and wax production originated from different sources. Nonetheless, these data indicated that the isotopic signatures of n-alkanes relate to a mixture of precursors, but only during a distinct period of leaf ontogeny.</t>
  </si>
  <si>
    <t>10.1007/s00442-018-4189-0</t>
  </si>
  <si>
    <t>Bode, S; De Wispelaere, L; Hemp, A; Verschuren, D; Boeckx, P</t>
  </si>
  <si>
    <t>Water-isotope ecohydrology of Mount Kilimanjaro</t>
  </si>
  <si>
    <t>East Africa; hydrogen-isotope fractionation; isotope paleorecords; Mount Kilimanjaro; paleohydrological proxy; precipitation; water-isotope ecohydrology</t>
  </si>
  <si>
    <t>SOIL-WATER; HYDROGEN ISOTOPES; DEUTERIUM EXCESS; STABLE-ISOTOPES; SOUTHERN SLOPES; MT. KILIMANJARO; TROPICAL FOREST; CLIMATE-CHANGE; RAIN-FOREST; LEAF WATER</t>
  </si>
  <si>
    <t>Notwithstanding its crucial importance for assessing the vulnerability of tropical mountain ecosystems to both local anthropogenic pressure and climate change, knowledge of the relationships between climate, hydrology, and vegetation on Mount Kilimanjaro is highly fragmentary. Unraveling the pathway of water from precipitation to transpiration can also help validate paleoclimate proxies derived from the hydrogen- and oxygen-isotopic signatures of plant compounds, such as leaf waxes. We measured delta H-2 and delta O-18 in precipitation, stream, and soil water, and in xylem and leaf water of locally common plants, for four successive seasons along a 3,000-m altitudinal transect covering lowland savannah, lower and upper montane forest, and the subalpine zone on Mount Kilimanjaro. Across all four bioclimatic zones, delta H-2 and delta O-18 in precipitation decreased with monthly precipitation amount at a rate of -8 +/- 2 parts per thousand and -1.0 +/- 0.3 parts per thousand per 100 mm, respectively. Our xylem-water isotope data indicate that plants in general took up topsoil water during the northeasterly monsoon season and short dry season and gradually shifted to deeper soil water during the southeasterly monsoon season and the main dry season. Savannah trees and shrubs tapped from a water pool recharged by source water with a relatively constant isotopic signature. This observation conforms to the two water worlds hypothesis and implies a possible seasonal bias in plant-derived paleohydrological proxies. Finally, our results show strong correlation between xylem-to-leaf water-isotopic enrichment and ambient relative humidity, despite a bias in the savannah that we attribute to a leaf-cooling mechanism in this warm, semi-arid environment.</t>
  </si>
  <si>
    <t>e2171</t>
  </si>
  <si>
    <t>10.1002/eco.2171</t>
  </si>
  <si>
    <t>Vokhshoori, NL; McCarthy, MD; Collins, PW; Etnier, MA; Rick, T; Eda, M; Beck, J; Newsome, SD</t>
  </si>
  <si>
    <t>Broader foraging range of ancient short-tailed albatross populations into California coastal waters based on bulk tissue and amino acid isotope analysis</t>
  </si>
  <si>
    <t>Historical ecology; North Pacific albatrosses; Amino acid isotope analysis</t>
  </si>
  <si>
    <t>NORTH PACIFIC; STABLE-ISOTOPE; PHOEBASTRIA-ALBATRUS; TROPHIC RELATIONSHIPS; PLANKTON DELTA-C-13; CARBON ISOTOPES; YELLOWFIN TUNA; GROWTH-RATE; NITROGEN; ECOLOGY</t>
  </si>
  <si>
    <t>The short-tailed albatross Phoebastria albatrus was nearly driven to extinction in the early 20th century, but is one of the most common seabirds found in coastal archaeological sites in Japan, the Aleutian Islands, and the Channel Islands off southern California. Today, this species nests on only 2 islands off southern Japan and spends the majority of its time foraging in waters west of the Aleutians. We used carbon and nitrogen isotope analysis of bulk tissue (bone collagen) and its constituent amino acids from modern samples of all 3 North Pacific albatross species as well as ancient short-tailed albatross to show that ancient short-tailed albatross foraged east of the Aleutian Islands more frequently than their modern counterparts. Isotope mixing models correctly assigned each species to its known foraging habitats, validating our approach on ancient short-tailed albatross. Mixing models also showed that ancient short-tailed albatross from both western and eastern North Pacific archaeological sites spent more time in the California Current than their modern congeners. However, ancient albatross remains from archaeological sites off southern California are isotopically distinct from those found in sites from the western North Pacific, suggesting this species previously had a more complex population structure. We found that modern short-tailed albatross occupy a higher trophic level than their ancient counterparts, which may be due to their consumption of bait and offal from longline fisheries. As extant short-tailed albatross recover from historical over-exploitation, the reconstruction of their historical ecology helps in identifying likely areas for foraging and possible breeding range expansion.</t>
  </si>
  <si>
    <t>10.3354/meps12839</t>
  </si>
  <si>
    <t>Hegg, JC; Kennedy, BP; Chittaro, PM; Zabel, RW</t>
  </si>
  <si>
    <t>Spatial structuring of an evolving life-history strategy under altered environmental conditions</t>
  </si>
  <si>
    <t>Phenotypic plasticity; Local adaptation; Chinook salmon; Juvenile migration; Otolith microchemistry</t>
  </si>
  <si>
    <t>FALL CHINOOK SALMON; PACIFIC SALMON; PHENOTYPIC PLASTICITY; COLUMBIA RIVER; ONCORHYNCHUS-TSHAWYTSCHA; EVOLUTIONARY HISTORY; CLIMATE-CHANGE; STABLE-CARBON; SR ISOTOPES; SNAKE RIVER</t>
  </si>
  <si>
    <t>Human disturbances to ecosystems have created challenges to populations worldwide, forcing them to respond phenotypically in ways that increase their fitness under current conditions. One approach to examining population responses to disturbance in species with complex life histories is to study species that exhibit spatial patterns in their phenotypic response across populations or demes. In this study, we investigate a threatened population of fall chinook salmon (Oncorhynchus tshawytscha) in the Snake River of Idaho, in which a significant fraction of the juvenile population have been shown to exhibit a yearling out-migration strategy which had not previously been thought to exist. It has been suggested that dam-related environmental changes may have altered the selective pressures experienced by out-migrating fall chinook, driving evolution of a later and more selectively advantageous migration strategy. Using isotopic analysis of otoliths from returning adult spawners, we reconstructed the locations of individual fish at three major juvenile life stages to determine if the representation of the yearling life history was geographically structured within the population. We reconstructed juvenile locations for natal, rearing and overwintering life stages in each of the major spawning areas in the basin. Our results indicate that the yearling life-history strategy is predominantly represented within one of the main spawning regions, the Clearwater River, rather than being distributed throughout the basin. Previous studies have shown the Clearwater River to have cooler temperatures, later hatch dates, and later outmigration of juveniles, indicating a link between environment and expression of the yearling life history. Our data suggest that this new yearling life history may be disproportionally represented in returning adult spawners, indicating selection for this life history within the population.</t>
  </si>
  <si>
    <t>10.1007/s00442-012-2564-9</t>
  </si>
  <si>
    <t>Scharer, ML; Dietrich, L; Kundel, D; Mader, P; Kahmen, A</t>
  </si>
  <si>
    <t>Reduced plant water use can explain higher soil moisture in organic compared to conventional farming systems</t>
  </si>
  <si>
    <t>Organic farming; DOK trial; Soil moisture; Stomatal conductance; Soil water evaporation; Root water uptake depth; Water use</t>
  </si>
  <si>
    <t>ISOTOPE COMPOSITION; CROPPING SYSTEMS; CRYOGENIC EXTRACTION; STABLE-ISOTOPES; USE EFFICIENCY; LEAF WATER; MATTER; OXYGEN; CARBON; DELTA-O-18</t>
  </si>
  <si>
    <t>Conventional high-input farming systems in Europe are often regarded as unsustainable with severe environmental impacts on biodiversity, soils, water and climate. Low-input farming approaches, such as organic farming, have been proposed to reduce environmental impacts while further improving soil properties such as soil organic matter content and aggregate stability. Whether these changes also influence ecohydrological properties and improve the water relations of organically grown crops remains unclear. In this study we assessed the long-term effects of conventional and organic farming systems on the water relations of soils and crops in the DOK (bioDynamic, bio-Organic &amp; 'Konventionell' = conventional) trial. In particular, we tested if organic and conventional farming lead to marked differences in soil moisture, soil water evaporation, as well as root water uptake depth and stomatal conductance of winter wheat and soybean during the growing seasons 2017 and 2018. Stable isotope analyses and ecophysiological measurements revealed that organic compared to conventional farming did not affect soil water evaporation or root water uptake depths. Instead, we found higher soil moisture in the rooting zone and reduced stomatal conductance (gs) in organically grown wheat. Treatment effects on soil moisture and gs of soybean were smaller but showed similar tendencies as observed in wheat. Also, leaf area, and grain and straw yield of wheat decreased under organic farming while yields of soybean were not affected by the treatments. Based on our data we suggest that reduced plant water use observed under organically managed farming lead to the observed higher soil moisture in organically compared to conventionally managed farming systems in the DOK trial. These results suggest advantages of organic farming regarding agronomic water use as well as for the resistance of farming systems to current or future drought scenarios.</t>
  </si>
  <si>
    <t>10.1016/j.agee.2022.107915</t>
  </si>
  <si>
    <t>Qubaja, R; Tatarinov, F; Rotenberg, E; Yakir, D</t>
  </si>
  <si>
    <t>Partitioning of canopy and soil CO2 fluxes in a pine forest at the dry timberline across a 13-year observation period</t>
  </si>
  <si>
    <t>CARBON-USE EFFICIENCY; TEMPERATURE SENSITIVITY; ECOSYSTEM RESPIRATION; ORGANIC-MATTER; LAND-USE; EFFLUX; CLIMATE; COMPONENTS; PATTERNS; BALANCE</t>
  </si>
  <si>
    <t>Partitioning carbon fluxes is key to understanding the process underlying ecosystem response to change. This study used soil and canopy fluxes with stable isotopes (C-13) and radiocarbon (C-14) measurements in an 18 km(2), 50-year-old, dry (287 mm mean annual precipitation; nonirrigated) Pinus halepensis forest plantation in Israel to partition the net ecosystem's CO2 flux into gross primary productivity (GPP) and ecosystem respiration (R-e) and (with the aid of isotopic measurements) soil respiration flux (R-s) into autotrophic (R-sa), heterotrophic (R-h), and inorganic (R-i) components. On an annual scale, GPP and R-e were 655 and 488 g Cm-2, respectively, with a net primary productivity (NPP) of 282 g Cm-2 and carbon-use efficiency (CUE D NPP / GPP) of 0.43. R-s made up 60% of the R-e and comprised 24 +/- 4%R-sa, 23 +/- 4%R-h, and 13 +/- 1%R-i. The contribution of root and microbial respiration to R-e increased during high productivity periods, and inorganic sources were more significant components when the soil water content was low. Comparing the ratio of the respiration components to R-e of our mean 2016 values to those of 2003 (mean for 2001-2006) at the same site indicated a decrease in the autotrophic components (roots, foliage, and wood) by about -13% and an increase in the heterotrophic component (R-h/R-e) by about +18 %, with similar trends for soil respiration (R-sa/R-s decreasing by -19% and R-h/R-s increasing by +8 %, respectively). The soil respiration sensitivity to temperature (Q(10)) decreased across the same observation period by 36% and 9% in the wet and dry periods, respectively. Low rates of soil carbon loss combined with relatively high belowground carbon allocation (i.e., 38% of canopy CO2 uptake) and low sensitivity to temperature help explain the high soil organic carbon accumulation and the relatively high ecosystem CUE of the dry forest.</t>
  </si>
  <si>
    <t>10.5194/bg-17-699-2020</t>
  </si>
  <si>
    <t>Cosset, CCP; Gilroy, JJ; Tomassi, S; Benedick, S; Nelson, L; Cannon, PG; Messina, S; Kaputa, M; Fandrem, M; Madrid, RS; Lello-Smith, A; Pavan, L; King, B; Fogliano, R; Hackney, TB; Gerald, E; Chai, JYW; Cros, E; Chong, YY; Tan, CH; Chai, RR; Cheoh, CO; Edwards, DP</t>
  </si>
  <si>
    <t>Impacts of tropical selective logging on local-scale movements of understory birds</t>
  </si>
  <si>
    <t>Biodiversity; Birds; Movement ecology; Southeast Asia; Sustainable forest management; Production forest; Joint species modelling</t>
  </si>
  <si>
    <t>RANGING BEHAVIOR; FOREST BIRDS; RAIN-FOREST; HOME-RANGE; GENE FLOW; BODY-SIZE; PATTERNS; AVAILABILITY; MODEL; LANDSCAPES</t>
  </si>
  <si>
    <t>Widespread selective logging in tropical forest causes structural damage and associated shifts in species composition, but we lack understanding of how selective logging impacts mechanistic processes that drive these biodiversity changes. Movement is a vital mechanistic process underpinning demographic, ecological, and evolutionary processes that likely determine species responses to logging. We assessed how tropical selective logging impacts local movements of 71 understory avian species in Sabah, Malaysian Borneo, and determined whether movement patterns relate to species' conservation status, functional traits, sensitivity to logging and trophic position. We used a capture-mark-recapture methodology and a hierarchical Bayesian framework to model maximum observed local movement distances, accounting for spatial sampling heterogeneity. Across the avian community, we found a higher probability of moving shorter distances (up to 200 m) in logged forests, and higher movement probability at longer distances (above 200 m) in unlogged forests. Altered movement patterns after logging may reflect increased understory density, changed resource distribution and/or predation risks, and suggest smaller home-range sizes. Species' conservation status, body mass, foraging guild, logging sensitivity and trophic position were unrelated to the magnitude of movement change. The continued persistence of understory species in our sample after selective logging may depend on flexibility in movement behaviour, conferring resilience to habitat degradation and the retention of high conservation values. This lends further support for the protection of these logged forests for biodiversity conservation.</t>
  </si>
  <si>
    <t>10.1016/j.biocon.2021.109374</t>
  </si>
  <si>
    <t>Tuor, KMF; Smokorowski, KE; Cooke, SJ</t>
  </si>
  <si>
    <t>The influence of fluctuating ramping rates on the diets of small-bodied fish species of boreal rivers</t>
  </si>
  <si>
    <t>Stomach content analysis; Ramping rate fluctuation; Regulated rivers; Food web</t>
  </si>
  <si>
    <t>FLOW; QUALITY; INDICATORS; DELTA-C-13; ABUNDANCE</t>
  </si>
  <si>
    <t>The response of aquatic organisms to flow regulation at hydro facilities has become a key issue for the development of sustainable management practices intending to reduce the impact in regulated rivers. In previous studies, unrestricted ramping rates have been found to have a negative effect on invertebrate communities and shortened the length of the food web. The decrease in the length of the food web was inferred from a significant decrease in the difference between macroinvertebrates and fish delta N-13 signatures, equivalent to the loss of the one trophic level. A before-after-control-impact (BACI) design was applied to determine the possible effects of ramping rate restrictions on the diet of small-bodied fishes in a boreal river in northern Ontario. Stomach contents were identified to the taxonomic level of order. Using these data, abundance, diversity and taxa composition were calculated to yield an understanding of the alterations that occurred in the food web, and how fish species diets may have changed to compensate for the shift in the invertebrate trophic level. It was found that unrestricted ramping rates were associated with an increase in invertebrate abundance within the stomach contents. There was no effect from the change to unlimited ramping for both stomach content EPT abundance and species diversity, as both rivers followed a similar trend over time. After unrestricted ramping rates, a greater frequency of baseline taxa and a lower frequency of predatory macroinvertebrates were found within the altered river stomach contents compared to what was expected. This demonstrates that the diets of small-bodied fishes have changed to compensate for the alterations to the food web due to unrestricted ramping rates, and implies that ramping rates should be taken into consideration in the regulation of operating regimes on altered rivers.</t>
  </si>
  <si>
    <t>10.1007/s10641-014-0264-5</t>
  </si>
  <si>
    <t>Romare, P; Berg, S; Lauridsen, T; Jeppesen, E</t>
  </si>
  <si>
    <t>Spatial and temporal distribution of fish and zooplankton in a shallow lake</t>
  </si>
  <si>
    <t>cladocerans; distribution; littoral-pelagic coupling; littoral landscape; roach</t>
  </si>
  <si>
    <t>PERCH PERCA-FLUVIATILIS; HORIZONTAL MIGRATION; RUTILUS-RUTILUS; LITTORAL-ZONE; MACROPHYTES; ROACH; PREY; HETEROGENEITY; POPULATIONS; COMPLEXITY</t>
  </si>
  <si>
    <t>1. We performed both a large- and a small-scale echo sounding study on the spatial and temporal distribution of fish (mainly roach, Rutilus rutilus and perch, Perca fluviatlis), as well as a small-scale study of zooplankton distribution in the small, shallow and eutrophic Lake Hanebjerg in Denmark. In the small-scale study, sampling was conducted in open water as well as in the edge zone immediately outside two different types of vegetation. 2. Fish daytime abundances differed between the northern and the southern parts of the lake and, on a small scale, small fish aggregated in the edge zones during day, preferably outside dense emergent vegetation. Copepods avoided emergent vegetation, while cladocerans showed no habitat preference. Both small fish and cladoceran numbers were found to be higher during night than day. 3. The relative abundance (number per sample) of cladocerans in the edge zone immediately outside vegetation was negatively correlated with the relative abundance of fish in that zone. There was no correlation between cladoceran and fish abundance in open water, or between the relative abundance of copepods and fish. 4. The presence of pelagic piscivores in combination with avoidance behaviour of both fish and zooplankton is a likely explanation for the observed distribution of small fish and cladocerans in Lake Hanebjerg. Both small- and large-scale distribution patterns may be dependent on the type and distribution of complex structure in the lake. Even in a small lake, large-scale patterns may affect the interpretation of small-scale data.</t>
  </si>
  <si>
    <t>10.1046/j.1365-2427.2003.01081.x</t>
  </si>
  <si>
    <t>Samways, KM; Blair, TJ; Charest, MA; Cunjak, RA</t>
  </si>
  <si>
    <t>Effects of spawning Atlantic salmon (Salmo salar) on total lipid content and fatty acid composition of river food webs</t>
  </si>
  <si>
    <t>anadromous fish; Atlantic salmon; biofilm; Eastern Canada; fatty acids; food web dynamics; lipids; macroinvertebrates; marine-derived nutrients; resource subsidy; Salmo salar; Special Feature: Biomarkers in Trophic Ecology</t>
  </si>
  <si>
    <t>MARINE-DERIVED NUTRIENTS; JUVENILE COHO SALMON; SOUTHEAST ALASKAN STREAMS; MULTIPLE TROPHIC LEVELS; FRESH-WATER; PACIFIC SALMON; ALOSA-PSEUDOHARENGUS; CARCASSES INCREASE; COMMUNITY DYNAMICS; STABLE-ISOTOPES</t>
  </si>
  <si>
    <t>Returning Atlantic salmon subsidize rivers with marine-derived nutrients (MDNs), potentially altering food web dynamics, shifting to reliance on marine-derived resources. Stream channels designed to simulate natural river systems, one with MDNs from spawning Atlantic salmon (Salmo salar) and one without marine-nutrient subsidies (control), were used to determine whether fatty acids (FAs) delivered to rivers and streams by spawning Atlantic salmon are incorporated by freshwater biota. Changes in FA profiles between stream channels with and without MDN inputs for biofilm, macroinvertebrates, and Atlantic salmon parr were used to characterize temporal dynamics of MDN incorporation during pre-spawning, spawning, and post-spawning periods. There were no differences between control and treatment stream channels prior to the addition of Atlantic salmon. Spawning Atlantic salmon had a positive effect on total lipid content in all trophic levels (biofilm, 4.33%; macroinvertebrates, 7.54%; salmon parr, 2.59%), relative to controls. Fatty acid profiles between the MDN treatment and control stream channels were similar for each biotic group prior to the introduction of adult Atlantic salmon; however, following adult salmon introductions, the FA profiles of the biofilm, invertebrates, and salmon parr differed by as much as 36.7%, 30.3%, and 22.9%, respectively, between the MDN treatment stream channels and the controls. Fatty acid profiles of the invertebrates and salmon parr from the MDN treatment stream channels tracked the FA profile of the salmon eggs. Proportions of docosahexaenoic acid and eicosapentaenoic acid varied with diet in a predictable manner related to dietary FA proportions. These responses demonstrate a change in the food web structure resulting from the establishment of this new, marine-based, basal resource. The positive effects of MDNs increasing freshwater productivity are complimented by marine-based lipids that represent surplus energy and an increase in the quality of resources, thereby contributing to the diversity and health of freshwater ecosystems.</t>
  </si>
  <si>
    <t>e01818</t>
  </si>
  <si>
    <t>10.1002/ecs2.1818</t>
  </si>
  <si>
    <t>Calizza, E; Costantini, ML; Rossi, L</t>
  </si>
  <si>
    <t>Effect of multiple disturbances on food web vulnerability to biodiversity loss in detritus-based systems</t>
  </si>
  <si>
    <t>biodiversity loss; central Italy; flood; freshwater management; macroinvertebrates; resistance; river; robustness; urbanization</t>
  </si>
  <si>
    <t>TROPHIC INTERACTIONS; NETWORK STRUCTURE; STABLE ISOTOPES; ROBUSTNESS; EXTINCTION; MODELS; DIVERSITY; INCREASES; SCALE; DIET</t>
  </si>
  <si>
    <t>Global biodiversity is affected by human pressure and climate change, and the present rate of biodiversity loss is probably higher than ever before. Community composition is also changing, and interspecific interactions are under severe pressure. The extinction of one species within a food web can result in further secondary extinctions, due to bottom-up effects that can be even more intense and less predictable than the direct effects of disturbance, undermining our capacity for ecosystem management and conservation. Here we investigated a metric for assessing the structural stability of food webs in the face of species loss, referred to as Resistance'', based on two fundamental web properties: (1) the proportion of key species in the web, a key'' species being one whose deletion leads to at least one secondary extinction, and (2) the mean number of secondary extinctions observed per key species deletion. We compared web Resistance with web Robustness (Dunne et al. 2002) based on 12 detritus-based riverine food webs under four species extinction scenarios on various temporal and spatial scales. We investigated the effect of multiple disturbances (extreme flood and river basin urbanization) on community vulnerability to biodiversity loss, assessing the behavior of Robustness and Resistance under the applied species extinction scenarios and testing their dependence on web topology. We estimated the contribution of the rarest and the most dominant species, and that of the most and least connected species, to web Resistance. Urbanization negatively affected community vulnerability to biodiversity loss. Only food web Resistance showed a significant flood effect and interaction between flood and urbanization. The most connected species contributed the most to food web resistance, whereas the rarest and the most abundant species had a similar, intermediate structural importance. Both food web Resistance and the role of selected key species varied across web description scales. Food web Resistance values were coherent across species extinction scenarios, demonstrating the suitability of the proposed approach for quantifying community vulnerability to species loss and the importance of considering food webs in monitoring and impact assessment programs. The approach is thus seen to be a promising research pathway supporting ecosystem management.</t>
  </si>
  <si>
    <t>10.1890/ES14-00489.1</t>
  </si>
  <si>
    <t>Lau, NS; Ting, SY; Sam, KK; Janaranjani, M; Wong, SC; Wu, XG; Waiho, K; Fazhan, H; Shu-Chien, AC</t>
  </si>
  <si>
    <t>Comparative Analyses of Scylla olivacea Gut Microbiota Composition and Function Suggest the Capacity for Polyunsaturated Fatty Acid Biosynthesis</t>
  </si>
  <si>
    <t>Gut microbiota; Metagenomics; Mud crab; Scylla olivacea; Polyunsaturated fatty acid</t>
  </si>
  <si>
    <t>PACIFIC WHITE SHRIMP; INTESTINAL MICROBIOTA; AQUATIC INVERTEBRATES; EICOSAPENTAENOIC ACID; FISH GUT; METABOLISM; BACTERIA; LIPIDS; DIETS; CRAB</t>
  </si>
  <si>
    <t>Although numerous studies in aquatic organisms have linked lipid metabolism with intestinal bacterial structure, the possibility of the gut microbiota participating in the biosynthesis of beneficial long-chain polyunsaturated fatty acid (LC-PUFA) remains vague. We profiled the gut microbiota of the mud crab Scylla olivacea fed with either a LC-PUFA rich (FO) or a LC-PUFA-poor but C18-PUFA substrate-rich (LOCO) diet. Additionally, a diet with a similar profile as LOCO but with the inclusion of an antibiotic, oxolinic acid (LOCOAB), was also used to further demarcate the possibility of LC-PUFA biosynthesis in gut microbiota. Compared to diet FO treatment, crabs fed diet LOCO contained a higher proportion of Proteobacteria, notably two known taxonomy groups with PUFA biosynthesis capacity, Vibrio and Shewanella. Annotation of metagenomic datasets also revealed enrichment in the KEGG pathway of unsaturated fatty acid biosynthesis and polyketide synthase-like system sequences with this diet. Intriguingly, diet LOCOAB impeded the presence of Vibrio and Shewanella and with it, the function of unsaturated fatty acid biosynthesis. However, there was an increase in the function of short-chain fatty acid production, accompanied by a shift towards the abundance of phyla Bacteroidota and Spirochaetota. Collectively, these results exemplified bacterial communities and their corresponding PUFA biosynthesis pathways in the microbiota of an aquatic crustacean species.</t>
  </si>
  <si>
    <t>10.1007/s00248-022-02046-0</t>
  </si>
  <si>
    <t>Boye, A; Thiebaut, E; Grall, J; Legendre, P; Broudin, C; Houbin, C; Le Garrec, V; Maguer, M; Droual, G; Gauthier, O</t>
  </si>
  <si>
    <t>Trait-based approach to monitoring marine benthic data along 500 km of coastline</t>
  </si>
  <si>
    <t>beta diversity; biotic homogenization; broad-scale monitoring; community assembly; coralline algae; ecosystem engineers; functional diversity; Zostera marina</t>
  </si>
  <si>
    <t>MULTIDIMENSIONAL FUNCTIONAL DIVERSITY; COMMUNITY ASSEMBLY MECHANISMS; TAXONOMIC HOMOGENIZATION; SPECIES RICHNESS; BETA-DIVERSITY; DISSIMILARITY COEFFICIENTS; BIODIVERSITY CHANGE; CONSERVATION; REDUNDANCY; CONSEQUENCES</t>
  </si>
  <si>
    <t>Aim beta diversity and its linkages with ecosystem functioning remain poorly documented. This impedes our capacity to predict biodiversity changes and how they affect ecosystem functioning at scales relevant for conservation. Here, we address the functional implications of ongoing seafloor changes by characterizing at regional scale the taxonomic and functional alpha and beta diversities of benthic habitats currently threatened by biotic homogenization. Location Western Europe. Methods Combining a trait-based approach to benthic community monitoring data covering a 7-year period and 500 km of coast, we explored the mechanisms governing community assembly in habitats associated with two types of foundation species, intertidal seagrass and subtidal maerl beds, compared to bare sediment at similar tidal level. We assessed their spatial and temporal variability and linked these mechanisms to their repercussions at regional scale through analyses of taxonomic and functional beta diversity. Results Foundation species locally promote taxonomic and functional diversity. Maerl fine-scale heterogeneity promotes niche diversity and leads to high functional redundancy for the whole subtidal compartment, providing insurance for seafloor functioning. Seagrass high diversity seems more reliant on transient species and is associated with redundancy of only a few functions. Maintaining the seascapes in which seagrass are embedded seems essential to ensure their long-term functioning. At regional scale, the locally poorer bare sediment harbour similar functional richness as biogenic habitats because of higher within-habitat beta diversity. Main conclusions Our study reinforces the conservation value of biogenic habitats but highlights that different mechanisms underlie their local diversity, which has implications for the vulnerabilities of their associated communities. Accounting for beta diversity at regional scale also stressed a potential underrated conservation value of bare sediment for benthic ecosystem functioning. Coupling trait-based approaches to monitoring data can help link broad-scale beta diversity to its underlying drivers, bringing local mechanistic understanding closer to the scales at which biodiversity loss and management actions occur.</t>
  </si>
  <si>
    <t>10.1111/ddi.12987</t>
  </si>
  <si>
    <t>Raimondi, P; Jurgens, LJ; Tinker, MT</t>
  </si>
  <si>
    <t>Evaluating potential conservation conflicts between two listed species: sea otters and black abalone</t>
  </si>
  <si>
    <t>adaptive management; black abalone; Endangered Species Act; multi-species plans; predator-prey dynamics; recovery plans; refuge; sea otter; species interactions</t>
  </si>
  <si>
    <t>CALIFORNIA CHANNEL-ISLANDS; HALIOTIS-CRACHERODII; COMMUNITY STRUCTURE; MASS MORTALITY; SPECIALIZATION; POPULATIONS; LEACH; COAST; DIET</t>
  </si>
  <si>
    <t>Population consequences of endangered species interacting as predators and prey have been considered theoretically and legally, but rarely investigated in the field. We examined relationships between spatially variable populations of a predator, the California sea otter, Enhydra lutris nereis, and a prey species, the black abalone, Haliotis cracherodii. Both species are federally listed under the Endangered Species Act and co-occur along the coast of California. We compared the local abundance and habitat distribution of black abalone at 12 sites with varying densities of sea otters. All of the populations of abalone we examined were in the geographic area currently unaffected by withering disease, which has decimated populations south of the study area. Surprisingly, our findings indicate that sea otter density is positively associated with increased black abalone density. The presence of sea otters also correlated with a shift in black abalone to habitat conferring greater refuge, which could decrease illegal human harvest. These results highlight the need for a multi-species approach to conservation management of the two species, and demonstrate the importance of using field-collected data rather than simple trophic assumptions to understand relationships between jointly vulnerable predator and prey populations.</t>
  </si>
  <si>
    <t>10.1890/15-0158.1</t>
  </si>
  <si>
    <t>Franco-Trecu, V; Drago, M; Costa, P; Dimitriadis, C; Passadore, C</t>
  </si>
  <si>
    <t>Trophic relationships in apex predators in an estuary system: A multiple-method approximation</t>
  </si>
  <si>
    <t>Apex predators; Arctocephalus australis; Estuary; Isotopic niche; Otaria flavescens; Pontoporia blainvillei; Stable isotope; Trophic overlap</t>
  </si>
  <si>
    <t>ISOTOPE TURNOVER RATES; DE-LA-PLATA; ARCTOCEPHALUS-AUSTRALIS; STABLE-ISOTOPES; DIET; CARBON; POPULATION; SHELF; DISCRIMINATION; SEGREGATION</t>
  </si>
  <si>
    <t>The trophic level and ecological role of species in the ecosystem are determined by their feeding habits. While the trophic level and niche width are characteristic at population level, trophic overlap indicates the interaction between populations of a community. Three apex predators coexist in Uruguayan waters: Franciscana dolphin (Pontoporia blainvillei), South American sea lion (SASL, Otaria flavescens) and South American fur seal (SAFS, Arctocephalus austrails). The two otariids consume different main prey species and have different isotopic niche, whereas feeding habits of Franciscana dolphin in Uruguayan waters remain practically unknown. This study aimed to determine Franciscana diet composition by stomach content and stable isotope (delta C-13 and delta N-15) analyses, and to assess trophic overlap in diet composition as well as in isotopic niche space among the three apex predators. Diet composition of each species was estimated by Bayesian mixing models with prior information on the diet of predators. Moreover, Bayesian ellipses were used to define the isotopic niche space and overlap among the three species. Diets among predators varied: diet of SAFS was composed mainly by a few pelagic prey species, diet of SASL was more diverse and included pelagic and benthic preys, and for Franciscana dolphin the diet was mainly composed by coastal prey species. The SAFS had the largest isotopic niche area compared to the Franciscana and the SASL The isotopic niche of the SASL did not overlap with those of the other two species. Although the Franciscana and the SAFS overlap in isotopic space, they do not overlap in feeding areas; this is because particulate organic matter delta C-13 values increase from inner Rio de la Plata to the estuary and the Atlantic Coast. Here, the relevance of using different sources of information to reach strong conclusions about feeding habits of marine predators and about co-use of resources is shown, mainly in environments where variation in delta C-13 can be related to diverse reasons. (C) 2016 Elsevier B.V. All rights reserved.</t>
  </si>
  <si>
    <t>10.1016/j.jembe.2016.10.017</t>
  </si>
  <si>
    <t>HABITAT USE AND DIETS OF JUVENILE SPOT (LEIOSTOMUS XANTHURUS) AND ATLANTIC CROAKER (MICROPOGONIAS UNDULATUS) IN A SMALL ESTUARY AT MAD ISLAND MARSH, TEXAS</t>
  </si>
  <si>
    <t>Spatial and temporal variation in feeding of immature stages (10-130 mm standard length) of two sciaenids, spot (Leiostomus xanthurus) and Atlantic croaker (Micropogonias undulatus), was investigated at Mad Island Marsh on the Texas Gulf coast from March 1998 through August 1999. Periods of peak abundance of each species were different (December for croaker, March for spot). The two species were dissimilar in diet and habitat use along the longitudinal gradient of a small estuary, except for the winter months of both years when postlarvae dominated samples and dietary overlap was high. Low dietary overlap occurred despite the fact that both species consumed mostly benthic organisms (amphipods, gastropods, nematodes, polychaetes), pelagic copepods, and detritus. Overall, spot consumed greater proportions of copepods, nematodes and chironomid larvae, and croakers had broader diets that included most of the abundant invertebrates in the habitat (e.g., amphipods, shrimp, blue crabs) plus smaller percentages of fish. Regardless of season and body size, the spot diet was dominated by copepods and nematodes. The croaker had a more pronounced ontogenetic diet shift, with the smallest size classes (10-25 mm) consuming mostly copepods, and larger juveniles having diets dominated by amphipods, polychaete worms, shrimp, crabs, and fish. Ontogenetic diet shifts resulted in low interspecific dietary overlap among larger size classes when they co-occurred in the estuary, which could be interpreted as niche complementarity in response to competition past or present.</t>
  </si>
  <si>
    <t>Adelizzi, R; O'Brien, EA; Hoellrich, M; Rudgers, JA; Mann, M; Fernandes, VMC; Darrouzet-Nardi, A; Stricker, E</t>
  </si>
  <si>
    <t>Disturbance to biocrusts decreased cyanobacteria, N-fixer abundance, and grass leaf N but increased fungal abundance</t>
  </si>
  <si>
    <t>biological soil crust; Bouteloua; disturbance; drylands; fungal loop hypothesis; root fungi; sequencing; Sevilleta LTER; soil nitrogen; stable isotopes</t>
  </si>
  <si>
    <t>BIOLOGICAL SOIL CRUSTS; PHYSICAL DISTURBANCE; ECTOMYCORRHIZAL FUNGI; CLIMATE-CHANGE; NITROGEN; CARBON; MANIPULATIONS; COMMUNITIES; ERGOSTEROL; BACTERIAL</t>
  </si>
  <si>
    <t>Interactions between plants and soil microbes influence plant nutrient transformations, including nitrogen (N) fixation, nutrient mineralization, and resource exchanges through fungal networks. Physical disturbances to soils can disrupt soil microbes and associated processes that support plant and microbial productivity. In low resource drylands, biological soil crusts (biocrusts) occupy surface soils and house key autotrophic and diazotrophic bacteria, non-vascular plants, or lichens. Interactions among biocrusts, plants, and fungal networks between them are hypothesized to drive carbon and nutrient dynamics; however, comparisons across ecosystems are needed to generalize how soil disturbances alter microbial communities and their contributions to N pools and transformations. To evaluate linkages among plants, fungi, and biocrusts, we disturbed all unvegetated surfaces with human foot trampling twice yearly from 2013-2019 in dry conditions in cyanobacteria-dominated biocrusts in the Chihuahuan Desert grassland and shrubland ecosystems. After 5 years, disturbance decreased the abundances of cyanobacteria (especially Microcoleus steenstrupii clade) and N-fixers (Scytonema sp., and Schizothrix sp.) by &gt;77% and chlorophyll a by up to 55% but, conversely, increased soil fungal abundance by 50% compared with controls. Responses of root-associated fungi differed between the two dominant plant species and ecosystem types, with a maximum of 80% more aseptate hyphae in disturbed than in control plots. Although disturbance did not affect N-15 tracer transfer from biocrusts to the dominant grass, Bouteloua eriopoda, disturbance increased available soil N by 65% in the shrubland, and decreased leaf N of B. eriopoda by up to 16%, suggesting that, although rapid N transfer during peak production was not affected by disturbance, over the long-term plant nutrient content was disrupted. Altogether, the shrubland may be more resilient to detrimental changes due to disturbance than grassland, and these results demonstrated that disturbances to soil microbial communities have the potential to cause substantial changes in N pools by reducing and reordering biocrust taxa.</t>
  </si>
  <si>
    <t>e3656</t>
  </si>
  <si>
    <t>10.1002/ecy.3656</t>
  </si>
  <si>
    <t>Almeida, AP; Gomes, M; Rabaca, JE; Ramos, JA</t>
  </si>
  <si>
    <t>Songbirds promote connectivity between riparian galleries and adjacent habitats</t>
  </si>
  <si>
    <t>forest matrix; frugivorous birds; habitat complementarity; insectivorous birds; seed dispersal</t>
  </si>
  <si>
    <t>SEED DISPERSAL; BIRD ASSEMBLAGES; STABLE-ISOTOPES; CONSEQUENCES; PATTERNS; ABUNDANCE; NITROGEN; CARBON; PLANTS; SCALE</t>
  </si>
  <si>
    <t>Riparian galleries are among the most vulnerable habitats in the world and are well known for their importance to the most specialized riparian bird species. In this study, we analyzed songbird composition, songbird diet, trophic ecology and seed dispersal in riparian galleries and adjacent Montado matrices in southern Portugal to address the importance of birds in promoting the connectivity between riparian galleries and adjacent habitats. We used fecal samples to compare diet, and blood samples to compare nitrogen stable isotopes from birds in these two habitats. The seasonal variation in the abundance of arthropods and fruits was evaluated in both habitats and seed movement between both habitats was assessed from fruits marked with fluorescence. Abundance of food resources for birds (arthropods and fruits) declined throughout the season in a similar way for both habitats, and there were strong similarities in the diet and trophic ecology of songbirds in the riparian gallery and adjacent habitat. In both habitats, birds preyed heavily on Hymenoptera and Coleoptera but birds more abundant in the Montado fed more on Araneae and Hymenoptera. Seeds were moved significantly more frequently from the riparian gallery into the adjacent Montado than vice-versa. Our results suggest that birds from the adjacent habitat move frequently to the riparian gallery to forage and disperse seeds into the adjacent habitat as they depart. This study shows that birds play an important role in promoting connectivity between riparian galleries and adjacent habitats.</t>
  </si>
  <si>
    <t>10.1111/1440-1703.12180</t>
  </si>
  <si>
    <t>Pellegrini, AFA; Hedin, LO; Staver, AC; Govender, N</t>
  </si>
  <si>
    <t>Fire alters ecosystem carbon and nutrients but not plant nutrient stoichiometry or composition in tropical savanna</t>
  </si>
  <si>
    <t>African savanna; carbon; fire; fire-nutrient feedbacks; Kruger National Park; nitrogen; nitrogen-fixing plants; phosphorus; savanna biogeochemistry; stoichiometry</t>
  </si>
  <si>
    <t>FREQUENT FIRE; WOODY COVER; NITROGEN; VEGETATION; FOREST; HERBIVORES; DEFORESTATION; ENCROACHMENT; DETERMINANTS; PHOSPHORUS</t>
  </si>
  <si>
    <t>Fire and nutrients interact to influence the global distribution and dynamics of the savanna biome, but the results of these interactions are both complex and poorly known. A critical but unresolved question is whether short-term losses of carbon and nutrients caused by fire can trigger long-term and potentially compensatory responses in the nutrient stoichiometry of plants, or in the abundance of dinitrogen-fixing trees. There is disagreement in the literature about the potential role of fire on savanna nutrients, and, in turn, on plant stoichiometry and composition. A major limitation has been the lack of fire manipulations over time scales sufficiently long for these interactions to emerge. We use a 58-year, replicated, large-scale, fire manipulation experiment in Kruger National Park (South Africa) in savanna to quantify the effect of fire on (1) distributions of carbon, nitrogen, and phosphorus at the ecosystem scale; (2) carbon : nitrogen : phosphorus stoichiometry of above- and belowground tissues of plant species; and (3) abundance of plant functional groups including nitrogen fixers. Our results show dramatic effects of fire on the relative distribution of nutrients in soils, but that individual plant stoichiometry and plant community composition remained unexpectedly resilient. Moreover, measures of nutrients and carbon stable isotopes allowed us to discount the role of tree cover change in favor of the turnover of herbaceous biomass as the primary mechanism that mediates a transition from low to high soil carbon and nutrients in the absence of fire. We conclude that, in contrast to extra-tropical grasslands or closed-canopy forests, vegetation in the savanna biome may be uniquely adapted to nutrient losses caused by recurring fire.</t>
  </si>
  <si>
    <t>10.1890/14-1158.1</t>
  </si>
  <si>
    <t>Terui, A; Akasaka, T; Negishi, JN; Uemura, F; Nakamura, F</t>
  </si>
  <si>
    <t>Species-specific use of allochthonous resources by ground beetles (Carabidae) at a river-land interface</t>
  </si>
  <si>
    <t>Food web; Cross-system interaction; River; Ground beetle; Stable isotope</t>
  </si>
  <si>
    <t>STABLE-ISOTOPE RATIOS; FOOD WEBS; TERRESTRIAL; METAANALYSIS; ASSEMBLAGES; LYCOSIDAE; RESPONSES; SUBSIDIES; LINKAGES; INSECTS</t>
  </si>
  <si>
    <t>A variety of organisms mediate river-terrestrial linkages through spatial subsidies. However, most empirical studies have classified organisms rather broadly (e.g., by functional group or taxonomic family) and have dismissed species-level linkages at the interface of ecosystems. Here, we show how allochthonous resource use varies among taxonomically similar species of ground beetles (family Carabidae) across seasons (June-September). We investigated seasonal shifts in the distribution of five beetle species and their dietary responses to spatial subsidies (emerging aquatic insects) in a Japanese braided river. Despite their taxonomic closeness, the ground beetles showed species-specific responses to spatial subsidies, and beetle distribution patterns tended to coincide with their diets. Overall, 1-56% of ground beetle diets were derived from aquatic prey. One genus (Bembidion spp.) mainly consumed aquatic prey, while three species fed primarily on terrestrial prey across all seasons. However, one species (Lithochlaenius noguchii) showed shifts in its diet from aquatic to terrestrial prey according to subsidy availability. The observed variation in allochthonous resource use was likely related to species-specific foraging modes, physiological tolerance to dry conditions, and interspecific competition. Our findings suggest that considering species-specific interactions is necessary to fully understand cross-system interactions and recipient food-web dynamics.</t>
  </si>
  <si>
    <t>10.1007/s11284-016-1413-4</t>
  </si>
  <si>
    <t>Sieksmeyer, T; He, SL; Esparza-Mora, MA; Jiang, SX; Petrasiunaite, V; Kuropka, B; Banasiak, R; Julseth, MJ; Weise, C; Johnston, PR; Rodriguez-Rojas, A; McMahon, DP</t>
  </si>
  <si>
    <t>Eating in a losing cause: limited benefit of modified macronutrient consumption following infection in the oriental cockroach Blatta orientalis</t>
  </si>
  <si>
    <t>Self-medication; Macronutrient; Proteome; Anorexia; Cockroach; Immunity</t>
  </si>
  <si>
    <t>ILLNESS-INDUCED ANOREXIA; SELF-MEDICATION; DIET CHOICE; LIFE-SPAN; SICKNESS BEHAVIOR; MORMON CRICKETS; NUTRIENT INTAKE; PROTEIN COSTS; TRADE-OFFS; RESISTANCE</t>
  </si>
  <si>
    <t>Background Host-pathogen interactions can lead to dramatic changes in host feeding behaviour. One aspect of this includes self-medication, where infected individuals consume substances such as toxins or alter their macronutrient consumption to enhance immune competence. Another widely adopted animal response to infection is illness-induced anorexia, which is thought to assist host immunity directly or by limiting the nutritional resources available to pathogens. Here, we recorded macronutrient preferences of the global pest cockroach, Blatta orientalis to investigate how shifts in host macronutrient dietary preference and quantity of carbohydrate (C) and protein (P) interact with immunity following bacterial infection. Results We find that B. orientalis avoids diets enriched for P under normal conditions, and that high P diets reduce cockroach survival in the long term. However, following bacterial challenge, cockroaches significantly reduced their overall nutrient intake, particularly of carbohydrates, and increased the relative ratio of protein (P:C) consumed. Surprisingly, these behavioural shifts had a limited effect on cockroach immunity and survival, with minor changes to immune protein abundance and antimicrobial activity between individuals placed on different diets, regardless of infection status. Conclusions We show that cockroach feeding behaviour can be modulated by a pathogen, resulting in an illness-induced anorexia-like feeding response and a shift from a C-enriched to a more P:C equal diet. However, our results also indicate that such responses do not provide significant immune protection in B. orientalis, suggesting that the host's dietary shift might also result from random rather than directed behaviour. The lack of an apparent benefit of the shift in feeding behaviour highlights a possible reduced importance of diet in immune regulation in these invasive animals, although further investigations employing pathogens with alternative infection strategies are warranted.</t>
  </si>
  <si>
    <t>10.1186/s12862-022-02007-8</t>
  </si>
  <si>
    <t>Morris, AD; Letcher, RJ; Dyck, M; Chandramouli, B; Fisk, AT; Cosgrove, J</t>
  </si>
  <si>
    <t>Multivariate statistical analysis of metabolomics profiles in tissues of polar bears (Ursus maritimus) from the Southern and Western Hudson Bay subpopulations</t>
  </si>
  <si>
    <t>Metabolomics; Multivariate analysis; Partial least squares discriminant analysis (PLS-DA); Polar bears (Ursus maritimus); Hudson Bay</t>
  </si>
  <si>
    <t>STABLE CARBON ISOTOPES; SEXUAL-DIMORPHISM; METABOLISM; LIVER; ACID; XENOBIOTICS; DELTA-C-13; RESPONSES; TURNOVER; PATTERNS</t>
  </si>
  <si>
    <t>Polar bears (Ursus maritimus) are apex predators of the Arctic, which exposes them to an array of natural and anthropogenic stress factors. Metabolomics analysis profiles endogenous metabolites that reflect the response of biological systems to stimuli, and the effects of multiple stressors can be assessed from an integrated perspective. A targeted, quantitative, liquid chromatography-mass spectrometry-based metabolomics platform [219 metabolites including amino acids, biogenic amines, acylcarnitines, phosphatidylcholines (PCs), sphingomyelins, hexoses (Hex), and fatty acids (FAs)] was applied to the muscle and liver of polar bears from the Southern and Western Hudson Bay (Canada) subpopulations (SHB and WHB, respectively). Multivariate statistics were then applied to establish whether bears were discriminated by sex and/or subpopulation. Five metabolites identified by variable importance projection (VIP) discriminated the hepatic profiles of SHB males and females (Hex, arginine, glutamine, one PC, one sphingomyelin), while fifteen metabolites (primarily PCs along with leucine) contrasted the livers of males from SHB and WHB. Metabolite profiles in the muscle of male and female bears could not be differentiated; however, the muscles of SHB and WHB males were discriminated primarily by PCs and FAs. Stable isotope ratios (delta C-13 and delta N-15) were variably related to metabolites; delta C-13 was correlated with some VIP metabolite concentrations, particularly in comparisons of male bears from SHB and WHB, suggesting an influence of dietary differences. However, delta N-15 and age exhibited few, relatively weak correlations with metabolites. The metabolite profiles discriminating the sexes and subpopulations may have utility for future assessments regarding the effects of specific stressors on the physiology of Hudson Bay polar bears.</t>
  </si>
  <si>
    <t>10.1007/s00300-017-2200-6</t>
  </si>
  <si>
    <t>Ueta, A; Sugimoto, A; Iijima, Y; Yabuki, H; Maximov, TC</t>
  </si>
  <si>
    <t>Contribution of transpiration to the atmospheric moisture in eastern Siberia estimated with isotopic composition of water vapour</t>
  </si>
  <si>
    <t>eastern Siberia; taiga; stable isotope; atmospheric water vapour; transpiration</t>
  </si>
  <si>
    <t>SEASONAL-VARIATION; STABLE-ISOTOPES; LARCH FOREST; AMAZON BASIN; SAP FLOW; EVAPOTRANSPIRATION; PERMAFROST; PRECIPITATION; EVAPORATION; BALANCE</t>
  </si>
  <si>
    <t>Isotopic composition of atmospheric water vapour (O-18(V)) was observed at a larch forest near Yakutsk in eastern Siberia during the late summer periods of 2006, 2007 and 2008. The O-18(V) [and deuterium excess (d-excess)] values observed in 2006 and 2008 positively (and negatively) correlated with mixing ratio of atmospheric water vapour, whereas, in 2007 when soil was extremely wet and resulted in limitation of plant transpiration, neither correlation was found between mixing ratio and O-18(V) nor d-excess. Observed results were also compared with components of atmospheric water balance calculated for a 500x500km region; however, neither specific relationship between O-18(V) and horizontal advection (direction) nor evapotranspiration was observed. On the other hand, obviously low O-18(V) and high d-excess values were found with low mixing ratio after removal of water vapour from the atmosphere because of the process of rainout in 2006 and 2008. Assuming the O-18(V) under this condition to be a background, and also assuming the O-18 of sap water in larch trees as transpired water vapour, contribution of transpiration to the atmospheric water vapour was calculated. Fraction of transpired water vapour to the atmospheric water vapour was nearly 08 in maximum when plant transpiration was active under warm condition. Our isotope data confirm the importance of recycling of water through transpiration of forest plants in taiga to the hydrologic cycle in eastern Siberia. Copyright (c) 2013 John Wiley &amp; Sons, Ltd.</t>
  </si>
  <si>
    <t>10.1002/eco.1403</t>
  </si>
  <si>
    <t>Lewicka-Szczebak, D; Lewicki, MP; Well, R</t>
  </si>
  <si>
    <t>N2O isotope approaches for source partitioning of N2O production and estimation of N2O reduction - validation with the N-15 gas-flux method in laboratory and field studies</t>
  </si>
  <si>
    <t>NITROUS-OXIDE PRODUCTION; RATIO MASS-SPECTROMETRY; FRACTIONATION FACTORS; ISOTOPOLOGUE FRACTIONATION; MEASURING DENITRIFICATION; ONLINE DETERMINATION; OXYGEN-EXCHANGE; N-2 EMISSIONS; DUAL-ISOTOPE; SOIL</t>
  </si>
  <si>
    <t>The approaches based on natural abundance N2O stable isotopes are often applied for the estimation of mixing proportions between various N2O-producing pathways as well as for estimation of the extent of N2O reduction to N-2. But such applications are associated with numerous uncertainties; hence, their limited accuracy needs to be considered. Here we present the first systematic validation of these methods for laboratory and field studies by applying the N-15 gas-flux method as the reference approach. Besides applying dual-isotope plots for interpretation of N2O isotopic data, for the first time we propose a three dimensional N2O isotopocule model based on Bayesian statistics to estimate the N2O mixing proportions and reduction extent based simultaneously on three N2O isotopic signatures (delta N-15, delta N-15(SP), and delta O-18). Determination of the mixing proportions of individual pathways with N2O isotopic approaches often appears imprecise, mainly due to imperfect isotopic separation of the particular pathways. Nevertheless, the estimation of N2O reduction is much more robust, when applying an optimal calculation strategy, typically reaching an accuracy of N2O residual fraction determination of about 0.15.</t>
  </si>
  <si>
    <t>10.5194/bg-17-5513-2020</t>
  </si>
  <si>
    <t>TRAXLER, SL; MURPHY, B</t>
  </si>
  <si>
    <t>EXPERIMENTAL TROPHIC ECOLOGY OF JUVENILE LARGEMOUTH BASS, MICROPTERUS-SALMOIDES, AND BLUE TILAPIA, OREOCHROMIS-AUREUS</t>
  </si>
  <si>
    <t>FEEDING COMPETITION; CAGE EXPERIMENT; CENTRARCHIDAE; CICHLIDAE; FISHES</t>
  </si>
  <si>
    <t>PERCH PERCA-FLUVIATILIS; ROACH RUTILUS-RUTILUS; HABITAT SHIFT; COMPETITION; FLORIDA; LAKE; SUNFISHES; NORTHERN; FISH; SURVIVAL</t>
  </si>
  <si>
    <t>The potential for feeding competition between largemouth bass, Micropterus salmoides, and blue tilapia, Oreochromis areus, in Lake Fairfield, Texas was evaluated experimentally. Largemouth bass and blue tilapia were grown in cages alone and in combination with each other. The fish were allowed to feed on the natural food within the lake. Largemouth bass grown in combination with blue tilapia were significantly shorter and weighed less than largemouth bass grown alone. Blue tilapia grown in combination with largemouth bass were statistically significantly longer and heavier than blue tilapia grown alone. Largemouth bass grown alone had diets (volume and number of food items) significantly different than the largemouth bass grown with the blue tilapia. Largemouth bass fed primarily on chironomid larvae and pupae, and odonates, whereas blue tilapia consumed vegetable matter, detritus, and chironomid larvae. Length and weight differences between largemouth bass grown alone and in combination with blue tilapia, in conjunction with the largemouth bass diet shift, support the theory that these two species compete for food resources.</t>
  </si>
  <si>
    <t>10.1007/BF00001998</t>
  </si>
  <si>
    <t>UGEDAL, O; FORSETH, T; JONSSON, B; NJASTAD, O</t>
  </si>
  <si>
    <t>SOURCES OF VARIATION IN RADIOCESIUM LEVELS BETWEEN INDIVIDUAL FISH FROM A CHERNOBYL CONTAMINATED NORWEGIAN LAKE</t>
  </si>
  <si>
    <t>ARCTIC CHARR; BROWN TROUT; CS-137; RADIOACTIVITY</t>
  </si>
  <si>
    <t>TROUT SALMO-TRUTTA; CHARR SALVELINUS-ALPINUS; BROWN TROUT; RADIOACTIVE CESIUM; REACTOR ACCIDENT; RADIOCESIUM; FOOD; FALLOUT; SIZE</t>
  </si>
  <si>
    <t>1. We evaluate sources of individual variation in Cs-137 Of Arctic charr (Salvelinus alpinus) and brown trout (Salmo trutta) from a Norwegian lake contaminated by fall-out from the Chernobyl accident. Samples were collected on 14 occasions between July 1986 and October 1989. 2. The relationship between Cs-137 concentration, and fish weight, age and growth rate, changed with time. In 1986 the Cs-137 concentration in Arctic charr was negatively correlated with age and positively correlated with growth rate. Later, after a transition period, Cs-137 concentration in Arctic charr became positively correlated with weight and age, and negatively correlated with growth rate. The timing of this change was associated with changes in prey relative to fish radioactivity. 3. From September 1987 and throughout the study, the increase in Cs-137 concentration with fish weight could be described by a power-function with weight exponents of 0.39 and 0.11 for Arctic charr and brown trout, respectively. We could detect no diet changes with size in brown trout, while Arctic charr showed a diet shift from zooplankton to zoobenthos with increasing age and weight. This diet shift probably accounted for the larger increase in Cs-137 concentration with weight in charr than trout. 4. Variation in fish weight accounted for 29 and 11% of the individual variation in Cs-137 concentration in Arctic charr and brown trout, respectively. Most of the variation in caesium concentrations can be attributed to size independent factors, of which individual variation in diet composition is suggested to be the most important one. 5. Frequency distributions of Cs-137 concentration in fish were positively skewed, leptokurtic and differed significantly from the normal distribution, but not from the log-normal distribution. Individual variation in caesium concentration was rather large, and larger in Arctic charr than in brown trout, probably because of a wider niche utilization by Arctic charr than by brown trout. These large individual variations necessitate large sample sizes if representative values of Cs-137 concentration for the populations shall be obtained.</t>
  </si>
  <si>
    <t>10.2307/2405101</t>
  </si>
  <si>
    <t>Vaudo, JJ; Heithaus, MR</t>
  </si>
  <si>
    <t>Dietary niche overlap in a nearshore elasmobranch mesopredator community</t>
  </si>
  <si>
    <t>Stable isotope; Resource partitioning; Individual specialization; Stingray; Batoid; Elasmobranch; Shark</t>
  </si>
  <si>
    <t>SUBTROPICAL EMBAYMENT; FEEDING ECOLOGY; MARINE; HABITAT; WATERS; AVAILABILITY; QUEENSLAND; DELTA-N-15; PREDATORS; ISOTOPES</t>
  </si>
  <si>
    <t>Understanding mesopredator trophic interactions is crucial to understanding the dynamics of food webs because mesopredators provide the link between apex predators and lower trophic levels. Using stable isotopic analysis and stomach content analysis, we examined dietary niche overlap within a diverse elasmobranch mesopredator community in Shark Bay, Western Australia. Isotopic values (delta C-13 and delta N-15) were consistent with most species being highly dependent on a seagrass-based food web. Differences were observed between the mean isotopic values of species, but there was a great deal of overlap in the isotopic niche space used by the community when examined at the level of individuals. Stomach contents also suggest dietary overlap among the diets of Himantura spp. and Glaucostegus typus, which contained many of the same prey species, primarily crustaceans typically associated with seagrass habitats, although in different proportions. Diet data also suggest that, despite having isotopic values similar to other species, Pastinachus atrus appears to feed on sandflat-associated species. In this community, variation within the groups examined, possibly due to individual specialization, appears to result in high resource overlap and may be a key component allowing for high diversity in this system and is perhaps crucial to understanding the role of mesopredators in community trophic dynamics.</t>
  </si>
  <si>
    <t>10.3354/meps08988</t>
  </si>
  <si>
    <t>Ibanez, C; Belliard, J; Hughes, RM; Irz, P; Kamdem-Toham, A; Lamouroux, N; Tedesco, PA; Oberdorff, T</t>
  </si>
  <si>
    <t>Convergence of temperate and tropical stream fish assemblages</t>
  </si>
  <si>
    <t>SPECIES RICHNESS; BIOTIC INTEGRITY; ENVIRONMENTAL GRADIENTS; FORESTED STREAMS; COASTAL STREAMS; NORTH-AMERICAN; COMMUNITIES; PATTERNS; TRAITS; RIVERS</t>
  </si>
  <si>
    <t>The hypothesis of convergence takes the deterministic view that community (or assemblage) structure can be predicted from the environment, and that the environment is expected to drive evolution in a predictable direction. Here we present results of a comparative study of freshwater fish assemblages from headwater streams in four continents (Europe, North America, Africa and South America), with the general objective of testing whether these assemblages display convergent structures under comparable environmental conditions (i.e. assemblage position in the stream longitudinal continuum). We tested this hypothesis by comparing species richness and trophic guilds of those stream fish assemblages represented in available data from multiple sites on each continent. Independent of phylogenetic and historical constraints, fish assemblage richness and trophic structure in the four continents converged along the stream continua to a substantial degree. For the four continents, assemblage richness increased, the proportion of invertivorous species decreased, and the proportion of omnivorous species increased from upstream to downstream, supporting theoretical predictions of the river continuum concept. However, the herbivore/detritivore and piscivore guilds were virtually absent from our small European and North American stream sites, unlike our African and South American stream sites. This divergence can be linked to differences in energy availability between temperate and tropical systems.</t>
  </si>
  <si>
    <t>10.1111/j.1600-0587.2008.05591.x</t>
  </si>
  <si>
    <t>Petrozzi, F; Amori, G; Franco, D; Gaubert, P; Pacini, N; Eniang, EA; Akani, GC; Politano, E; Luiselli, L</t>
  </si>
  <si>
    <t>Ecology of the bushmeat trade in west and central Africa</t>
  </si>
  <si>
    <t>TROPICAL ECOLOGY</t>
  </si>
  <si>
    <t>Africa; bushmeat trade; herbivores; hunting</t>
  </si>
  <si>
    <t>TROPICAL FORESTS; WILDLIFE TRADE; NIGERIA; CAMEROON; CONGO; MARKET; CONSERVATION; DYNAMICS; EXPLOITATION; SUBSISTENCE</t>
  </si>
  <si>
    <t>The bushmeat trade in West and Central Africa embraces a broad range of ecological, economic, and conservation issues. To date, most studies have focused on the economic and conservation aspects of the bushmeat trade, with less emphasis on the ecological implications of wildlife extraction. Here, we analysed available literature on the bushmeat trade in 5 countries in west and central Africa exploring ecological traits such as niche width breadth and trophic position of the species involved, and habitats impacted. We also examine temporal changes over a 40-year period. Our results confirm that mammals dominated the trade in all studied areas and time periods, in terms of (i) number of species, (ii) number of traded individuals, and (iii) overall biomass. Herbivores were the most common trophic animal guild traded. Forest-specialists were the most abundant in the trade, and in riverine habitats reptile biomass almost as important as mammals. Overall, the most traded species and individuals were non-threatened according to the IUCN Red List. Our temporal analyses indicated that more habitat generalist and water-linked species were traded during 1971 - 2000, but forest dependent taxa predominated during the following decade (2001 - 2010). Additionally, the number of individuals of large-bodied herbivores rose relative to small and medium-sized ones, whereas traded biomass over time increased: (a) in the consumption of super-predators; (b) of large-bodied herbivores, but (c) a significant decrease in consumed biomass of medium and small-bodied herbivores. We suggest that the observed trends may suggest an imminent reduction of large-bodied herbivores and, as a cascade effect, also of super-predators in African moist forests.</t>
  </si>
  <si>
    <t>Engstrom-Ost, J; Koski, M; Schmidt, K; Viitasalo, M; Jonasdottir, SH; Kokkonen, M; Repka, S; Sivonen, K</t>
  </si>
  <si>
    <t>Effects of toxic cyanobacteria on plankton assemblage: community development during decay of Nodularia spumigena</t>
  </si>
  <si>
    <t>Nodularia spumigena; decay; bacteria; fatty acids; Nodularin; ciliates</t>
  </si>
  <si>
    <t>FATTY-ACID-COMPOSITION; NORTHERN ADRIATIC SEA; P-SI RATIOS; BALTIC SEA; PHYTOPLANKTON COMMUNITIES; FOOD-WEB; BIOCHEMICAL-COMPOSITION; CHEMICAL-COMPOSITION; CALANOID COPEPODS; ZOOPLANKTON</t>
  </si>
  <si>
    <t>We studied the development of the plankton community in an artificially created toxic Nodularia spumigena bloom during a 2 wk enclosure study at the SW coast of Finland in the Baltic Sea. We measured bacterial abundance, dominant phytoplankton groups and ciliates, as well as concentrations of phytoplankton pigments, fatty acids, nodularin, protein and nutrients, A high POC:chl a (&lt;10 mum) ratio (427 +/- 185), a decrease in the polyunsaturated:total fatty acid ratio (from 0.4 to 0.2), and a reduction in cyanobacteria filament length indicated decay of N. spumigena during the course of the experiment. Along with cyanobacterial decay, high concentrations of ammonium (last day: 2.7 +/- 2.0 mumol l(-1)), nitrate (0.1 +/- 0.01 mumol l(-1)), and organic nutrients were released into the water, whereas chl a and the cyanobacterial pigments, echinenone and zeaxanthin, decreased. Nodularin was found in the mesocosms during the whole experiment, A strong increase in filamentous bacteria was detected by the middle of the experiment, most likely indicating a response to grazing pressure. Two ciliate species, Mesodinium rubrum and Urotricha sp., decreased dramatically during the experiment, probably due to predation by the increasing mesozooplankton community, The ciliate Euplotes sp. flourished in the bags and was best suited to escape predation due to its protecting lorica and its surface affinity. No direct harmful effects of the cyano-bacteria on the microorganisms could be documented, We conclude that these blooms provide a potential food source for the heterotrophic food chain, from bacteria, flagellates and ciliates to crustacean zooplankton, and possibly fish.</t>
  </si>
  <si>
    <t>10.3354/meps232001</t>
  </si>
  <si>
    <t>Nardoto, GB; Ometto, JPHB; Ehleringer, JR; Higuchi, N; Bustamante, MMD; Martinelli, LA</t>
  </si>
  <si>
    <t>Understanding the Influences of Spatial Patterns on N Availability Within the Brazilian Amazon Forest</t>
  </si>
  <si>
    <t>nitrogen; lowland tropical forest; nitrogen stable isotopes; Amazonia; foliar phosphorus; terra-firme forest; campinarana forest</t>
  </si>
  <si>
    <t>N-15 NATURAL-ABUNDANCE; NITROUS-OXIDE FLUX; TROPICAL FOREST; ISOTOPIC COMPOSITION; RAIN-FOREST; PRECIPITATION GRADIENT; NUTRIENT DYNAMICS; CARBON-DIOXIDE; PLANT NITROGEN; NITRIC-OXIDE</t>
  </si>
  <si>
    <t>Nitrogen variations at different spatial scales and integrated across functional groups were addressed for lowland tropical forests in the Brazilian Amazon as follows: (1) how does N availability vary across the region over different spatial scales (regional x landscape scale); ( 2) how are these variations in N availability integrated across plant functional groups ( legume 9 non-legume trees). Leaf N, P, and Ca concentrations as well the leaf N isotope ratios (delta N-15) from a large set of legume and non-legume tree species were measured. Legumes had higher foliar N/Ca ratios than non-legumes, consistent with the high energetic costs in plant growth associated with higher foliar P/Ca ratios found in legumes than in non-legumes. At the regional level, foliar delta N-15 decreased with increasing rainfall. At the landscape level, N availability was higher in the forests on clayey soils on the plateau than in forests on sandier soils. The isotope as well as the non-isotope data relationships here documented, explain to a large extent the variation in delta N-15 signatures across gradients of rainfall and soil. Although at the regional level, the precipitation regime is a major determinant of differences in N availability, at the landscape level, under the same precipitation regime, soil type seems to be a major factor influencing the availability of N in the Brazilian Amazon forest.</t>
  </si>
  <si>
    <t>10.1007/s10021-008-9189-1</t>
  </si>
  <si>
    <t>Eagle, RA; Eiler, JM; Tripati, AK; Ries, JB; Freitas, PS; Hiebenthal, C; Wanamaker, AD; Taviani, M; Elliot, M; Marenssi, S; Nakamura, K; Ramirez, P; Roy, K</t>
  </si>
  <si>
    <t>The influence of temperature and seawater carbonate saturation state on C-13-O-18 bond ordering in bivalve mollusks</t>
  </si>
  <si>
    <t>CLUMPED ISOTOPE THERMOMETRY; DEEP-SEA CORALS; MYTILUS-EDULIS; STABLE-ISOTOPES; SURFACE TEMPERATURES; BODY TEMPERATURES; PHOSPHORIC-ACID; SHELL FORMATION; PECTEN-MAXIMUS; MN/CA RATIOS</t>
  </si>
  <si>
    <t>The shells of marine mollusks are widely used archives of past climate and ocean chemistry. Whilst the measurement of mollusk delta O-18 to develop records of past climate change is a commonly used approach, it has proven challenging to develop reliable independent paleothermometers that can be used to deconvolve the contributions of temperature and fluid composition on molluscan oxygen isotope compositions. Here we investigate the temperature dependence of C-13-O-18 bond abundance, denoted by the measured parameter Delta(47), in shell carbonates of bivalve mollusks and assess its potential to be a useful paleothermometer. We report measurements on cultured specimens spanning a range in water temperatures of 5 to 25 degrees C, and field collected specimens spanning a range of -1 to 29 degrees C. In addition we investigate the potential influence of carbonate saturation state on bivalve stable isotope compositions by making measurements on both calcitic and aragonitic specimens that have been cultured in seawater that is either supersaturated or undersaturated with respect to aragonite. We find a robust relationship between Delta(47) and growth temperature. We also find that the slope of a linear regression through all the Delta(47) data for bi-valves plotted against seawater temperature is significantly shallower than previously published inorganic and biogenic carbonate calibration studies produced in our laboratory and go on to discuss the possible sources of this difference. We find that changing seawater saturation state does not have significant effect on the Delta(47) of bivalve shell carbonate in two taxa that we examined, and we do not observe significant differences between Delta(47)-temperature relationships between calcitic and aragonitic taxa.</t>
  </si>
  <si>
    <t>10.5194/bg-10-4591-2013</t>
  </si>
  <si>
    <t>Yeung, C; Yang, MS</t>
  </si>
  <si>
    <t>Habitat and infauna prey availability for flatfishes in the northern Bering Sea</t>
  </si>
  <si>
    <t>Benthic communities; Bottom trawl survey; Climate; Diets; Infauna; Spatial distribution</t>
  </si>
  <si>
    <t>ST-LAWRENCE-ISLAND; COD GADUS-MORHUA; CHUKCHI SEAS; DIET-OVERLAP; SOLEA-SOLEA; EASTERN; FISH; COMMUNITY; DYNAMICS; PATTERNS</t>
  </si>
  <si>
    <t>Yellowfin sole (Limanda aspera), northern rock sole (Lepidopsetta polyxystra), and Alaska plaice (Pleuronectes quadrituberculatus) are valuable flatfishes in the southeastern Bering Sea (EBS) bottom trawl fishery. The northern Bering Sea (NBS) is near their northern distribution limit. We conducted the first assessment of NBS habitat suitability for these benthivorous flatfishes from the perspective of prey availability in 2010. Benthic samples were collected at 12 trawl stations along a meridional transect extending from 60.5 degrees N to 64.5 degrees N east of St. Lawrence Island to characterize the prey environment. Stomach contents from the flatfishes were concomitantly collected to relate diets to prey fields. The diet compositions did not correspond spatially with the infauna communities. The flatfishes elected a prey group regardless of its relative availability. The spatial mismatch between diet and infauna compositions suggests that prey availability was high in the NBS. The flatfishes generally have versatile diets, but they were more selective of their prey here than in the EBS. The biomass and the abundance of the infauna along the transect were comparable with the EBS. Although niche overlap was high in the NBS, competition for food was likely lower than in the EBS because of the lower density of flatfish. The bottom temperatures in the NBS were in the same range as the EBS during the summer of 2010. The NBS appears to be suitable flatfish habitat at least during the summer ice-free period. The effects of climate warming on the prey environment and on the production and distribution of flatfish are complex and difficult to predict, but if the NBS were to shift over time toward milder winter conditions that more resemble the EBS, its suitability as flatfish habitat would presumably increase based on the present prey availability.</t>
  </si>
  <si>
    <t>10.1007/s00300-014-1560-4</t>
  </si>
  <si>
    <t>Hansen, AG; Beauchamp, DA</t>
  </si>
  <si>
    <t>Effects of prey abundance, distribution, visual contrast and morphology on selection by a pelagic piscivore</t>
  </si>
  <si>
    <t>pelagic; piscivore; predator-prey interactions; prey selection; visual detection</t>
  </si>
  <si>
    <t>SMELT SPIRINCHUS-THALEICHTHYS; LAKE WASHINGTON; CUTTHROAT TROUT; LONGFIN SMELT; PLANKTIVOROUS FISHES; NEOMYSIS-MERCEDIS; BROWN TROUT; PREDATOR; DIET; SIZE</t>
  </si>
  <si>
    <t>1. Most predators eat only a subset of possible prey. However, studies evaluating diet selection rarely measure prey availability in a manner that accounts for temporal-spatial overlap with predators, the sensory mechanisms employed to detect prey, and constraints on prey capture. 2. We evaluated the diet selection of cutthroat trout (Oncorhynchus clarkii) feeding on a diverse planktivore assemblage in Lake Washington to test the hypothesis that the diet selection of piscivores would reflect random (opportunistic) as opposed to non-random (targeted) feeding, after accounting for predator-prey overlap, visual detection and capture constraints. 3. Diets of cutthroat trout were sampled in autumn 2005, when the abundance of transparent, age-0 longfin smelt (Spirinchus thaleichthys) was low, and 2006, when the abundance of smelt was nearly seven times higher. Diet selection was evaluated separately using depth-integrated and depth-specific (accounted for predator-prey overlap) prey abundance. The abundance of different prey was then adjusted for differences in detectability and vulnerability to predation to see whether these factors could explain diet selection. 4. In 2005, cutthroat trout fed non-randomly by selecting against the smaller, transparent age-0 longfin smelt, but for the larger age-1 longfin smelt. After adjusting prey abundance for visual detection and capture, cutthroat trout fed randomly. In 2006, depth-integrated and depth-specific abundance explained the diets of cutthroat trout well, indicating random feeding. Feeding became non-random after adjusting for visual detection and capture. Cutthroat trout selected strongly for age-0 longfin smelt, but against similar sized threespine stickleback (Gasterosteus aculeatus) and larger age-1 longfin smelt in 2006. Overlap with juvenile sockeye salmon (O. nerka) was minimal in both years, and sockeye salmon were rare in the diets of cutthroat trout. 5. The direction of the shift between random and non-random selection depended on the presence of a weak versus a strong year class of age-0 longfin smelt. These fish were easy to catch, but hard to see. When their density was low, poor detection could explain their rarity in the diet. When their density was high, poor detection was compensated by higher encounter rates with cutthroat trout, sufficient to elicit a targeted feeding response. The nature of the feeding selectivity of a predator can be highly dependent on fluctuations in the abundance and suitability of key prey.</t>
  </si>
  <si>
    <t>10.1111/fwb.12436</t>
  </si>
  <si>
    <t>Mora, CA; Paunescu, D; Grass, RN; Stark, WJ</t>
  </si>
  <si>
    <t>Silica particles with encapsulated DNA as trophic tracers</t>
  </si>
  <si>
    <t>MOLECULAR ECOLOGY RESOURCES</t>
  </si>
  <si>
    <t>food webs; particle tracer; predator-prey interactions; species interactions</t>
  </si>
  <si>
    <t>FOOD-WEB ANALYSIS; DIET ANALYSIS; NITROGEN; ISOTOPES; ECOLOGY; TISSUE; CARBON; PCR</t>
  </si>
  <si>
    <t>Ecological networks such as food webs are extremely complex and can provide important information about the robustness and productivity of an ecosystem. In most cases, it is not feasible to observe trophic interactions between predators and prey directly and with the available methods, it is difficult to quantify the connections between them. Here, we show that submicron-sized silica particles (100-150nm) with encapsulated DNA (SPED) enable accurate food and organism labelling and quantification of specific animal-to-animal transfer over more than one trophic level. We found that SPED were readily transferable and quantifiable from the bottom to the top of a two-level food chain of arthropods. SPED were taken up in the gut system and remained persistent in an animal over several days. When uniquely labelled SPED were applied at predefined ratios, we found that information about their relative abundance was reliably conserved after trophic level transfer and over time. SPED were also applied to investigate the flower preference of fly pollinators and proved to be a fast and accurate analysis method. SPED combine attributes of DNA barcoding and stable isotope analysis such as unique labelling, quantification via real-time PCR and exact backtracking to the tracer source. This improves and simplifies the analysis and monitoring of ecological networks.</t>
  </si>
  <si>
    <t>10.1111/1755-0998.12299</t>
  </si>
  <si>
    <t>Link, JS</t>
  </si>
  <si>
    <t>Using fish stomachs as samplers of the benthos: integrating long-term and broad scales</t>
  </si>
  <si>
    <t>benthic communities; benthic ecology; fish feeding; disturbance; spatial distribution; abundance index; Georges Bank; Gulf of Maine; continental shelves</t>
  </si>
  <si>
    <t>COD GADUS-MORHUA; TRAWLING DISTURBANCE; CLOSED AREAS; SEA BENTHOS; COMMUNITY; IMPACTS; HABITAT; BAY</t>
  </si>
  <si>
    <t>Sampling benthic organisms in a synoptic manner is difficult, particularly at the scale of large marine ecosystems, Several known omnivorous and benthivorous fishes were evaluated as possible samplers of the benthic community on the scale of the US northeast continental shelf ecosystem, collected from the early 1970s to 2001. Frequency of occurrence of organisms in the diet across time was examined as an index of relative abundance. Other prey and sampling caveats were accounted for by considering only those predators that met criteria such as adequate sample size, appropriate diet compositions, asymptotic stomach-prey curves, and relative constancy of all major prey groups comprising the diet. The geographic distribution of a suite of benthic organisms found in the stomachs of predators was also examined. The benthic organisms focused on were ophiuroids, echinoids, holothuroideans, asteroids, octopods, stomatopods, cumaceans, pagurids, aphroditids, anthozoans, hydrozoans and caprellids. Of these 12 prey groups, only 3 showed a decline over time based on evidence from multiple predator stomachs. Most benthic organisms exhibited non-negative trends in an index of relative abundance, and 2 showed an increase over the time-series. Additionally, many of the organisms were widely distributed, with some concentrated more on Georges Bank and others more in the Gulf of Maine. Only 1 of 9 organisms showed a shift in distribution compared to studies from 50 yr earlier. I conclude that at broad spatial and temporal scales, the routine and systematic sampling of fish stomachs can be a useful indirect method for inferring information about benthic communities on continental shelves.</t>
  </si>
  <si>
    <t>10.3354/meps269265</t>
  </si>
  <si>
    <t>Ladd, B; Peri, PL; Pepper, DA; Silva, LCR; Sheil, D; Bonser, SP; Laffan, SW; Amelung, W; Ekblad, A; Eliasson, P; Bahamonde, H; Duarte-Guardia, S; Bird, M</t>
  </si>
  <si>
    <t>Carbon isotopic signatures of soil organic matter correlate with leaf area index across woody biomes</t>
  </si>
  <si>
    <t>climate; isoscapes; leaf area index; paleoecosystems; plant-soil (below-ground) interactions; productivity; stable isotopes; water stress; C-13; C-13(SOM)</t>
  </si>
  <si>
    <t>ATMOSPHERIC CO2; FOREST; DISCRIMINATION; VEGETATION; TEMPERATE; CANOPY; C-13; ENVIRONMENTS; ECOSYSTEMS; DELTA-C-13</t>
  </si>
  <si>
    <t>Leaf area index (LAI), a measure of canopy density, is a key variable for modelling and understanding primary productivity, and also water use and energy exchange in forest ecosystems. However, LAI varies considerably with phenology and disturbance patterns, so alternative approaches to quantifying stand-level processes should be considered. The carbon isotope composition of soil organic matter (C-13(SOM)) provides a time-integrated, productivity-weighted measure of physiological and stand-level processes, reflecting biomass deposition from seasonal to decadal time scales. Our primary aim was to explore how well LAI correlates with C-13(SOM) across biomes. Using a global data set spanning large environmental gradients in tropical, temperate and boreal forest and woodland, we assess the strength of the correlation between LAI and C-13(SOM); we also assess climatic variables derived from the WorldClim database. We found that LAI was strongly correlated with C-13(SOM), but was also correlated with Mean Temperature of the Wettest Quarter, Mean Precipitation of Warmest Quarter and Annual Solar Radiation across and within biomes.Synthesis. Our results demonstrate that C-13(SOM) values can provide spatially explicit estimates of leaf area index (LAI) and could therefore serve as a surrogate for productivity and water use. While C-13(SOM) has traditionally been used to reconstruct the relative abundance of C-3 versus C-4 species, the results of this study demonstrate that within stable C-3- or C-4-dominated biomes, C-13(SOM) can provide additional insights. The fact that LAI is strongly correlated to C-13(SOM) may allow for a more nuanced interpretation of ecosystem properties of palaeoecosystems based on palaeosol C-13 values.</t>
  </si>
  <si>
    <t>10.1111/1365-2745.12309</t>
  </si>
  <si>
    <t>Ngosong, C; Gabriel, E; Ruess, L</t>
  </si>
  <si>
    <t>Collembola grazing on arbuscular mycorrhiza fungi modulates nutrient allocation in plants</t>
  </si>
  <si>
    <t>Arbuscular mycorrhiza; Nutrient transport; Fungivores; Plant performance; Collembola</t>
  </si>
  <si>
    <t>FATTY-ACID-COMPOSITION; STABLE-ISOTOPES; MICROBIAL COMMUNITIES; FOOD-WEB; SOIL; NITROGEN; CARBON; MYCELIUM; BIOMASS; HYPHAE</t>
  </si>
  <si>
    <t>Arbuscular mycorrhiza (AM) mycelia networks are important for nutrient allocation in many plants, but fungivorous soil invertebrates such as Collembola can modulate the symbiosis by grazing on the extra-radical mycelium (ERM). This study employs a dual biomarker approach with stable isotopes and fatty acids to disentangle trophic interactions of Collembola in a plant-fungal soil system with maize (Zea mays) and the AM fungus Glomus mosseae. To separate ERM and root mediated effects, root (RC) and hyphal compartments (HC) were used, and the latter was spiked with labeled N-15 substrate. The euedaphic Collembola species Protaphorura fimata was introduced as the fungal and root grazer. Generally, the presence of Collembola in RC fostered biomass and phosphorous uptake in roots colonized with AM. Nitrogen transport from HC to RC was not altered, indicating that Collembola did not disrupt the ERM network via grazing. Collembola-fungus interactions fostered AM hyphal proliferation in HC, whereas in RC it induced a change from fungal senescence with build-up of storage reserves, to an active foraging phase. A distinct diet switch by Collembola between HC and RC indicated different ERM palatability meditated by the presence or absence of the host plant. Overall, Collembola grazing increased ERM nutrient sequestration, particularly phosphorus, and in turn plant performance. Collembola modified fungal phenology, favoring fungal colonization over reproductive phases. These trophic interactions were strongly determined by fungal life stage, with the establishment of a functional mycorrhiza as a crucial factor. (c) 2014 Published by Elsevier GmbH.</t>
  </si>
  <si>
    <t>10.1016/j.pedobi.2014.03.002</t>
  </si>
  <si>
    <t>MacDonald, C; Bridge, TCL; McMahon, KW; Jones, GP</t>
  </si>
  <si>
    <t>Alternative functional strategies and altered carbon pathways facilitate broad depth ranges in coral-obligate reef fishes</t>
  </si>
  <si>
    <t>carbon pathways; coral reef fish; depth gradient; energy acquisition; functional strategies; range margin; refuge</t>
  </si>
  <si>
    <t>CONTINENTAL SHELF TRENDS; AMINO-ACIDS; ENERGY ALLOCATION; EXTINCTION RISK; PATTERNS; SPECIALIZATION; DELTA-C-13; GRADIENTS; DEEP; CONSEQUENCES</t>
  </si>
  <si>
    <t>Spatial refuges in peripheral habitats will become increasingly important for species persistence as climate change and other disturbances progressively impact habitat quality and assemblage compositions. However, the capacity for persistence will be determined in part by species-specific abilities to absorb costs related to altered or decreased quantities and quality of resources at range peripheries. We compared variations in dietary strategies and energy acquisition trade-offs along depth gradients in two obligate corallivores that differ in level of diet specialization. We also assessed depth-related changes in energy pathways and energy content of their mixotrophic prey. We found no changes in feeding effort or total resource availability (total coral cover) towards deep range margins, but availability of the preferred resource (Acropora coral) decreased. While both species selectively targeted Acropora, the more specialized species (Chaetodon baronessa) exhibited limited feeding plasticity along the depth gradient. The degree of selectivity towards the preferred coral increased rather than decreased with depth, being 40 times greater than expected, given availability, at their range periphery. In contrast, the generalist's diet (Chaetodon octofasciatus) varied greatly in response to changes in resource availability with depth. Unexpectedly, the energy content of Acropora did not decline with depth, likely due to increased coral heterotrophy in deeper water, indicated by shifts in their molecular isotope geochemistry. This shift was accompanied by a 20% increase in plankton-sourced carbon in the muscle tissue of deep-resident fish, despite no observations of direct feeding on plankton food sources. Our results indicate that deep ranges in coral-obligate reef fishes are supported by multiple mechanisms of trophic versatility in both the fish and corals. This nutritional plasticity likely serves a compensatory role in the resilience and eventual adaptation of organisms at their range peripheries. For species vulnerable to increasing anthropogenic impacts at range cores, variable and multi-trophic functional responses can act to buffer against costs and increase the refuge potential of range peripheries. Specialist consumers may also be supported indirectly at range margins via trophic plasticity within their preferred prey. A plain language summary is available for this article.</t>
  </si>
  <si>
    <t>10.1111/1365-2435.13400</t>
  </si>
  <si>
    <t>Liu, GC; Yin, ZW; Yan, GY; Liu, S; Wang, XC; Xing, YJ; Wang, QG</t>
  </si>
  <si>
    <t>Effects of long-term nitrogen addition on the delta N-15 and delta C-13 of Larix gmelinii and soil in a boreal forest</t>
  </si>
  <si>
    <t>Nitrogen deposition; Stable isotope technology; Natural abundance of carbon; Natural abundance of nitrogen; Boreal forest</t>
  </si>
  <si>
    <t>N-15 NATURAL-ABUNDANCE; ISOTOPE FRACTIONATION; FOLIAR DELTA-N-15; STABLE-ISOTOPES; ORGANIC-CARBON; DEPOSITION; PLANT; CO2; DISCRIMINATION; SEQUESTRATION</t>
  </si>
  <si>
    <t>Background Natural abundance of carbon (C) and nitrogen (N) stable isotope ratios (delta C-13 and delta N-15) has been used to indicate the state and cycle of ecosystem C and N. However, it is still unclear how C and N cycle of boreal forests respond to the N deposition. Results We conducted an 8-year continuous N addition field experiment in a Larix gmelinii forest in Greater Khingan Mountains, Northeast China. Four N treatments (0, 25, 50, 75 kg N ha(-1) year(-1)) were built. The effects of N addition on the delta C-13 and delta N-15 of needle, branch, bark, and fine root of Larix gmelinii and soil were studied. The result of the balance between the N input and output flux showed that N addition significantly increased the delta N-15 in each organ of Larix gmelinii, but did not change the delta N-15 of soil. We also found that the N absorption by needles of Larix gmelinii could increase the needle photosynthesis rate and delta C-13 by increasing carboxylation, but N addition had no significant effect on the delta C-13 of soil and other organs. In addition, both the soil delta N-15 and delta C-13 increased with the soil depth. Conclusions Long-term N addition may lead to more open C and N cycles and further affect plant nutrient acquisition strategies in boreal forest ecosystems.</t>
  </si>
  <si>
    <t>10.1186/s13717-022-00382-0</t>
  </si>
  <si>
    <t>Sakamaki, T; Richardson, JS</t>
  </si>
  <si>
    <t>Biogeochemical properties of fine particulate organic matter as an indicator of local and catchment impacts on forested streams</t>
  </si>
  <si>
    <t>advective transport; allochthonous and autochthonous organic matter; carbon/nitrogen ratio; carbon stable isotopes; ecological indicator; local and cumulative effects; retention; stream and riparian management</t>
  </si>
  <si>
    <t>HEADWATER STREAMS; DETRITUS; NITROGEN; GROWTH; RIVER; DECOMPOSITION; MANIPULATION; COMMUNITIES; LIMITATION; SHREDDERS</t>
  </si>
  <si>
    <t>1. The magnitude and spatial scales of human effects on stream habitats need to be correctly measured to achieve sound ecosystem management. We investigated whether the biogeochemical properties of fine particulate organic matter (FPOM) might be indicative of reach-scale vs. catchment-scale effects on forested stream ecosystems. 2. Along each of three forested streams, we established 4-5 sampling stations at 0.6-2.0-km intervals, which represent a range of local riparian forest conditions (e.g. vegetation types and forestry practices). At each station, rock biofilm (considered as a representative of stream-origin POM), FPOM in sediment (FPOM(S)) and suspended in water (FPOM(W)) and three species of benthic macroinvertebrates were collected during a summer low-flow period. 3. Measures of delta(13)C, C:N and chlorophyll a:C for FPOMW, FPOMS and biofilm were longitudinally heterogeneous, reflecting the reach-scale, local environment. delta(13)C, C:N and chlorophyll a:C of FPOMS were significantly related to irradiance and streambed coarse particulate organic matter (CPOM) abundance, suggesting that the relative contribution of in-stream primary production and CPOM breakdown are dominant controls of FPOM properties. 4. In redundancy analysis, variations in FPOM properties were principally explained by local environmental factors correlated with stream size and/or longitudinal position of the sampling stations (irradiance, streambed CPOM, stream gradient, discharge, riparian vegetation). No significant effect of riparian forestry activities (logged, riparian reserve or no harvest in the past 75 years) was found on FPOM properties. 5. Resource use by primary consumers was species dependent. delta(13)C of larval Lepidostoma roafi-depended on the relative abundance of stream-origin POM in pools of stored FPOM. Selective intake/assimilation of stream-origin POM by this species was probably enhanced when stream-origin POM was abundant. delta(13)C of larval Despaxia augusta or larval Paraleptophlebia spp. were not related to FPOMS delta(13)C, suggesting no linkage with FPOM composition. 6. Synthesis and applications. The tight linkages between biogeochemical properties of FPOM, resource use by primary consumers, and reach-scale environment indicate that local effects were greater than signals transmitted from upstream in this study. The use of in-stream FPOM properties can help managers to measure reach-scale effects of environmental changes on forested stream habitats.</t>
  </si>
  <si>
    <t>10.1111/j.1365-2664.2011.02038.x</t>
  </si>
  <si>
    <t>Blanchard, JL; Jennings, S; Law, R; Castle, MD; McCloghrie, P; Rochet, MJ; Benoit, E</t>
  </si>
  <si>
    <t>How does abundance scale with body size in coupled size-structured food webs?</t>
  </si>
  <si>
    <t>allometric scaling; benthic-pelagic coupling; community ecology; ecosystem effects of fishing; macroecology; North Sea; size spectrum</t>
  </si>
  <si>
    <t>NATURAL MORTALITY; FISH COMMUNITY; NORTH-SEA; BIOMASS; ECOSYSTEMS; IMPACTS; MODEL; DETERMINES; PARAMETERS; SPECTRA</t>
  </si>
  <si>
    <t>Widely observed macro-ecological patterns in log abundance vs. log body mass of organisms can be explained by simple scaling theory based on food (energy) availability across a spectrum of body sizes. The theory predicts that when food availability falls with body size (as in most aquatic food webs where larger predators eat smaller prey), the scaling between log N vs. log m is steeper than when organisms of different sizes compete for a shared unstructured resource (e.g. autotrophs, herbivores and detritivores; hereafter dubbed 'detritivores'). In real communities, the mix of feeding characteristics gives rise to complex food webs. Such complexities make empirical tests of scaling predictions prone to error if: (i) the data are not disaggregated in accordance with the assumptions of the theory being tested, or (ii) the theory does not account for all of the trophic interactions within and across the communities sampled. We disaggregated whole community data collected in the North Sea into predator and detritivore components and report slopes of log abundance vs. log body mass relationships. Observed slopes for fish and epifaunal predator communities (-1.2 to -2.25) were significantly steeper than those for infaunal detritivore communities (-0.56 to -0.87). We present a model describing the dynamics of coupled size spectra, to explain how coupling of predator and detritivore communities affects the scaling of log N vs. log m. The model captures the trophic interactions and recycling of material that occur in many aquatic ecosystems. Our simulations demonstrate that the biological processes underlying growth and mortality in the two distinct size spectra lead to patterns consistent with data. Slopes of log N vs. log m were steeper and growth rates faster for predators compared to detritivores. Size spectra were truncated when primary production was too low for predators and when detritivores experienced predation pressure. The approach also allows us to assess the effects of external sources of mortality (e.g. harvesting). Removal of large predators resulted in steeper predator spectra and increases in their prey (small fish and detritivores). The model predictions are remarkably consistent with observed patterns of exploited ecosystems.</t>
  </si>
  <si>
    <t>10.1111/j.1365-2656.2008.01466.x</t>
  </si>
  <si>
    <t>Magliano, PN; Gimenez, R; Houspanossian, J; Paez, RA; Nosetto, MD; Fernandez, RJ; Jobbagy, EG</t>
  </si>
  <si>
    <t>Litter is more effective than forest canopy reducing soil evaporation in Dry Chaco rangelands</t>
  </si>
  <si>
    <t>Arid Chaco; clearing; ecohydrology; lysimeters; Ritchie's model; transpiration; water balance; woodlands</t>
  </si>
  <si>
    <t>SEMIARID WOODLAND; VEGETATION COMPOSITION; STABLE-ISOTOPES; WATER; EVAPOTRANSPIRATION; TRANSPIRATION; DEFORESTATION; PRECIPITATION; REDISTRIBUTION; ECOHYDROLOGY</t>
  </si>
  <si>
    <t>Soil evaporation is a dominant water flux of flat dry ecosystems, reducing available water for plant transpiration. Vegetation plays a key role at controlling evaporation, especially by altering soil surface micro-meteorological conditions. Here, we explored the vegetation cover effect on soil evaporation, differentiating the effects of canopy cover (shadow) and of surface cover (litter) in forests and pastures of Dry Chaco rangelands (San Luis, Argentina). We measured daily soil evaporation using irrigated micro-lysimeters installed at regularly spaced (2m) patches along transects in native dry forests (n=54 patches) and pastures (n=27 patches). In each forest patch, we established a pair of micro-lysimeters, one with litter (3cm depth, representing high litter cover conditions of the site) and one with bare soil, but in pastures, only one micro-lysimeter with bare soil was installed at each patch (representing the typical no litter cover conditions of pastures of the study site). We found that, when soil water was not limiting, litter cover had the strongest effect in reducing evaporation rates, with a 4- and 6.4-fold reduction respect to bare soil micro-lysimeters in the forest and pasture, respectively. Evaporation decreased sharply with declining incident radiation fraction in bare soil micro-lysimeters from 5.6mm/day (full radiation) to 3.5mm/day (full canopy shadow; R-2=0.50). Litter-covered micro-lysimeters showed lower and more stable evaporation rates, decreasing only from 1.35 to 1.03mm/day under the same radiation conditions (R-2=0.10). In accordance with J.T. Ritchie evaporation model, we identified a threshold of similar to 10.5mm of cumulative evaporation at which evaporation switched from energy to water limitation in all situations, as revealed by declining evaporation rates and raising surface temperatures. Under typical wet-summer conditions, the pasture, the forest with bare soil, and the forest with litter would need on average a drying cycle of 1.5, 2.5, and 9.5days, respectively, to reach that threshold. Simulations showed that, considering the distribution of rainfall events at our study site, litter would maintain evaporation in the energy-limited mode most of the time (68.8% of summer days), potentially favouring transpiration. The ecohydrological key role of soil litter controlling evaporation highlights the importance of an accurate assessment of management practices controlling the evaporation/transpiration partition in dry ecosystems.</t>
  </si>
  <si>
    <t>e1879</t>
  </si>
  <si>
    <t>10.1002/eco.1879</t>
  </si>
  <si>
    <t>Kruger, JP; Leifeld, J; Glatzel, S; Szidat, S; Alewell, C</t>
  </si>
  <si>
    <t>Biogeochemical indicators of peatland degradation - a case study of a temperate bog in northern Germany</t>
  </si>
  <si>
    <t>STABLE CARBON ISOTOPES; NATURAL-ABUNDANCE; DEPTH PROFILES; ORGANIC-MATTER; SOIL; DELTA-C-13; DECOMPOSITION; DELTA-N-15; N-15; RADIOCARBON</t>
  </si>
  <si>
    <t>Organic soils in peatlands store a great proportion of the global soil carbon pool and can lose carbon via the atmosphere due to degradation. In Germany, most of the greenhouse gas (GHG) emissions from organic soils are attributed to sites managed as grassland. Here, we investigated a land use gradient from near-natural wetland (NW) to an extensively managed (GE) to an intensively managed grassland site (GI), all formed in the same bog complex in northern Germany. Vertical depth profiles of delta C-13, delta N-15, ash content, C / N ratio and bulk density as well as radiocarbon ages were studied to identify peat degradation and to calculate carbon loss. At all sites, including the near-natural site, delta C-13 depth profiles indicate aerobic decomposition in the upper horizons. Depth profiles of delta N-15 differed significantly between sites with increasing delta N-15 values in the top soil layers paralleling an increase in land use intensity owing to differences in peat decomposition and fertilizer application. At both grassland sites, the ash content peaked within the first centimetres. In the near-natural site, ash contents were highest in 10-60 cm depth. The ash profiles, not only at the managed grassland sites, but also at the near-natural site indicate that all sites were influenced by anthropogenic activities either currently or in the past, most likely due to drainage. Based on the enrichment of ash content and changes in bulk density, we calculated the total carbon loss from the sites since the peatland was influenced by anthropogenic activities. Carbon loss at the sites increased in the following order: NW&lt; GE&lt; GI. Radiocarbon ages of peat in the topsoil of GE and GI were hundreds of years, indicating the loss of younger peat material. In contrast, peat in the first centimetres of the NW was only a few decades old, indicating recent peat growth. It is likely that the NW site accumulates carbon today but was perturbed by anthropogenic activities in the past. Together, all biogeochemical parameters indicate a degradation of peat due to (i) conversion to grassland with historical drainage and (ii) land use intensification.</t>
  </si>
  <si>
    <t>10.5194/bg-12-2861-2015</t>
  </si>
  <si>
    <t>Smith, JAM; Reitsma, LR; Marra, PP</t>
  </si>
  <si>
    <t>Moisture as a determinant of habitat quality for a nonbreeding Neotropical migratory songbird</t>
  </si>
  <si>
    <t>body condition; body mass; habitat quality; migratory birds; nonbreeding winter habitat; Northern Waterthrush; Roosevelt Roads Naval Station, Puerto Rico; Seiurus noveboracensis</t>
  </si>
  <si>
    <t>WINTER SITE FIDELITY; NEARCTIC MIGRANTS; SAMPLING BLOOD; BODY CONDITION; STABLE-CARBON; ABUNDANCE; WARBLERS; FOOD; RAINFALL; DYNAMICS</t>
  </si>
  <si>
    <t>Identifying the determinants of habitat quality for a species is essential for understanding how populations are limited and regulated. Spatiotemporal variation in moisture and its influence on food availability may drive patterns of habitat occupancy and demographic outcomes. Nonbreeding migratory birds in the neotropics occupy a range of habitat types that vary with respect to moisture. Using carbon isotopes and a satellite-derived measure of habitat moisture, we identified a moisture gradient across home ranges of radio-tracked Northern Waterthrush (Seiurus noveboracensis). We used this gradient to classify habitat types and to examine whether habitat moisture correlates with overwinter mass change and spring departure schedules of Northern Waterthrush over the late-winter dry season in the tropics. The two independent indicators of moisture revealed similar gradients that were directly proportional to body mass change as the dry season progressed. Birds occupying drier habitats declined in body mass over the study period, while those occupying wetter habitats increased in body mass. Regardless of habitat, birds lost an average of 7.6% of their mass at night, and mass recovery during the day trended lower in dry compared with wet habitats. This suggests that daily incremental shortfalls in mass recovery can lead to considerable season-long declines in body mass. These patterns resulted in consequences for the premigratory period, with birds occupying drier habitats having a delayed rate of fat deposition compared with those in wet habitats. Taken together with the finding that males, which are significantly larger than females, are also in better condition than females regardless of habitat suggests that high-quality habitats may be limited and that there may be competition for them. The habitat-linked variation in performance we observed suggests that habitat limitation could impact individual and population-level processes both during and in subsequent periods of the annual cycle. The linkage between moisture and habitat quality for a migratory bird indicates that the availability of high-quality habitats is dynamic due to variation in precipitation among seasons and years. Understanding this link is critical for ascertaining the impact of future climate change, particularly in the Caribbean basin, where a much drier future is predicted.</t>
  </si>
  <si>
    <t>10.1890/09-2212.1</t>
  </si>
  <si>
    <t>Arthur, KE; Kelez, S; Larsen, T; Choy, CA; Popp, BN</t>
  </si>
  <si>
    <t>Tracing the biosynthetic source of essential amino acids in marine turtles using delta C-13 fingerprints</t>
  </si>
  <si>
    <t>biological tracer; central and southeastern Pacific Ocean; compound-specific stable-isotope analysis; digestion; gas chromatography-combustion&lt;bold&gt;-&lt;/bold&gt;IRMS; green turtle; Chelonia myolis; Hawaiian neritic habitats; isotope-ratio mass spectrometry (IRMS); loggerhead turtle; Caretta caretta; olive ridley turtle; Lepidochelys olivacea; symbiosis</t>
  </si>
  <si>
    <t>CHELONIA-MYDAS; ISOTOPE FRACTIONATION; PROTEIN-SYNTHESIS; TROPHIC POSITION; STABLE-ISOTOPES; GREEN TURTLE; SEA-TURTLES; NITROGEN; CARBON; DIET</t>
  </si>
  <si>
    <t>Plants, bacteria, and fungi produce essential amino acids (EAAs) with distinctive patterns of C-13 values that can be used as naturally occurring fingerprints of biosynthetic origin of EAAs in a food web. Because animals cannot synthesize EAAs and must obtain them from food, their tissues reflect C-13(EAA) patterns found in diet, but it is not known how microbes responsible for hindgut fermentation in some herbivores influence the C-13 values of EAAs in their hosts' tissues. We examined whether distinctive C-13 fingerprints of hindgut flora are evident in the tissues of green turtles (Chelonia mydas), which are known to be facultative hindgut fermenters. We determined C-13(EAA) values in tissues of green turtles foraging herbivorously in neritic habitats of Hawaii and compared them with those from green, olive ridley, and loggerhead turtles foraging carnivorously in oceanic environments of the central and southeast Pacific Ocean. Results of multivariate statistical analysis revealed two distinct groups that could be distinguished based on unique C-13(EAA) patterns. A three-end-member predictive linear discriminant model indicated that C-13(EAA) fingerprints existed in the tissues of carnivorous turtles that resembled patterns found in microalgae, which form the base of an oceanic food web, whereas herbivorous turtles derive EAAs from a bacterial or seagrass source. This study demonstrates the capacity for C-13 fingerprinting to establish the biosynthetic origin of EAAs in higher consumers, and that marine turtles foraging on macroalgal diets appear to receive nutritional supplementation from bacterial symbionts in their digestive system.</t>
  </si>
  <si>
    <t>10.1890/13-0263.1</t>
  </si>
  <si>
    <t>Karube, Z; Sakai, Y; Takeyama, T; Okuda, N; Kohzu, A; Yoshimizu, C; Nagata, T; Tayasu, I</t>
  </si>
  <si>
    <t>Carbon and nitrogen stable isotope ratios of macroinvertebrates in the littoral zone of Lake Biwa as indicators of anthropogenic activities in the watershed</t>
  </si>
  <si>
    <t>Material loading; Lake Biwa; Eutrophication; Stable isotope; Benthos</t>
  </si>
  <si>
    <t>BASE-LEVEL NITROGEN; TROPHIC POSITION; HUMAN IMPACT; FOOD WEBS; ECOSYSTEMS; SIGNATURES; RIVERS; DELTA-N-15; CALIFORNIA; DELTA-C-13</t>
  </si>
  <si>
    <t>Carbon and nitrogen stable isotope ratios (delta(13)C and delta(15)N) of macroinvertebrates inhabiting littoral zones of lakes can serve as useful indicators of material loading from the watershed. We collected snails (Semisulcospira spp.) and bivalves (Unio douglasiae biwae Kobelt) from 29 littoral sites in Lake Biwa near the mouths of river tributaries with various human population density (HPD) and land-use patterns. The delta(13)C and delta(15)N signatures were determined for three potential food sources: particulate organic matter in the pelagic zone (PPOM), riverine particulate organic matter from tributaries (RPOM) and epilithic organic matter in the littoral zone (EOM). The stable isotope mixing model revealed that snails relied mainly on EOM, and bivalves on PPOM and RPOM. Multiple regression analysis showed that intersite variation in delta(15)N for snails was best explained by HPD, while variation in delta(15)N of EOM and nitrate was explained to a lesser extent by HPD. Comparison with isotope signatures of their food sources and riverine nutrients revealed that snails assimilated anthropogenic nitrogen from wastewater in the watershed. Our results also showed that the delta(13)C value of bivalves was marginally related to the fraction of paddy fields in the watersheds. In conclusion, the isotope signatures of macroinvertebrates inhabiting the littoral zone can be useful indicators of anthropogenic impacts from the watershed.</t>
  </si>
  <si>
    <t>10.1007/s11284-010-0715-1</t>
  </si>
  <si>
    <t>Carpenter-Kling, T; Pistorius, P; Connan, M; Reisinger, R; Magozzi, S; Trueman, C</t>
  </si>
  <si>
    <t>Sensitivity of delta C-13 values of seabird tissues to combined spatial, temporal and ecological drivers: A simulation approach</t>
  </si>
  <si>
    <t>Agent-based movement models; Isoscapes; delta C-13; Marine predators</t>
  </si>
  <si>
    <t>STABLE-ISOTOPES; FORAGING AREAS; CLIMATE-CHANGE; CARBON; ISOSCAPES; SOUTH; PLASTICITY; PREDATORS; LOCATION; PACKAGE</t>
  </si>
  <si>
    <t>Biologging technologies have revolutionised our understanding of the foraging ecology and life history traits of marine predators, allowing for high resolution information about location, and in some cases, foraging behaviour of wild animals. At the same time, stable isotope ecologists have independently developed methods to infer location and foraging ecology (trophic geography). To date, relatively few studies have combined these two approaches, despite the potential wealth of complementary information. In marine systems, spatial and trophic information are coded in the isotopic composition of carbon and nitrogen in animal tissues, but interpretation of isotope values is limited by both the lack of reference maps (isoscapes) needed to relate the isotopic composition of an animal's tissues to a location, and the relatively large number of variables that could influence tissue isotope compositions. Simulation modelling can help to interpret measured tissue isotope compositions of migratory animals in the context of spatio-temporally dynamic isotopic baselines. Here, we couple individual-based movement models with global marine isotope models to explore the sensitivity of tissue delta C-13 values to a range of extrinsic (environmental) and intrinsic (behavioural, physiological) drivers. We use in-silico experiments to simulate isotopic compositions expected for birds exhibiting different movement and foraging behaviours and compare these simulated data to isotopic data recovered from biologgerequipped female northern giant petrels Macronectes halli incubating eggs on sub-Antarctic Marion Island. Our simulations suggest that in the studied system, time is a strong driver of isotopic variance. Accordingly, this implies that caution should be used when comparing delta C-13 values of marine predators' tissues between seasons and years. We show how an in-silico experimental approach can be used to explore the sensitivity of animal tissue isotopic compositions to complex and often interacting drivers. Appreciation of the principle drivers behind isotopic variance specific to a given animal and geographic context can enhance inferences of geolocation as well as foraging behaviour, and can be applied to any mobile predator. Models can be relativey simple or complex and multi-layered depending on the level of ecological realism required. Future investigations can use other isoscapes, including terrestrial isoscapes and more complex or different movement models.</t>
  </si>
  <si>
    <t>10.1016/j.jembe.2018.12.007</t>
  </si>
  <si>
    <t>Attermeyer, K; Premke, K; Hornick, T; Hilt, S; Grossart, HP</t>
  </si>
  <si>
    <t>Ecosystem-level studies of terrestrial carbon reveal contrasting bacterial metabolism in different aquatic habitats</t>
  </si>
  <si>
    <t>bacterial production; carbon turnover; community respiration; leaf litter; phospholipid-derived fatty acid; PLFA; Schulzensee; Germany; sediments; shallow lakes; stable isotopes; terrestrial subsidies</t>
  </si>
  <si>
    <t>ALLOCHTHONOUS ORGANIC-CARBON; LEAF-LITTER; FOOD WEBS; LAKE; FRESH; DECOMPOSITION; SUBSIDIES; MATTER; FUNGI; RESPIRATION</t>
  </si>
  <si>
    <t>In aquatic systems, terrestrial dissolved organic matter (t-DOM) is known to stimulate bacterial activities in the water column, but simultaneous effects of autumnal leaf input on water column and sediment microbial dynamics in littoral zones of lakes remain largely unknown. The study's objective was to determine the effects of leaf litter on bacterial metabolism in the littoral water and sediment, and subsequently, the consequences for carbon cycling and food web dynamics. Therefore, in late fall, we simultaneously measured water and sediment bacterial metabolism in the littoral zone of a temperate shallow lake after adding terrestrial particulate organic matter (t-POM), namely, maize leaves. To better evaluate bacterial production (BP) and community respiration (CR) in sediments, we incubated sediment cores with maize leaves of different quality (nonleached and leached) under controlled laboratory conditions. Additionally, to quantify the incorporated leaf carbon into microbial biomass, we determined carbon isotopic ratios of fatty acids from sediment and leaf-associated microbes from a laboratory experiment using C-13-enriched beech leaves. The concentrations of dissolved organic carbon (DOC) increased significantly in the lake after the addition of maize leaves, accompanied by a significant increase in water BP. In contrast, sediment BP declined after an initial peak, showing no positive response to t-POM addition. Sediment BP and CR were also not stimulated by t-POM in the laboratory experiment, either in short-term or in long-term incubations, except for a short increase in CR after 18 hours. However, this increase might have reflected the metabolism of leaf-associated microorganisms. We conclude that the leached t-DOM is actively incorporated into microbial biomass in the water column but that the settling leached t-POM (t-POML) does not enter the food web via sediment bacteria. Consequently, t-POML is either buried in the sediment or introduced into the aquatic food web via microorganisms (bacteria and fungi) directly associated with t-POML and via benthic macroinvertebrates by shredding of t-POML. The latter pathway represents a benthic shortcut which efficiently transfers t-POML to higher trophic levels.</t>
  </si>
  <si>
    <t>10.1890/13-0420.1</t>
  </si>
  <si>
    <t>Diogo, RVC; Adjassin, JS; Dossa, LH; Traore, IA</t>
  </si>
  <si>
    <t>Feeding and spatial behaviours of transhumant cattle in southern Benin: implications for the sustainable management of rangelands</t>
  </si>
  <si>
    <t>AFRICAN JOURNAL OF RANGE &amp; FORAGE SCIENCE</t>
  </si>
  <si>
    <t>Cattle tracking; communal pasture use; grazing activities; resource conservation; West Africa</t>
  </si>
  <si>
    <t>EATING BEHAVIOR; LIVESTOCK MOBILITY; PASTORAL RESOURCES; NATURAL PASTURE; LAND-USE; GOATS; AVAILABILITY; SHEEP; STRATEGIES; SELECTION</t>
  </si>
  <si>
    <t>Feed intake on pastures plays a vital role in cattle rearing in West Africa. However, the scarcity of pastures during the dry season may result in changing grazing behaviour by cattle. Therefore, we studied the management practices of transhumant herders on communal rangelands through monitoring of cattle herds' behaviour in southern Benin. We expected changes in grazing behaviours of cattle and shifts in diet composition and diet overlaps between herds. Therefore, feeding and spatial behaviours of cattle were studied on six transhumant herds monitored daily, each during three consecutive days on communal rangelands of Djidja. In each herd, three adult cows of four to five years old were equipped with two GPS data loggers (GT-730FL-S) to monitor animals' movements. The data loggers were set to record the positions of the animals every 10 s and direct observations of the animal activities were made. The results indicated that the activities of cattle varied greatly according to site (p&lt; 0.05). Moreover, feed ingested varied with site. The ration was dominated by woody species with 70% Fabaceae, whereas shrubs and grasses were less represented, indicating a shift in diet. This analysis is required for better monitoring of grazing cattle.</t>
  </si>
  <si>
    <t>10.2989/10220119.2020.1749126</t>
  </si>
  <si>
    <t>Turkal, CE; Anderson, TF; McClung, MR</t>
  </si>
  <si>
    <t>Highland stonerollers (Campostoma spadecium) do not clearly avoid recreational boat noise or preferentially graze algae in quieter areas</t>
  </si>
  <si>
    <t>Anthropogenic noise; Freshwater fish; Behavioral response; Algal foraging; Playback</t>
  </si>
  <si>
    <t>FRESH-WATER FISH; AUDITORY-SENSITIVITY; STREAM; RESPONSES; MINNOW; DISTURBANCE; CRAYFISHES; GRADIENTS; COMMON; SOUND</t>
  </si>
  <si>
    <t>As anthropogenic noise increases globally, there is an urgent need to understand how noise impacts ecological communities. Recent literature shows both terrestrial and aquatic species exhibit myriad responses to noise, including physiological stress, higher mortality, and habitat avoidance. Most studies focus on the responses of single species from terrestrial or marine habitats, with fewer examining freshwater systems and implications for trophic relationships. We used a laboratory study to investigate whether highland stonerollers (Campostoma spadecium), an algivorous freshwater fish, avoid recreational boat noise and thus graze preferentially in quieter areas. For seven groups of eight fish, we recorded the tank position (near, mid, far) of individual fish relative to a speaker playing intermittent boat noise (noise trials) and a mock speaker playing no noise (quiet trials) over a 3-day period. After each trial, we measured the proportion of algae grazed from tiles placed in each section of the tank. Our results show that fish did not avoid the noise speaker compared to fish near the mock speaker in the near section of the tank, but they were found in higher proportions in the quietest section of the tank (mid) during noise trials. There was no difference in the amount of algae consumed in any section when comparing quiet to noisy trials. Thus, our study did not indicate that recreational boat noise elicited clear avoidance behavior or impacted algal coverage. However, these results should be interpreted cautiously since sensitivity to noise pollution varies according to stimulus and species, and these results represent only one species from one geographic location.</t>
  </si>
  <si>
    <t>10.1007/s10641-021-01135-2</t>
  </si>
  <si>
    <t>Jeffery, IB; Lynch, DB; O'Toole, PW</t>
  </si>
  <si>
    <t>Composition and temporal stability of the gut microbiota in older persons</t>
  </si>
  <si>
    <t>IRRITABLE-BOWEL-SYNDROME; INTESTINAL MICROBIOTA; DIET; HEALTH; ALTERS; ADULTS; OBESE</t>
  </si>
  <si>
    <t>The composition and function of the human gut microbiota has been linked to health and disease. We previously identified correlations between habitual diet, microbiota composition gradients and health gradients in an unstratified cohort of 178 elderly subjects. To refine our understanding of diet-microbiota associations and differential taxon abundance, we adapted an iterative bi-clustering algorithm (iterative binary bclustering of gene sets (iBBiG)) and applied it to microbiota composition data from 732 faecal samples from 371 ELDERMET cohort subjects, including longitudinal samples. We thus identified distinctive microbiota configurations associated with ageing in both community and long-stay residential care elderly subjects. Mixed-taxa populations were identified that had clinically distinct associations. Microbiota temporal instability was observed in both communityd-welling and long-term care subjects, particularly in those with low initial microbiota diversity. However, the stability of the microbiota of subjects had little impact on the directional change of the microbiota as observed for long-stay subjects who display a gradual shift away from their initial microbiota. This was not observed in community-dwelling subjects. This directional change was associated with duration in long-stay. Changes in these bacterial populations represent the loss of the health-associated and youth-associated microbiota components and gain of an elderly associated microbiota. Interestingly, community-associated microbiota configurations were impacted more by the use of antibiotics than the microbiota of individuals in long-term care, as the community-associated microbiota showed more loss but also more recovery following antibiotic treatment. This improved definition of gut microbiota composition patterns in the elderly will better inform the design of dietary or antibiotic interventions targeting the gut microbiota.</t>
  </si>
  <si>
    <t>10.1038/ismej.2015.88</t>
  </si>
  <si>
    <t>Jia, YF; Wang, GA; Tan, QQ; Chen, ZX</t>
  </si>
  <si>
    <t>Temperature exerts no influence on organic matter delta C-13 of surface soil along the 400 mm isopleth of mean annual precipitation in China</t>
  </si>
  <si>
    <t>CARBON ISOTOPE DISCRIMINATION; DECOMPOSITION; GRADIENT; RATIOS; PLANTS; C-13; RECONSTRUCTION; FRACTIONATION</t>
  </si>
  <si>
    <t>Soil organic carbon is the largest pool of carbon in the terrestrial ecosystem, and its isotopic composition is affected by a number of factors. However, the influence of environmental factors, especially temperature, on soil organic carbon isotope values (delta C-13(SOM)) is poorly constrained. This impedes the application of the variability of organic carbon isotopes to reconstructions of paleoclimate, paleoecology, and global carbon cycling. Given the considerable temperature gradient along the 400 mm isohyet (isopleth of mean annual precipitation - MAP) in China, this isohyet provides ideal experimental sites for studying the influence of temperature on soil organic carbon isotopes. In this study, the effect of temperature on surface soil delta C-13 was assessed by a comprehensive investigation of 27 sites across a temperature gradient along the isohyet. Results demonstrate that temperature does not play a role in soil delta C-13. This suggests that organic carbon isotopes in sediments cannot be used for paleotemperature reconstruction and that the effect of temperature on organic carbon isotopes can be neglected in the reconstruction of paleoclimate and paleovegetation. Multiple regressions with MAT (mean annual temperature), MAP, altitude, latitude, and longitude as independent variables and delta C-13(SOM) as the dependent variable show that these five environmental factors together account for only 9% of soil delta C-13 variance. However, one-way ANOVA analyses suggest that soil type and vegetation type are significant factors influencing soil delta C-13. Multiple regressions, in which the five aforementioned environmental factors were taken as quantitative variables, and vegetation type, soil type based on the Chinese Soil Taxonomy, and World Reference Base (WRB) soil type were separately used as dummy variables, show that 36.2, 37.4, and 29.7 %, respectively, of the variability in soil delta C-13 are explained. Compared to the multiple regressions in which only quantitative environmental variables were introduced, the multiple regressions in which soil and vegetation were also introduced explain more of the isotopic variance, suggesting that soil type and vegetation type exert a significant influence on delta C-13(SOM).</t>
  </si>
  <si>
    <t>10.5194/bg-13-5057-2016</t>
  </si>
  <si>
    <t>Klemmedson, AD; Reiss, CS; Goebel, ME; Kaufmann, RS; Dorval, E; Linkowski, TB; Borras-Chavez, R</t>
  </si>
  <si>
    <t>Variability in age of a Southern Ocean myctophid (Gymnoscopelus nicholsi) derived from scat-recovered otoliths</t>
  </si>
  <si>
    <t>Myctophidae; Gymnoscopelus nicholsi; Otolith; Mesopelagic; Southern Ocean; Antarctic fur seal; Krill</t>
  </si>
  <si>
    <t>ANTARCTIC FUR SEALS; KRILL EUPHAUSIA-SUPERBA; KING GEORGE ISLAND; ARCTOCEPHALUS-GAZELLA; SCOTIA SEA; FISH PREY; VERTICAL-DISTRIBUTION; MESOPELAGIC FISHES; SHETLAND ISLANDS; FEEDING ECOLOGY</t>
  </si>
  <si>
    <t>Myctophids are ecologically important in the Southern Ocean, where they occupy a central trophic position and are a key energy resource for top predators. However, understanding their population dynamics is limited by a paucity of data due to sampling challenges. Antarctic fur seal Arctocephalus gazella scats provide large collections of otoliths and other prey remains that can be used to form time series for important mesopelagic taxa such as Gymnoscopelus nicholsi (Gn). Examination of otoliths from scats allowed for a reconstruction of Gn age and length structure from 8 selected sample years between 2000 and 2015. While mean reconstructed length did not change significantly over the time series, mean age declined. Older age classes were scarce in scat samples, and age-6 animals were not found after 2008. During the same time period, Gn otoliths in fur seal scats declined from approximately 2000 to fewer than 200. The decline in the number of otoliths in Antarctic fur seal scat samples coupled with the negative trend in mean age suggests declines in the availability of Gn on the South Shetland Island slope region between 2000 and 2015. This study demonstrates the utility of central-place foragers in assessing populations of unfished but ecologically important mesopelagic fishes, thus allowing evaluation of hypotheses about their population structure and dispersal.</t>
  </si>
  <si>
    <t>10.3354/meps13176</t>
  </si>
  <si>
    <t>Travers-Trolet, M; Coppin, F; Cresson, P; Cugier, P; Oliveros-Ramos, R; Verley, P</t>
  </si>
  <si>
    <t>Emergence of negative trophic level-size relationships from a size-based, individual-based multispecies fish model</t>
  </si>
  <si>
    <t>Emergent patterns; Pelagic-benthic coupling; Individual-based model; Food web; Fish community</t>
  </si>
  <si>
    <t>STABLE-ISOTOPE ANALYSIS; BODY-SIZE; ENGLISH-CHANNEL; ECOSYSTEM MODELS; MARINE FISH; COMMUNITY; WEIGHT; ASSEMBLAGES; GRADIENT; ECOPATH</t>
  </si>
  <si>
    <t>Modeling the mechanisms underlying trophic interactions between individuals allows the food web structure to emerge from local interactions, which constitutes a prerequisite for assessing how marine ecosystems respond to various anthropogenic pressures. Using a multispecies spatially explicit individual-based model, the emergence of trophic patterns was explored in the eastern English Channel ecosystem, where pelagic-benthic trophic coupling was recently studied empirically. The OSMOSE model was applied to this ecosystem by explicitly representing the life cycle of 13 fish species and one squid group, forced by pelagic and benthic prey fields that are variable over time and space. A matrix defining possible accessibilities between life stages was added to the model to link benthic and pelagic communities through overlap of vertical distribution. After optimizing some parameters of the model to represent the average state of the fish community during the 2000-2009 period, the simulated trophic structure was explored and compared to empirical data. The simulated and stable-isotope-derived trophic levels of fish were in relatively good agreement. Intraspecific variability of the trophic level is high in the five stable-isotope datasets but is well encompassed by the model. Despite the hypothesis of opportunistic size-based predation, the simulation showed a decreasing trend of trophic level with size for four benthic species, a pattern observed empirically for a different set of species in the ecosystem. Model exploration showed that this emerging pattern varies spatially and is both explained by the spatial variability of prey availability and by the independence of trophic and size structures of benthic invertebrates. The combination of individual-based models, stomach contents and intrinsic tracers, such as stable isotopes, appears to be a promising tool to better understand the causes of observed trophic patterns.</t>
  </si>
  <si>
    <t>10.1016/j.ecolmodel.2019.108800</t>
  </si>
  <si>
    <t>Aya, FA; Kudo, I</t>
  </si>
  <si>
    <t>Effect of water mass mixing on phytoplankton dynamics in the scallop culture areas off Okhotsk Sea: A microcosm experiment</t>
  </si>
  <si>
    <t>Nutrients; Chlorophyll a; Particulate organic matter; Soya Warm Water; Sea of Okhotsk</t>
  </si>
  <si>
    <t>PARTICULATE ORGANIC-MATTER; MIZUHOPECTEN-YESSOENSIS JAY; ISOTOPIC COMPOSITION; SPATIAL VARIABILITY; NATURAL-ABUNDANCE; STABLE-ISOTOPES; NORTH PACIFIC; NITROGEN; DELTA-N-15; SIZE</t>
  </si>
  <si>
    <t>The nearshore (Soya Warm Water (SWW)) and offshore (Intermediate Cold Water (ICW) and Okhostk Sea Low Salinity Water (OSLSW)) waters in the Okhotsk Sea differ substantially in their physico-chemical characteristics. Thus, the extent to which water mass mixing impacts phytoplankton dy-namics in the Japanese scallop Patinopecten yessoensis culture areas needs to be assessed to properly manage scallop stocks. This study examined the phytoplankton dynamics in nearshore (SWW) and offshore (ICW and OSLSW) waters and phytoplankton response to water mass mixing (SWW + ICW, OSLSW + ICW) for 5 days in spring (2007) and summer (2007-2009) microcosm experiments. Increased chlorophyll a concentration in ICW was observed due to higher nutrients available for phytoplankton uptake than in OSLSW and SWW at the start of each microcosm experiment. In comparison to spring microcosm, mixing of SWW + ICW promoted higher chlorophyll a concentration and faster Si(OH)4 utilization than in OSLSW + ICW in summer. In addition, the size structure of chlorophyll a differed from micro-size (&gt; 10 mu m) in SWW + ICW to nano-size (&lt; 10 mu m) chlorophyll a in OSLSW + ICW. Suspended particulate organic matter (SPOM) delta 13C ratios were positively correlated with chlorophyll a in both mixed microcosms whereas SPOM delta 15N isotopic ratios were inversely related to nitrate concentration in SWW + ICW, except in spring. This suggests that stable isotopes can be used in predicting phytoplankton biomass and nutrient utilization. In comparison to microcosm experiments, nearshore water column structure suggests vertical water mixing in summer to autumn when phytoplankton biomass and micro-size fraction were at maximum. Taken together, the advance of nutrient-rich ICW to nutrient-poor nearshore areas in the Okhotsk Sea resulted in increased chlorophyll a biomass and dominance of micro-size phytoplankton in summer, potentially enhancing nutrient and food supply to bottom-cultured scallops as suggested by both microcosm experiments and field observations.(c) 2022 Elsevier B.V. All rights reserved.</t>
  </si>
  <si>
    <t>10.1016/j.rsma.2022.102568</t>
  </si>
  <si>
    <t>Riffaut, L; McCoy, KD; Tirard, C; Friesen, VL; Boulinier, T</t>
  </si>
  <si>
    <t>Population genetics of the common guillemot Uria aalge in the North Atlantic: geographic impact of oil spills</t>
  </si>
  <si>
    <t>assignment tests; dispersal; microsatellites; marine pollution; common guillemot; Uria aalge; colonial seabird</t>
  </si>
  <si>
    <t>PRINCE-WILLIAM-SOUND; THICK-BILLED MURRE; MULTILOCUS GENOTYPES; MITOCHONDRIAL-DNA; CONSERVATION GENETICS; MICROSATELLITE DNA; RISSA-TRIDACTYLA; ISOTOPE ANALYSIS; STABLE-ISOTOPES; SPATIAL SCALE</t>
  </si>
  <si>
    <t>The population genetic structure of a species can be an important conservation tool informing us about the potential for genetic loss and the capacity for species recovery. Depending on the nature of population subdivision, it can also provide a means for assessing the source population of dead or injured individuals of unknown geographic origin. This type of information can be particularly useful in instances of large-scale environmental accidents, such as oil spills. Following the wreck of the 'Erika' oil tanker in the Bay of Biscay in December 1999, more than 80 000 seabirds were washed ashore along the west coast of France. The most heavily affected species (80% of all birds) was the common guillemot Uria aalge, a widespread long-lived colonial seabird. In an attempt to evaluate the 'true' geographic extent of this accident, we carried out population genetic analyses using 6 microsatellite markers on samples from 22 breeding colonies in the North Atlantic and on individuals collected after the oil spill. A pattern of isolation by distance was detected among common guillemot populations, but populations were only weakly structured, even at large spatial scales. The low level of genetic differentiation between colonies prevented clear assignments of oiled birds to their population of origin using only the genetic information. The weak genetic structure suggests that little genetic variability was lost during the oil spill and implies a high potential for population recovery via dispersal. However, current gene flow among extant colonies may overestimate the capacity of locally extinct colonies to recover due to the behavioural processes involved in recruitment. Clearly, the mortality of tens of thousands of high-latitude seabirds due to oil pollution warrants ongoing scientific scrutiny and conservation effort.</t>
  </si>
  <si>
    <t>10.3354/meps291263</t>
  </si>
  <si>
    <t>Randhawa, HS; Brickle, P</t>
  </si>
  <si>
    <t>Larval parasite gene sequence data reveal cryptic trophic links in life cycles of porbeagle shark tapeworms</t>
  </si>
  <si>
    <t>Life cycle; Lamna nasus; Tetraphyllidea; Clistobothrium; Dinobothrium; Doryteuthis gahi; D2 domain; Large subunit ribosomal DNA; Falkland Islands</t>
  </si>
  <si>
    <t>LAMNA-NASUS; FALKLAND ISLANDS; BAYESIAN-INFERENCE; FEEDING-HABITS; LOLIGO-GAHI; CEPHALOPODS; MODEL; PLATYHELMINTHES; SYSTEMATICS; MIGRATION</t>
  </si>
  <si>
    <t>The lack of information on marine tapeworm life cycles can be addressed with knowledge derived from trophic interactions in marine environments. These trophically transmitted parasites exploit transmission routes involving predator-prey interactions. Porbeagle sharks Lamna nasus are apex predators feeding on a wide range of organisms, including teleosts and cephalopods. Although the biology of this shark species is relatively well studied, there is a surprising lack of information about the trophic interactions involving this species that lead to the acquisition of tapeworms. Recently, the use of molecular tools, combined with phylogenetics, has proven useful in identifying trophic links involved in the transmission of marine tapeworms. In the present study, we used sequence data from the D2 domain of the large subunit ribosomal DNA to link adult tapeworms of the species Clistobothrium cf. montaukensis and Dinobothrium sp. parasitising porbeagle sharks to larvae recovered from the squid Doryteuthis gahi. To the best of our knowledge, it is the first to provide empirical evidence for a trophic link between porbeagle sharks and D. gahi as a definitive route for the successful transmission of these tapeworms. Furthermore, our data suggest an ontogenetic shift in diet away from squid. Parasite abundance data in D. gahi indicate that the abundance of porbeagle sharks can be significant in some years.</t>
  </si>
  <si>
    <t>10.3354/meps09108</t>
  </si>
  <si>
    <t>Pope, MD; Richardson, N; Crawford, JA</t>
  </si>
  <si>
    <t>Fall and winter diets of mountain quail in southwestern Oregon</t>
  </si>
  <si>
    <t>Ninety mountain quail crops were collected in the fall of 1994-96 and the winter of 1998-99 to determine diets of mountain quail in the southwestern Cascade Mountains of Oregon. Mountain quail consumed items from 61 plant taxa, but the bulk of their diet was composed of 13 major plant genera or species. Legumes were the most prominent food consumed by Mountain Quail. In the fall, deervetch species accounted for 47% of the total dry weight and were found in 58% of the crops. Hairy vetch constituted 38% of the dry weight of crops collected during the winter and occurred in 50% of the crops. Other legumes commonly eaten during the fall were black medic, clover, peavine, and Scot's-broom. California hedge-parsley, manzanita, and hawthorn were frequently used in the winter. Mountain quail ate greater quantities of grasses and green foliage in the winter, but berries were consumed more during the fall. In fall and winter, insects were frequently found in crops, but composed less than or equal to3% of the total volume of the diet. Mountain quail in Southwestern Oregon are opportunistic foragers that seasonally shift diets to take advantage of prevailing food abundances.</t>
  </si>
  <si>
    <t>Doubleday, ZA; Cliff, J; Izzo, C; Gillanders, BM</t>
  </si>
  <si>
    <t>Untapping the potential of sulfur isotope analysis in biominerals</t>
  </si>
  <si>
    <t>Carbonates; Sulfur isotopes; Diet; Fish otolith; Barramundi; Lates calcarifer</t>
  </si>
  <si>
    <t>COD GADUS-MORHUA; STABLE-ISOTOPES; OTOLITH CHEMISTRY; FISH; DIET; SEAWATER; NITROGEN; HYPOXIA; CARBON; WATER</t>
  </si>
  <si>
    <t>Sulfur isotope ratios are used to untangle food web dynamics, track animal movements and determine dietary provenance. Yet, their application in the biomineralised tissues of animals is relatively unexplored. These tissues are particularly useful for isotopic analyses as they can retain a permanent and temporally resolved chemical record over the lifetime of the organism. We experimentally determined whether biogenic carbonate records environmental variation in sulfur isotope ratios (S-34/S-32) in an aquatic system and whether such variation is influenced by the ambient water or diet. Juvenile barramundi Lates calcarifer were raised in 2 water treatments with differing sulfur isotope ratios, as well as 3 diet treatments with differing ratios. We subsequently analysed the calcium carbonate fish ear bones (otoliths) using secondary ion mass spectrometry, a technique that allowed the experimental growth of the otolith to be targeted. Our findings suggest that biogenic carbonate records variation in sulfur isotope ratios and that diet is not the sole source of sulfur isotope variation in aquatic consumers. Drawing from a multi-disciplinary body of literature, we also reviewed the potential ecological and environmental applications of sulfur isotope analysis in biominerals. We emphasise the extensive application of sulfur isotope ratios and that progressing this field of research to include biominerals is a worthwhile pursuit.</t>
  </si>
  <si>
    <t>10.3354/meps12605</t>
  </si>
  <si>
    <t>Heithaus, MR; Vaudo, JJ; Kreicker, S; Layman, CA; Krutzen, M; Burkholder, DA; Gastrich, K; Bessey, C; Sarabia, R; Cameron, K; Wirsing, A; Thomson, JA; Dunphy-Daly, MM</t>
  </si>
  <si>
    <t>Apparent resource partitioning and trophic structure of large-bodied marine predators in a relatively pristine seagrass ecosystem</t>
  </si>
  <si>
    <t>Food webs; Predator-prey interactions; Stable isotope; Niche overlap; Elasmobranchs; Sharks; Cetacean; Trophic redundancy; Niche partitioning</t>
  </si>
  <si>
    <t>GALEOCERDO-CUVIER; TIGER SHARKS; SUBTROPICAL EMBAYMENT; STABLE-ISOTOPES; ECOLOGICAL IMPORTANCE; HABITAT USE; BODY-SIZE; DIET; COMMUNITY; NICHE</t>
  </si>
  <si>
    <t>Large predators often play important roles in structuring marine communities. To understand the role that these predators play in ecosystems, it is crucial to have knowledge of their interactions and the degree to which their trophic roles are complementary or redundant among species. We used stable isotope analysis to examine the isotopic niche overlap of dolphins Tursiops cf. aduncus, large sharks (&gt;1.5 m total length), and smaller elasmobranchs (sharks and batoids) in the relatively pristine seagrass community of Shark Bay, Australia. Dolphins and large sharks differed in their mean isotopic values for delta C-13 and delta N-15, and each group occupied a relatively unique area in isotopic niche space. The standard ellipse areas (SEAc; based on bivariate standard deviations) of dolphins, large sharks, small sharks, and rays did not overlap. Tiger sharks Galeocerdo cuvier had the highest delta N-15 values, although the mean delta C-13 and delta N-15 values of pigeye sharks Carcharhinus amboinensis were similar. Other large sharks (e.g. sicklefin lemon sharks Negaprion acutidens and sandbar sharks Carcharhinus plumbeus) and dolphins appeared to feed at slightly lower trophic levels than tiger sharks. In this seagrass-dominated ecosystem, seagrass-derived carbon appears to be more important for elasmobranchs than it is for dolphins. Habitat use patterns did not correlate well with the sources of productivity supporting diets, suggesting that habitat use patterns may not necessarily be reflective of the resource pools supporting a population and highlights the importance of detailed datasets on trophic interactions for elucidating the ecological roles of predators.</t>
  </si>
  <si>
    <t>10.3354/meps10235</t>
  </si>
  <si>
    <t>Gove, JM; Williams, GJ; McManus, MA; Clark, SJ; Ehses, JS; Wedding, LM</t>
  </si>
  <si>
    <t>Coral reef benthic regimes exhibit non-linear threshold responses to natural physical drivers</t>
  </si>
  <si>
    <t>Coral morphology; Regime shift; Reef-building organisms; Competition; Habitat complexity; Biophysical coupling; Waves; Bed shear stress; Tipping points</t>
  </si>
  <si>
    <t>WAVE-EXPOSURE; BASE-LINES; COMMUNITY STRUCTURE; INTERNAL WAVES; WATER VELOCITY; PHASE-SHIFTS; PATTERNS; ATOLL; CONSEQUENCES; DEGRADATION</t>
  </si>
  <si>
    <t>We assessed the independent effects of natural physical drivers in structuring coral reef benthic communities at a remote oceanic atoll in the central equatorial Pacific with minimal local human impacts. High-resolution bathymetric data combined with in situ oceanographic measurements and a nearshore hydrodynamic model revealed complex intra-atoll gradients in geomorphic complexity, wave forcing, currents, and temperature. For example, maximum wave-driven bed shear stress spatially varied on the forereef (15-20 m depth) by over 2 orders of magnitude, peaking in areas exposed to multiple wave regimes. Benthic community composition, quantified via towed-diver imagery collected in a complete circumnavigation of the atoll (similar to 40 km), also exhibited considerable spatial heterogeneity. Benthic competitors showed distinct, non-linear threshold-type responses to variations in physical drivers. For example, at a wave-driven bed shear stress threshold of 18 N m(-2), calcifying crustose coralline algae lost relative dominance and were replaced by non-calcifying fleshy turf algae. Hard coral communities also demonstrated considerable flexibility in response to physical drivers, with distinct shifts in the relative dominance of different growth morphologies along gradients of wave forcing, presumably as a means of local adaptation. Our results highlight (1) the importance of natural gradients in physical drivers in determining dominant benthic regimes on coral reefs (e.g. calcifying vs. fleshy), (2) that non-linear thresholds (or tipping points) exist between key benthic competitors in response to key physical drivers, and (3) that coral assemblages show inherent flexibility and can reorganize in response to physical drivers rather than exhibit wholesale changes in overall cover.</t>
  </si>
  <si>
    <t>10.3354/meps11118</t>
  </si>
  <si>
    <t>Thiel, S; Willems, F; Farwig, N; Rehling, F; Schabo, DG; Schleuning, M; Tello, NS; Topfer, T; Tschapka, M; Heymann, EW; Heer, K</t>
  </si>
  <si>
    <t>Vertically stratified frugivore community composition and interaction frequency in a liana fruiting across forest strata</t>
  </si>
  <si>
    <t>bird traits; diet specialization; frugivory; plant-animal interactions; rain forest; seed dispersal</t>
  </si>
  <si>
    <t>ANIMAL MUTUALISTIC NETWORKS; LOWLAND RAIN-FOREST; SEED-DISPERSAL; PLANT; PATTERNS; CANOPY; BIRDS; BATS; SPECIALIZATION; DETERMINANTS</t>
  </si>
  <si>
    <t>Vertical stratification is a key feature of tropical forests and structures plant-frugivore interactions. However, it is unclear whether vertical differences in plant-frugivore interactions are due to differences among strata in plant community composition or inherent preferences of frugivores for specific strata. To test this, we observed fruit removal of a diverse frugivore community on the liana Marcgravia longifolia in a Peruvian rain forest. Unlike most other plants, Marcgravia longifolia produces fruits across forest strata. This enabled us to study effects of vertical stratification on fruit removal without confounding effects of plant species and stratum. We found a high number of visits of a few frugivore species in the understorey and a low number of visits of many different frugivores in the canopy and midstorey. Whereas partial and opportunistic frugivores foraged across strata with differing frequencies, obligate frugivores were only found eating fruits in the higher strata. Avian frugivores foraging in the canopy were mainly large species with pointed wings, whereas under- and midstorey avian foragers were smaller with rounded wings. Our findings suggest a continuous shift in the frugivore community composition along the vertical gradient, from a few generalized frugivores in the understorey to a diverse set of specialized frugivores in the canopy. This shift in the frugivore community leads to correlated, reciprocal changes from specialized to generalized plant-frugivore interactions. Thus, we conclude that vertical niche differentiation between species in tropical forests persists even when food resources are available across strata. This highlights its role for promoting biodiversity and ecosystem functioning.Abstract in Spanish is available with online material.</t>
  </si>
  <si>
    <t>10.1111/btp.13216</t>
  </si>
  <si>
    <t>Pena, R; Polle, A</t>
  </si>
  <si>
    <t>Attributing functions to ectomycorrhizal fungal identities in assemblages for nitrogen acquisition under stress</t>
  </si>
  <si>
    <t>N-15 labeling; beech (Fagus sylvatica); drought; modeling; mycorrhiza; shade</t>
  </si>
  <si>
    <t>SPRUCE PICEA-ABIES; FAGUS-SYLVATICA; COMMUNITY COMPOSITION; PAXILLUS-INVOLUTUS; MYCORRHIZAL FUNGI; EXPLORATION TYPES; MYCELIAL SYSTEMS; NUTRIENT-UPTAKE; FOREST STAND; NET UPTAKE</t>
  </si>
  <si>
    <t>Mycorrhizal fungi have a key role in nitrogen (N) cycling, particularly in boreal and temperate ecosystems. However, the significance of ectomycorrhizal fungal (EMF) diversity for this important ecosystem function is unknown. Here, EMF taxon-specific N uptake was analyzed via N-15 isotope enrichment in complex root-associated assemblages and non-mycorrhizal root tips in controlled experiments. Specific N-15 enrichment in ectomycorrhizas, which represents the N influx and export, as well as the exchange of N-15 with the N pool of the root tip, was dependent on the fungal identity. Light or water deprivation revealed interspecific response diversity for N uptake. Partial taxon-specific N fluxes for ectomycorrhizas were assessed, and the benefits of EMF assemblages for plant N nutrition were estimated. We demonstrated that ectomycorrhizal assemblages provide advantages for inorganic N uptake compared with non-mycorrhizal roots under environmental constraints but not for unstressed plants. These benefits were realized via stress activation of distinct EMF taxa, which suggests significant functional diversity within EMF assemblages. We developed and validated a model that predicts net N flux into the plant based on taxon-specific N-15 enrichment in ectomycorrhizal root tips. These results open a new avenue to characterize the functional traits of EMF taxa in complex communities.</t>
  </si>
  <si>
    <t>10.1038/ismej.2013.158</t>
  </si>
  <si>
    <t>Bessey, C; Jarman, SN; Stat, M; Rohner, CA; Bunce, M; Koziol, A; Power, M; Rambahiniarison, JM; Ponzo, A; Richardson, AJ; Berry, O</t>
  </si>
  <si>
    <t>DNA metabarcoding assays reveal a diverse prey assemblage for Mobula rays in the Bohol Sea, Philippines</t>
  </si>
  <si>
    <t>manta rays; metabarcoding; Myliobatidae; prey</t>
  </si>
  <si>
    <t>STABLE-ISOTOPES; DIET; IMPACTS; ECOLOGY; FISH; REEF; CONNECTIVITY; PREDATORS; JAPANICA; PATTERNS</t>
  </si>
  <si>
    <t>Diet studies provide base understanding of trophic structure and are a valuable initial step for many fields of marine ecology, including conservation and fisheries biology. Considerable complexity in marine trophic structure can exist due to the presence of highly mobile species with long life spans. Mobula rays are highly mobile, large, planktivorous elasmobranchs that are frequently caught either directly or as bycatch in fisheries, which, combined with their conservative life history strategy, makes their populations susceptible to decline in intensely fished regions. Effective management of these iconic and vulnerable species requires an understanding of the diets that sustain them, which can be difficult to determine using conventional sampling methods. We use three DNA metabarcode assays to identify 44 distinct taxa from the stomachs (n = 101) of four sympatric Mobula ray species (Mobula birostris, Mobula tarapacana, Mobula japanica, and Mobula thurstoni) caught over 3 years (2013-2015) in a direct fishery off Bohol in the Philippines. The diversity and incidence of bony fishes observed in ray diets were unprecedented. Nevertheless, rays showed dietary overlap, with krill (Euphausia) dominating their diet. Our results provide a more detailed assessment of sympatric ray diets than was previously described and reveal the complexity that can exist in food webs at critical foraging habitats.</t>
  </si>
  <si>
    <t>10.1002/ece3.4858</t>
  </si>
  <si>
    <t>Kaylor, MJ; Justice, C; Armstrong, JB; Staton, BA; Burns, LA; Sedell, E; White, SM</t>
  </si>
  <si>
    <t>Temperature, emergence phenology and consumption drive seasonal shifts in fish growth and production across riverscapes</t>
  </si>
  <si>
    <t>bioenergetics; emergence phenology; growth rates; productivity; riverscapes; salmonids</t>
  </si>
  <si>
    <t>JUVENILE COHO SALMON; WATER TEMPERATURE; PACIFIC SALMON; TROUT GROWTH; BROOK TROUT; RIVER-BASIN; BODY-SIZE; STREAM; SURVIVAL; MODEL</t>
  </si>
  <si>
    <t>Changes in biophysical conditions through time generate spatial and temporal variability in habitat quality across landscapes. For river ecosystems, researchers are increasingly able to characterize spatial and temporal patterns in habitat conditions, referred to as shifting habitat mosaics, yet rarely demonstrate how this translates into corresponding biological processes such as organism growth and production. We assessed spatial patterns and processes determining seasonal changes in juvenile Chinook Salmon Oncorhynchus tshawytscha size, growth and production over 30-40 km in two NE Oregon subbasins. We quantified seasonal patterns of growth by combining estimated emergence dates and body size distributions in July and September. We then used analysis of bioenergetics, empirical fish diets and spatial models incorporating temperature, habitat and population density to evaluate mechanisms driving spatiotemporal patterns of growth. Lastly, we quantified seasonal contributions to individual fish growth and to total production as a function of position within the stream network. Spatial heterogeneity in incubation temperatures corresponded to later estimated emergence timing with distance upstream in both subbasins. During spring, estimated growth rates decreased with distance upstream, and coupled with emergence patterns, resulted in pronounced longitudinal gradients in body size by July. During summer, spatial patterns of growth reversed, with greater diet ration sizes and growth efficiencies upstream than downstream. These opposing spatiotemporal patterns of emergence timing and seasonal growth rates produced longitudinal gradients in the proportion of fish growth achieved in spring versus summer, with up to 80% of an individual's growth occurring in spring at downstream sites but as low as 10% at upstream sites. Coupling longitudinal patterns of fish density and growth revealed that in one subbasin the majority (65%) of total production occurred in spring, while in the other, in which fish were concentrated in headwaters, the majority (60%) of production occurred in summer. While recent work has emphasized inter-annual shifts in fish production across large spatial scales, this study demonstrates that longitudinal gradients of fish growth and production can reverse across seasons, and reveals important contributions of warmer, downstream habitats to overall production that occurred during cooler times of the year.</t>
  </si>
  <si>
    <t>10.1111/1365-2656.13491</t>
  </si>
  <si>
    <t>Fanelli, E; Menicucci, S; Malavolti, S; De Felice, A; Leonori, I</t>
  </si>
  <si>
    <t>Spatial changes in community composition and food web structure of mesozooplankton across the Adriatic basin (Mediterranean Sea)</t>
  </si>
  <si>
    <t>STABLE-ISOTOPE RATIOS; FEEDING-BEHAVIOR; GELATINOUS-ZOOPLANKTON; VERTICAL DISTRIBUTIONS; COASTAL WATERS; SPRING BLOOM; BARENTS SEA; NORTHERN; MARINE; COPEPOD</t>
  </si>
  <si>
    <t>Zooplankton are critical to the functioning of ocean food webs because of their utter abundance and vital ecosystem roles. Zooplankton communities are highly diverse and thus perform a variety of ecosystem functions; thus changes in the community or food web structure may provide evidence of ecosystem alteration. Assemblage structure and trophodynamics of mesozooplankton communities were examined across the Adriatic basin, the northernmost and most productive basin of the Mediterranean Sea. Samples were collected in June-July 2019 within the framework of the MEDIAS (MEDiterranean International Acoustic Survey) project, along coastal-offshore transects and from the surface to ca. 200 m depth, covering the whole western Adriatic side; consistently environmental variables were also recorded. Results showed a clear separation between samples from the northern-central Adriatic and the southern ones, with a further segregation, although less clear, of inshore vs. offshore stations, the latter being mostly dominated in the central and southern stations by gelatinous plankton. Such patterns were mainly driven, based on the outputs of the distance-based linear model, by fluorescence (as a proxy for primary production) for northern-central stations, i.e. closer to the Po River input, and by dissolved oxygen, together explaining 44 % of the total variance. Overall, at the basin level, the analysis of stable isotopes of nitrogen and carbon allowed for identifying a complex food web characterized by three trophic levels from filter feeders-herbivores to carnivores, passing through a general pattern of omnivory with varying preference towards herbivory or carnivory. Stable isotope signa- tures spatially varied between inshore vs. offshore communities and across sub-areas, with the northern Adriatic exhibiting greater delta N-15 and more variable delta C-13 than the other two sub-areas, likely attributable to the occurrence in the area of organic matter of both terrestrial and marine origin. Our results contribute to the knowledge of mesozooplankton community and trophic structure, at the basin scale across a coastal-offshore gradient, also providing a baseline for the future assessment of pelagic food webs within the European Council (EC) Marine Strategy Framework Directive.</t>
  </si>
  <si>
    <t>10.5194/bg-19-1833-2022</t>
  </si>
  <si>
    <t>West, AG; Hultine, KR; Burtch, KG; Ehleringer, JR</t>
  </si>
  <si>
    <t>Seasonal variations in moisture use in a pinon-juniper woodland</t>
  </si>
  <si>
    <t>summer precipitation; Pinus edulis; Juniperus osteosperma; transpiration; water uptake</t>
  </si>
  <si>
    <t>CARBON-ISOTOPE DISCRIMINATION; SUMMER PRECIPITATION; WATER-USE; GREAT-BASIN; SPECIES DISTRIBUTIONS; PLANT-COMMUNITIES; COLORADO PLATEAU; SEMIARID REGIONS; STABLE-ISOTOPES; ARID ECOSYSTEMS</t>
  </si>
  <si>
    <t>In water-limited environments of the intermountain region of North America, summer precipitation may play a role in the structure and function of aridland communities and ecosystems. This study examined the potential reliance on summer precipitation of two widespread, coexisting woody species in the southwestern United States, Pinus edulis Englmn. (Colorado pinon) and Juniperus osteosperma (Torr) Little (Utah juniper). The current distributions of P. edulis and J. osteosperma are highly suggestive of different dependencies on summer rainfall. We hypothesized that P. edulis was dependent on summer precipitation, utilizing summer precipitation even during extremely dry summers, whereas J. osteosperma was not dependent, using summer precipitation only when amounts were above some minimum threshold. Using sap flux and stable isotopic methods to assess seasonal water sources and water use efficiency, we examined the response of these two species to seasonal variations in moisture at a site located near the northern limits of the North American monsoon. Both sap flux and isotopic results indicated that P. edulis was responsive to summer rain, while J. osteosperma was not. Following summer rain events, sap flux density increased in P. edulis for several days, but not in J. osteosperma. Isotopic evidence indicated that P. edulis took up summer-derived moisture to a greater extent than J. osteosperma. Values of the natural abundance stable isotope ratio of carbon of leaf soluble carbohydrates increased over the summer for P. edulis, indicative of assimilation at higher water use efficiency, but were invariant for J. osteosperma. Our results supported the hypothesis that P. edulis and J. osteosperma are differentially sensitive to summer precipitation and are discussed in the light of potential changes in the seasonality of precipitation associated with climate change.</t>
  </si>
  <si>
    <t>10.1007/s00442-007-0777-0</t>
  </si>
  <si>
    <t>Kruger, M; Frenzel, P</t>
  </si>
  <si>
    <t>Effects of N-fertilisation on CH4 oxidation and production, and consequences for CH4 emissions from microcosms and rice fields</t>
  </si>
  <si>
    <t>C-13; fertilisation; inhibitor; methane emission; N2O emission; nitrogen; porewater</t>
  </si>
  <si>
    <t>METHANE OXIDATION; NITROUS-OXIDE; ATMOSPHERIC METHANE; AMMONIUM INHIBITION; UREA FERTILIZATION; SOIL; ISOTOPES; CARBON; RHIZOSPHERE; DINITROGEN</t>
  </si>
  <si>
    <t>The world's growing human population causes an increasing demand for food, of which rice is one of the most important sources. In rice production nitrogen is often a limiting factor. As a consequence increasing amounts of fertiliser will have to be applied to maximise yields. There is an ongoing discussion on the possible effects of fertilisation on CH4 emissions. We therefore investigated the effects of N-fertiliser (urea) on CH4 emission, production and oxidation in rice microcosms and field experiments. In the microcosms, a substantial but short-lived reduction of CH4 emission was observed after N-addition to 43-d-old rice plants. Methane oxidation increased by 45%, demonstrated with inhibitor measurements and model calculations based on stable carbon isotope data (delta(13) CH4 ). A second fertilisation applied to 92-d-old plants had no effect on CH4 emission rates. The positive effect of additional N on methanotrophic bacteria was also found in vitro for potential CH4 oxidation rates in soil and root samples from the microcosm and field experiments, indicated by elevated initial oxidation rates and reduced lag-phases. Fertilisation did not affect methane production in the microcosms. In the field, the effects were diverse: methane production was inhibited in the topsoil, but stimulated instead in the bulk soil. Stimulation occurred probably in the anaerobic food chain at the level of hydrolytic or fermenting bacteria, because acetate, a methanogenic precursor, increased simultaneously. Combining field, microcosm and laboratory experiments we conclude that any agricultural treatment improving the N-supply to the rice plants will also be favourable for the CH4 oxidising bacteria. However, N-fertilisation had only a transient influence and was counter-balanced in the field by an elevated CH4 production. A negative effect of the fertilisation was a transient increase of N-2 O emissions from the microcosms. However, integrating over the season the global warming potential (GWP) of N-2 O emitted after fertilisation was still negligible compared to the GWP of emitted CH4 .</t>
  </si>
  <si>
    <t>10.1046/j.1365-2486.2003.00576.x</t>
  </si>
  <si>
    <t>Hartman, WH; Ye, RZ; Horwath, WR; Tringe, SG</t>
  </si>
  <si>
    <t>A genomic perspective on stoichiometric regulation of soil carbon cycling</t>
  </si>
  <si>
    <t>OPERON COPY NUMBER; N-P STOICHIOMETRY; MICROBIAL COMMUNITIES; RIBOSOMAL-RNA; ECOLOGICAL STOICHIOMETRY; ELEMENTAL STOICHIOMETRY; NITROGEN-FERTILIZATION; BACTERIAL COMMUNITIES; LITTER DECOMPOSITION; PHOSPHORUS DYNAMICS</t>
  </si>
  <si>
    <t>Similar to plant growth, soil carbon (C) cycling is constrained by the availability of nitrogen (N) and phosphorus (P). We hypothesized that stoichiometric control over soil microbial C cycling may be shaped by functional guilds with distinct nutrient substrate preferences. Across a series of rice fields spanning 5-25% soil C (N:P from 1:12 to 1:70), C turnover was best correlated with P availability and increased with experimental N addition only in lower C (mineral) soils with N:P &lt;= 16. Microbial community membership also varied with soil stoichiometry but not with N addition. Shotgun metagenome data revealed changes in community functions with increasing C turnover, including a shift from aromatic C to carbohydrate utilization accompanied by lower N uptake and P scavenging. Similar patterns of C, N and P acquisition, along with higher ribosomal RNA operon copy numbers, distinguished that microbial taxa positively correlated with C turnover. Considering such tradeoffs in genomic resource allocation patterns among taxa strengthened correlations between microbial community composition and C cycling, suggesting simplified guilds amenable to ecosystem modeling. Our results suggest that patterns of soil C turnover may reflect community-dependent metabolic shifts driven by resource allocation strategies, analogous to growth rate-stoichiometry coupling in animal and plant communities.</t>
  </si>
  <si>
    <t>10.1038/ismej.2017.115</t>
  </si>
  <si>
    <t>Zhao, LQ; Yang, F; Yan, XW</t>
  </si>
  <si>
    <t>Biomagnification of trace elements in a benthic food web: the case study of Deer Island (Northern Yellow Sea)</t>
  </si>
  <si>
    <t>trace element; stable isotope; biomagnification; food chain; Northern Yellow Sea</t>
  </si>
  <si>
    <t>PERSISTENT ORGANIC POLLUTANTS; NITROGEN ISOTOPE ANALYSIS; TROPHIC TRANSFER; STABLE-ISOTOPES; MARINE MAMMALS; COASTAL LAGOON; MEKONG DELTA; HEAVY-METALS; CARBON; MERCURY</t>
  </si>
  <si>
    <t>In this study, we investigated the concentrations of ten trace elements (Cu, Zn, Mn, Se, Ni, Cd, Cr, Pb, Hg, and As) and their trophodynamics in a benthic food chain of Deer Island, Northern Yellow Sea. The concentrations of Cu, Zn, Mn, Se, Ni, Cd, Cr, Pb, Hg, and As in the food chain ranged from 3.2 to 23.2, from 71 to 227, from 7.4 to 45.6, from 0.44 to 5.80, from 0.73 to 7.60, from 0.14 to 1.65, from 0.68 to 6.70, from 0.08 to 1.86, from 0.08 to 1.18, and from 0.24 to 3.92mgkg(1) dry weight, respectively. Among these trace elements, the linear regression between the log-transformed concentrations of Hg and Cd and N-15 values showed statistically significant increase (p&lt;0.05) with the slopes of 0.134 and 0.144, indicating biomagnification of Hg and Cd occurred in the benthic food chain of Deer Island. While the linear regression for other eight trace elements (Cu, Zn, Mn, Se, Ni, Cr, Pb and As) were characterised by extensive scatter with non-significant correlation coefficients (R-2=0.0020.235) and slopes (p=0.0790.875), indicating there were not biomagnified or biodiluted of these trace elements.</t>
  </si>
  <si>
    <t>10.1080/02757540.2012.753062</t>
  </si>
  <si>
    <t>Richardson, KM; Iverson, JB; Kurle, CM</t>
  </si>
  <si>
    <t>Marine subsidies likely cause gigantism of iguanas in the Bahamas</t>
  </si>
  <si>
    <t>Stable isotope analysis; Allochthonous inputs; Audubon's Shearwaters (Puffinus ihermineiri ihermineiri); Allen Cays Rock Iguana (Cyclura cychlura inornata); Invasive species</t>
  </si>
  <si>
    <t>CYCLURA-CYCHLURA-INORNATA; CAYS ROCK IGUANA; BODY-SIZE; STABLE-ISOTOPES; ISLAND RULE; DISCRIMINATION FACTORS; INTRODUCED PREDATORS; ALLOCHTHONOUS INPUT; TISSUE-TYPE; PLANT</t>
  </si>
  <si>
    <t>We utilized natural experiment opportunities presented by differential conditions (presence/absence of seabirds and invasive species) on cays in the Bahamas to study whether interisland variations in food resources contributed to gigantism in Allen Cays Rock Iguanas (Cyclura cychlura inornata). We analyzed the stable carbon (C-13) and nitrogen (N-15) isotope values from iguana tissues and resources from each island food web to test the predictions that (1) food webs on islands with seabirds exhibit the influence of marine subsidies from seabird guano, whereas those from non-seabird islands do not, and (2) size differences in iguanas among cays were due to either (a) supplemental food availability from mice and/or seabird carcasses killed by barn owls (Tyto alba) and/or (b) access to more nutrient-rich vegetation fertilized by seabird guano. Food web components from the seabird island (Allen Cay) had 5-9 parts per thousand higher N-15 values than those on the other cays and Allen Cay plants contained nearly two times more nitrogen. Bayesian stable isotope mixing models indicated that C-3 plants dominated iguana diets on all islands and showed no evidence for consumption of mice or shearwaters. The iguanas on Allen Cay were similar to 2 times longer (48.3 +/- 11.6cm) and similar to 6 times heavier (5499 +/- 2847g) than iguanas on other cays and this was likely from marine-derived subsidies from seabird guano which caused an increase in nitrogen concentration in the plants and a resultant increase in the N-15 values across the entire food web relative to non-seabird islands.</t>
  </si>
  <si>
    <t>10.1007/s00442-019-04366-4</t>
  </si>
  <si>
    <t>Liu, YQ; Li, XH; Li, J; Chen, WT</t>
  </si>
  <si>
    <t>The gut microbiome composition and degradation enzymes activity of black Amur bream (Megalobrama terminalis) in response to breeding migratory behavior</t>
  </si>
  <si>
    <t>enzymes; gut microbial community; Megalobrama terminalis; metabolism; migration</t>
  </si>
  <si>
    <t>Black Amur bream (Megalobrama terminalis), a dominant species, resides in the Pearl River basin, known for its high plasticity in digestive ability. During spawning season, M. terminalis individuals with large body size and high fertility undergo a spawn migratory phase, while other smaller individuals prefer to settlement over migration. It is well known that gut microbial community often underpins the metabolic capability and regulates a wide variety of important functions in fish. However, little was known about how the gut microbiomes affect fish breeding migration. To investigate the variations in the gut microbiome of M. terminalis during the migration, we used high-throughput 16S rRNA gene sequencing to reveal the distinct composition and diversity of the whole gut microbiome of migrated and nonmigrated population during period of peak reproduction, respectively. Our results indicated that nonmigrated population in estuary had a higher alpha diversity than that of migrated population in main stem. Additionally, an obvious abundant taxa shift between the gut microbiota community of nonmigrated and migrated M. terminalis was also observed. Change of dominant gut taxa from nonmigrated to migrated population was thought to be closely related to their degradation enzymes. Our results suggested that amino acid metabolism and lipid metabolism in migrated population were higher than that in nonmigrated population, providing a line of evidence for that M. terminalis change from partial herbivorous to partial carnivorous diet during breeding migration. We further concluded that, in order to digest foods of higher nutrition to supply energy to spawning migration, M. terminalis regulate activities of the gut microbiome and degradation enzymes, considered to be a key physiological strategy for reproduction.</t>
  </si>
  <si>
    <t>10.1002/ece3.7407</t>
  </si>
  <si>
    <t>McLoughlin, PD; Lysak, K; Debeffe, L; Perry, T; Hobson, KA</t>
  </si>
  <si>
    <t>Density-dependent resource selection by a terrestrial herbivore in response to sea-to-land nutrient transfer by seals</t>
  </si>
  <si>
    <t>density-dependent resource selection; feral horse (Equus ferus caballus); food web; gray seal (Halichoerus grypus); isodar, marine-derived nutrient; marram grass (Ammophila breviligulata); Sable Island; stable isotope; trophic dynamics</t>
  </si>
  <si>
    <t>HABITAT SELECTION; REPRODUCTIVE SUCCESS; STABLE-ISOTOPES; SABLE ISLAND; FOOD WEBS; MARINE; EVOLUTION; COMMUNITY; DYNAMICS; NITROGEN</t>
  </si>
  <si>
    <t>Sea-to-land nutrient transfers can connect marine food webs to those on land, creating a dependence on marine webs by opportunistic species. We show how nitrogen, imported by gray seals, Halichoerus grypus, and traced through stable isotope (delta N-15) measurements in marram grass, Ammophila breviligulata, significantly alters foraging behavior of a free-roaming megaherbivore (feral horses, Equus ferus caballus) on Sable Island, Canada. Values of delta N-15 correlated with protein content of marram and strongly related to pupping-seal densities, and positively influenced selective foraging by horses. The latter was density dependent, consistent with optimal foraging theory. We present the first demonstration of how sea-to-land nutrient transfers can affect the behavioral process of resource selection (resource use relative to availability) of terrestrial consumers. We hypothesize that persistence of horses on Sable Island is being facilitated by N subsidies. Our results have relevance to advancing theory on trophic dynamics in island biogeography and metaecosystem ecology.</t>
  </si>
  <si>
    <t>10.1002/ecy.1451</t>
  </si>
  <si>
    <t>Hsieh, HL; Chen, CP; Chen, YG; Yang, HH</t>
  </si>
  <si>
    <t>Diversity of benthic organic matter flows through polychaetes and crabs in a mangrove estuary: delta C-13 and delta S-34 signals</t>
  </si>
  <si>
    <t>diversity; organic matter flow; polychaete; crab; mangrove estuary; delta C-13; delta S-34</t>
  </si>
  <si>
    <t>MARSH FOOD-WEBS; OYSTER CRASSOSTREA-VIRGINICA; REDUCED INORGANIC SULFUR; MULTIPLE STABLE ISOTOPES; SPARTINA-ALTERNIFLORA; FIDDLER-CRAB; RELATIVE IMPORTANCE; DIFFUSION METHODS; CARBON; DETRITUS</t>
  </si>
  <si>
    <t>Estuaries are biologically diverse systems, especially in the spatial relationships between macrobenthos and their food sources. In a mangrove estuary in northern Taiwan, spatial patterns of organic matter flows from primary producers and detritus derived from vascular plants to macrofaunal polychaetes and crabs were examined using stable isotopes of carbon and sulfur. Sampling was conducted mainly from August 1996 to May 1997 on 2 mud flats, I on a tidal creek (Creek site) and the other on a tidal riverbank (River site). The VC and VS ranges at the River site were broader than those at the Creek site (delta(13)C: -28.3 to -13.6 parts per thousand vs -28.3 to -19.3 parts per thousand, delta(34)S: 8.1 to 15.9 parts per thousand VS 7.1 to 13.1 parts per thousand). This is due to the presence of a C4 plant, the cogon grass Imperata cylindrica at the River site. Although the mangrove Kandelia candel was the largest source of carbon at both study sites, our isotopic analyses showed that it was not as important a source of nutrition to consumers as particulate organic matter (POM), benthic microalgae, and cogon grass. When their VC and OS values were plotted against each other, the 4 crab and 2 polychaete species were differentiated into several distinguishable assemblages which correspond to sites where they reside. The conspecific nereids and fiddler crabs utilize different food sources when inhabiting different sites. Stable isotopic analyses revealed 3 kinds of feeding interactions at the Creek site. Along with detritivory (which uses POM) and herbivory (which uses microalgae), carnivory occurs between the grapsid crab Helice formosensis and its sabellid prey. Thus, trophic interactions are more complicated and diverse at the Creek than at the River site where detritivory (using POM plus detritus of cogon grass) is prevalent. A wider range of delta(13)C and delta(34)S values in a food web does not necessarily mean that the macrobenthos have a greater food variety, nor can one interpret how diverse an estuarine food web is. Instead, the diversity of an estuarine food web is characterized by a series of factors related to spatial differences in flow regimes, the availability and relative contribution of food sources, the opportunistic dietary choices of consumers, and consequently, spatially varying trophic interactions.</t>
  </si>
  <si>
    <t>10.3354/meps227145</t>
  </si>
  <si>
    <t>Berini, JL; Badgley, C</t>
  </si>
  <si>
    <t>Diet segregation in American bison (Bison bison) of Yellowstone National Park (Wyoming, USA)</t>
  </si>
  <si>
    <t>WHITE-TAILED DEER; SEXUAL SEGREGATION; STABLE-ISOTOPES; INDIRECT COMPETITION; FORAGING BEHAVIOR; CERVUS-ELAPHUS; BIGHORN SHEEP; MATE CHOICE; NITROGEN; CARBON</t>
  </si>
  <si>
    <t>Background: Body size is a major factor in the nutritional ecology of ruminant mammals. Females, due to their smaller size and smaller rumen, have more rapid food-passage times than males and thereby require higher quality forage. Males are more efficient at converting high-fiber forage into usable energy and thus, are more concerned with quantity. American bison are sexually dimorphic and sexually segregate for the majority of their adult lives, and in Yellowstone National Park, they occur in two distinct subpopulations within the Northern and Central ranges. We used fecal nitrogen and stable isotopes of carbon and nitrogen from American bison to investigate sex-specific differences in diet composition, diet quality, and dietary breadth between the mating season and a time period spanning multiple years, and compared diet indicators for these different time periods between the Northern and Central ranges. Results: During mating season, diet composition of male and female American bison differed significantly; females had higher quality diets, and males had greater dietary breadth. Over the multi-year period, females had higher quality diets and males, greater dietary breadth. Diet segregation for bison in the Central Range was more pronounced during the mating season than for the multi-year period and females had higher quality diets than males. Finally, diet segregation in the Northern Range was more pronounced during the multi-year period than during the mating season, and males had greater dietary breadth. Conclusions: Female bison in Yellowstone National Park have higher quality diets than males, whereas males ingest a greater diversity of plants or plants parts, and bison from different ranges exhibited more pronounced diet segregation during different times. Collectively, our results suggest that diet segregation in bison of Yellowstone National Park is associated with sex-specific differences in nutritional demands. Altogether, our results highlight the importance of accounting for spatial and temporal heterogeneity when conducting dietary studies on wild ungulates.</t>
  </si>
  <si>
    <t>10.1186/s12898-017-0137-9</t>
  </si>
  <si>
    <t>Chen, LT; Flynn, DFB; Zhang, XW; Gao, XL; Lin, L; Luo, J; Zhao, CM</t>
  </si>
  <si>
    <t>Divergent patterns of foliar delta C-13 and delta N-15 in Quercus aquifolioides with an altitudinal transect on the Tibetan Plateau: an integrated study based on multiple key leaf functional traits</t>
  </si>
  <si>
    <t>elevation; carbon and nitrogen isotopes; leaf internal resistance; leaf mass per unit area (LMA); stomatal conductance; trade-off</t>
  </si>
  <si>
    <t>CARBON-ISOTOPE DISCRIMINATION; N-15 NATURAL-ABUNDANCE; HAWAIIAN METROSIDEROS-POLYMORPHA; GLOBAL PATTERNS; MORPHOLOGICAL VARIATION; PRECIPITATION GRADIENT; NITROGEN AVAILABILITY; STOMATAL DENSITY; STABLE ISOTOPES; USE EFFICIENCY</t>
  </si>
  <si>
    <t>Aims With a close association with plant water availability, foliar delta C-13 had been investigated extensively in alpine regions; however, foliar delta N-15 has rarely been concurrently used as an indicator of plant nitrogen availability. Due to the positive correlations between leaf nitrogen content and foliar delta C-13 and delta N-15 found in previous studies, we expected that they should show consistent patterns along an altitudinal gradient. Methods To test our hypothesis, we measured foliar delta C-13 and delta N-15 in conjunction with multiple key leaf functional traits of Quercus aquifolioides, a dominant species of alpine forest on the eastern slopes of the Sygera Mountains, southeastern Tibetan Plateau from 2500 to 3800 m. Important findings (i) Contrary to our hypothesis, foliar delta C-13 exhibited a significant positive linear relationship with altitude; in contrast, foliar delta N-15 initially increased and subsequently decreased with altitude, the change in trend occurring around 3300 m. (ii) Our analyses indicated that leaf internal resistance and stomatal conductance, rather than photosynthetic capacity indicated by leaf N concentration, apparently explained the altitudinal variation in foliar delta C-13, while differences in foliar delta N-15 were likely the result of soil N availability. (iii) Principal component analysis revealed a clear association between delta C-13 and a tradeoff between water loss and carbon gain, indicated by traits related to gas exchange such as leaf thickness, density, stomatal properties. In contrast, the second axis was associated with delta N-15 and nitrogen acquisition strategy in Q. aquifolioides across its altitudinal distribution, represented by traits related to nitrogen concentration and stomata per gram of leaf nitrogen.</t>
  </si>
  <si>
    <t>10.1093/jpe/rtu020</t>
  </si>
  <si>
    <t>Cullen, TM; Evans, DC</t>
  </si>
  <si>
    <t>Palaeoenvironmental drivers of vertebrate community composition in the Belly River Group (Campanian) of Alberta, Canada, with implications for dinosaur biogeography</t>
  </si>
  <si>
    <t>Palaeoenvironments; Vertebrate microfossil sites; Palaeoecology; Altitudinal sensitivity; Biogeography; Dinosaurs; Faunal turnover; Latitudinal climate gradients; Belly River Group</t>
  </si>
  <si>
    <t>HORSESHOE CANYON FORMATION; PARK FORMATION; PROVINCIAL-PARK; ASSEMBLAGE; ORNITHISCHIA; DIVERSITY; EVOLUTION; PALEOECOLOGY; TAPHONOMY</t>
  </si>
  <si>
    <t>Background: The Belly River Group of southern Alberta is one of the best-sampled Late Cretaceous terrestrial faunal assemblages in the world. This system provides a high-resolution biostratigraphic record of terrestrial vertebrate diversity and faunal turnover, and it has considerable potential to be a model system for testing hypotheses of dinosaur palaeoecological dynamics, including important aspects of palaeoecommunity structure, trophic interactions, and responses to environmental change. Vertebrate fossil microsites (assemblages of small bones and teeth concentrated together over a relatively short time and thought to be representative of community composition) offer an unparalleled dataset to better test these hypotheses by ameliorating problems of sample size, geography, and chronostratigraphic control that hamper other palaeoecological analyses. Here, we assembled a comprehensive relative abundance dataset of microsites sampled from the entire Belly River Group and performed a series of analyses to test the influence of environmental factors on site and taxon clustering, and assess the stability of faunal assemblages both temporally and spatially. We also test the long-held idea that populations of large dinosaur taxa were particularly sensitive to small-scale environmental gradients, such as the paralic (coastal) to alluvial (inland) regimes present within the time-equivalent depositional basin of the upper Oldman and lower Dinosaur Park Formations. Results: Palaeoenvironment (i.e. reconstructed environmental conditions, related to relative amount of alluvial, fluvial, and coastal influence in associated sedimentary strata) was found to be strongly associated with clustering of sites by relative-abundance faunal assemblages, particularly in relation to changes in faunal assemblage composition and marine-terrestrial environmental transitions. Palaeogeography/palaeolandscape were moderately associated to site relative abundance assemblage clustering, with depositional setting and time (i.e. vertical position within stratigraphic unit) more weakly associated. Interestingly, while vertebrate relative abundance assemblages as a whole were strongly correlated with these marine-terrestrial transitions, the dinosaur fauna does not appear to be particularly sensitive to them. Conclusions: This analysis confirms that depositional setting (i.e. the sediment type/sorting and associated characteristics) has little effect on faunal assemblage composition, in contrast to the effect of changes in the broader palaeoenvironment (e.g. upper vs. lower coastal plain, etc.), with marine-terrestrial transitions driving temporal faunal dynamics within the Belly River Group. The similarity of the dinosaur faunal assemblages between the time-equivalent portions of the Dinosaur Park Formation and Oldman Formation suggests that either these palaeoenvironments are more similar than characterized in the literature, or that the dinosaurs are less sensitive to variation in palaeoenvironment than has often been suggested. A lack of sensitivity to subtle environmental gradients casts doubt on these forces acting as a driver of putative endemism of dinosaur populations in the Late Cretaceous of North America.</t>
  </si>
  <si>
    <t>10.1186/s12898-016-0106-8</t>
  </si>
  <si>
    <t>Magnusson, WE; Sanaiotti, TM; Lima, AP; Martinelli, LA; Victoria, RL; de Araujo, MC; Albernaz, AL</t>
  </si>
  <si>
    <t>A comparison of delta C-13 ratios of surface soils in savannas and forests in Amazonia</t>
  </si>
  <si>
    <t>Amazonia; stable isotope; savanna; carbon; soil; tree; shrub; forest</t>
  </si>
  <si>
    <t>ORGANIC-MATTER; VEGETATION CHANGES; C-13/C-12 RATIOS; CARBON ISOTOPES; GRASSLAND SOILS; PAST VEGETATION; BOUNDARY; DYNAMICS; ECOTONE; C-13</t>
  </si>
  <si>
    <t>Aim To determine the relationship between stable carbon isotope ratios in surface soils and the present vegetation in Amazonian savannas. Location Areas in and around savannas in the Brazilian Amazonian States of Amazonas, Para, Amapa, Roraima, Mato Grosso and Maranhao. Methods delta(13)C ratios were measured from surface (0-5 cm depth) soils in fifty-two plots in savanna plots with different covers of trees, shrubs, and grasses, and in ten adjacent areas covered by forest. Results Soil delta(13)C ratios varied widely (-24.9 to -15.2parts per thousand) among and within savannas, but were distinguishable from delta(13)C ratios under forest (-30.3 to -27.3parts per thousand). One site close to forest with 38% tree cover, 44% shrub cover and 45% grass cover was distinguishable from both forest and savanna on Landsat TM5 images, and had a delta(13)C ratio of -26.7parts per thousand. Tree density (TD), basal area (BA) and cover differed strongly between savanna and forest areas. However, most savanna areas had soil organic matter with delta(13)C ratios closer to those of forest trees than C-4 grasses. Main conclusions In Amazonia, soil delta(13)C values &gt;-25parts per thousand can be unequivocally attributed to savannas irrespective of depth. However, there is no precise relationship between tree or grass cover in savannas and surface-soil delta(13) C values. This is partly because shrubs, as well as trees and grasses, contribute significantly to soil organic matter delta(13)C ratios, and partly because there is a stronger negative relationship between area of bare ground and cover of C-4 grasses than between area of bare ground and cover of trees or shrubs. This means that the ratio of C-3 to C-4 plants tends to increase with a decrease in total cover. Areas with large amounts of open ground, may have a small proportion of grass cover relative to tree and shrub cover. Although we did not encounter any such places in this study, very harsh conditions could lead to desert-like formations with little grass cover and soil organic-matter delta(13)C ratios similar to forest areas.</t>
  </si>
  <si>
    <t>10.1046/j.1365-2699.2002.00674.x</t>
  </si>
  <si>
    <t>Udyawer, V; Huveneers, C; Jaine, F; Babcock, RC; Brodie, S; Buscot, MJ; Campbell, HA; Harcourt, RG; Hoenner, X; Ledee, EJI; Simpfendorfer, CA; Taylor, MD; Armstrong, A; Barnett, A; Brown, C; Bruce, B; Butcher, PA; Cadiou, G; Couturier, LIE; Currey-Randall, L; Drew, M; Dudgeon, CL; Dwyer, RG; Espinoza, M; Ferreira, LC; Fowler, A; Harasti, D; Harborne, AR; Knott, NA; Lee, KT; Lloyd, M; Lowry, M; Marzullo, T; Matley, J; McAllister, JD; McAuley, R; McGregor, F; Meekan, M; Mills, K; Norman, BM; Oh, B; Payne, NL; Peddemors, V; Piddocke, T; Pillans, RD; Reina, RD; Rogers, P; Semmens, JM; Smoothey, A; Speed, CW; van der Meulen, D; Heupel, MR</t>
  </si>
  <si>
    <t>Scaling of Activity Space in Marine Organisms across Latitudinal Gradients</t>
  </si>
  <si>
    <t>acoustic telemetry; Brownian bridge kernel utilization distribution (KUD); continental network; Integrated Marine Observing System (IMOS); metabolic theory; spatial ecology</t>
  </si>
  <si>
    <t>HOME-RANGE; HABITAT USE; BODY-SIZE; PATCH USE; EVOLUTION; PREDATOR; MOVEMENT; ECOLOGY; WEIGHT; ENERGY</t>
  </si>
  <si>
    <t>Unifying models have shown that the amount of space used by animals (e.g., activity space, home range) scales allometrically with body mass for terrestrial taxa; however, such relationships are far less clear for marine species. We compiled movement data from 1,596 individuals across 79 taxa collected using a continental passive acoustic telemetry network of acoustic receivers to assess allometric scaling of activity space. We found that ectothermic marine taxa do exhibit allometric scaling for activity space, with an overall scaling exponent of 0.64. However, body mass alone explained only 35% of the variation, with the remaining variation best explained by trophic position for teleosts and latitude for sharks, rays, and marine reptiles. Taxon-specific allometric relationships highlighted weaker scaling exponents among teleost fish species (0.07) than sharks (0.96), rays (0.55), and marine reptiles (0.57). The allometric scaling relationship and scaling exponents for the marine taxonomic groups examined were lower than those reported from studies that had collated both marine and terrestrial species data derived using various tracking methods. We propose that these disparities arise because previous work integrated summarized data across many studies that used differing methods for collecting and quantifying activity space, introducing considerable uncertainty into slope estimates. Our findings highlight the benefit of using large-scale, coordinated animal biotelemetry networks to address cross-taxa evolutionary and ecological questions.</t>
  </si>
  <si>
    <t>10.1086/723405</t>
  </si>
  <si>
    <t>Nilsson, HC; Rosenberg, R</t>
  </si>
  <si>
    <t>Succession in marine benthic habitats and fauna in response to oxygen deficiency: analysed by sediment profile-imaging and by grab samples</t>
  </si>
  <si>
    <t>REMOTS; SPI; hypoxia; anoxia; Melinna cristata</t>
  </si>
  <si>
    <t>EUTROPHICATION; ENRICHMENT; BOUNDARY; HYPOXIA; SEA; COMMUNITIES; MACROFAUNA; DYNAMICS; SYSTEM; FJORD</t>
  </si>
  <si>
    <t>This study shows, for the first time, in situ images of changes in marine benthic habitats in response to oxygen deficiency. Tight coupling is demonstrated between gradual degradation of benthic habitat and faunal behaviour, species richness, abundance and biomass. The critical oxygen level that forced changes in the benthic faunal successional stages was similar to 10% that of air saturation (similar to 0.7 mi O-2 1(-1)). Before this critical saturation level was reached, tube-building polychaetes their tubes extended higher into the water column, the width of the sub-oxic sediment layer decreased, and vertical animal burrows (formerly oxidised and brown in colour) became sulphidic and black. Over a 10 mo hypoxic period (June 1997 to April 1998) in the Gullmarsfjord (Swedish west coast), benthic community successional stages declined from equilibrium to virtually azoic conditions. As normoxic conditions returned, pioneering stages gradually recolonised the area.</t>
  </si>
  <si>
    <t>10.3354/meps197139</t>
  </si>
  <si>
    <t>Plough, LV; Fitzgerald, C; Plummer, A; Pierson, JJ</t>
  </si>
  <si>
    <t>Reproductive isolation and morphological divergence between cryptic lineages of the copepod Acartia tonsa in Chesapeake Bay</t>
  </si>
  <si>
    <t>Cryptic species; Zooplankton; Reproduction; Copepod; Food web</t>
  </si>
  <si>
    <t>ESTUARINE COPEPOD; STRIPED BASS; GLOBAL PHYLOGEOGRAPHY; POSTZYGOTIC ISOLATION; PLANKTONIC COPEPODS; SPECIES-DIVERSITY; EGG-PRODUCTION; VITAL-RATES; SPECIATION; PATTERNS</t>
  </si>
  <si>
    <t>Recent advances in molecular technologies have revealed cryptic species across many marine zooplankton taxa. However, the patterns and drivers of cryptic divergence are complex, and few studies have examined reproductive status among lineages through crosses. In this study, we performed pair crosses within and between 2 deeply divergent (cryptic) lineages (named 'fresh' [F] and 'salt' [S]) of the estuarine copepod Acartia tonsa from upper Chesapeake Bay, USA, to examine egg production and hatching rate. We also examined differences in morphology (prosome length) and chemical composition of the 2 lineages. Crossing experiments revealed that egg production did not differ among cross types but hatching rate was significantly lower for the between-lineage crosses (mean hatching rate of 0.02 for FxS vs. 0.46 and 0.52 for FxF and SxS, respectively). The nearly complete lack of nauplii production for between-lineage crosses suggests strong reproductive isolation, which supports previous molecular data. Significant differences between the lineages in size (F lineage is 13-14% shorter) and chemical com position (F lineages have 70% less carbon per copepod) may indicate pre-zygotic barriers to reproduction (e.g. morphological or gametic incompatibility). Overall, based on the crossing, mor phological, and chemical data reported here, and synthesizing previous biological data on the F and S lineages, we suggest that these cryptic lineages are likely to be separate, reproductively isolated species. Further work examining how divergent lineages of A. tonsa respond to environmental change and how they differ in their quality as prey items will be important for understanding trophic dynamics in estuarine environments like Chesapeake Bay.</t>
  </si>
  <si>
    <t>10.3354/meps12569</t>
  </si>
  <si>
    <t>Walmsley, DC; Siemens, J; Kindler, R; Kirwan, L; Kaiser, K; Saunders, M; Kaupenjohann, M; Osborne, BA</t>
  </si>
  <si>
    <t>Dissolved carbon leaching from an Irish cropland soil is increased by reduced tillage and cover cropping</t>
  </si>
  <si>
    <t>DOC; DIC; Carbon sequestration; Tillage; Net ecosystem carbon balance; Conservation agriculture</t>
  </si>
  <si>
    <t>NET ECOSYSTEM CARBON; ORGANIC-CARBON; AGRICULTURAL SOILS; MANAGEMENT; WATER; SEQUESTRATION; CO2; EVAPOTRANSPIRATION; AGROECOSYSTEMS; NITROGEN</t>
  </si>
  <si>
    <t>Reduced tillage and cover cropping are often considered as measures to increase carbon sequestration in cropland soils. We hypothesized that these management practices could result in an increase in carbon leaching. To examine this possibility we assessed carbon leaching from an Irish arable soil under spring barley, either with conventional management or non-inversion tillage plus cover cropping. Concentrations of biogenic dissolved inorganic carbon (DIC) were considerably higher under reduced tillage probably due to a higher supersaturation of soil solution with respect to partial pressures of CO(2) in soil air resulting from a reduced abundance of tillage-induced macropores. Leaching losses of DOC equalled 3 +/- 0.3 g m(-2) yr(-1) for conventional management as well as for non-inversion tillage plus cover cropping. Losses of biogenic DIC were 14.5 +/- 4.4 g m(-2) yr(-1) for conventional tillage and 34.0 +/- 4.7 g m(-2) yr(-1) for non-inversion tillage plus cover crop. Higher leaching losses from the non-inversion tillage plus cover crop plot thereby reduced potential soil carbon gains by 20 g m(-2) yr(-1) compared to the conventionally managed treatment highlighting the need to consider leaching losses in estimates of carbon sequestration, especially if these are deduced from balancing carbon inputs and outputs. (C) 2011 Elsevier B.V. All rights reserved.</t>
  </si>
  <si>
    <t>10.1016/j.agee.2011.06.011</t>
  </si>
  <si>
    <t>Prati, S; Henriksen, EH; Smalas, A; Knudsen, R; Klemetsen, A; Sanchez-Hernandez, J; Amundsen, PA</t>
  </si>
  <si>
    <t>The effect of inter- and intraspecific competition on individual and population niche widths: a four-decade study on two interacting salmonids</t>
  </si>
  <si>
    <t>competitive interactions; long-term studies; niche theory; Salmo trutta; Salvelinus alpinus; trophic ecology</t>
  </si>
  <si>
    <t>CHARR SALVELINUS-ALPINUS; ARCTIC CHARR; BROWN TROUT; INTERSPECIFIC COMPETITION; FOOD-CONSUMPTION; MASS REMOVAL; DIET; SPECIALIZATION; TAKVATN; SIZE</t>
  </si>
  <si>
    <t>Competition is assumed to shape niche widths, affecting species survival and coexistence. Expectedly, high interspecific competition will reduce population niche widths, whereas high intraspecific competition will do the opposite. Here we test in situ how intra- and interspecific competition affects trophic resource use and the individual and population niche widths of two lacustrine fish species, Arctic charr and brown trout, covering a 40 year study period with highly contrasting competitive impacts prior to and following a large-scale fish culling experiment. Initially, an overcrowded Arctic charr population dominated the study system, with brown trout being nearly absent. The culling experiment reduced the littoral Arctic charr density by 80%, whereupon brown trout gradually increased its density in the system. Thus, over the study period, the Arctic charr population went from high to low intraspecific competition, followed by increasing interspecific competition with brown trout. As hypothesized, the relaxed intraspecific competition following the experimental culling reduced individual diet specialization and compressed population niche width of Arctic charr. During the initial increase of the brown trout population, there was a large dietary overlap between the two species. Over the subsequent intensified interspecific competition from the population build-up of brown trout, their trophic niche overlap chiefly declined due to a dietary shift of Arctic charr towards enhanced zooplankton consumption. Contrary to theoretical expectations, the individual and population niche widths of Arctic charr increased with intensified interspecific competition. In contrast, the diet and niche width of brown trout remained stable over time, confirming its competitive superiority. The large-scale culling experiment and associated long-term research revealed pronounced temporal dynamics in trophic niche and resource use of the inferior competitor, substantiating that intra- and interspecific competition have large and contrasting impacts on individual and population niches.</t>
  </si>
  <si>
    <t>10.1111/oik.08375</t>
  </si>
  <si>
    <t>Jesch, A; Barry, KE; Ravenek, JM; Bachmann, D; Strecker, T; Weigelt, A; Buchmann, N; de Kroon, H; Gessler, A; Mommer, L; Roscher, C; Scherer-Lorenzen, M</t>
  </si>
  <si>
    <t>Below-ground resource partitioning alone cannot explain the biodiversity-ecosystem function relationship: A field test using multiple tracers</t>
  </si>
  <si>
    <t>complementarity; ecosystem function; Jena Experiment; Levins B; proportional similarity; rare element tracers; resource uptake; stable isotopes</t>
  </si>
  <si>
    <t>GRASSLAND PLANT-COMMUNITIES; TEMPORAL PATTERNS; SPECIES RICHNESS; NICHE COMPLEMENTARITY; NITROGEN USE; WATER-UPTAKE; DIVERSITY; PRODUCTIVITY; DEPTH; MODEL</t>
  </si>
  <si>
    <t>1. Below-ground resource partitioning is among the most prominent hypotheses for driving the positive biodiversity-ecosystem function relationship. However, experimental tests of this hypothesis in biodiversity experiments are scarce, and the available evidence is not consistent. 2. We tested the hypothesis that resource partitioning in space, in time or in both space and time combined drives the positive effect of diversity on both plant productivity and total community resource uptake. At the community level, we predicted that total community resource uptake and biomass production above- and below-ground will increase with increased species richness or functional group richness. We predicted that, at the species level, resource partition breadth will become narrower, and that overlap between the resource partitions of different species will become smaller with increasing species richness or functional group richness. 3. We applied multiple resource tracers (Li and Rb as potassium analogues, the water isotopologues-(H2O)-O-18 and (HO)-H-2-O-2, and N-15) in three seasons at two depths across a species and functional group richness gradient at a grassland biodiversity experiment. We used this multidimensional resource tracer study to test if plant species partition resources with increasing plant diversity across space, time or both simultaneously. 4. At the community level, total community resource uptake of nitrogen and potassium and above- and below-ground biomass increased significantly with increasing species richness but not with increasing functional group richness. However, we found no evidence that resource partition breadth or resource partition overlap decreased with increasing species richness for any resource in space, time or both space and time combined. 5. Synthesis. These findings indicate that below-ground resource partitioning may not drive the enhanced resource uptake or biomass production found here. Instead, other mechanisms such as facilitation, species-specific biotic feedback or above-ground resource partitioning are likely necessary for enhanced overall ecosystem function.</t>
  </si>
  <si>
    <t>10.1111/1365-2745.12947</t>
  </si>
  <si>
    <t>Knudsen, R; Klemetsen, A; Amundsen, PA; Hermansen, B</t>
  </si>
  <si>
    <t>Incipient speciation through niche expansion: an example from the Arctic charr in a subarctic lake</t>
  </si>
  <si>
    <t>niche expansion; insipient speciation; Salvelinus alpinus; profundal feeding</t>
  </si>
  <si>
    <t>2 SYMPATRIC MORPHS; SALVELINUS-ALPINUS L.; INTRASPECIFIC COMPETITION; INHERITED DIFFERENCES; TROPHIC POLYMORPHISM; GENETIC-DIFFERENCES; LOCH-RANNOCH; EVOLUTION; SELECTION; FISHES</t>
  </si>
  <si>
    <t>Two reproductive isolated morphs of Arctic charr (Salvelinus alpinus), termed profundal and littoral charr according to their different spawning habitats, co-occur in the postglacial lake Fjellfrosvatn in North Norway. All profundal charr live in deep water their entire life and have a maximum size of 14 cm, while the littoral charr grow to 40 cm. Some small and young littoral charr move to the profundal zone in an ontogenetic habitat shift in the ice-free season and the rest of the population remains in epilimnic waters. The two morphs had different diet niches in the profundal zone: the profundal charr ate typical soft-bottom prey (chironomid larvae, pea mussels and benthic copepods), while the young littoral chart mainly consumed crustacean zooplankton. In four other lakes without a profundal morph (i.e. monomorphic populations), young charr also performed ontogenetic habitat shifts to the profundal zone and fed on zooplankton. The profundal morph of Fjellfrosvatn therefore utilize a food resource niche that neither the littoral morph nor comparable monomorphic populations exploit. This suggests that intraspecific resource competition has driven incipient ecological speciation of the profundal charr of Fjellfrosvatn. The exploitation of the soft-bottom resources by the profundal chart supports earlier experimental findings that the profundal morph is genetically different in trophic behaviour and morphology. The sympatric ecological divergence within the profundal habitat is possible because unexploited food resources (soft-bottom profundal prey) are available. Apparently, this represents a case of incipient segregation by expansion to new resource types (niche invasion), and not by subdivision of one broad ancestral niche.</t>
  </si>
  <si>
    <t>10.1098/rspb.2006.3582</t>
  </si>
  <si>
    <t>Zhou, Y; Boutton, TW; Ben Wu, X</t>
  </si>
  <si>
    <t>Soil carbon response to woody plant encroachment: importance of spatial heterogeneity and deep soil storage</t>
  </si>
  <si>
    <t>delta C-13 value; deep soil carbon; landscape scale; pattern of spatial heterogeneity; plant-soil (below-ground) interactions; SOC storage; subtropical savanna; woody plant encroachment</t>
  </si>
  <si>
    <t>NORTH-AMERICAN GRASSLANDS; LAND-USE CHANGE; ORGANIC-CARBON; SUBTROPICAL SAVANNA; SHRUB ENCROACHMENT; NITROGEN POOLS; ECOSYSTEM; DYNAMICS; SEQUESTRATION; MECHANISMS</t>
  </si>
  <si>
    <t>1. Recent global trends of increasing woody plant abundance in grass-dominated ecosystems may substantially enhance soil organic carbon (SOC) storage and could represent a strong carbon (C) sink in the terrestrial environment. However, few studies have quantitatively addressed the influence of spatial heterogeneity of vegetation and soil properties on SOC storage at the landscape scale. In addition, most studies assessing SOC response to woody encroachment consider only surface soils, and have not explicitly assessed the extent to which deeper portions of the soil profile may be sequestering C. 2. We quantified the direction, magnitude and pattern of spatial heterogeneity of SOC in the upper 1.2 m of the profile following woody encroachment via spatially specific intensive soil sampling across a landscape in a subtropical savanna in the Rio Grande Plains, USA, that has undergone woody proliferation during the past century. 3. Increased SOC accumulation following woody encroachment was observed to considerable depth, albeit at reduced magnitudes in deeper portions of the profile. Overall, woody clusters and groves accumulated 12.87 and 18.67 Mg Cha(-1) more SOC compared to grasslands to a depth of 1.2 m. 4. Woody encroachment significantly altered the pattern of spatial heterogeneity of SOC to a depth of 5 cm, with marginal effect at 5-15 cm, and no significant impact on soils below 15 cm. Fine root density explained greater variability of SOC in the upper 15 cm, while a combination of fine root density and soil clay content accounted for more of the variation in SOC in soils below 15 cm across this landscape. 5. Synthesis. Substantial soil organic carbon sequestration can occur in deeper portions of the soil profile following woody encroachment. Furthermore, vegetation patterns and soil properties influenced the spatial heterogeneity and uncertainty of soil organic carbon in this landscape, highlighting the need for spatially specific sampling that can characterize this variability and enable scaling and modelling. Given the geographic extent of woody encroachment on a global scale, this undocumented deep soil carbon sequestration suggests this vegetation change may play a more significant role in regional and global carbon sequestration than previously thought.</t>
  </si>
  <si>
    <t>10.1111/1365-2745.12770</t>
  </si>
  <si>
    <t>Rizzuto, M; Carbone, C; Pawar, S</t>
  </si>
  <si>
    <t>Foraging constraints reverse the scaling of activity time in carnivores</t>
  </si>
  <si>
    <t>BODY-SIZE; METABOLIC-RATE; MAMMALS; BIRDS; CONSUMPTION; CAPACITY; COSTS; DIET</t>
  </si>
  <si>
    <t>The proportion of time an animal spends actively foraging in a day determines its long-term fitness. Here, we derive a general mathematical model for the scaling of this activity time with body size in consumers. We show that this scaling can change from positive (increasing with size) to negative (decreasing with size) if the detectability and availability of preferred prey sizes is a limiting factor. These predictions are supported by a global dataset on 73 terrestrial carnivore species from 8 families spanning &gt;3 orders of magnitude in size. Carnivores weighing similar to 5 kg experience high foraging costs because their diets include significant proportions of relatively small (invertebrate) prey. As a result, they show an increase in activity time with size. This shifts to a negative scaling in larger carnivores as they shift to foraging on less costly vertebrate prey. Our model can be generalized to other classes of terrestrial and aquatic consumers and offers a general framework for mechanistically linking body size to population fitness and vulnerability in consumers.</t>
  </si>
  <si>
    <t>10.1038/s41559-017-0386-1</t>
  </si>
  <si>
    <t>Greig, HS; McHugh, PA; Thompson, RM; Warburton, HJ; McIntosh, AR</t>
  </si>
  <si>
    <t>Habitat size influences community stability</t>
  </si>
  <si>
    <t>compensatory dynamics; disturbance; macroinvertebrates; resilience; resistance</t>
  </si>
  <si>
    <t>FOOD-CHAIN LENGTH; SPECIES-DIVERSITY; ECOSYSTEM SIZE; PATCH DYNAMICS; NEW-ZEALAND; DISTURBANCE; STREAM; RESISTANCE; POPULATION; AREA</t>
  </si>
  <si>
    <t>Mechanisms linked to demographic, biogeographic, and food-web processes thought to underpin community stability could be affected by habitat size, but the effects of habitat size on community stability remain relatively unknown. We investigated whether those habitat-size-dependent properties influenced community instability and vulnerability to perturbations caused by disturbance. This is particularly important given that human exploitation is contracting ecosystems, and abiotic perturbations are becoming more severe and frequent. We used a perturbation experiment in which 10 streams, spanning three orders of magnitude in habitat size, were subjected to simulated bed movement akin to a major flood disturbance event. We measured the resistance, resilience, and variability of basal resources, and population and community-level responses across the stream habitat-size gradient immediately before, and at 0.5, 5, 10, 20, and 40 d post-disturbance. Resistance to disturbance consistently increased with stream size in all response variables. In contrast, resilience was significantly higher in smaller streams for some response variables. However, this higher resilience of small ecosystems was insufficient to compensate for their lower resistance, and communities of smaller streams were thus more variable over time than those of larger streams. Compensatory dynamics of populations, especially for predators, stabilized some aspects of communities, but these mechanisms were unrelated to habitat size. Together, our results provide compelling evidence for the links between habitat size and community stability, and should motivate ecologists and managers to consider how changes in the size of habitats will alter the vulnerability of ecosystems to perturbations caused by environmental disturbance.</t>
  </si>
  <si>
    <t>e03545</t>
  </si>
  <si>
    <t>10.1002/ecy.3545</t>
  </si>
  <si>
    <t>Cooper, SD; Page, HM; Wiseman, SW; Klose, K; Bennett, D; Even, T; Sadro, S; Nelson, CE; Dudley, TL</t>
  </si>
  <si>
    <t>Physicochemical and biological responses of streams to wildfire severity in riparian zones</t>
  </si>
  <si>
    <t>biota; disturbances; riparian; streams; wildfire</t>
  </si>
  <si>
    <t>FOOD WEBS; STABLE-ISOTOPES; CLIMATE-CHANGE; ENERGY-FLOW; FIRE; CALIFORNIA; ECOSYSTEMS; SEDIMENT; DYNAMICS; HYDROGEN</t>
  </si>
  <si>
    <t>We investigated the effects of a wildfire on stream physical, chemical and biological characteristics in a Mediterranean climate, comparing stream community structure and consumer resource use in burned versus unburned catchments in Santa Barbara County, CA, U.S.A. Canopy cover was lower and water temperature was higher in streams draining basins where the riparian vegetation burned than in streams in unburned basins or burned basins where riparian vegetation remained intact. Stream flow and suspended sediment concentrations during large post-fire storms and wet season nutrient levels were higher in burned than unburned catchments, with increased sedimentation after flood peaks. A year after fires, algal levels were highest in streams where riparian vegetation burned and lowest in streams in burned basins where the riparian canopy remained intact. In contrast, streams in burned basins had lower particulate organic matter, detritivore and predator levels than unburned basins, regardless of whether riparian vegetation burned. Where present, southern California steelhead trout (Oncorhynchus mykiss) were extirpated from burned basins. Algivore densities were high in streams with burned riparian vegetation for two post-fire years before declining to unburned stream levels. Shredder densities rebounded in streams in burned basins with intact riparian vegetation, but remained low for 4years where riparian vegetation burned. Predatory invertebrate densities increased at sites where trout were eliminated by wildfire. Hydrogen stable isotope analysis indicated that the diets of most invertebrate taxa in streams with burned riparian vegetation a year after fires were comprised of a higher proportion of algal material than riparian detritus relative to invertebrates in streams with intact riparian vegetation. Wildfire impacts on stream food webs are determined, in part, by fire severity in the riparian zone. Streams with burned riparian canopies supported algal-based food webs and streams with intact riparian canopies sustained detrital-based food webs. Fire affected basal resources (nutrients, light, allochthonous inputs) with bottom-up effects on primary producers and consumers, but top-down effects were decoupled at the trophic link between invertebrate predators and primary consumers.</t>
  </si>
  <si>
    <t>10.1111/fwb.12523</t>
  </si>
  <si>
    <t>Carey, MP; Reeves, GH; Sethi, SA; Tanner, TL; Young, DB; Bartz, KK; Zimmerman, CE</t>
  </si>
  <si>
    <t>Elodea mediates juvenile salmon growth by altering physical structure in freshwater habitats</t>
  </si>
  <si>
    <t>Elodea spp; Coho salmon; Subarctic lake; Food webs; Fish growth</t>
  </si>
  <si>
    <t>COHO SALMON; CANADENSIS MICHX.; IMPACT; MACROPHYTES; INVASION; CLIMATE; RIVER; FISH; NUTTALLII; DYNAMICS</t>
  </si>
  <si>
    <t>Invasive species introductions in high latitudes are accelerating and elevating the need to address questions of their effects on Subarctic and Arctic ecosystems. As a driver of ecosystem function, submerged aquatic vegetation is one of the most deleterious biological invasions to aquatic food webs. The aquatic plant Elodea spp. has potential to be a widespread invader to Arctic and Subarctic ecosystems and is already established in 19 waterbodies in Alaska, USA. Elodea spp. has been found to alter ecosystem processes through multiple pathways; yet little is known about the impact of Elodea spp. on fish life history. A primary concern is the effect of Elodea spp. on juvenile Pacific salmon (Oncorhynchus spp.), because this invading plant can form dense stands in littoral zones, potentially impacting important freshwater rearing habitats used by juvenile fish for foraging and refuge from predators. We used a field experiment to test the effect of Elodea spp. on juvenile coho salmon (O. kisutch) growth in an infested lake near Cordova, Alaska, USA. We found that Elodea spp. stands result in reduced growth and a lower trophic position for juvenile coho salmon over the summer compared to habitats dominated by a native assemblage of aquatic plants. While infested sites were not associated with significant changes in water condition or primary productivity compared to sites dominated by native vegetation, zooplankton densities were reduced, and Elodea spp. height and vegetation richness increased macroinvertebrate densities. Combined, these results indicate that Elodea spp. may alter the flow of energy to juvenile salmon by restructuring space and affecting prey resources for rearing fish. Furthermore, these results suggest that widespread establishment of Elodea spp. may alter the quality of habitat for juvenile salmon and, by affecting juvenile fish growth, could lead to population-level impacts on salmon returns.</t>
  </si>
  <si>
    <t>10.1007/s10530-022-02992-3</t>
  </si>
  <si>
    <t>Fry, B; Chumchal, MM</t>
  </si>
  <si>
    <t>Mercury bioaccumulation in estuarine food webs</t>
  </si>
  <si>
    <t>carbon; estuaries; fish; food webs; isotopes; largemouth bass; Louisiana, USA; mercury; Mississippi River; nitrogen; sulfur; wetlands</t>
  </si>
  <si>
    <t>MISSISSIPPI RIVER WATER; STABLE-ISOTOPE INDICATORS; FRESH-WATER; METHYLMERCURY PRODUCTION; SULFATE REDUCTION; TROPHIC TRANSFER; RED SNAPPER; LOUISIANA; FISH; HABITAT</t>
  </si>
  <si>
    <t>We tested for unintended mercury contamination problems associated with estuarine floodplain restoration projects of the Louisiana coastal zone, USA. Barataria Bay and Breton Sound are two neighboring deltaic estuaries that were isolated by levees from the Mississippi River about 100 years ago. These estuaries recently have been reconnected to the nutrient-rich Mississippi River, starting major river diversion (input) flows in 1991 for Breton Sound and in 2004 for Barataria Bay. We collected &gt;2100 fish over five years from 20 stations in these estuaries to test two hypotheses about Hg bioaccumulation: (H-1) Background Hg bioaccumulation in fish would be highest in low-salinity upper reaches of estuaries, and (H-2) recent river inputs to these upper estuarine areas would increase Hg bioaccumulation in fish food webs. For H-1, we surveyed fish Hg concentrations at several stations along a salinity gradient in Barataria Bay in 2003-2004, a time when this estuary lacked. strong river inputs. Results showed that average Hg concentrations in fish communities were lowest (150 ng/g dry mass) in higher salinity areas and similar to 2.4X higher (350 ng/g) in low-salinity oligohaline and freshwater upper reaches of the estuary. For H-2, we tested for enhanced Hg bioaccumulation following diversion onset in both estuaries. Fish communities from Breton Sound that had long-term (&gt;10 years) diversion inputs had similar to 1.7X higher average Hg Contents of 610 ng/g Hg vs. 350 ng/g background values. Shorter-term diversion inputs over 2-3 years in upper Barataria Bay did not result in strong Hg enrichments or stable C isotope increases seen in Breton Sound, even though N and S stable-isotope values indicated strong river inputs in both estuaries. It may be that epiphyte communities on abundant submerged aquatic vegetation (SAV) are important hotspots for Hg cycling in these estuaries, and observed lesser development of these epiphyte communities in upper Barataria Bay during the first years of diversion inputs may account for the lessened Hg bioaccumulation in fish. A management consideration from this study is that river restoration projects may unintentionally fertilize SAV and epiphyte-based food webs, leading to higher Hg bioaccumulation in river-impacted floodplains and their food webs.</t>
  </si>
  <si>
    <t>10.1890/11-0921.1</t>
  </si>
  <si>
    <t>Schmitz, OJ; Rosenblatt, AE; Smylie, M</t>
  </si>
  <si>
    <t>Temperature dependence of predation stress and the nutritional ecology of a generalist herbivore</t>
  </si>
  <si>
    <t>carbohydrate; growth rate; Melanoplus femurrubrum; metabolism; Pisaurina mira; predation stress; protein; respirometry; thermal performance</t>
  </si>
  <si>
    <t>LIFE-HISTORY TRAITS; CLIMATE-CHANGE; PHYSIOLOGICAL-RESPONSES; NUTRIENT STOICHIOMETRY; WARMING STRENGTHENS; INSECT HERBIVORE; FEEDING-BEHAVIOR; TRADE-OFF; RISK; SIZE</t>
  </si>
  <si>
    <t>Prey at risk of predation may experience stress and respond physiologically by altering their metabolic rates. Theory predicts that such physiological changes should alter prey nutrient demands from N-rich to C-rich macronutrients and shift the balance between maintenance and growth/reproduction. Theory further suggests that for ectotherms, temperature stands to exacerbate this stress. Yet, the interactive effects of predation stress and temperature stress on diet, metabolism, and survival of ectotherms are not well known. This knowledge gap was addressed with a laboratory study in which wild juvenile grasshoppers were collected, assigned to one of three groups, and raised at three different temperatures. All grasshoppers had access to equal quantities of two diets composed of opposite carbohydrate:protein ratios. Half of the individuals in each temperature group were exposed to predation risk cues from spider predators, while the other half were kept in risk free conditions. Grasshoppers consumed more carbohydrates when exposed to predation risk, but consumption favored greater protein intake as temperature increased. Moreover, the difference in carbohydrate intake between risk cue and risk free treatments diminished as temperature increased. Furthermore, variability between individual consumption patterns both within and between treatments decreased markedly as temperature increased, suggesting that higher temperatures promote more consistent individual consumption behaviors. Grasshoppers grew faster and larger as temperature increased, which translated into higher survival rates at higher temperatures. Warmer grasshoppers also did not alter their metabolic rates in response to predation risk cues, in contrast to colder grasshoppers. Digestive efficiency increased with temperature as well -- further indicating that lower temperatures were much more stressful than higher temperatures for grasshoppers. The study shows that physiological responses of ectothermic herbivores to predation stress are highly plastic and temperature dependent, with higher temperatures promoting increased protein intake, growth, development, survival, and digestive efficiency relative to colder temperatures. These findings help to reconcile why dietary responses (proportion of protein vs. carbohydrate intake) to predation stress may vary among different prey taxa studied previously.</t>
  </si>
  <si>
    <t>10.1002/ecy.1524</t>
  </si>
  <si>
    <t>Rinella, DJ; Wipfli, MS; Walker, CM; Stricker, CA; Heintz, RA</t>
  </si>
  <si>
    <t>Seasonal persistence of marine-derived nutrients in south-central Alaskan salmon streams</t>
  </si>
  <si>
    <t>Alaska; aquatic macroinvertebrate; Dolly Varden (Salvelinus malma); fatty acid; horsetail (Equisetum fluviatile); Kenai Peninsula; marine-derived nutrients; seasonal persistence; stable isotopes</t>
  </si>
  <si>
    <t>RIPARIAN FOREST GROWTH; JUVENILE COHO SALMON; PACIFIC SALMON; SOCKEYE-SALMON; FRESH-WATER; COMMUNITY DYNAMICS; SPAWNING SALMON; ONCORHYNCHUS-KISUTCH; SOUTHEASTERN ALASKA; TROPHIC ECOLOGY</t>
  </si>
  <si>
    <t>Spawning salmon deliver annual pulses of marine-derived nutrients (MDN) to riverine ecosystems around the Pacific Rim leading to increased growth and condition in aquatic and riparian biota. The influence of pulsed resources may last for extended periods of time when recipient food webs have effective storage mechanisms yet few studies have tracked the seasonal persistence of MDN. With this as our goal we sampled stream water chemistry and selected stream and riparian biota spring through fall at 18 stations (in six watersheds) that vary widely in spawner abundance and at nine stations (in three watersheds) where salmon runs were blocked by waterfalls. We then developed regression models that related dissolved nutrient concentrations and biochemical measures of MDN assimilation to localized spawner density across these 27 stations. Stream water ammonium-N and orthophosphate-P concentrations increased with spawner density during the summer salmon runs but responses did not persist into the following fall. The effect of spawner density on delta N-15 in generalist macroinvertebrates and three independent MDN metrics (delta N-15 delta S-34 and omega 3:omega 6 fatty acids) in juvenile Dolly Varden (Salvelinus malma) was positive and similar during each season indicating that MDN levels in biota increased with spawner abundance and were maintained for at least nine months after inputs. Delta N-15 in a riparian plant horsetail (Equisetum fluviatile) and scraper macroinvertebrates did not vary with spawner density in any season suggesting a lack of MDN assimilation by these lower trophic levels. Our results demonstrate the ready assimilation of MDN by generalist consumers and the persistence of this pulsed subsidy in these organisms through the winter and into the next growing season.</t>
  </si>
  <si>
    <t>10.1890/ES13-00112.1</t>
  </si>
  <si>
    <t>Tian, SC; Gaye, B; Tang, JH; Luo, YM; Li, WG; Lahajnar, N; Dahnke, K; Sanders, T; Xiong, TQ; Zhai, WD; Emeis, KC</t>
  </si>
  <si>
    <t>A nitrate budget of the Bohai Sea based on an isotope mass balance model</t>
  </si>
  <si>
    <t>NITROGEN; PHYTOPLANKTON</t>
  </si>
  <si>
    <t>The Bohai Sea (BHS) is a semi-closed marginal sea impacted by one of the most populated areas of China. The supply of nutrients, markedly that of reactive nitrogen, via fluvial and atmospheric transport has strongly increased in parallel with the growing population. Therefore, it is crucial to quantify the reactive nitrogen input to the BHS and understand the processes and determine the quantities of nitrogen eliminated in and exported from the BHS. The nitrogen budget and in particular the internal sources and sinks of nitrate were constrained by using a mass-based and dual stable isotope approach based on delta N-15 and delta O-18 of nitrate (NO;). Samples of water, suspended matter, and sediments were taken in the BHS in spring (March and April) and summer (July and August) 2018. The Yellow River (YR) was sampled in May and July to November, and Daliao River, Hai River, Luan River, and Xiaoqing River were sampled in November of 2018. In addition to nutrient, particulate organic carbon, and nitrogen concentrations, the dual isotopes of nitrate (delta N-15 and delta O-18), delta N-15 of suspended matters, and sediments were determined. Based on the available mass fluxes and isotope data an updated nitrogen budget is proposed. Compared to previous estimates, it is more complete and includes the impact of interior cycling (nitrification) on the nitrate pool. The main nitrate sources are rivers contributing 19.2 %-25.6 % and the combined terrestrial runoff (including submarine fresh groundwater discharge of nitrate) accounting for 27.8 %-37.1 % of the nitrate input to the BHS, while atmospheric input contributes 6.9 %-22.2 % to total nitrate. An unusually active interior nitrogen cycling contributes 40.7 %-65.3 % to total nitrate via nitrification. Nitrogen is mainly trapped in the BHS and mainly removed by sedimentation (70.4 %-77.8 %), and only very little is exported to the Yellow Sea (YS) (only 1.8 %-2.4 %). At present denitrification is active in the sediments and removes 20.4 %-27.2 % of nitrate from the pool. However, a further eutrophication of the BHS could induce water column hypoxia and denitrification, as is increasingly observed in other marginal seas and seasonally off river mouths.</t>
  </si>
  <si>
    <t>10.5194/bg-19-2397-2022</t>
  </si>
  <si>
    <t>Carman, KR; Fry, B</t>
  </si>
  <si>
    <t>Small-sample methods for delta C-13 and delta N-15 analysis of the diets of marsh meiofaunal species using natural-abundance and tracer-addition isotope techniques</t>
  </si>
  <si>
    <t>delta C-13; delta N-15; meiofauna; harpacticoids; nematodes; ostracods; benthic microalgae; Spartina</t>
  </si>
  <si>
    <t>STABLE ISOTOPES; SALT-MARSH; FOOD-WEBS; MEIOBENTHIC COPEPODS; BENTHIC MICROALGAE; RESOURCES; ECOSYSTEM; MARINE; CARBON; NEMATODES</t>
  </si>
  <si>
    <t>Modifications to a conventional elemental analyzer-stable isotope ratio mass spectrometer system (EA-MS system) are described that allow the analysis of C-13 and N-15 in small samples (greater than or equal to1 mug N and 2 mug C). This system was used to analyze delta(13)C and delta(15)N of meiofaunal species from a coastal marsh using pooled samples of 5 to 60 individuals. In a conventional field survey, C-13 and N-15 isotope values indicated that (1) harpacticoid copepod species, nematode species, and ostracods differentially exploited phytoplankton detritus, Spartina alterniflora detritus, and benthic microalgae, and (2) all taxa showed a general shift toward S. alterniflora isotope values in winter relative to summer. In a field experiment, benthic microalgae were labeled in situ by addition of C-13 and N-15 to 1 m(2) sediment plots. Two nematode species with apparently similar primary food resources (S. alterniflora detritus) based on natural isotopic values differed dramatically in their uptake of C-13 and N-15 in labeled plots, indicating differences in feeding strategies that were not indicated by natural isotope values. A combination of natural-abundance isotope surveys and isotope-addition experiments appears to be a powerful approach for investigating both average patterns and interspecific variability in resource exploitation.</t>
  </si>
  <si>
    <t>10.3354/meps240085</t>
  </si>
  <si>
    <t>Sato, M; Horne, JK; Parker-Stetter, SL; Essington, TE; Keister, JE; Moriarty, PE; Li, LB; Newton, J</t>
  </si>
  <si>
    <t>Impacts of moderate hypoxia on fish and zooplankton prey distributions in a coastal fjord</t>
  </si>
  <si>
    <t>Hypoxia; Temperature; Hood Canal; Pacific herring; Pacific hake; Zooplankton</t>
  </si>
  <si>
    <t>OXYGEN LEVELS; DISSOLVED-OXYGEN; PUGET-SOUND; SOUTHERN-CALIFORNIA; MARINE ECOSYSTEMS; BRITISH-COLUMBIA; VANCOUVER-ISLAND; CLIMATE-CHANGE; PELAGIC FISH; DEAD ZONES</t>
  </si>
  <si>
    <t>Hypoxia can cause significant disturbances in aquatic ecosystems, but the impacts of moderately low dissolved oxygen (DO) where physiological tolerance levels vary among organisms and likely have consequences for key food web linkages are not well understood. We hypothesized that the greater sensitivity of fish to DO, compared with their zooplankton prey, would reduce spatial overlap between fish and zooplankton at moderately low DO (2-4 mg l(-1)). We used a combination of multifrequency acoustics and net samples to characterize distributions and abundances of zooplankton and pelagic fish in Hood Canal, Washington, a seasonally hypoxic fjord. We employed a sampling design that included both high and moderately low DO sites sampled prior to, during, and after the onset of seasonally low DO over 2 yr. Contrary to our hypothesis, we found that fish and their zooplankton prey did not change their horizontal or vertical distributions during periods and in locations with moderately low DO levels. Consequently, the vertical overlap between fish and zooplankton did not change with DO concentration. The apparent lack of response of fish to moderately low DO in our system may result from decreased metabolic oxygen demand due to cool temperatures, availability of prey in moderately low DO waters, increased predation risk at shallower depths, and/or phenotypic adaptations to chronic exposure. Stability in distributions of pelagic communities suggests resilience of trophic coupling to moderately low DO in Hood Canal.</t>
  </si>
  <si>
    <t>10.3354/meps11910</t>
  </si>
  <si>
    <t>Harding, JN; Reynolds, JD</t>
  </si>
  <si>
    <t>Opposing forces: Evaluating multiple ecological roles of Pacific salmon in coastal stream ecosystems</t>
  </si>
  <si>
    <t>ecosystem-based management; fisheries; freshwater; Great Bear Rainforest; insects; resource subsidy; river</t>
  </si>
  <si>
    <t>CARBON-ISOTOPE RATIOS; FOOD-CHAIN LENGTH; FRESH-WATER; BENTHIC INVERTEBRATES; SOUTHEASTERN ALASKA; COMMUNITY DYNAMICS; STABLE-CARBON; ENERGY-FLOW; DISTURBANCE; NITROGEN</t>
  </si>
  <si>
    <t>Resource flows and disturbance from species migrations can alter the productivity, structure and function of an ecosystem. Annual mass migrations of Pacific salmon (Oncorhynchus spp.) to coastal watersheds import vast quantities of potentially limiting nutrients that have been shown to increase primary and secondary productivity in streams and lakes. Substrate disturbance during spawning can also export nutrients and reduce primary and secondary production. Here we study the impacts of these dual roles of salmon on stream invertebrates. We collected benthic macroinvertebrates in 15 streams prior to and following peak salmon spawning on British Columbia's central coast. Along with other habitat measurements including stream water chemistry, temperature, and watershed size, we investigated the effects of salmon on invertebrate delta N-15, delta C-13 and biomass density (mg/m(2)) among 15 streams and within 5 streams, upstream and downstream of barriers to spawning salmon. We found that stream invertebrates assimilate salmon-derived nutrients in proportion to availability but invertebrate biomass density declines in both seasons with increasing salmon density. Benthic disturbance appears to be the cause of this decline in the fall, but the decline in the spring may be due to the slow recovery of invertebrates from substrate disturbance the previous fall or salmon nutrients may be indirectly driving declines in spring invertebrate biomass by subsidizing other trophic levels and eliciting a trophic cascade.</t>
  </si>
  <si>
    <t>10.1890/ES14-00207.1</t>
  </si>
  <si>
    <t>McKinney, RA; Nelson, WG; Charpentier, MA; Wigand, C</t>
  </si>
  <si>
    <t>Ribbed mussel nitrogen isotope signatures reflect nitrogen sources in coastal salt marshes</t>
  </si>
  <si>
    <t>Geukensia demissa; land use characteristics; mussel; nitrogen input indicator; nitrogen isotope ratio; ribbed mussel; salt marsh</t>
  </si>
  <si>
    <t>STABLE-ISOTOPES; ORGANIC-MATTER; ESTUARINE; NITRATE; CARBON; MARINE; RATIOS; WATER; FLOW; PHOSPHORUS</t>
  </si>
  <si>
    <t>The stable nitrogen isotope ratio in tissue of the ribbed mussel (Geukensia demissa) was investigated as an indicator of the source of nitrogen inputs to coastal salt marshes. Initially, mussels were fed a diet of N-15-enriched algae in the laboratory to determine how the tissue nitrogen isotope ratio (delta N-15) changed with time. Steady-state times were calculated and found to be size dependent, ranging from 206 to 397 d. This indicated that mussels are long-term integrators of delta N-15 from their diet and may reflect nitrogen inputs to a marsh. Next, indigenous mussels were collected from 10 marshes with similar hydrology and geomorphology in Narragansett Bay, Rhode Island, USA, and mussel delta N-15 Values were evaluated as indicators of nitrogen source. Significant positive correlations were observed between delta N-15 in mussels and the fraction of residential development in the marsh watersheds. In contrast, mussel isotope ratios showed significant negative correlations with the fraction of combined agricultural and recreational land use. These correlations suggested that the mussel nitrogen isotope signature is influenced by nitrogen derived from human activities in the adjoining marsh watershed. A more detailed examination of these relationships indicated that land use practices in close proximity to marshes and estuarine characteristics may also influence the observed nitrogen isotope signature. A simple, empirical model based on the 10 watersheds was developed to predict mussel delta N-15 from land use characteristics. The predictive ability of the model was tested with data from 12 additional marshes having similar geomorphology as the original 10, but differing in hydrology and mode of nutrient input. The model showed that ribbed mussel nitrogen isotope signatures may provide information on the source of nitrogen to coastal areas. This could be of use in developing general policies or strategies for monitoring and assessing coastal eutrophication. In addition, the isotopic ratio of mussels is useful as a proxy for watershed land use practices when assessing ecological responses to nutrient enrichment in coastal marshes.</t>
  </si>
  <si>
    <t>10.2307/3061067</t>
  </si>
  <si>
    <t>Adams, MS; Service, CN; Bateman, A; Bourbonnais, M; Artelle, KA; Nelson, T; Paquet, PC; Levi, T; Darimont, CT</t>
  </si>
  <si>
    <t>Intrapopulation diversity in isotopic niche over landscapes: Spatial patterns inform conservation of bear-salmon systems</t>
  </si>
  <si>
    <t>bears; dietary niche; geographic information systems; isoscapes; kernel-weighted regression; Oncorhynchus; predator-prey systems; salmon; stable isotope analysis; Ursus</t>
  </si>
  <si>
    <t>STABLE-ISOTOPES; BODY-SIZE; DETERMINE DIETS; PACIFIC SALMON; BROWN BEARS; BLACK BEARS; ECOLOGY; POPULATION; MARINE; PRODUCTIVITY</t>
  </si>
  <si>
    <t>Intrapopulation variability in resource acquisition (i. e., niche variation) influences population dynamics, with important implications for conservation planning. Spatial analyses of niche variation within and among populations can provide relevant information about ecological associations and their subsequent management. We used stable isotope analysis and kernel- weighted regression to examine spatial patterns in a keystone consumer- resource interaction: salmon (Oncorhynchus spp.) consumption by grizzly and black bears (Ursus arctos horribilis, n = 886; and Ursus americanus, n = 557) from 1995 to 2014 in British Columbia (BC), Canada. In a region on the central coast of BC (22,000 km(2)), grizzly bears consumed far more salmon than black bears (median proportion of salmon in assimilated diet of 0.62 and 0.06, respectively). Males of both species consumed more salmon than females (median proportions of 0.63 and 0.57 for grizzly bears and 0.06 and 0.03 for black bears, respectively). Black bears showed considerably more spatial variation in salmon consumption than grizzlies. Protected areas on the coast captured no more habitat for bears with high- salmon diets (i.e., proportions &gt;0.5 of total diet) than did unprotected areas. In a continental region (similar to 692,000 km(2)), which included the entire contemporary range of grizzlies in BC, males had higher salmon diets than females (median proportions of 0.41 and 0.04, respectively). Highsalmon diets were concentrated in coastal areas for female grizzly bears, whereas males with high- salmon diets in interior areas were restricted to areas near major salmon watersheds. To safeguard this predatorprey association that spans coastal and interior regions, conservation planners and practitioners can consider managing across ecological and jurisdictional boundaries. More broadly, our approach highlights the importance of visualizing spatial patterns of dietary niche variation within populations to characterize ecological associations and inform management.</t>
  </si>
  <si>
    <t>e01843</t>
  </si>
  <si>
    <t>10.1002/ecs2.1843</t>
  </si>
  <si>
    <t>Roscher, C; Gubsch, M; Lipowsky, A; Schumacher, J; Weigelt, A; Buchmann, N; Schulze, ED; Schmid, B</t>
  </si>
  <si>
    <t>Trait means, trait plasticity and trait differences to other species jointly explain species performances in grasslands of varying diversity</t>
  </si>
  <si>
    <t>biodiversity; relative yields; functional traits</t>
  </si>
  <si>
    <t>PHENOTYPIC PLASTICITY; FUNCTIONAL TRAITS; PLANT; COMPETITION; FERTILITY; HIERARCHY; ABUNDANCE; VALUES</t>
  </si>
  <si>
    <t>Functional traits may help to explain the great variety of species performances in plant communities, but it is not clear whether the magnitude of trait values of a focal species or trait differences to co-occurring species are key for trait-based predictions. In addition, trait expression within species is often plastic, but this variation has been widely neglected in trait-based analyses. We studied functional traits and plant biomass of 59 species in 66 experimental grassland mixtures of varying species richness (Jena Experiment). We related mean species performances (species biomass and relative yield RY) and their plasticities along the diversity gradient to trait-based pedictors involving mean species traits (T-mean), trait plasticities along the diversity gradient (T-slope), extents of trait variation across communities (T-CV; coefficient of variation) and hierarchical differences (T-diff) and trait distances (absolute values of trait differences T-dist) between focal and co-occurring species. T-mean (30-55%) and T-diff (30-33%) explained most variation in mean species performances and their plasticities, but T-slope (20-25%) was also important in explaining mean species performances. The mean species traits and the trait differences between focal species and neighbors with the greatest explanatory power were related to plant size and stature (shoot length, mass:height ratios) and leaf photosynthetic capacity (specific leaf area, stable carbon isotopes and leaf nitrogen concentration). The contribution of trait plasticities in explaining species performances varied in direction (positive or negative) and involved traits related to photosynthetic capacity, nitrogen acquisition (nitrogen concentrations and stable isotopes) as well as structural stability (shoot carbon concentrations). Our results suggest that incorporating plasticity in trait expression as well as trait differences to co-occurring species is critical for extending trait-based analyses to understand the assembly of plant communities and the contribution of individual species in structuring plant communities.</t>
  </si>
  <si>
    <t>10.1111/oik.04815</t>
  </si>
  <si>
    <t>Viengkone, M; Derocher, AE; Richardson, ES; Obbard, ME; Dyck, MG; Lunn, NJ; Sahanatien, V; Robinson, BG; Davis, CS</t>
  </si>
  <si>
    <t>Assessing spatial discreteness of Hudson Bay polar bear populations using telemetry and genetics</t>
  </si>
  <si>
    <t>genetics; polar bear; population; single nucleotide polymorphism; telemetry; Ursus maritimus; utilization distribution</t>
  </si>
  <si>
    <t>URSUS-MARITIMUS; DISPERSAL BEHAVIOR; SPACE-USE; MOVEMENTS; MIGRATION; DELINEATION; FIDELITY; CANADA; SEASON; COAST</t>
  </si>
  <si>
    <t>Identifying biologically meaningful populations is essential to the conservation and management of at-risk species. Natural populations can be delineated using a variety of methods including tag recoveries, telemetry, stable isotopes, and population genetics, but understanding the processes that lead to and maintain the demographic and genetic distinctiveness of populations is also important. We combined telemetric and genetic data from three adjacent polar bear (Ursus maritimus) populations in Hudson Bay, Canada, to compare two methods of defining structure. We compared the population structure inferred from utilization distributions (UDs) of 62 adult female polar bears tracked by satellite telemetry during the mating season by grouping individuals in two ways: (1) by the management population in which individuals were sampled (capture location), and (2) by population genetic assignment of individuals using marker data (genetic assignment). We found that space-use overlap varied depending on how individuals were grouped. We found 19.1-34.4% UD overlap when capture locations were used to group individuals, but there was no UD overlap for bears across different genetic groupings. Wildlife management objectives should include consideration of genetic diversity and differentiation, and we found that using genetic assignment to augment analyses from telemetric data provided additional insights on population delineation.</t>
  </si>
  <si>
    <t>e02222</t>
  </si>
  <si>
    <t>10.1002/ecs2.2364</t>
  </si>
  <si>
    <t>Morrison, KW; Armstrong, DP; Battley, PF; Jamieson, SE; Thompson, DR</t>
  </si>
  <si>
    <t>Predation by New Zealand sea lions and Brown Skuas is causing the continued decline of an Eastern Rockhopper Penguin colony on Campbell Island</t>
  </si>
  <si>
    <t>Eudyptes chrysocome filholi; Hooker's sea lion; Subantarctic skua; Pinniped predation; Predator population recovery; Top-down control</t>
  </si>
  <si>
    <t>EUDYPTES-C.-CHRYSOCOME; PHOCARCTOS-HOOKERI; SURVIVAL PROBABILITIES; POPULATION-DYNAMICS; BREEDING BIOLOGY; FALKLAND ISLANDS; MARKED ANIMALS; BOTTOM-UP; SEABIRD; DIET</t>
  </si>
  <si>
    <t>Identification of factors causing population declines is a critical prerequisite for conserving threatened species. The most likely cause of dramatic decreases in numbers of the 'Vulnerable' Southern Rockhopper Penguin (Eudyptes chrysocome) in the twentieth century is oceanographic change reducing food availability. For example, the massive decline of the Eastern sub-species (E. c. filholi) on Campbell Island, New Zealand (94.6 %, 1942-2012), has been attributed to climate change. This decline reversed in the mid-1990s after a shift to favourable conditions, but a localized decline continued at a small, fragmented population in Penguin Bay, where one of five sub-colonies went extinct in 2010, and the number of breeding pairs fell from 7360 in 1984 to 3012 in 2012. Emerging concerns for Eudyptes penguins are the effects of increased predation from native predators. At Campbell Island, monitoring demonstrated that penguin eggs and chicks in smaller sub-colonies were most vulnerable to predation by Brown Skuas (Catharacta antarctica lonnbergi), so that average reproductive success was 25 % lower at the smallest sub-colony than at the largest. 'Endangered' New Zealand sea lions (Phocarctos hookeri) were estimated to depredate 6 % of the adult penguin population each year, which modelling identified as the most important driver of the population's negative exponential growth rate (lambda = 0.905, -9.5 % per year). Although occasional years of very poor food availability may exert a larger 'bottom-up' effect on penguin demographic rates, the 'top-down' effects of high avian and pinniped predation rates can be sufficient to drive the decline of small penguin populations.</t>
  </si>
  <si>
    <t>10.1007/s00300-016-1996-9</t>
  </si>
  <si>
    <t>Slattery, M; Gochfeld, DJ; Easson, CG; O'Donahue, LRK</t>
  </si>
  <si>
    <t>Facilitation of coral reef biodiversity and health by cave sponge communities</t>
  </si>
  <si>
    <t>Facilitation; Nutrients; Sponges; Biodiversity; Coral health; Caves; Herbivory</t>
  </si>
  <si>
    <t>NUTRIENT ENRICHMENT; CARIBBEAN REEF; MARINE SPONGES; FACULTATIVE MUTUALISM; POSITIVE INTERACTIONS; CAVITY SPONGES; SUBMARINE CAVE; CLIMATE-CHANGE; PHASE-SHIFTS; GROWTH</t>
  </si>
  <si>
    <t>Marine caves are understudied ecosystems that are frequently associated with coral reef communities; many are tidally influenced and may host a highly diverse sponge fauna. Although each cave represents a distinct habitat likely structured by site-specific hydrographic processes, a more complete understanding of the ecology of these communities requires comparative studies. Based on a gradient of sponge cover within 5 Bahamian caves, we conducted a natural experiment in sponge-derived nutrient enrichment of nearby patch reefs. We tested the hypothesis that water exiting the cave during low tide provides a nutrient-rich resource that facilitates the diversity and health of nearby reef communities. The percent cover and diversity of corals surrounding the openings of caves were significantly higher than in similar habitats farther removed from these communities. There was a significant correlation between percent sponge cover within the caves and nitrate concentrations in seawater flowing out of the caves, and delta N-15 stable isotope signatures indicated enrichment of the nearby reefs by sponge-derived nitrate. Zooxanthellae abundance and total protein concentration were higher in corals from reefs near cave entrances, suggesting that those corals benefited more from cave nutrients than did corals farther from cave openings. In addition to corals, percent algal cover increased near cave entrances, but these potential competitors of corals were kept in check by increased levels of herbivory relative to sites removed from cave mouths. As global environmental changes continue to impact coral reef ecosystems, diversity 'hot spots', such as these marine caves, could serve as refuges and 'seed-banks' for nearby dwindling reef habitats.</t>
  </si>
  <si>
    <t>10.3354/meps10139</t>
  </si>
  <si>
    <t>Bodey, TW; Ward, EJ; Phillips, RA; McGill, RAR; Bearhop, S</t>
  </si>
  <si>
    <t>Species versus guild level differentiation revealed across the annual cycle by isotopic niche examination</t>
  </si>
  <si>
    <t>procellariiform; stable isotope; seabird; speciation; resource partitioning; diet; competition; character displacement</t>
  </si>
  <si>
    <t>CHARACTER DISPLACEMENT; STABLE-ISOTOPES; INDIVIDUAL SPECIALIZATION; NONBREEDING ALBATROSSES; HABITAT PREFERENCES; COMMUNITY STRUCTURE; MARINE PREDATORS; FEEDING ECOLOGY; COMPETITION; DIET</t>
  </si>
  <si>
    <t>Interspecific competitive interactions typically result in niche differentiation to alleviate competition through mechanisms including character displacement. However, competition is not the sole constraint on resource partitioning, and its effects are mediated by factors including the environmental context in which species coexist. Colonial seabirds provide an excellent opportunity to investigate the importance of competition in shaping realized niche widths because their life histories lead to variation in intra- and interspecific competition across the annual cycle. Dense breeding aggregations result in intense competition for prey in surrounding waters, whereas non-breeding dispersal to larger geographical areas produces lower densities of competitors. Bayesian hierarchical models of the isotopic niche, closely aligned to the trophic niche, reveal the degree of segregation between species and functional groups during both time periods. Surprisingly, species explained far more of the variance in the isotopic niche during the non-breeding than the breeding period. Our results underline the key role of non-breeding dynamics in alleviating competition and promoting distinctions between species through the facilitation of resource partitioning. Such situations may be common in a diverse range of communities sustained by ephemeral but abundant food items. This highlights how consideration of the hierarchical grouping of competitive interactions alongside consideration of abiotic constraints across the complete annual cycle allows a full understanding of the role of competition in driving patterns of character displacement.</t>
  </si>
  <si>
    <t>10.1111/1365-2656.12156</t>
  </si>
  <si>
    <t>Cantwell-Jones, A; Larson, K; Ward, A; Bates, OK; Cox, T; Gibbons, C; Richardson, R; Al-Hayali, AMR; Svedin, J; Aronsson, M; Brannlund, F; Tylianakis, JM; Johansson, J; Gill, RJ</t>
  </si>
  <si>
    <t>Mapping trait versus species turnover reveals spatiotemporal variation in functional redundancy and network robustness in a plant-pollinator community</t>
  </si>
  <si>
    <t>altitudinal gradient; Arctic; beta diversity; Bombus community; bumblebees; connectance; ecological network; modularity; pollination; sequential extinction; thermal cline</t>
  </si>
  <si>
    <t>ALTITUDE; HABITAT; ROLES</t>
  </si>
  <si>
    <t>Functional overlap among species (redundancy) is considered important in shaping competitive and mutualistic interactions that determine how communities respond to environmental change. Most studies view functional redundancy as static, yet traits within species-which ultimately shape functional redundancy-can vary over seasonal or spatial gradients. We therefore have limited understanding of how trait turnover within and between species could lead to changes in functional redundancy or how loss of traits could differentially impact mutualistic interactions depending on where and when the interactions occur in space and time. Using an Arctic bumblebee community as a case study, and 1277 individual measures from 14 species over three annual seasons, we quantified how inter- and intraspecific body-size turnover compared to species turnover with elevation and over the season. Coupling every individual and their trait with a plant visitation, we investigated how grouping individuals by a morphological trait or by species identity altered our assessment of network structure and how this differed in space and time. Finally, we tested how the sensitivity of the network in space and time differed when simulating extinction of nodes representing either morphological trait similarity or traditional species groups. This allowed us to explore the degree to which trait-based groups increase or decrease interaction redundancy relative to species-based nodes. We found that (i) groups of taxonomically and morphologically similar bees turn over in space and time independently from each other, with trait turnover being larger over the season; (ii) networks composed of nodes representing species versus morphologically similar bees were structured differently; and (iii) simulated loss of bee trait groups caused faster coextinction of bumblebee species and flowering plants than when bee taxonomic groups were lost. Crucially, the magnitude of these effects varied in space and time, highlighting the importance of considering spatiotemporal context when studying the relative importance of taxonomic and trait contributions to interaction network architecture. Our finding that functional redundancy varies spatiotemporally demonstrates how considering the traits of individuals within networks is needed to understand the impacts of environmental variation and extinction on ecosystem functioning and resilience. Read the free Plain Language Summary for this article on the Journal blog.</t>
  </si>
  <si>
    <t>10.1111/1365-2435.14253</t>
  </si>
  <si>
    <t>Yun, HY; Larsen, T; Choi, B; Won, EJ; Shin, KH</t>
  </si>
  <si>
    <t>Amino acid nitrogen and carbon isotope data: Potential and implications for ecological studies</t>
  </si>
  <si>
    <t>amino acid-specific isotope analysis; biomarkers; diet estimate; isotope differentiation; trophic enrichment; trophic interaction</t>
  </si>
  <si>
    <t>COMPOUND-SPECIFIC DELTA-N-15; FOOD-WEB STRUCTURE; TROPHIC ENRICHMENT FACTORS; STABLE-ISOTOPES; ORGANIC NITROGEN; MARINE-SEDIMENTS; FORAGING ECOLOGY; DIETARY-PROTEIN; YELLOWFIN TUNA; FISH MUSCLE</t>
  </si>
  <si>
    <t>Explaining food web dynamics, stability, and functioning depend substantially on understanding of feeding relations within a community. Bulk stable isotope ratios (SIRs) in natural abundance are well-established tools to express direct and indirect feeding relations as continuous variables across time and space. Along with bulk SIRs, the SIRs of individual amino acids (AAs) are now emerging as a promising and complementary method to characterize the flow and transformation of resources across a diversity of organisms, from microbial domains to macroscopic consumers. This significant AA-SIR capacity is based on empirical evidence that a consumer's SIR, specific to an individual AA, reflects its diet SIR coupled with a certain degree of isotopic differences between the consumer and its diet. However, many empirical ecologists are still unfamiliar with the scope of applicability and the interpretative power of AA-SIR. To fill these knowledge gaps, we here describe a comprehensive approach to both carbon and nitrogen AA-SIR assessment focusing on two key topics: pattern in AA-isotope composition across spatial and temporal scales, and a certain variability of AA-specific isotope differences between the diet and the consumer. On this basis we review the versatile applicability of AA-SIR to improve our understanding of physiological processes as well as food web functioning, allowing us to reconstruct dominant basal dietary sources and trace their trophic transfers at the specimen and community levels. Given the insightful and opportunities of AA-SIR, we suggest future applications for the dual use of carbon and nitrogen AA-SIR to study more realistic food web structures and robust consumer niches, which are often very difficult to explain in nature.</t>
  </si>
  <si>
    <t>e8929</t>
  </si>
  <si>
    <t>10.1002/ece3.8929</t>
  </si>
  <si>
    <t>Size-based changes in trophic ecology and nutritional quality of moon jellyfish (Aurelia labiata)</t>
  </si>
  <si>
    <t>Bayesian mixing model; fatty acid; jellyfish; marine food web; nutrition; stable isotope</t>
  </si>
  <si>
    <t>ISOTOPE MIXING MODELS; FATTY-ACID; STABLE-ISOTOPE; BIOCHEMICAL-COMPOSITION; CYANEA-CAPILLATA; GELATINOUS-ZOOPLANKTON; FISH; DELTA-N-15; PREDATION; LIPIDS</t>
  </si>
  <si>
    <t>Despite their seemingly watery constitution, jellyfish are eaten by a diverse range of predators. However, while the role of jellyfish in marine food webs is gaining attention, the nutritional value of these gelatinous organisms and how it varies remain poorly understood. In this study, we aimed to connect jellyfish food web biology and nutrition by determining the relationship between jellyfish size, diet, and nutritional quality. We measured stable isotope (SI) and fatty acid (FA) profiles of particulate organic matter (POM), plankton size classes, and gelatinous zooplankton collected from a coastal site in British Columbia, Canada, in July and September 2019. Gelatinous zooplankton comprised 152 Aurelia labiata collected across both months (bell diameters = 19-225 mm), and 2 Aequorea victoria and approximately 30 Pleurobrachia bachei collected in July for comparison. According to FA trophic markers and chlorophyll a concentrations, the POM was a mix of phytoplankton, microzooplankton, bacteria, and detritus. According to delta N-15, POM was similar to 1 trophic level lower than plankton. All gelatinous zooplankton had low FA content (5-6 mu g/mg dry mass) compared with zooplankton (43-65 mu g/mg dry mass). A Bayesian mixing model (MixSIAR) was used to assess the contributions of POM and plankton to A. labiata diet, which demonstrated a size-based shift from 40% plankton at 19 mm to 70%-75% at 225 mm. Similarly, both delta C-13 and delta N-15 increased with size and A. labiata of 19 mm were similar to 1 trophic level lower than A. labiata of 225 mm. We also documented size-based changes in nutritional quality of A. labiata, where C:N decreased with A. labiata size, and essential FAs arachidonic acid (ARA) and docosahexaenoic acid (DHA) increased with size while eicosapentaenoic acid (EPA) did not change. A. labiata were elevated in ARA compared with other zooplankton, ranging from 1% to 9%. The changes in C:N and DHA of A. labiata with size mirrored the changes in their diet, but changes in ARA and EPA did not. Overall, these findings emphasize the importance of considering jellyfish size and taxonomy when evaluating nutritional pathways through jellyfish in marine food webs, and support that diet is one important driver of jellyfish biochemical composition.</t>
  </si>
  <si>
    <t>e4430</t>
  </si>
  <si>
    <t>10.1002/ecs2.4430</t>
  </si>
  <si>
    <t>Dawson, TE; Ward, JK; Ehleringer, JR</t>
  </si>
  <si>
    <t>Temporal scaling of physiological responses from gas exchange to tree rings: a gender-specific study of Acer negundo (Boxelder) growing under different conditions</t>
  </si>
  <si>
    <t>age effects; carbon isotope ratio; cultural conditions; dioecious tree; temporal scaling; water stress</t>
  </si>
  <si>
    <t>CARBON-ISOTOPE DISCRIMINATION; WATER-USE EFFICIENCY; TRANSPIRATION EFFICIENCY; POLYGONUM-ARENASTRUM; C-13 DISCRIMINATION; GENOTYPIC VARIATION; GENETIC-VARIATION; STABLE ISOTOPES; ATMOSPHERIC CO2; PLANT ECOLOGY</t>
  </si>
  <si>
    <t>1. Plant responses to water availability may change over time due to seasonality, interannual variation and developmental changes. Our past investigations demonstrated that male and female Boxelder (Acer negundo) exhibit differences in their responses to water availability. Here we use the genders as a model system to: (1) examine if cultural conditions have an effect on instantaneous gas exchange and time-integrated carbon isotope discrimination (Delta); (2) compare these physiological responses across a range of temporal scales (seasonal, annual, interannual); and (3) describe the responses of the genders at different ages to water availability. 2. Under well watered conditions, differences in instantaneous leaf gas exchange and Delta were observed between the genders at all developmental stages. Within a gender, Delta was similar throughout the growing season and between years, indicating a conserved physiological set-point despite changing growth conditions. When water stress was imposed, females exhibited greater reductions in photosynthetic rate and higher stomatal limitations to photosynthesis than males. 3. For well watered plants, a strong correlation existed between time-integrated intercellular leaf [CO2] calculated from Delta(c(i)) and c(i) obtained from instantaneous gas exchange. However, when drought was imposed this correlation weakened in males and was non-existent in females. 4. This study indicates that instantaneous gas exchange and integrated Delta values can be used to characterize leaf-level responses to water availability when growth conditions are relatively constant. However, when water availability fluctuates, care must be taken in equating these measurements because changing conditions may decouple responses integrating different time-scales, and the degree of this decoupling may vary even at the subspecies (gender) level.</t>
  </si>
  <si>
    <t>10.1111/j.0269-8463.2004.00838.x</t>
  </si>
  <si>
    <t>Olsen, S; Cao, Y; Gutierrez, MF; Brucet, S; Landkildehus, F; Lauridsen, TL; Davidson, TA; Sondergaard, M; Jeppesen, E; Risgaard-Petersen, N</t>
  </si>
  <si>
    <t>Effect of a nitrogen pulse on ecosystem N processing at different temperatures: A mesocosm experiment with (NO3-)-N-15 addition</t>
  </si>
  <si>
    <t>N-15 addition; mesocosm; nitrogen pulses; primary production; temperature</t>
  </si>
  <si>
    <t>DISSIMILATORY NITRATE REDUCTION; TOP-DOWN CONTROL; FRESH-WATER; SUBMERGED MACROPHYTES; SHALLOW LAKES; SPECIES RICHNESS; STABLE-ISOTOPES; AMMONIUM DNRA; CLIMATE; DENITRIFICATION</t>
  </si>
  <si>
    <t>Shallow lakes may play an important role for the nitrogen (N) balance in drainage basins by processing, transferring and retaining N inputs. An increase in the frequency of storm-induced short-term N pulses and increased water temperatures are both likely outcomes of climate change, potentially affecting the N processing in lakes. An experiment with a (KNO3-)-N-15 pulse addition (increase in NO3- concentration from c.0.1 to 2mg/L) was carried out in 12 mesocosms with relatively low (applies to Danish lakes) total N (TN) and total phosphorus (TP) concentrations (c.0.3mgNL(-1) and 0.04mgPL(-1)) to assess the effects of an N pulse on N processing and storage in shallow lake ecosystems. The mesocosms have a hydraulic retention time of approximately two and a half months, and at the time of the experiment, they had been adapted to contrasting temperatures for a period of 10years: ambient, T3 (heating according to the Intergovernmental Panelon Climate Change 2007 A2 scenario, +3.7-4.5 degrees C, depending on season) and T5 (heating with A2+50%, +4.9-6.6 degrees C). Macrophytes and filamentous algae retained up to 40% and 30% of the added N-15, respectively, reflecting their high biomass in the mesocosms. Macrophytes and filamentous algae constituted between 70% and 80% of the biomass of all primary producers during the experiment in the T3 and ambient treatments and between 20% and 40% in T5. By comparison, less than 1% of the added N-15 diffused to the sediment and less than 5% was lost to the atmosphere as N-2 gas. Snails represented the long-term storage of N-15, retaining up to 6% of the tracer and with detectable enrichment 100days after tracer addition. We found no significant differences among the temperature treatments in the N-15 turnover after pulse dosing. However, a larger percentage of N-15 was stored in macrophytes in the ambient and T3 mesocosms, reflecting higher biomasses than in T5 where filamentous algae were more abundant. Macrophytes and filamentous algae rather than temperature were therefore key controllers of N processing during the summer N pulse in these shallow, relatively low TP lakes.</t>
  </si>
  <si>
    <t>10.1111/fwb.12940</t>
  </si>
  <si>
    <t>Litz, MNC; Brodeur, RD; Emmett, RL; Heppell, SS; Rasmussen, RS; O'Higgins, L; Morris, MS</t>
  </si>
  <si>
    <t>Effects of variable oceanographic conditions on forage fish lipid content and fatty acid composition in the northern California Current</t>
  </si>
  <si>
    <t>Forage fish; Small coastal pelagics; Lipids; Fatty acids; Bottom-up effects; Warm ocean conditions; EPA; DHA</t>
  </si>
  <si>
    <t>SARDINE SARDINOPS-SAGAX; PRINCE-WILLIAM-SOUND; FOOD-WEB STRUCTURE; INTERANNUAL VARIABILITY; SPECIES COMPOSITION; CURRENT ECOSYSTEM; ENGRAULIS-MORDAX; TROPHIC MARKERS; CLIMATE REGIME; WEST-COAST</t>
  </si>
  <si>
    <t>Lipids and fatty acids (FA) were investigated in 4 species of forage fish: northern anchovy Engraulis mordax, Pacific sardine Sardinops sagax, Pacific herring Clupea pallasi, and whitebait smelt Allosmerus elongatus, for their ability to serve as biological indicators of ocean conditions in the California Current large marine ecosystem (CCLME). Samples were collected during the oceanographically contrasting years of 2005 and 2006. Upwelling was severely curtailed in the spring and early summer of 2005, leading to delayed biological productivity, whereas upwelling was relatively normal in spring 2006. Principal components analysis described 78% of the variance within the lipid and FA dataset using the first 2 principal components. We found significant intra- and interspecific, interannual, and seasonal differences in lipid and FA profiles using univariate and permutation-based multivariate analysis of variance. Indicator species analysis showed distinct lipid and FA properties associated with each fish species. Using the ratio of docosahexaenoic acid (C22:6n-3) to eicosapentaeonic acid (C20:5n-3), we detected a transition from a diet composed primarily of dinoflagellate origin in early 2005 to a diet resulting from diatom-based productivity by late summer 2006. This shift was due to interannual differences in primary production, which was confirmed through phytoplankton sampling. Our study demonstrates that lipid and FA biomarkers in the forage fish community can provide information on ocean conditions and productivity that affect food web structure in the CCLME.</t>
  </si>
  <si>
    <t>10.3354/meps08479</t>
  </si>
  <si>
    <t>Ichinomiya, M; Nakamachi, M; Honda, M; Fukuchi, M; Taniguchi, A</t>
  </si>
  <si>
    <t>Role of heterotrophic dinoflagellates in the fate of diatoms released from fast ice in coastal water of Lutzow-Holm Bay, East Antarctica</t>
  </si>
  <si>
    <t>Heterotrophic dinoflagellates; Diatoms; Ciliates; Fast ice; Antarctica</t>
  </si>
  <si>
    <t>FECAL PELLET PRODUCTION; SEA-ICE; AUSTRAL SUMMER; MICROBIAL COMMUNITIES; PHYTOPLANKTON BLOOMS; SEASONAL-CHANGES; SYOWA STATION; WEDDELL SEA; HUDSON-BAY; DABOB BAY</t>
  </si>
  <si>
    <t>To understand the fate of ice algal diatoms released from fast ice, we investigated the abundance and sinking loss of diatoms and the grazing impact on diatoms by heterotrophic dinoflagellates (HD) under the ice near Syowa Station, Antarctica, during the austral summer of 2005-2006. After a rapid increase, diatoms showed a clear declining phase. Among the diatom assemblage, Porosira pseudodenticulata and Pseudo-nitzschia cf. turgiduloides were abundant in the water column but low in the sinking flux as they are able to maintain their position in the surface layer after release from the fast ice. Potential grazing impact by HD was calculated to reach 233 mg C m(-2) d(-1), equivalent to 48.7% d(-1) of the diatom biomass being removed daily. Only 14.9 to 71.3 mg C m(-2) d(-1) (2.5 to 3.2% d(-1)) was attributable to diatom sinking loss. This suggests that a significant fraction of the diatoms was consumed in the surface layer and the sinking loss was comparatively small. HD often had ingested diatoms in their cells, although ciliates rarely did, and the abundance of HD fecal pellets peaked after the diatom peak. In bottle incubations at in situ temperature, the growth rates of HD ranged from 0 to 0.19 d(-1) ,indicating almost positive growth of HD in the water column. This demonstrates that HD are major consumers of the diatoms released from the fast ice, forming a dominant trophic link between diatoms and HD in the Antarctic under-ice ecosystem.</t>
  </si>
  <si>
    <t>10.3354/meps07966</t>
  </si>
  <si>
    <t>Feng, JY; Shen, XQ; Chen, J; Shi, JC; Xu, JM; Tang, CX; Brookes, PC; He, Y</t>
  </si>
  <si>
    <t>Improved rhizoremediation for decabromodiphenyl ether (BDE-209) in E-waste contaminated soils</t>
  </si>
  <si>
    <t>SOIL ECOLOGY LETTERS</t>
  </si>
  <si>
    <t>Decabromodiphenyl ether (BDE-209); Rhizoremediation; Ryegrass; Rice; Compost; Arbuscular mycorrhizal fungi</t>
  </si>
  <si>
    <t>An experiment was conducted to improve rhizoremediation for decabromodiphenyl ether (BDE-209) contaminated soil from typical E-waste dismantling areas. Plants of ryegrass (Lolium perenne L.) and rice (Oryza sativa L.) were cultivated in aged-contaminated (initial concentration of 346.3 mu g BDE-209$kg(-1)) and freshly-spiked (initial concentration of 3127 mu g BDE-209$kg(-1)) soils, coupling with the agricultural modification strategies of compost addition and/or arbuscular mycorrhizal fungi (AMF) infection, respectively. 60 days' growth of ryegrass significantly facilitated the dissipation of BDE-209, with the most effective in its rhizosphere in treatment inoculated with AMF; the BDE-209 dissipation rates achieved 51.9% and 22.8% in rhizosphere, and 43.5% and 19.8% in non-rhizosphere, for aged-contaminated and freshly-spiked soils, respectively. 120 days' growth of rice with simultaneous inoculation of AMF and addition of compost was the most effective in facilitating BDE-209 dissipation in aged-contaminated soil, with the removal rates of 53.3% and 48.1% in rhizosphere and non-rhizosphere soils respectively; while for freshly-spiked soils, the most effective removal was achieved by compost addition only, with the BDE-209 dissipation rates of 27.9% and 26.6% in rhizosphere and non-rhizosphere soils, respectively. High throughput sequencing analysis of rhizosphere soil DNA showed that responses in microbial communities and their structure differed with plant species, soil pollution dose, AMF inoculation and/or compost addition. Actinomycetales, Xanthomonadales, Burkholderiales, Sphingomonadales, Clostridiales, Cytophagales, Gemmatimonadales and Saprospirales were the sensitive responders and even possibly potential functional microbial groups during the facilitated removal of BDE-209 in soils. This study illustrates an effective rhizoremediation pattern for removal of BDE-209 in pollution soils, through successive cultivation of rice and followed by ryegrass, with rice growth coupled with AMF inoculation and compost addition, while ryegrass growth coupled with AMF inoculation only.</t>
  </si>
  <si>
    <t>10.1007/s42832-019-0007-9</t>
  </si>
  <si>
    <t>Harrington, PD; Cantrell, DL; Lewis, MA</t>
  </si>
  <si>
    <t>Next-generation matrices for marine metapopulations: The case of sea lice on salmon farms</t>
  </si>
  <si>
    <t>marine systems; metapopulation; next-generation matrix; salmon farms; sea lice; source-sink dynamics</t>
  </si>
  <si>
    <t>LEPEOPHTHEIRUS-SALMONIS; BROUGHTON ARCHIPELAGO; ATLANTIC SALMON; REPRODUCTION NUMBERS; WILD SALMON; MODEL; POPULATIONS; DISPERSAL; DYNAMICS; ECOLOGY</t>
  </si>
  <si>
    <t>Classifying habitat patches as sources or sinks and determining metapopulation persistence requires coupling connectivity between habitat patches with local demographic rates. While methods to calculate sources, sinks, and metapopulation persistence exist for discrete-time models, there is no method that is consistent across modeling frameworks. In this paper, we show how next-generation matrices, originally popularized in epidemiology to calculate new infections after one generation, can be used in an ecological context to calculate sources and sinks as well as metapopulation persistence in marine metapopulations. To demonstrate the utility of the method, we construct a next-generation matrix for a network of sea lice populations on salmon farms in the Broughton Archipelago, BC, an intensive salmon farming region on the west coast of Canada where certain salmon farms are currently being removed under an agreement between local First Nations and the provincial government. The column sums of the next-generation matrix can determine if a habitat patch is a source or a sink and the spectral radius of the next-generation matrix can determine the persistence of the metapopulation. With respect to salmon farms in the Broughton Archipelago, we identify the salmon farms which are acting as the largest sources of sea lice and show that in this region the most productive sea lice populations are also the most connected. The farms which are the largest sources of sea lice have not yet been removed from the Broughton Archipelago, and warming temperatures could lead to increased sea louse growth. Calculating sources, sinks, and persistence in marine metapopulations using the next-generation matrix is biologically intuitive, mathematically equivalent to previous methods, and consistent across different modeling frameworks.</t>
  </si>
  <si>
    <t>e10027</t>
  </si>
  <si>
    <t>10.1002/ece3.10027</t>
  </si>
  <si>
    <t>Lortie, CJ; Ganey, DT; Kotler, BP</t>
  </si>
  <si>
    <t>The effects of gerbil foraging on the natural seedbank and consequences on the annual plant community</t>
  </si>
  <si>
    <t>PATCH USE; HABITAT SELECTION; DESERT GRANIVORES; OPTIMAL FORAGERS; PREDATION RISK; FOX SQUIRRELS; RODENTS; COMPETITION; COEXISTENCE; DIET</t>
  </si>
  <si>
    <t>We explicitly tested the following predictions using Gerbillus allenbyi and G. pyramidum foraging on artificial arrays of natural seedbank on a semi-stabilized sand dune: 1. that the gerbils will forage using a quitting harvest rate rule, 2. that larger seeds are preferred due to higher encounter rates, and 3. that there are community level consequences for the annual plants as a direct result of foraging by the desert rodents. Natural seedbank, separated into two size classes, was placed in seed trays in the field at four different densities (1/16 x, 1/4 x, 1 x, and 2 x normal). Following exposure to granivory, the remaining seeds were weighed and germinated to test for community level effects. Only the 1 x and 2 x normal density plots were heavily foraged, and at both seed sizes, which suggests that the gerbils employed a quitting harvest rate rule. In support of our second prediction, the two species of gerbils tended to consume more of the larger seeds, particularly at higher densities. The mean number and total number of plant species that germinated in plots exposed to granivores was not significantly different from unexposed samples. At the community level however, there was no net association of germinated plant species in the four treatment groups exposed to granivores, but a significant net positive association in the unexposed control seedbank. Gerbil foraging on annual plant seedbank may thus subtly change the entire community structure (from positive to neutral), although not necessarily shift the species distributions significantly. Our results corroborate other studies involving artificial food types such as millet and suggest that foraging decisions may affect the plant community.</t>
  </si>
  <si>
    <t>10.1034/j.1600-0706.2000.900221.x</t>
  </si>
  <si>
    <t>Jacobsen, L; Berg, S; Broberg, M; Jepsen, N; Skov, C</t>
  </si>
  <si>
    <t>Activity and food choice of piscivorous perch (Perca fluviatilis) in a eutrophic shallow lake: a radio-telemetry study</t>
  </si>
  <si>
    <t>fish activity; fish behaviour; food choice; perch; telemetry</t>
  </si>
  <si>
    <t>HABITAT USE; FISH; CONSUMPTION; TEMPERATURE; RESERVOIR; PREDATION; BIOMANIPULATION; POPULATION; LIGHT</t>
  </si>
  <si>
    <t>1. Radio transmitters were implanted in large perch (27-37 cm) in a shallow lake in Denmark. Between 6 and 13 perch were tracked every 3 h for 24-h periods twice (summer) or once a month (winter) from August 1997 to July 1998. Activity levels were recorded as minimum distance moved per hour. 2. No significant differences in activity levels of individual fish were observed. 3. Highest activities were observed at daytime with peaks at dawn and dusk or midday. This diel pattern was most pronounced from October to April, whereas diel variations were less in the summer months, with no peaks occurring in midsummer. The general lack of activity at night supports the idea that perch is a visually oriented forager. 4. There was no significant relationship between daytime activity during the year and temperature or day length, but nighttime activity was correlated with temperature. In contrast with previous findings, activity levels varied little seasonally, except for high activity levels that occurred concomitantly with high temperatures in August. Instead, we found a significant relationship between the total distances moved per day and temperature, indicating that perch moved at the same average speed in the wintertime, but did so for shorter periods than in summer because of shorter day lengths. 5. Diet of the tagged perch shifted from fish dominance between August and January to invertebrates from February to June. There was no correlation between the diet shift and activity levels, indicating that feeding on invertebrate requires similar activity levels as predation on fish. 6. The results of this telemetry study throughout a year suggest that perch are more active during the winter than previously inferred from gill-net catches. This observation underscores the importance of perch as a predator of 0+ planktivorous fish in lakes and has potential implications for pelagic food web structure and lake management by biomanipulation.</t>
  </si>
  <si>
    <t>10.1046/j.1365-2427.2002.01005.x</t>
  </si>
  <si>
    <t>Zuijdgeest, AL; Zurbrugg, R; Blank, N; Fulcri, R; Senn, DB; Wehrli, B</t>
  </si>
  <si>
    <t>Seasonal dynamics of carbon and nutrients from two contrasting tropical floodplain systems in the Zambezi River basin</t>
  </si>
  <si>
    <t>PARTICULATE ORGANIC-MATTER; TOTAL DISSOLVED NITROGEN; ISOTOPE COMPOSITION; TANA RIVER; SEDIMENT; WETLAND; AMAZON; IMPACTS; EXPORT; PHOSPHORUS</t>
  </si>
  <si>
    <t>Floodplains are important biogeochemical reactors during fluvial transport of carbon and nutrient species towards the oceans. In the tropics and subtropics, pronounced rainfall seasonality results in highly dynamic floodplain biogeochemistry. The massive construction of dams, however, has significantly altered the hydrography and chemical characteristics of many (sub)tropical rivers. In this study, we compare organic-matter and nutrient biogeochemistry of two large, contrasting floodplains in the Zambezi River basin in southern Africa: the Barotse Plains and the Kafue Flats. Both systems are of comparable size but differ in anthropogenic influence: while the Barotse Plains are still in large parts pristine, the Kafue Flats are bordered by two hydropower dams. The two systems exhibit different flooding dynamics, with a larger contribution of floodplain-derived water in the Kafue Flats and a stronger peak flow in the Barotse Plains. Distinct seasonal differences have been observed in carbon and nutrient concentrations, loads, and export and retention behavior in both systems. The simultaneous retention of particulate carbon and nitrogen and the net export of dissolved organic and inorganic carbon and nitrogen suggested that degradation of particulate organic matter was the dominant process influencing the river biogeochemistry during the wet season in the Barotse Plains and during the dry season in the Kafue Flats. Reverse trends during the dry season indicated that primary production was important in the Barotse Plains, whereas the Kafue Flats seemed to have both primary production and respiration occurring during the wet season, potentially occurring spatially separated in the main channel and on the floodplain. Carbon-to-nitrogen ratios of particulate organic matter showed that soil-derived material was dominant year-round in the Barotse Plains, whereas the Kafue Flats transported particulate organic matter that had been produced in the upstream reservoir during the wet season. Stable carbon isotopes suggested that inputs from the inundated floodplain to the particulate organic-matter pool were important during the wet season, whereas permanent vegetation contributed to the material transported during the dry season. This study revealed effects of dam construction on organic-matter and nutrient dynamics on the downstream floodplain that only become visible after longer periods, and it highlights how floodplains act as large biogeochemical reactors that can behave distinctly differently from the entire catchment.</t>
  </si>
  <si>
    <t>10.5194/bg-12-7535-2015</t>
  </si>
  <si>
    <t>Templer, PH; Weathers, KC; Lindsey, A; Lenoir, K; Scott, L</t>
  </si>
  <si>
    <t>Atmospheric inputs and nitrogen saturation status in and adjacent to Class I wilderness areas of the northeastern US</t>
  </si>
  <si>
    <t>Bulk deposition; Critical load; Throughfall; Ion-exchange resin; Lye Brook Wilderness, Natural abundance stable isotopes, Mixing models, Presidential Range-Dry River Wilderness</t>
  </si>
  <si>
    <t>LYE-BROOK-WILDERNESS; LONG-TERM CHANGES; NEW-YORK; CATSKILL MOUNTAINS; UNITED-STATES; CANOPY INTERACTIONS; ADIRONDACK REGION; NEW-HAMPSHIRE; 2 WATERSHEDS; DEPOSITION</t>
  </si>
  <si>
    <t>Atmospheric inputs of N and S in bulk deposition (open collectors) and throughfall (beneath canopy collectors) were measured in and adjacent to two Class 1 wilderness areas of the northeastern US. In general, atmospheric S inputs followed our expectations with throughfall S fluxes increasing with elevation in the White Mountains, New Hampshire and throughfall S fluxes being greater in coniferous than deciduous stands in both sites. In contrast, throughfall N fluxes decreased significantly with elevation. Throughfall NO3 (-) fluxes were greater in coniferous than deciduous stands of Lye Brook, Vermont, but were greater in deciduous than coniferous stands of the White Mountains. We found overlap in the range of values for atmospheric N inputs between our measurements and monitoring data [National Atmospheric Deposition Program (NADP) and Clean Air Status and Trends Network (CASTNET)] for wet and total (wet + dry) deposition at Lye Brook. However, our measurements of total S deposition in the White Mountains and bulk (wet) deposition at both Lye Brook and the White Mountains were significantly lower than NADP plus CASTNET, and NADP data, respectively. Natural abundance O-18 in throughfall and bulk deposition were not significantly different, suggesting that there was no significant biological production of via nitrification in the canopy. NO3 (-) concentrations in streams were low and had natural abundance O-18 values consistent with microbial production, demonstrating that atmospheric N is being biologically transformed while moving through these watersheds and that these forested watersheds are unlikely to be N saturated.</t>
  </si>
  <si>
    <t>10.1007/s00442-014-3121-5</t>
  </si>
  <si>
    <t>Bal, KD; Brion, N; Woule-Ebongue, V; Schoelynck, J; Jooste, A; Barron, C; Dehairs, F; Meire, P; Bouma, TJ</t>
  </si>
  <si>
    <t>Influence of hydraulics on the uptake of ammonium by two freshwater plants</t>
  </si>
  <si>
    <t>flume; macrophytes; nutrients</t>
  </si>
  <si>
    <t>NITROGEN UPTAKE; NITRATE UPTAKE; SUBMERGED MACROPHYTES; CURRENT VELOCITY; GROWTH; FLOW; RIVER; PHOSPHORUS; BIOMASS; STIFFNESS</t>
  </si>
  <si>
    <t>Macrophytes are important in the biogeochemistry of flowing rivers, although most information so far has relied on measurements of nutrients in plant tissues. This yields only indirect information on the nutrient uptake fluxes by roots and shoots and about nutrient translocation between roots and shoots. Here, we studied nitrogen uptake through experiments with enriched N-15 stable isotopes. Two macrophytes (Potamogeton natans and Ranunculus fluitans) were grown in a closed race track-shaped flume, allowing us to control the hydraulic conditions in and around the plants. Overall ammonium uptake rates (mol g(-1) dry mass h(-1)) were higher for R.fluitans than P.natans. In addition to differences between the species, the spatial position of individuals within the plant patch and water flow were also important in explaining ammonium uptake. Thus, ammonium uptake was high at the leading edge of the patch and increased with velocity. Plant characteristic, such as the angle at which the plants bent in the flow, was also correlated with ammonium uptake. Differences in nutrient uptake associated with hydrodynamic parameters raised the question of how the two are related. For both species, uptake was not correlated with Reynolds stress, indicating the poor effect of turbulent mixing in determining ammonium uptake.</t>
  </si>
  <si>
    <t>10.1111/fwb.12222</t>
  </si>
  <si>
    <t>Vandermyde, JM; Whitledge, GW</t>
  </si>
  <si>
    <t>Otolith delta N-15 distinguishes fish from forested and agricultural streams in southern Illinois</t>
  </si>
  <si>
    <t>STABLE NITROGEN ISOTOPES; OTOLITHS; RIVER</t>
  </si>
  <si>
    <t>We investigated the ability of otolith stable nitrogen isotope ratio delta N-15) to discriminate among fishes from southern Illinois streams that differed in proportions of watershed agricultural land. Otolith delta N-15 was nearly as effective as muscle delta N-15 in identifying fishes from individual sites with different percentages of agricultural land cover; both had accuracies of &gt; 75%. However, because of the relatively low N content of otoliths, substantial amounts (similar to 8 mg) of otolith material are required for delta N-15 analysis compared to fish muscle tissue (similar to 0.3 mg), which precludes the use of otolith delta N-15 as an indicator of dietary and environmental history for small fishes.</t>
  </si>
  <si>
    <t>10.1080/02705060.2008.9664206</t>
  </si>
  <si>
    <t>Klosterhalfen, A; Herbst, M; Weihermuller, L; Graf, A; Schmidt, M; Stadler, A; Schneider, K; Subke, JA; Huisman, JA; Vereecken, H</t>
  </si>
  <si>
    <t>Multi-site calibration and validation of a net ecosystem carbon exchange model for croplands</t>
  </si>
  <si>
    <t>AgroC; Soil respiration; Carbon balance; Winter wheat; Grassland; NEE</t>
  </si>
  <si>
    <t>LOLIUM-PERENNE L; SOIL HETEROTROPHIC RESPIRATION; LAND-SURFACE MODELS; EDDY-COVARIANCE; WINTER-WHEAT; CARBOHYDRATE CONTENT; ROOT RATIOS; CO2 EFFLUX; LONG-TERM; FLUXES</t>
  </si>
  <si>
    <t>Croplands play an important role in the carbon budget of many regions. However, the estimation of their carbon balance remains difficult due to diversity and complexity of the processes involved. We report the coupling of a one-dimensional soil water, heat, and CO2 flux model (SOILCO2), a pool concept of soil carbon turnover (RothC), and a crop growth module (SUCROS) to predict the net ecosystem exchange (NEE) of carbon. The coupled model, further referred to as AgroC, was extended with routines for managed grassland as well as for root exudation and root decay. In a first step, the coupled model was applied to two winter wheat sites and one upland grassland site in Germany. The model was calibrated based on soil water content, soil temperature, biometric, and soil respiration measurements for each site, and validated in terms of hourly NEE measured with the eddy covariance technique. The overall model performance of AgroC was sufficient with a model efficiency above 0.78 and a correlation coefficient above 0.91 for NEE. In a second step, AgroC was optimized with eddy covariance NEE measurements to examine the effect of different objective functions, constraints, and data-transformations on estimated NEE. It was found that NEE showed a distinct sensitivity to the choice of objective function and the inclusion of soil respiration data in the optimization process. In particular, both positive and negative day- and nighttime fluxes were found to be sensitive to the selected optimization strategy. Additional consideration of soil respiration measurements improved the simulation of small positive fluxes remarkably. Even though the model performance of the selected optimization strategies did not diverge substantially, the resulting cumulative NEE over simulation time period differed substantially. Therefore, it is concluded that data transformations, definitions of objective functions, and data sources have to be considered cautiously when a terrestrial ecosystem model is used to determine NEE by means of eddy covariance measurements. (C) 2017 Elsevier B.V. All rights reserved.</t>
  </si>
  <si>
    <t>10.1016/j.ecolmodel.2017.07.028</t>
  </si>
  <si>
    <t>Starrs, PF</t>
  </si>
  <si>
    <t>Transhumance as Antidote for Modern Sedentary Stock Raising</t>
  </si>
  <si>
    <t>American West; canadas; common property resources; ecosystem services; Spain; stock driveways; transhumance</t>
  </si>
  <si>
    <t>CULTURAL LANDSCAPES; DEHESAS; MANAGEMENT; SPAIN; CONSERVATION; PERSISTENCE; KNOWLEDGE; HISTORY</t>
  </si>
  <si>
    <t>Few grazing themes so endure yet are so difficult for outsiders to document with certainty as historical and current-day livestock grazing routes: stock driveways. Excursions from one biome, ecotone, or landscape to another-in general, undertaken to seasonal cues - allow livestock owners and their hired herders to exploit different environments that offer notable advantages in terms of freeing livestock from unvarying diet, overtaxed grazing grounds, common diseases, and cycles of drought or drenching rain. Movement at whatever scale permits herders or shepherds an escape from monotony when they shift grazing grounds to montane-woodlands or back to lowland environments in travel that benefits both jaded humans and husbanded animals. Significant economic and ecological advantages accrue from the shifts of seasonal silvopastoralism, but the terrain, and in particular the routes animals travel, often stretch across varied land ownerships, and sifting out rights of passage is an ethnographic adventure requiring longstanding observation and consistent fieldwork. Formal scholarship about the road between is less established than literature of the trail, which is a staple feature of folklore, film, and fiction. As concern grows about the energy costs of using highways or railroads to move livestock, attention returns to traditional practices and legal accommodations that make possible trailing livestock under their own power. Across Europe are 4 million ha of land associated with livestock driveways, once widespread in the United States as an item of Spanish-Mexican heritage. This synthesis focuses on livestock driveway establishment in two landscapes: Spain and, secondarily, the western United States of America, with an overarching theme of how stock driveways can connect ecosystems and, by sustaining customary use, knit together silvopastoral society. (C) 2018 The Society for Range Management. Published by Elsevier Inc. All rights reserved.</t>
  </si>
  <si>
    <t>10.1016/j.rama.2018.04.011</t>
  </si>
  <si>
    <t>Olson, AM; Hessing-Lewis, M; Haggarty, D; Juanes, F</t>
  </si>
  <si>
    <t>Nearshore seascape connectivity enhances seagrass meadow nursery function</t>
  </si>
  <si>
    <t>eelgrass; food web; habitat complexity; habitat configuration; kelp forests; predator-prey interactions; rockfish; spatial subsidies; stable isotopes; Zostera marina</t>
  </si>
  <si>
    <t>CORAL-REEF FISH; ROCKFISH CONSERVATION AREAS; HABITAT COMPLEXITY; STRUCTURAL COMPLEXITY; RELATIVE IMPORTANCE; BRITISH-COLUMBIA; VANCOUVER-ISLAND; PREDATION RISK; PACIFIC SALMON; SEBASTES SPP.</t>
  </si>
  <si>
    <t>Diverse habitats composing coastal seascapes occur in close proximity, connected by the flux of materials and fauna across habitat boundaries. Understanding how seascape connectivity alters important ecosystem functions for fish, however, is not well established. For a seagrass-dominant seascape, we predicted that configuration and composition of adjacent habitats would alter habitat access for fauna and trophic subsidies, enhancing nursery function for juvenile fish. In an extensive Zostera marina seagrass meadow, we established sites adjacent to (1) highly complex and productive kelp forests (Nereocystis luetkeana), (2) unvegetated sand habitats, and (3) in the seagrass meadow interior. Using SCUBA, we conducted underwater observations of young-of the-year (YOY) rockfish (Sebastes spp.) recruitment across sites. Using generalized linear mixed effects models, we assessed the role of seascape adjacency relative to seagrass provisions (habitat complexity and prey) on YOY recruitment. YOY rockfish collections were used to trace sources of allochthonous vs. autochthonous primary production in the seagrass food web, via a delta C-13 and delta N-15 isotopic mixing model, and prey consumption using stomach contents. Overall, seagrass nursery function was strongly influenced by adjacent habitats and associated subsidies. Allochthonous N. luetkeana was the greatest source of energy assimilated by YOY rockfish within seagrass sites. In seagrass sites adjacent to N. luetkeana kelp forests, YOYs consumed higher quality prey, which corresponded with better body condition relative to sites adjacent to sand. Moreover, kelp forest adjacency enhanced YOY rockfish recruitment within the seagrass meadow, suggesting that habitat complexity is a key seascape feature influencing the nursery function of nearshore habitats. In general, to promote seascape connectivity, the conservation and restoration of nursery habitats should prioritize the inclusion of habitat mosaics of high structural complexity and productivity. We illustrate and emphasize the importance of using a seascape-level approach that considers linkages among habitats for the management of important nearshore ecosystem functions.</t>
  </si>
  <si>
    <t>e01897</t>
  </si>
  <si>
    <t>10.1002/eap.1897</t>
  </si>
  <si>
    <t>Clemmensen, KE; Durling, MB; Michelsen, A; Hallin, S; Finlay, RD; Lindahl, BD</t>
  </si>
  <si>
    <t>A tipping point in carbon storage when forest expands into tundra is related to mycorrhizal recycling of nitrogen</t>
  </si>
  <si>
    <t>Arctic warming; carbon sequestration; decomposition; functional genes; meta-barcoding; mycorrhizal type; nitrogen cycling; soil fungal communities; stable isotopes; treeline ecotone</t>
  </si>
  <si>
    <t>ECTOMYCORRHIZAL FUNGI; LITTER DECOMPOSITION; SOIL; VEGETATION; ABUNDANCE; SHRUB; SEQUESTRATION; CORTINARIUS; ECOSYSTEMS; MECHANISMS</t>
  </si>
  <si>
    <t>Tundra ecosystems are global belowground sinks for atmospheric CO2. Ongoing warming-induced encroachment by shrubs and trees risks turning this sink into a CO2 source, resulting in a positive feedback on climate warming. To advance mechanistic understanding of how shifts in mycorrhizal types affect long-term carbon (C) and nitrogen (N) stocks, we studied small-scale soil depth profiles of fungal communities and C-N dynamics across a subarctic-alpine forest-heath vegetation gradient. Belowground organic stocks decreased abruptly at the transition from heath to forest, linked to the presence of certain tree-associated ectomycorrhizal fungi that contribute to decomposition when mining N from organic matter. In contrast, ericoid mycorrhizal plants and fungi were associated with organic matter accumulation and slow decomposition. If climatic controls on arctic-alpine forest lines are relaxed, increased decomposition will likely outbalance increased plant productivity, decreasing the overall C sink capacity of displaced tundra.</t>
  </si>
  <si>
    <t>10.1111/ele.13735</t>
  </si>
  <si>
    <t>Hagedorn, F; Kammer, A; Schmidt, MWI; Goodale, CL</t>
  </si>
  <si>
    <t>Nitrogen addition alters mineralization dynamics of 13C-depleted leaf and twig litter and reduces leaching of older DOC from mineral soil</t>
  </si>
  <si>
    <t>beech forest; carbon cycling; decomposition; dissolved organic matter; isotope tracing; nitrogen deposition; soil organic matter</t>
  </si>
  <si>
    <t>DISSOLVED ORGANIC-MATTER; FOREST LITTER; CARBON; DEPOSITION; DECOMPOSITION; RESPIRATION; TEMPERATE; ACIDIFICATION; RELEASE; CO2</t>
  </si>
  <si>
    <t>Recent reviews indicate that N deposition increases soil organic matter (SOM) storage in forests but the undelying processes are poorly understood. Our aim was to quantify the impacts of increased N inputs on soil C fluxes such as C mineralization and leaching of dissolved organic carbon (DOC) from different litter materials and native SOM. We added 5.5 similar to g similar to N similar to m-2 similar to yr-1 as NH4NO3 over 1 similar to year to two beech forest stands on calcareous soils in the Swiss Jura. We replaced the native litter layer with 13C-depleted twigs and leaves (d13C: -38.4 and -40.8 parts per thousand) in late fall and measured N effects on litter- and SOM-derived C fluxes. Nitrogen addition did not significantly affect annual C losses through mineralization, but altered the temporal dynamics in litter mineralization: increased N inputs stimulated initial mineralization during winter (leaves: +25%; twigs: +22%), but suppressed rates in the subsequent summer. The switch from a positive to a negative response occurred earlier and more strongly for leaves than for twigs (-21% vs. 0%). Nitrogen addition did not influence microbial respiration from the nonlabeled calcareous mineral soil below the litter which contrasts with recent meta-analysis primarily based on acidic soils. Leaching of DOC from the litter layer was not affected by NH4NO3 additions, but DOC fluxes from the mineral soils at 5 and 10 similar to cm depth were significantly reduced by 17%. The 13C tracking indicated that litter-derived C contributed less than 15% of the DOC flux from the mineral soil, with N additions not affecting this fraction. Hence, the suppressed DOC fluxes from the mineral soil at higher N inputs can be attributed to reduced mobilization of nonlitter derived older DOC. We relate this decline to an altered solute chemistry by NH4NO3 additions, an increased ionic strength and acidification resulting from nitrification, rather than to a change in microbial decomposition.</t>
  </si>
  <si>
    <t>10.1111/j.1365-2486.2011.02603.x</t>
  </si>
  <si>
    <t>Alewell, C; Schaub, M; Conen, F</t>
  </si>
  <si>
    <t>A method to detect soil carbon degradation during soil erosion</t>
  </si>
  <si>
    <t>ORGANIC-CARBON; URSEREN VALLEY; CLIMATE-CHANGE; RATES; CESIUM-137; ISOTOPES; FALLOUT; RADIONUCLIDES; DEPOSITION; DYNAMICS</t>
  </si>
  <si>
    <t>Soil erosion has been discussed intensively but controversial both as a significant source or a significant sink of atmospheric carbon possibly explaining the gap in the global carbon budget. One of the major points of discussion has been whether or not carbon is degraded and mineralized to CO2 during detachment, transport and deposition of soil material. By combining the caesium-137 (Cs-137) approach (quantification of erosion rates) with stable carbon isotope signatures (process indicator of mixing versus degradation of carbon pools) we were able to show that degradation of carbon occurs during soil erosion processes at the investigated mountain grasslands in the central Swiss Alps (Urseren Valley, Canton Uri). Transects from upland (erosion source) to wetland soils (erosion sinks) of sites affected by sheet and land slide erosion were sampled. Analysis of Cs-137 yielded an input of 2 and 4.6 tha(-1) yr(-1) of soil material into the wet-lands sites. Assuming no degradation of soil organic carbon during detachment and transport, carbon isotope signature of soil organic carbon in the wetlands could only be explained with an assumed 500-600 and 350-400 years of erosion input into the wetlands Laui and Spissen, respectively. The latter is highly unlikely with alpine peat growth rates indicating that the upper horizons might have an age between 7 and 200 years. While we do not conclude from our data that eroded soil organic carbon is generally degraded during detachment and transport, we propose this method to gain more information on process dynamics during soil erosion from oxic upland to anoxic wetland soils, sediments or water bodies.</t>
  </si>
  <si>
    <t>10.5194/bg-6-2541-2009</t>
  </si>
  <si>
    <t>Wei, LL; Yan, CL; Wu, GR; Guo, XY; Ye, BB</t>
  </si>
  <si>
    <t>Variation of delta C-13 in Aegiceras corniculatum seedling induced by cadmium application</t>
  </si>
  <si>
    <t>Aegiceras corniculatum; cadmium treatment; carbon stable isotope composition (delta C-13)</t>
  </si>
  <si>
    <t>CARBON-ISOTOPE DISCRIMINATION; HEAVY-METAL STRESS; DIFFERENT ORGANS; STABLE-ISOTOPES; GREY MANGROVE; LEAVES; PHOTOSYNTHESIS; DROUGHT; COPPER; LEAD</t>
  </si>
  <si>
    <t>To test whether the values of delta C-13 in mangrove plants are affected by Cd application, the seedlings of Aegiceras corniculatum, a dominant mangrove species, were cultured in soil supplied with CdCl2 solution at the concentration of 0, 0.5, 2.5, 5, 20, 30 and 50 CdCl2 mg/kg wet soils. Plants were grown in 10 replicate pots with 5 propagules each. After 5 months of Cd exposure, three pots contained 15 seedlings with average shoot heights were selected for each treatment. Leaves and roots of seedling were sampled respectively and analyzed for delta C-13. Growth traits (fresh weight, shoot height and root length), total chlorophyll content, and Cd concentrations in leaf, root and dry soil were determined. After 5 months of the seedling growth, the concentrations of Cd in dry soil were 0.47, 0.83, 2.77, 4.54, 18.89, 29.79 and 47.35 mg/ kg respectively. The values of delta C-13 in roots and leaves were affected to some extent by Cd application. Although root delta C-13 showed more sensitive to Cd compared with leaves, the values of delta C-13 in roots were not significantly affected by Cd until Cd level higher than 29.78 mg/kg which was not expected to exist in natural environments. Minor variation in delta C-13 values observed in roots and leaves was likely due to limited Cd uptake by seedlings and subsequent lack of negative impacts on photosynthesis.</t>
  </si>
  <si>
    <t>10.1007/s10646-008-0201-5</t>
  </si>
  <si>
    <t>Wang, GH</t>
  </si>
  <si>
    <t>The western Ordos plateau as a biodiversity center of relic shrubs in arid areas of China</t>
  </si>
  <si>
    <t>conservation priority; mining; rare species; The Western Ordos National Natural Reserve; threatened species</t>
  </si>
  <si>
    <t>HABITAT FRAGMENTATION</t>
  </si>
  <si>
    <t>The western Ordos plateau in the central-north of China is abundant in relic shrub species. Totally 54 shrub species belonging to 31 genera in 16 families are found in 10 desert shrub communities,including 10 local endemic species, five relic shrub species, and seven threatened species defined by the China Red Data Book. The percentage of the threatened shrub species to the total is as high as 12.9%, much greater than the national average (3.5%). Although a National Natural Reserve has been established since 1998 in the western Ordos plateau, the exploitation of mining resources continues to expand at a significant biological cost. Given the circumstances, future conservation efforts should focus on (1) removing coking and cement facilities from the reserve; (2) defining the boundaries of the Western Ordos National Natural Reserve encompassing all habitats where these shrub species occur; (3) implementing comprehensive plans coupling conservation with economic development; (4) enforcing ecological restoration after mining; and (5) establishing comprehensive population monitoring systems and promoting ex situ conservation. In addition, two local endemic relic species (Tetraena mongolica and Helianthemum ordosicum), which were defined as rare species in the second conservation priority by the China Red Data Book, should be considered as endangered species in the first conservation priority rank due to the extremely restricted distribution ranges, extremely scarce populations and more prominently, the currently increasing human disturbances caused by mining and urbanization in the core conservation area of the western Ordos plateau.</t>
  </si>
  <si>
    <t>10.1007/s10531-004-0386-8</t>
  </si>
  <si>
    <t>Sohel, MSI; Herbohn, J; Nehemy, MF; McDonnell, JJ</t>
  </si>
  <si>
    <t>Differences between stem and branch xylem water isotope composition in four tropical tree species</t>
  </si>
  <si>
    <t>branch water; fractionation; hydrogen isotope; isotope enrichment; oxygen isotope; stem water; xylem water</t>
  </si>
  <si>
    <t>PLANT WATER; SOIL-WATER; PHYSIOLOGICAL CONTROLS; OXYGEN; RATIOS; PRECIPITATION; TEMPERATURE; EXTRACTION; RINGS; IDENTIFICATION</t>
  </si>
  <si>
    <t>Stable isotope studies (delta H-2 and delta O-18) of water within plants are providing new information on water sources, competitive interactions and water use patterns under natural conditions. This is based on the assumption that there is no fractionation at the time of water uptake or during its transport within trees. However, previous studies have found fractionation does occur in water taken up through the roots in halophytic and xerophytic plants. It is unclear how widespread such fractionation is in other species. In this study, we tested this fractionation by comparing stem and branch xylem water isotopes over the period of one day (from 8 am to 5 pm) in four wet tropical rainforest tree species (Dendrocnide photinophylla, Aphananthe philippinensis, Daphnandra repandula and Mallotus polyadenos). We found branch water isotope ratios (delta H-2 and delta O-18) were enriched compared with stem xylem water isotopes. D. photinophylla had a significantly different branch delta O-18 ratio than A. philippinensis, D. repandula and M. polyadenos. In contrast, there were no significant differences in stem xylem delta O-18 among the four observed tree species. We found clear differences in the stable isotope ratios of delta O-18 for stem and branch xylem water for D. photinophylla and D. repandula of upto -0.85% and 0.50%, respectively. Remarkable delta H-2 differences were also found between stem and branch xylem water isotope ratios for A. philippinensis, D. repandula and M. polyadenos, being upto -12.14%, -16.17% and -9.65%, respectively. A dual isotope (delta H-2-delta O-18) plot showed branch water values were more enriched than stem xylem water values for D. photinophylla and D. repandula, indicating a clear difference between stem and branch xylem water. This study suggests that delta H-2 and delta O-18 fractionation could be a species-specific phenomenon in tropical trees, which has important implications for plant water source identification and evapotranspiration partitioning.</t>
  </si>
  <si>
    <t>10.1002/eco.2547</t>
  </si>
  <si>
    <t>Joy, PJ; Stricker, CA; Ivanoff, R; Wipfli, MS; Seitz, AC; Tyers, M</t>
  </si>
  <si>
    <t>Bridging the Gap Between Salmon Spawner Abundance and Marine Nutrient Assimilation by Juvenile Salmon: Seasonal Cycles and Landscape Effects at the Watershed Scale</t>
  </si>
  <si>
    <t>Marine-derived nutrient; Salmon; Assimilation; Watershed; Spawner abundance; Habitat</t>
  </si>
  <si>
    <t>ELEMENTS TRANSPORTED UPSTREAM; ANADROMOUS SOCKEYE-SALMON; STABLE-ISOTOPE RATIOS; COPPER RIVER DELTA; COHO SALMON; PACIFIC SALMON; ONCORHYNCHUS-KISUTCH; FRESH-WATER; STREAM PRODUCTIVITY; SOUTHEASTERN ALASKA</t>
  </si>
  <si>
    <t>Anadromous Pacific salmon are semelparous, and resource subsidies from spawning adults (marine-derived nutrients, or MDN) benefit juvenile salmonids rearing in freshwater. However, it remains unclear how MDN assimilation relates to spawner abundance within a watershed. To address this, we examined seasonal, watershed-scale patterns of MDN assimilation in rearing coho (Oncorhynchus kisutch) and Chinook (O. tshawytscha) salmon and compared it with spawner biomass and landscape features in a western Alaska watershed with contrasting structural complexity in two sub-drainages. Adult salmon biomass density was estimated from escapement and spawner distribution data, and MDN assimilation in juvenile salmon was estimated via stable isotopes. In the North River, MDN assimilation was lowest in early summer, prior to annual spawning migrations, increased after spawning, and peaked in late winter. In the more complex mainstem Unalakleet River, MDN assimilation was higher but varied minimally from summer through fall before increasing in late fall and winter. Summer MDN assimilation, prior to salmon spawning, was primarily a function of habitat complexity, where MDN was highest in sloughs and the more complex mainstem river. After salmon spawned, fall MDN assimilation was a function of adult pink and Chinook salmon biomass as well as MDN assimilation that occurred prior to spawning (that is, summer MDN), but unrelated to total summer biomass (all salmon species biomass combined). Thus, MDN assimilation by juvenile salmon in the fall was a function of species-specific adult spawner abundance but seasonal patterns of MDN assimilation were masked in complex habitat where summer MDN assimilation remained high.</t>
  </si>
  <si>
    <t>10.1007/s10021-019-00406-5</t>
  </si>
  <si>
    <t>Miluchova, M; Gabor, M; Gasper, J</t>
  </si>
  <si>
    <t>Analysis of the Genetic Structure of Slovak Holstein Cattle Using Seven Candidate Genes Related to Milk Quality</t>
  </si>
  <si>
    <t>genetic structure; heterozygosity; milk; Holstein cattle</t>
  </si>
  <si>
    <t>FATTY-ACID-COMPOSITION; STEAROYL-COA DESATURASE; KAPPA-CASEIN GENE; ECONOMICALLY IMPORTANT TRAITS; ELEMENT-BINDING PROTEIN-1; DAIRY-CATTLE; FASN GENE; BOVINE DGAT1; POLYMORPHISM; DIVERSITY</t>
  </si>
  <si>
    <t>Milk is an important component of human nutrition, and its composition and milk yield fundamentally affect the economy of dairy farms. Genetic variability is a fundamental premise for livestock breeding and is commonly used in the identification of individual animals and in selection to improve performance. The aims of this study were to propose a rapid detection method for genes affecting the nutritional value and technological properties of bovine milk (FADS1, FADS2, FASN, SCD, DGAT1, CSN2 and CSN3) and to analyze Slovak Holstein cattle to widen knowledge on their genetic structure for these candidate genes. Genotyping was performed by the polymerase chain reaction-restriction fragment length polymorphism (PCR-RFLP) and artificially created restriction site-polymerase chain reaction (ACRS-PCR) methods. Heterozygosity is an important factor for estimating genetic variation in domestic animals and represents the genetic potential and ability to adapt to the natural environment. In this study, Holstein cattle showed high heterozygosity values for markers FADS1-07 and CSN2-H67P. In contrast, they showed high homozygosity values for markers FADS1-01, FADS2-23, FASN-16024, SCD-T878C, DGAT1-K232A and CSN3-D148A. These results suggest that genetic diversity has been reduced, which may be due to breeding effects.</t>
  </si>
  <si>
    <t>10.3390/d14110989</t>
  </si>
  <si>
    <t>The energetic contributions of aquatic primary producers to terrestrial food webs in a mid-size river system</t>
  </si>
  <si>
    <t>aquatically derived energy; food web; mid-size river; phytoplankton; riparian; Scioto River; Ohio; USA; terrestrial consumers</t>
  </si>
  <si>
    <t>STABLE-ISOTOPE; CARBON-SOURCES; STREAM; NITROGEN; LANDSCAPE; DYNAMICS; INVERTEBRATES; DELTA-N-15; SUBSIDIES; LINKAGES</t>
  </si>
  <si>
    <t>Rivers are increasingly recognized as providing nutritional subsidies (i.e.,energy and nutrients) to adjacent terrestrial food webs via depredation of aquatic organisms (e.g., emergent aquatic insects, crayfish, fish) by terrestrial consumers. However, because these prey organisms assimilate energy from both aquatic (e.g., benthic algae, phytoplankton, aquatic macrophytes) and terrestrial (e.g., riparian leaf detritus) primary producers, river subsidies to terrestrial consumers represent a combination of aquatically and terrestrially derived energy. To date, the explicit contribution of energy derived from aquatic primary producers to terrestrial consumers has not been fully explored yet might be expected to be quantitatively important to terrestrial food webs. At 12 reaches along a 185-km segment of the sixth-order Scioto River system (Ohio, USA), we quantified the relative contribution of energy derived from aquatic primary producers to a suite of terrestrial riparian consumers that integrate the adjacent landscape across multiple spatial scales through their foraging activities (tetragnathid spiders, rove beetles, adult coenagrionid damselflies, riparian swallows, and raccoons). We used naturally abundant stable isotopes (C-13 and N-15) of periphyton, phytoplankton, macrophytes, and terrestrial vegetation to evaluate the energetic contribution of aquatic primary producers to terrestrial food webs. Shoreline tetragnathid spiders were most reliant on aquatic primary producers (50%), followed by wider-ranging raccoons (48%), damselflies (44%), and riparian swallows (41%). Of the primary producers, phytoplankton (19%) provisioned the greatest nutritional contribution to terrestrial consumers (considered collectively), followed by periphyton (14%) and macrophytes (11%). Our findings provide empirical evidence that aquatic primary producers of large streams and rivers can be a critical nutritional resource for terrestrial food webs. We also show that aquatically derived nutrition contributes to both shoreline and broader-ranging terrestrial consumers and thus may be an important landscape-scale energetic linkage between rivers and upland habitats.</t>
  </si>
  <si>
    <t>10.1890/15-1095.1</t>
  </si>
  <si>
    <t>Lu, XH; Jensen, KH; Jin, MG; Wang, PF</t>
  </si>
  <si>
    <t>EFFECT OF UNSATURATED FLOW MODEL CONCEPTUALIZATION ON THE DYNAMIC RESPONSE OF AN INTEGRATED DISTRIBUTED HYDROLOGICAL MODEL</t>
  </si>
  <si>
    <t>unsaturated flow model; lag effect; groundwater and surface water coupling; hydrodynamic response; MIKESHE</t>
  </si>
  <si>
    <t>SURFACE-WATER; GROUNDWATER; SIMULATION; INSIGHTS; IMPACTS; DENMARK</t>
  </si>
  <si>
    <t>Water dynamics in the unsaturated zone is one of the most important processes as it controls model precision. One of the limitations in using a catchment model based on a Richards' equation is the huge amount of parameters required to run the model. In this study, we investigate the effect of unsaturated flow conceptualization models on the dynamic response of an integrated distributed hydrological model, which are (1) Richards equation (simple parameterization RI2) (2) Two layer water balance model (TLM). The physically based distributed modelling system, MIKESHE is applied to the Skjern catchment with the objective to test and analyze the effect of using different models for unsaturated flow on the dynamic response of an integrated distributed hydrological model. Results from this study show that regarding peak discharge at the catchment outlet follows the TLM, RI2 sequence. Similar results were found for the discharge characteristics of the sub basin. The close agreement between the simulated results of the two models also indicates that the simple TLM model is more suitable than the complex Richard equation model at least for the condition of the Skjern catchment, while its weaknesses is not describing the groundwater dynamics well.</t>
  </si>
  <si>
    <t>10.15666/aeer/1503_091103</t>
  </si>
  <si>
    <t>Acevedo, J; Capella, J; Cheeseman, T; Monnahan, CC; Southerland, K; Acuna, P; Aguayo-Lobo, A</t>
  </si>
  <si>
    <t>First evidence of interchange of humpback whales (Megaptera novaeangliae) between the Magellan Strait and Antarctic Peninsula feeding grounds</t>
  </si>
  <si>
    <t>Eastern South Pacific; Interchange; Humpback whale (Megaptera novaeangliae); Magellan strait; Antarctic Peninsula</t>
  </si>
  <si>
    <t>POPULATION-STRUCTURE; DELTA-C-13; MOVEMENTS; VALUES</t>
  </si>
  <si>
    <t>Eastern South Pacific humpback whales (Megaptera novaeangliae) migrate to three distinct mid- to high-latitude feeding areas. While movements between local breeding sites have been reported, interchange among the feeding areas has not been documented and thus has assumed not to exist. Identifying photographs of 187 humpback whales in the Magellan Strait were compared with 2,553 whales from the Antarctic Peninsula feeding area, resulting in two matches. Additionally, 37 skin samples collected at the Magellan Strait were analyzed for carbon and nitrogen stable isotopes, resulting in evidence that two other individuals traveled to the Antarctic Peninsula. Our findings provide the first known evidence of interchange between two of these feeding areas in the eastern South Pacific. The data suggest a very limited interchange, but demonstrate that some whales may permanently leave the Magellan Strait, or perform short, round-trip movement between these areas. This previously undocumented interchanges do not necessarily change existing management recommendations that the Magellan Strait is a demographically independent feeding area, but does suggest that future abundance estimate models should assume low immigration rates. Further research to better understand the extent and frequency of interchange in the austral region of South America is needed, as this will further clarify the population structure of these whales leading to more accurate scientific knowledge supporting the conservation and management of the species.</t>
  </si>
  <si>
    <t>10.1007/s00300-021-02827-2</t>
  </si>
  <si>
    <t>Ye, FC; Jurikova, H; Angiolini, L; Brand, U; Crippa, G; Henkel, D; Laudien, J; Hiebenthal, C; Smajgl, D</t>
  </si>
  <si>
    <t>Variation in brachiopod microstructure and isotope geochemistry under low-pH-ocean acidification conditions</t>
  </si>
  <si>
    <t>ACID-BASE-BALANCE; CARBON-ISOTOPE; PHYSIOLOGICAL ENERGETICS; SEAWATER ACIDIFICATION; SCLERACTINIAN CORALS; STABLE-ISOTOPES; ELEVATED PCO(2); SHELL STRUCTURE; TERM EXPOSURE; GLOBAL CHANGE</t>
  </si>
  <si>
    <t>In the last few decades and in the near future CO2-induced ocean acidification is potentially a big threat to marine calcite-shelled animals (e.g. brachiopods, bivalves, corals and gastropods). Despite the great number of studies focusing on the effects of acidification on shell growth, metabolism, shell dissolution and shell repair, the consequences for biomineral formation remain poorly understood. Only a few studies have addressed the impact of ocean acidification on shell microstructure and geochemistry. In this study, a detailed microstructure and stable isotope geochemistry investigation was performed on nine adult brachiopod specimens of Magellania venosa (Dixon, 1789). These were grown in the natural environment as well as in controlled culturing experiments under different pH conditions (ranging from 7.35 to 8.15 +/- 0.05) over different time intervals (214 to 335 days). Details of shell microstructural features, such as thickness of the primary layer, density and size of endopunctae and morphology of the basic structural unit of the secondary layer were analysed using scanning electron microscopy. Stable isotope compositions (delta C-13 and delta O-18) were tested from the secondary shell layer along shell ontogenetic increments in both dorsal and ventral valves. Based on our comprehensive dataset, we observed that, under lowpH conditions, M. venosa produced a more organic-rich shell with higher density of and larger endopunctae, and smaller secondary layer fibres. Also, increasingly negative delta C-13 and delta O-18 values are recorded by the shell produced during culturing and are related to the CO2 source in the culture setup. Both the microstructural changes and the stable isotope results are similar to observations on brachiopods from the fossil record and strongly support the value of brachiopods as robust archives of proxies for studying ocean acidification events in the geologic past.</t>
  </si>
  <si>
    <t>10.5194/bg-16-617-2019</t>
  </si>
  <si>
    <t>Schwertl, M; Auerswald, K; Schaufele, R; Schnyder, H</t>
  </si>
  <si>
    <t>Carbon and nitrogen stable isotope composition of cattle hair: ecological fingerprints of production systems?</t>
  </si>
  <si>
    <t>C-13; N-15; food traceability; environmental indicators; livestock farming; nitrogen balance</t>
  </si>
  <si>
    <t>NATURAL-ABUNDANCE; ORIGIN ASSIGNMENT; N-15; FRACTIONATION; DIET; SOIL; NITRATE; TRENDS; TRACEABILITY; INDICATORS</t>
  </si>
  <si>
    <t>Societal interest in food safety, animal welfare, and environmental quality attributes of food production is increasing, creating a need for reliable indicators of such factors. Here we test the hypothesis that cattle farming systems create unique and meaningful isotopic fingerprints, which can be characterized by analysing cattle tail switch hair. To this end we analysed feeding practices and nutrient fluxes, and sampled hair, feed components and fertilizers from 13 different farms in Upper Bavaria, Germany. The farms represented the range of cattle farming types present in the region and included: conventional confinement dairy, pasture based organic and conventional dairy, suckler cow, and bull and steer and heifer fattening enterprises. Samples were analysed for their carbon (C) and nitrogen (N) stable isotope composition (delta C-13 and delta N-15). Feed samples could be assigned to one of three groups with characteristic delta C-13, which varied very little between and within farms: C-3 forages (including fresh forage, hay or silage from grassland and clover-grass mixtures) with -28.4 parts per thousand (+/- 0.5 parts per thousand S.D.), maize (Zea mays L.) with -12.5 parts per thousand (+/- 0.4 parts per thousand), and C-3-derived concentrates (including mainly cereal grain and legume seeds) with -26.8 (+/- 1.1 parts per thousand). The dry matter fraction of maize in the diet explained 96% of the farm average delta C-13 of hair. Hair was approx. 2.7 parts per thousand enriched in C-13 relative to the diet (trophic level shift), and this effect was very similar for growing animals and cows, and seemingly independent of the fraction of maize in the diet. In contrast to delta C-13, the delta N-15 of individual feed types differed very strongly between - and also within - farms. Only legume seeds had relatively constant delta N-15 (1.2 +/- 0.5 parts per thousand). delta N-15 of cow hair was correlated with stocking rate (r(2) = 0.55) and N input surplus (farm gate) (r(2) = 0.78), respectively. This correlation was probably caused by increasing losses of N-15-depleted N via ammonia volatilisation, nitrate leaching and denitrification with increasing farm-level N surplus. Heterogeneity of feed N-15 signatures indicated within-farm heterogeneity of N fluxes and cycling that was at (least partially) integrated in cattle hair. Thus, cattle hair N-15 signature appears to indicate the 'leakiness' of cattle production systems for N. Conversely, the C-13 signatures reliably indicates maize feeding and, thus, the type of land use (arable forage cropping versus grassland farming) on which cattle production in the region is based. (c) 2005 Elsevier B.V. All rights reserved.</t>
  </si>
  <si>
    <t>10.1016/j.agee.2005.01.015</t>
  </si>
  <si>
    <t>Voelker, SL; Brooks, JR; Meinzer, FC; Anderson, R; Bader, MKF; Battipaglia, G; Becklin, KM; Beerling, D; Bert, D; Betancourt, JL; Dawson, TE; Domec, JC; Guyette, RP; Korner, C; Leavitt, SW; Linder, S; Marshall, JD; Mildner, M; Ogee, J; Panyushkina, I; Plumpton, HJ; Pregitzer, KS; Saurer, M; Smith, AR; Siegwolf, RTW; Stambaugh, MC; Talhelm, AF; Tardif, JC; Van de Water, PK; Ward, JK; Wingate, L</t>
  </si>
  <si>
    <t>A dynamic leaf gas-exchange strategy is conserved in woody plants under changing ambient CO2: evidence from carbon isotope discrimination in paleo and CO2 enrichment studies</t>
  </si>
  <si>
    <t>angiosperm; carbon dioxide; free-air CO2 enrichment; gymnosperm; optimal stomatal behavior; photosynthesis; stomatal conductance; water use efficiency</t>
  </si>
  <si>
    <t>WATER-USE EFFICIENCY; VAPOR-PRESSURE DEFICIT; ATMOSPHERIC CO2; ELEVATED CO2; TREE-RINGS; MESOPHYLL CONDUCTANCE; STOMATAL CONDUCTANCE; STABLE-ISOTOPES; PHYSIOLOGICAL-RESPONSES; FOREST PRODUCTIVITY</t>
  </si>
  <si>
    <t>Rising atmospheric [CO2], c(a), is expected to affect stomatal regulation of leaf gas-exchange of woody plants, thus influencing energy fluxes as well as carbon (C), water, and nutrient cycling of forests. Researchers have proposed various strategies for stomatal regulation of leaf gas-exchange that include maintaining a constant leaf internal [CO2], c(i), a constant drawdown in CO2 (c(a)-c(i)), and a constant c(i)/c(a). These strategies can result in drastically different consequences for leaf gas-exchange. The accuracy of Earth systems models depends in part on assumptions about generalizable patterns in leaf gas-exchange responses to varying c(a). The concept of optimal stomatal behavior, exemplified by woody plants shifting along a continuum of these strategies, provides a unifying framework for understanding leaf gas-exchange responses to c(a). To assess leaf gas-exchange regulation strategies, we analyzed patterns in c(i) inferred from studies reporting C stable isotope ratios (C-13) or photosynthetic discrimination () in woody angiosperms and gymnosperms that grew across a range of c(a) spanning at least 100ppm. Our results suggest that much of the c(a)-induced changes in c(i)/c(a) occurred across c(a) spanning 200 to 400ppm. These patterns imply that c(a)-c(i) will eventually approach a constant level at high c(a) because assimilation rates will reach a maximum and stomatal conductance of each species should be constrained to some minimum level. These analyses are not consistent with canalization toward any single strategy, particularly maintaining a constant c(i). Rather, the results are consistent with the existence of a broadly conserved pattern of stomatal optimization in woody angiosperms and gymnosperms. This results in trees being profligate water users at low c(a), when additional water loss is small for each unit of C gain, and increasingly water-conservative at high c(a), when photosystems are saturated and water loss is large for each unit C gain.</t>
  </si>
  <si>
    <t>10.1111/gcb.13102</t>
  </si>
  <si>
    <t>Krzeminska, U; Morales, HE; Greening, C; Nyari, AS; Wilson, R; Song, BK; Austin, CM; Sunnucks, P; Pavlova, A; Rahman, S</t>
  </si>
  <si>
    <t>Population mitogenomics provides insights into evolutionary history, source of invasions and diversifying selection in the House Crow (Corvus splendens)</t>
  </si>
  <si>
    <t>MITOCHONDRIAL GENOMES; LATITUDINAL PATTERNS; GENETIC DIVERSITY; NATURAL-SELECTION; COMPLEX; MODELS; SOFTWARE; CONSERVATION; BIOGEOGRAPHY; COEVOLUTION</t>
  </si>
  <si>
    <t>The House Crow (Corvus splendens) is a useful study system for investigating the genetic basis of adaptations underpinning successful range expansion. The species originates from the Indian subcontinent, but has successfully spread through a variety of thermal environments across Asia, Africa and Europe. Here, population mitogenomics was used to investigate the colonisation history and to test for signals of molecular selection on the mitochondrial genome. We sequenced the mitogenomes of 89 House Crows spanning four native and five invasive populations. A Bayesian dated phylogeny, based on the 13 mitochondrial protein-coding genes, supports a mid-Pleistocene (similar to 630,000 years ago) divergence between the most distant genetic lineages. Phylogeographic patterns suggest that northern South Asia is the likely centre of origin for the species. Codon-based analyses of selection and assessments of changes in amino acid properties provide evidence of positive selection on the ND2 and ND5 genes against a background of purifying selection across the mitogenome. Protein homology modelling suggests that four amino acid substitutions inferred to be under positive selection may modulate coupling efficiency and proton translocation mediated by OXPHOS complex I. The identified substitutions are found within native House Crow lineages and ecological niche modelling predicts suitable climatic areas for the establishment of crow populations within the invasive range. Mitogenomic patterns in the invasive range of the species are more strongly associated with introduction history than climate. We speculate that invasions of the House Crow have been facilitated by standing genetic variation that accumulated due to diversifying selection within the native range.</t>
  </si>
  <si>
    <t>10.1038/s41437-017-0020-7</t>
  </si>
  <si>
    <t>Curry, RA; Currie, SL; Bernatchez, L; Saint-Laurent, R</t>
  </si>
  <si>
    <t>The rainbow smelt, Osmerus mordax, complex of Lake Utopia: threatened or misunderstood?</t>
  </si>
  <si>
    <t>genetics; predation; spawning; threatened</t>
  </si>
  <si>
    <t>REPRODUCTIVE ISOLATION; SYMPATRIC POPULATIONS; DIVERGENCE; MITCHILL</t>
  </si>
  <si>
    <t>We report on the spawning ecology, genetic characteristics, and predation threats to spawning groups of rainbow smelt, Osmerus mordax, in Lake Utopia, New Brunswick where a dwarf morpho-type has been listed as a threatened species. Two spawning groups in three inlet streams had been previously identified; we observed three groups using four inlet streams. The earliest group was the largest in body size ( 12 - 29 cm fork length ( FL)), lowest in numbers (similar to 1 000), and completed spawning approximately two weeks before the second group. The early spawners were previously identified as the normal morpho-type, but we now classify these as a giant morphotype. The second group spawned in three different streams. They were intermediate in body size ( 10 - 15 cm FL) and numbers (similar to 10 000). The dwarf group began spawning as the intermediate group completed spawning and within the same three streams. The dwarfs were numerous (similar to 1 000 000), small in size (&lt; 12 cm), and with higher gill raker counts. Microsatellite analyses suggested that gene flow among groups occurred, but genetic divergence was high and genetic separation among populations of the same group among streams and within a stream occurred. Stable isotopes and stomach contents indicated the dwarf group were likely consumed by a variety of fishes, but they were not the sole food resource of any predator including a population of landlocked salmon. These are some of the complexities of smelt ecology, but there are clearly life history tactics that we do not yet understand.</t>
  </si>
  <si>
    <t>10.1023/B:EBFI.0000022896.77922.22</t>
  </si>
  <si>
    <t>Mehner, T; Schultz, H; Bauer, D; Herbst, R; Voigt, H; Benndorf, J</t>
  </si>
  <si>
    <t>Intraguild predation and cannibalism in age-0 perch (Percafluviatilis) and age-0 zander (Stizostedion lucioperca): Interactions with zooplankton succession, prey fish availability and temperature</t>
  </si>
  <si>
    <t>RUTILUS-RUTILUS; VITREUM-VITREUM; YELLOW PERCH; LAKE; SIZE; DYNAMICS; GROWTH; BIOMANIPULATION; PRODUCTIVITY; FLAVESCENS</t>
  </si>
  <si>
    <t>The preconditions for the ontogenetic diet shift from planktivory to piscivory in age-0 perch and age-0 zander were examined in the long-term biomanipulated Bautzen reservoir (Germany). Early piscivory already was observed in age-0 zander of approximately 20 mm total length, but occurred only in the largest (&gt; 40 mm TL) perch specimens during early summer. The onset of piscivory was triggered by high water temperatures in late spring which enhanced the growth rates of the predators relative to their prey, and by the drastic decline in zooplankton abundances during that time. Due to the lack of other prey fish, cannibalism and mutual intraguild predation dominated in piscivorous zander and perch. Early piscivory in both species was additionally favoured by the biomanipulation experiment in Bautzen reservoir due to (1) an abundant Daphnia population in spring which increased the growth rates of the predators, and (2) the coexistence of perch and zander in high densities which is uncommon in naturally-structured waters.</t>
  </si>
  <si>
    <t>Huang, BB; Niu, JT; Gui, FL; Zhang, XH</t>
  </si>
  <si>
    <t>WATER RESOURCES DEPLOYMENT MODEL FOR PINGSHUI RIVER BASIN</t>
  </si>
  <si>
    <t>dualistic distributed hydrological model; optimal deployment; water demand; water supply; water resources balance</t>
  </si>
  <si>
    <t>The reasonable deployment of water resources can reduce resources consumption, increase the output of resources and thus ensure a sustainable economic development. The Pingshui River Basin in Jiangxi Province of China with developed economy but seriously lacking in water, was chosen as the study area and the dualistic distributed hydrological model of this region was established. Then, the water resources allocation objective, basic principles, river water operation rules and priority levels for all water consumers were fixed. Also, the objective function and constraint conditions were established, and forecast the water demand from various industries. Next, the optimal deployment of water resources in Pingshui River Basin was achieved through controlling variables including the water conservancy project operation rules, the channel discharge capacity, priority rules for water consumers and simulating the transport and transformation and interaction process under the natural and artificial dual coupling conditions. The deployment results show that there is seasonal and locality water shortage in Pingshui River Basin. Finally, based on the optimal water resources deployment results, utilization and exploitation status, specific countermeasures for water resources tapping and saving were proposed to increase the output of water resources and reduce its consumption.</t>
  </si>
  <si>
    <t>10.15666/aeer/1503_985998</t>
  </si>
  <si>
    <t>Peric, MS; Nielsen, JM; Schubert, CJ; Robinson, CT</t>
  </si>
  <si>
    <t>Does rapid glacial recession affect feeding habits of alpine stream insects?</t>
  </si>
  <si>
    <t>Baetis alpinus; Diamesinae; glacial streams; Rhithrogenaspp; stream food webs</t>
  </si>
  <si>
    <t>STABLE-ISOTOPE RATIOS; CLIMATE-CHANGE; VAL-ROSEG; FLOW INTERMITTENCY; NATURAL-ABUNDANCE; PHYSICO-CHEMISTRY; INORGANIC CARBON; TROPHIC ECOLOGY; BENTHIC FAUNA; NICHE WIDTHS</t>
  </si>
  <si>
    <t>Glacial retreat, accompanied by shifts in riparian vegetation and glacier meltwater inputs, alters the energy supply and trophic structure of alpine stream food webs. Our goal in this study was to enhance understanding of dietary niches of macroinvertebrates inhabiting different alpine streams with contrasting glacial and non-glacial (groundwater, precipitation, snowmelt) water inputs in conjunction with seasonal and habitat-specific variation in basal resource availability. We measured a range of stream physico-chemical attributes as well as carbon and nitrogen isotopes (delta C-13, delta N-15) of macroinvertebrates and primary food sources at seven sites across seasons within a Swiss glaciated catchment (Val Roseg) undergoing rapid glacial retreat (1-2 km between 1997 and 2014). Sampling sites corresponded to streams used in a previous (1997/1998) study within the same alpine catchment. Physico-chemical attributes showed wide variation in environmental conditions across streams and seasons. Significant correlation among physico-chemical proxies of glacier meltwater (phosphate-P, total inorganic carbon, conductivity, turbidity) and macroinvertebrate delta C-13, delta N-15, and size-corrected standard ellipse area (a proxy for feeding niche width) values showed that the extent of glacial water input shapes the energy base among alpine streams. Feeding niche differences among common alpine stream insect taxa (Chironomidae, Baetidae, Heptageniidae) were not significant, indicating that these organisms probably are plastic in feeding behaviour, opportunistically relying on food resources available in a particular stream and season. Seasonal trends in macroinvertebrate delta C-13 largely followed patterns in periphyton delta C-13 values, indicating that autochthonous resources were the main consumer energy source within the stream network, as shown previously. The overall range in macroinvertebrate delta C-13 (-33.5 to -18.4 parts per thousand) and delta N-15 (-6.9 to 6.7 parts per thousand) values also corresponded to values measured in the previous study, suggesting that macroinvertebrates altered diets in line with changes in environmental conditions and food resources during a period of rapid glacial retreat. Our results suggest that environmental changes brought on by rapid glacial retreat have not yet caused a profound change in the trophic structure within these fluvial networks.</t>
  </si>
  <si>
    <t>10.1111/fwb.13621</t>
  </si>
  <si>
    <t>Li, WX; Zhang, YC; Liu, Z; Cai, JB; Zhang, XX; Cheng, SP</t>
  </si>
  <si>
    <t>Outline for establishment of the Taihu-Lake Basin early warning system</t>
  </si>
  <si>
    <t>Taihu Lake Basin; Risk assessment; Early warning system; Risk management</t>
  </si>
  <si>
    <t>The technical support system for establishment of the Taihu-Lake Basin early warning system (TBEWS) was designed based on the characteristics of water environment. It involves recognition and the dynamic environmental risk assessment, early warning, risk management, and emergency decision etc. Getting data and information on time, sharing information within different regimes, establishing the multiple coupling models for calculation, and the uncertainty analysis methods are the hardness works for establishment of TBEWS. This research suggested an outline for the first time to develop and exam the multiple coupling models for establishment of TBEWS.</t>
  </si>
  <si>
    <t>10.1007/s10646-009-0336-z</t>
  </si>
  <si>
    <t>Stroik, LK; Schwartz, GT</t>
  </si>
  <si>
    <t>The role of dietary competition in the origination and early diversification of North American euprimates</t>
  </si>
  <si>
    <t>primate evolution; adapids; omomyids; dietary niche; Paleogene mammals</t>
  </si>
  <si>
    <t>EOCENE THERMAL MAXIMUM; BIGHORN BASIN; CHARACTER DISPLACEMENT; PRIMATE ORIGINS; CLIMATE-CHANGE; PHYLOGENETIC SIGNAL; CLADE COMPETITION; LATE PALEOCENE; MIDDLE EOCENE; NICHE SHIFT</t>
  </si>
  <si>
    <t>The conditions under which early euprimates (adapids and omomyids) originated and evolved is an area of longstanding debate. The leading hypotheses of euprimate origins promulgate diet as a core component of the early evolution of this group, despite the role of dietary competition in euprimate originations never being tested directly. This study compared three competition models (non-competition, competitive displacement, competitive coexistence) with observed patterns of dietary niche overlap, reconstructed from three-dimensional molar morphology, at the time of the euprimate radiation in North America (at the Paleocene-Eocene boundary). Overlap of reconstructed multidimensional dietary niches between euprimates and members of their guild were analysed using a modified MANOVA to establish the nature of the competitive environment surrounding euprimate origins in North America (an immigration event). Results indicated that adapids entered the mammalian guild in the absence of competition, suggesting dietary adaptations that were unique within the community. Conversely, omomyids experienced strong, but transitory, competition with nyctitheriids, suggesting that omomyids possessed the ability to out-compete this group. These results show that adapids and omomyids experienced different competitive scenarios upon their arrival (origination) in North America and confirm the significance of diet (and dietary adaptations) in euprimate origination and early diversification in mammalian communities.</t>
  </si>
  <si>
    <t>10.1098/rspb.2018.1230</t>
  </si>
  <si>
    <t>Hepp, J; Schafer, IK; Lanny, V; Franke, J; Bliedtner, M; Rozanski, K; Glaser, B; Zech, M; Eglinton, TI; Zech, R</t>
  </si>
  <si>
    <t>Evaluation of bacterial glycerol dialkyl glycerol tetraether and H-2-O-18 biomarker proxies along a central European topsoil transect</t>
  </si>
  <si>
    <t>OXYGEN-ISOTOPE RATIOS; DELTA-D VALUES; MEMBRANE-LIPIDS; N-ALKANES; HYDROGEN ISOTOPES; LEAF WATER; STABLE-ISOTOPES; MOLECULAR PROXIES; PALEOSOL SEQUENCE; SUGAR BIOMARKERS</t>
  </si>
  <si>
    <t>Molecular fossils, like bacterial branched glycerol dialkyl glycerol tetraethers (brGDGTs), and the stable isotopic composition of biomarkers, such as delta H-2 of leaf wax-derived n-alkanes (delta H-2(n-alkane)) or delta O-18 of hemicellulose-derived sugars (delta O-18(sugar)), are increasingly used for the reconstruction of past climate and environmental conditions. Plant-derived delta H-2(n-alkane) and delta O-18(sugar) values record the isotopic composition of plant source water (delta H-2(source-water) and delta O-18(source-water)), which usually reflects mean annual precipitation (delta H-2(precipiation) and delta O-18(precipiation)), modulated by evapotranspirative leaf water enrichment and biosynthetic fractionation (epsilon(bio)). Accuracy and precision of respective proxies should be ideally evaluated at a regional scale. For this study, we analysed topsoils below coniferous and deciduous forests as well as grassland soils along a central European transect in order to investigate the variability and robustness of various proxies and to identify effects related to vegetation. Soil pH values derived from brGDGTs correlate reasonably well with measured soil pH values but are systematically overestimated (Delta pH = 0.6 +/- 0.6). The branched vs. isoprenoid tetraether index (BIT) can give some indication whether the pH reconstruction is reliable. Temperatures derived from brGDGTs overestimate mean annual air temperatures slightly (Delta T-MA = 0.5 degrees C +/- 2.4). Apparent isotopic fractionation (epsilon(n)-alkane/precipitation and epsilon(sugar/precipitation)) is lower for grassland sites than for forest sites due to signal damping; i.e. grass biomarkers do not record the full evapotranspirative leaf water enrichment. Coupling delta H-2(n-alkane) with delta O-18(sugar) allows us to reconstruct the stable isotopic composition of the source water more accurately than without the coupled approach (Delta delta H-2 = similar to 21 parts per thousand +/- 22 parts per thousand and Delta delta O-18 = similar to-2.9 parts per thousand +/- 2.8 parts per thousand. Similarly, relative humidity during daytime and the vegetation period (RHMDV) can be reconstructed using the coupled isotope approach (Delta RHMDV =similar to 17 +/- 12). Especially for coniferous sites, reconstructed RHMDV values as well as source water isotope composition underestimate the measured values. This can likely be explained by understorey grass vegetation at the coniferous sites contributing significantly to the n-alkane pool but only marginally to the sugar pool in the topsoils. Vegetation-dependent variable signal damping and epsilon(bio) (regarding H-2 between n-alkanes and leaf water) along our European transect are difficult to quantify but likely contribute to the observed underestimation in the source water isotope composition and RH reconstructions. Microclimate variability could cause the rather large uncertainties. Vegetation-related effects do, by contrast, not affect the brGDGT-derived reconstructions. Overall, GDGTs and the coupled delta H-2(n-alkane)-delta O-18(sugar) approach have great potential for more quantitative paleoclimate reconstructions.</t>
  </si>
  <si>
    <t>10.5194/bg-17-741-2020</t>
  </si>
  <si>
    <t>Bae, J; Ryu, Y</t>
  </si>
  <si>
    <t>High soil organic carbon stocks under impervious surfaces contributed by urban deep cultural layers</t>
  </si>
  <si>
    <t>Soil carbon; Impervious surface; Soil(13)C and( 15)N; Cultural layer; Urban deep soils</t>
  </si>
  <si>
    <t>LAND-USE CHANGE; TEMPORAL VARIATIONS; NITROGEN; ISOTOPES; URBANIZATION; TOPSOIL; HETEROGENEITY; VEGETATION; DYNAMICS; PATTERNS</t>
  </si>
  <si>
    <t>Rapid urbanization has created large areas of impervious surface areas globally. As there is little carbon input by plants into soils under impervious surfaces, soil organic carbon (SOC) stocks under impervious surfaces generally have been overlooked in the urban carbon budgets. Here we investigate SOC stocks under impervious concrete surfaces and vegetative surfaces across soil profiles to a depth of 5 m in urban housing complexes in Seoul, Republic of Korea. In the top 1 m of the profile, SOC stocks under vegetative surfaces were three times greater than those under impervious surfaces. However, we discovered that unexpectedly high SOC stocks appeared in deeper soil layers under both surface types, which led to comparable SOC stocks at a depth of 5 m beneath the impervious surface (16.9 +/- 1.9 kgC m(-2)) and at the vegetative surface (22.3 +/- 2.2 kgC m(-2)). Consequently, the ratio of SOC stocks at depths of 1 m to 5 m were 16% in impervious surfaces and 34% in vegetative surfaces, suggesting conventional soil sampling at 1 m depth could miss large SOC. Stable isotope data (delta C-13 and delta N-15) combined with historical aerial photographs revealed that cropland that existed until the 1970s formed the high SOC cultural layer in deeper soils. Our results highlight that deep soils under impervious surfaces could be overlooked carbon hotspots in urban ecosystems. We believe this finding could help city planners and policy makers to assess regional carbon budgets and to reduce carbon footprint by recycling the deep SOC excavated from various construction projects towards sustainable urban development.</t>
  </si>
  <si>
    <t>10.1016/j.landurbplan.2020.103953</t>
  </si>
  <si>
    <t>Matsubayashi, J; Osada, Y; Tadokoro, K; Abe, Y; Yamaguchi, A; Shirai, K; Honda, K; Yoshikawa, C; Ogawa, NO; Ohkouchi, N; Ishikawa, NF; Nagata, T; Miyamoto, H; Nishino, S; Tayasu, I</t>
  </si>
  <si>
    <t>Tracking long-distance migration of marine fishes using compound-specific stable isotope analysis of amino acids</t>
  </si>
  <si>
    <t>Bering Sea Shelf; copepods; isoscape; migration; North Pacific; salmon; delta N-15(Base)</t>
  </si>
  <si>
    <t>SUB-ARCTIC PACIFIC; FOOD-WEB STRUCTURE; CHUM SALMON; WATER FORMATION; BERING-SEA; NITROGEN; GROWTH; ZOOPLANKTON; DELTA-N-15; MOVEMENTS</t>
  </si>
  <si>
    <t>The long-distance migrations by marine fishes are difficult to track by field observation. Here, we propose a new method to track such migrations using stable nitrogen isotopic composition at the base of the food web (delta N-15(Base)), which can be estimated by using compound-specific isotope analysis. delta N-15(Base) exclusively reflects the delta N-15 of nitrate in the ocean at a regional scale and is not affected by the trophic position of sampled organisms. In other words, delta N-15(Base) allows for direct comparison of isotope ratios between proxy organisms of the isoscape and the target migratory animal. We initially constructed a delta N-15(Base) isoscape in the northern North Pacific by bulk and compound-specific isotope analyses of copepods (n = 360 and 24, respectively), and then we determined retrospective delta N-15(Base) values of spawning chum salmon (Oncorhynchus keta) from their vertebral centra (10 sections from each of two salmon). We then estimated the migration routes of chum salmon during their skeletal growth by using a state-space model. Our isotope tracking method successfully reproduced a known chum salmon migration route between the Okhotsk and Bering seas, and our findings suggest the presence of a new migration route to the Bering Sea Shelf during a later growth stage.</t>
  </si>
  <si>
    <t>10.1111/ele.13496</t>
  </si>
  <si>
    <t>Kirkels, FMSA; de Boer, HJ; Hernandez, PC; Martes, CRT; van der Meer, MTJ; Basu, S; Usman, MO; Peterse, F</t>
  </si>
  <si>
    <t>Carbon isotopic ratios of modern C-3 and C-4 vegetation on the Indian peninsula and changes along the plant-soil-river continuum - implications for vegetation reconstructions</t>
  </si>
  <si>
    <t>PARTICULATE ORGANIC-CARBON; C-13 NATURAL-ABUNDANCE; CORE MONSOON ZONE; GODAVARI RIVER; WATER AVAILABILITY; FOLIAR DELTA-C-13; SURFACE SEDIMENTS; HOLOCENE RECORD; SUMMER MONSOON; TURNOVER TIMES</t>
  </si>
  <si>
    <t>The large difference in the fractionation of stable carbon isotopes between C-3 and C-4 plants is widely used in vegetation reconstructions, where the predominance of C-3 plants suggests wetter and that of C-4 plants drier conditions. The stable carbon isotopic composition of organic carbon (OC) preserved in soils or sediments may be a valuable (paleo-)environmental indicator, based on the assumption that plant-derived material retains the stable carbon isotopic value of its photosynthetic pathway during transfer from plant to sediment. In this study, we investigated the bulk carbon isotopic values of C-3 and C-4 plants (delta C-13) and of organic carbon (delta C-13(org)) in soils, river suspended particulate matter (SPM) and riverbed sediments to gain insight into the control of precipitation on C-3 and C-4 plant delta C-13 values and to assess changes in delta C-13(org) values along the plant-soil- river continuum. This information allows us to elucidate the implications of different delta C-13 end-members on C-3 / C-4 vegetation reconstructions. Our analysis was performed in the Godavari River basin, located in the core monsoon zone in peninsular India, a region that integrates the hydroclimatic and vegetation changes caused by variation in monsoonal strength. The basin has distinct wet and dry seasons and is characterised by natural gradients in soil type (from clay-rich to sandy), precipitation (similar to 500 to 1500 mm yr(-1)) and vegetation type (from mixed C-3 /C-4 to primarily C3) from the upper to the lower basin. The delta C-13 values of Godavari C-3 plants were strongly controlled by mean annual precipitation (MAP), showing an isotopic enrichment of similar to 2.2 parts per thousand from similar to 1500 to 500 mm yr(-1). Tracing delta C-13 org values from plant to soils and rivers revealed that soils and riverbed sediments reflected the transition from mixed C-3 and C-4 vegetation in the dry upper basin to more C-3 vegetation in the humid lower basin. Soil degradation and stabilisation processes and hydrodynamic sorting within the river altered the plant-derived delta C-13 signal. Phytoplankton dominated the delta C-13(org) signal carried by SPM in the dry season and year-round in the upper basin. Application of a linear mixing model showed that the %C4 plants in the different subbasins was similar to 7 %-15 % higher using plant end-members based on measurement of the Godavari vegetation and tailored to local moisture availability than using those derived from data compilations of global vegetation. Including a correction for the C-13 enrichment in Godavari C-3 plants due to drought resulted in maximally 6 % lower estimated C-4 plant cover. Our results from the Godavari basin underline the importance of making informed choices about the plant delta C-13 end-members for vegetation reconstructions, considering characteristics of the regional vegetation and environmental factors such as MAP in monsoonal regions.</t>
  </si>
  <si>
    <t>10.5194/bg-19-4107-2022</t>
  </si>
  <si>
    <t>Kharrat, M; Hassoun, P; Aad, PY; Hajj, E; Bocquier, F</t>
  </si>
  <si>
    <t>Surveillance of Baladi Goat Feeding Behavior in Response to a Mediterranean Natural Rangeland Evolution</t>
  </si>
  <si>
    <t>Baladi goats; feeding behavior; Mediterranean natural rangelands; specific selection; vegetation characteristics evolution</t>
  </si>
  <si>
    <t>SMALL RUMINANTS; GRAZING BEHAVIOR; FORAGING BEHAVIOR; DIET SELECTION; BREED; BEKAA; MILK; PREFERENCES; PERFORMANCE; HERBIVORES</t>
  </si>
  <si>
    <t>The Lebanese Baladi goat dairy production sector suffers from food availability problems due to the dependence on natural rangelands and the scarcity of crop residues and forage pastures, leading to lower production. Thus, the nutritional values of the pastures were evaluated in an observational study where 48 Baladi lactating goats were selected and kept within a farm in Qaa er Rim located in the region of Zahleh, Lebanon. Animal responses in feeding behavior were measured on four different circuits of natural rangelands (NR1, NR2, NR3, and NR4) surrounding the farm site, during a period of approximate to 75 d (from April to mid-June). Observations and measures consisted of evaluating the rangeland's botanical composition, selective feeding and analysis of forage nutritional values, recording of daily foraging dynamic, and estimation of daily intake. Natural rangelands revealed a large botanical diversity that changed according to season and altitude: From NR1 to NR4, as summer season advanced and animals were moved to higher altitudes, bushes increased, whereas grasses retreated. In parallel, mean diet nutritional value decreased; dry matter (DM) content increased, as well as acid detergent fiber and neutral detergent fiber contents, while crude protein levels decreased. The animals, however, adapted their feeding dynamics on the rangelands accordingly: With the advancement of summer time, total duration of grazing day was increased in order to compensate for longer resting periods at noon and longer walking periods in higher altitudes, without a decrease in total feeding duration. On the other hand, animals were able to adjust their feeding regimen to the available plant species by increasing their daily intake of 0.56 kg/d between NR1 and NR3 and by substituting grasses with shrubby species; a shift from 25% to 28% to 53% to 54% DM in the animals' diet. These adaptive behavioral responses explain the capacity of Baladi goats to survive in their harsh environment and even tolerate feeding perturbations. (C) 2020 The Society for Range Management. Published by Elsevier Inc. All rights reserved.</t>
  </si>
  <si>
    <t>10.1016/j.rama.2020.01.005</t>
  </si>
  <si>
    <t>Deininger, A; Jonsson, A; Karlsson, J; Bergstrom, AK</t>
  </si>
  <si>
    <t>Pelagic food webs of humic lakes show low short-term response to forest harvesting</t>
  </si>
  <si>
    <t>autochthony; boreal lakes; forest clear-cut; land use; light; nutrient; primary production; resource use; zooplankton</t>
  </si>
  <si>
    <t>DISSOLVED ORGANIC-CARBON; PHYTOPLANKTON NUTRIENT LIMITATION; CRUSTACEAN ZOOPLANKTON; WATER-QUALITY; NORTHWESTERN ONTARIO; NITROGEN DEPOSITION; STABLE-ISOTOPES; BOREAL LAKES; PHOSPHORUS; GRADIENT</t>
  </si>
  <si>
    <t>Forest harvest in the boreal zone can increase the input of terrestrial materials such as dissolved organic carbon (DOC) and nitrate (NO3-) into nearby aquatic ecosystems, with potential effects on phytoplankton growth through enhanced nutrient (i.e., positive) or reduced light availability (i.e., negative), which may affect ecosystem productivity and consumer resource use. Here, we conducted forest clear-cutting experiments in the catchments of four small, humic, and nitrogen-limited unproductive boreal lakes (two controls and two clear-cut, 18% and 44% of area cut) with one reference and two impact years. Our aim was to assess the effects of forest clear-cutting on pelagic biomass production and consumer resource use. We found that pelagic biomass production did not change after two years of forest clear-cutting: Pelagic primary and bacterial production (PP, BP), PP:BP ratio, chl a, and seston carbon (seston C) were unaffected by clear-cutting; neither did tree harvest affect seston stoichiometry (i.e., N:phosphorus [P], C:P) nor induce changes in zooplankton resource use, biomass, or community composition. In conclusion, our findings suggest that pelagic food webs of humic lakes (DOC &gt; 15 mg/L) might be resilient to a moderate form of forest clear-cutting, at least two years after tree removal, before mechanical site preparation (e.g., mounding, plowing) and when leaving buffer strips along lakes and incoming streams. Thus, pelagic food web responses to forest clear-cutting might not be universal, but could depend on factors such as the time scale, share of catchment logged, and the forest practices involved, including the application of buffer strips and site preparation.</t>
  </si>
  <si>
    <t>e01813</t>
  </si>
  <si>
    <t>10.1002/eap.1813</t>
  </si>
  <si>
    <t>Turroni, F; Milani, C; Duranti, S; Mancabelli, L; Mangifesta, M; Viappiani, A; Lugli, GA; Ferrario, C; Gioiosa, L; Ferrarini, A; Li, J; Palanza, P; Delledonne, M; van Sinderen, D; Ventura, M</t>
  </si>
  <si>
    <t>Deciphering bifidobacterial-mediated metabolic interactions and their impact on gut microbiota by a multi-omics approach</t>
  </si>
  <si>
    <t>BUTYRATE-PRODUCING BACTERIA; HUMAN INTESTINAL-TRACT; CHAIN FATTY-ACIDS; BIFIDUM PRL2010; GENOME SEQUENCE; BREVE UCC2003; HOST; HEALTH; DIET; DIVERSITY</t>
  </si>
  <si>
    <t>The intricacies of cooperation and competition between microorganisms are poorly investigated for particular components of the gut microbiota. In order to obtain insights into the manner by which different bifidobacterial species coexist in the mammalian gut, we investigated possible interactions between four human gut commensals, Bifidobacterium bifidum PRL2010, Bifidobacterium adolescentis 22L, Bifidobacterium breve 12L and Bifidobacterium longum subsp. infantis ATCC15697, in the intestine of conventional mice. The generated information revealed various ecological/metabolic strategies, including glycan-harvesting, glycan-breakdown and cross-feeding behavior, adopted by bifidobacteria in the highly competitive environment of the mammalian intestine. Introduction of two or multiple bifidobacterial strains caused a clear shift in the microbiota composition of the murine cecum. Whole-genome transcription profiling coupled with metagenomic analyses of single, dual or multiple associations of bifidobacterial strains revealed an expansion of the murine gut glycobiome toward enzymatic degradation of plant-derived carbohydrates, such as xylan, arabinoxylan, starch and host-derived glycan substrates. Furthermore, these bifidobacterial communities evoked major changes in the metabolomic profile of the microbiota as observed by shifts in short chain fatty acid production and carbohydrate availability in the murine cecum. Overall, these data support an ecological role of bifidobacteria acting directly or through cross-feeding activities in shaping the gut murine microbiome to instigate an enrichment of saccharolytic microbiota.</t>
  </si>
  <si>
    <t>10.1038/ismej.2015.236</t>
  </si>
  <si>
    <t>Dexter, TA; Kowalewski, M</t>
  </si>
  <si>
    <t>Jackknife-corrected parametric bootstrap estimates of growth rates in bivalve mollusks using nearest living relatives</t>
  </si>
  <si>
    <t>THEORETICAL POPULATION BIOLOGY</t>
  </si>
  <si>
    <t>Growth rates; Marine bivalves; Parametric bootstrap; Sclerochronology; von Bertalanffy</t>
  </si>
  <si>
    <t>STABLE-ISOTOPE SCLEROCHRONOLOGY; DONAX-HANLEYANUS BIVALVIA; POPULATION-DYNAMICS; WEDGE CLAM; MESODESMA-MACTROIDES; OXYGEN ISOTOPES; SEASONAL GROWTH; TRUNCULUS L.; GARI-SOLIDA; SURF CLAM</t>
  </si>
  <si>
    <t>Quantitative estimates of growth rates can augment ecological and paleontological applications of bodysize data. However, in contrast to body-size estimates, assessing growth rates is often time-consuming, expensive, or unattainable. Here we use an indirect approach, a jackknife-corrected parametric bootstrap, for efficient approximation of growth rates using nearest living relatives with known age-size relationships. The estimate is developed by (1) collecting a sample of published growth rates of closely related species, (2) calculating the average growth curve using those published age-size relationships, (3) resampiing iteratively these empirically known growth curves to estimate the standard errors and confidence bands around the average growth curve, and (4) applying the resulting estimate of uncertainty to bracket age-size relationships of the species of interest. This approach was applied to three monophyletic families (Donacidae, Mactridae, and Semelidae) of mollusk bivalves, a group characterized by indeterministic shell growth, but widely used in ecological, paleontological, and geochemical research. The resulting indirect estimates were tested against two previously published geochemical studies and, in both cases, yielded highly congruent age estimates. In addition, a case study in applied fisheries was used to illustrate the potential of the proposed approach for augmenting aquaculture management practices. The resulting estimates of growth rates place body size data in a constrained temporal context and confidence intervals associated with resampling estimates allow for assessing the statistical uncertainty around derived temporal ranges. The indirect approach should allow for improved evaluation of diverse research questions, from sustainability of industrial shellfish harvesting to climatic interpretations of stable isotope proxies extracted from fossil skeletons. (c) 2013 Elsevier Inc. All rights reserved.</t>
  </si>
  <si>
    <t>10.1016/j.tpb.2013.09.008</t>
  </si>
  <si>
    <t>Qing, X; Wang, YH; Lu, XQ; Li, HB; Wang, X; Li, HM; Xie, XJ</t>
  </si>
  <si>
    <t>NemaRec: A deep learning-based web application for nematode image identification and ecological indices calculation</t>
  </si>
  <si>
    <t>Maturity index; Machine learning; Soil ecology; Biodiversity; Convolutional neural networks</t>
  </si>
  <si>
    <t>TAXONOMY</t>
  </si>
  <si>
    <t>Nematodes are ubiquitous in soil representing different trophic levels and occupying a central position in the detritus food web. Nematodes have been widely used for biomonitoring of soil quality and health. However, their application in bio-indicator is limited due to the taxonomic identification is laborious, and largely relying on morphological characters which require substantial prior nematology experiences. In present study, we developed the web application NemaRec using the I-Nema dataset. NemaRec adopts the deep convolutional neural networks approach for nematode image identification, incorporate I-Nema dataset in a user friendly interface, and further extends it to the calculation of feeding types, c-p values, MI and PPI indices for environment evaluation. Within 19 studied genera, the model can properly identify up to 60% genera, 76% of c-p values and 76% feeding types in specimen-based dataset (images taken from microscopy), and 94%-97% in augmented dataset (image treated with random flip and Gaussian noise). The pipeline was further incorporated into a user-friendly web application NemaRec. NemaRec offers high-throughput online identification while simultaneously collect images uploaded by users for future modeling training. To our knowledge this is the first soil nematode image identification system using deep learning approach. NemaRec is available http://168.138.167.251:8080/).</t>
  </si>
  <si>
    <t>10.1016/j.ejsobi.2022.103408</t>
  </si>
  <si>
    <t>Mu, WH; Wu, XC; Camarero, JJ; Fu, YSH; Huang, JG; Li, XY; Chen, DL</t>
  </si>
  <si>
    <t>Photoperiod drives cessation of wood formation in northern conifers</t>
  </si>
  <si>
    <t>conifer species; latitudinal pattern; Northern Hemisphere; photoperiod; xylem phenology; wood formation</t>
  </si>
  <si>
    <t>XYLEM PHENOLOGY; GROWING-SEASON; CLIMATE-CHANGE; CAMBIUM PHENOLOGY; BLACK SPRUCE; INTRAANNUAL DYNAMICS; FOREST PRODUCTIVITY; AUTUMN SENESCENCE; TEMPERATE FOREST; MODEL SELECTION</t>
  </si>
  <si>
    <t>AimsShifts in xylem phenology directly determine the forest capacity for carbon sequestration. However, a systematic understanding of the spatial patterns and the underpinning drivers in determining the cessation of wood formation (C-cw) is lacking at a pan-continental scale. Here, we addressed this knowledge gap by compiling a new dataset of multiple xylem phenology timings for northern conifers. LocationsSixty-two study sites, Northern Hemisphere (25-55 degrees N). Time period2003-2018 (16 years). TaxaThirty-three conifer species. MethodsA generalized additive model was fitted to characterize the latitudinal pattern in C-cw. Structural equation modelling and a linear mixed-effects model were applied to determine the main drivers underlying the latitudinal pattern in C-cw. ResultsThe C-cw followed a flat S-shaped pattern with increasing latitude. Photoperiod was the dominant determinant of the latitudinal pattern of C-cw, and a longer photoperiod was associated with an earlier C-cw. Both mean growing-season temperature and total growing-season precipitation exhibited significantly positive relationships to the cessation of cell elongation and thus the C-cw across all study sites. In arid regions, the pre-growing-season temperature had a significantly negative effect on C-cw. In humid regions, C-cw was negatively affected by the mean growing-season temperature. The onset of wood formation showed significantly positive coupling with C-cw at arid sites but not at humid sites. Early successional species were sensitive to hydrothermal variations during the pre-growing season. Main conclusionsWe reveal the dominant role of photoperiod in determining the cessation of wood formation for northern conifers and highlight differentiated interactive effects between photoperiod and seasonal climatic factors and the preceding xylem phenophases in determining C-cw among ecoregions and tree species. These insights provide evidence to reduce uncertainty in prediction of the forest carbon uptake potential and the consequent biophysical feedbacks of northern forests.</t>
  </si>
  <si>
    <t>10.1111/geb.13647</t>
  </si>
  <si>
    <t>Sattolo, TMS; Mariano, E; Boschiero, BN; Otto, R</t>
  </si>
  <si>
    <t>Soil carbon and nitrogen dynamics as affected by land use change and successive nitrogen fertilization of sugarcane</t>
  </si>
  <si>
    <t>Biofuels; Nitrogen fertilizer; Land use change; Basal respiration; Nitrogen mineralization; Soil carbon and nitrogen stocks</t>
  </si>
  <si>
    <t>MICROBIAL BIOMASS CARBON; ORGANIC-MATTER; HARVEST RESIDUES; SAO-PAULO; MANAGEMENT; STOCKS; TRASH; MINERALIZATION; IMPACT; MICROORGANISMS</t>
  </si>
  <si>
    <t>The land use change (LUC) and application of N fertilizers have potential to affect soil C and N dynamics and long-term C and N stocks. We aimed to evaluate the effects of the LUC from native vegetation (seasonal semideciduous forest) to sugarcane (Saccharwn spp.).cultivation under successive annual N fertilizer applications on chemical and microbiological attributes of sugarcane-cropped soils. Two field trials were performed during three (Site 1) or four years (Site 2) in southeastern Brazil. Soil sampling was carried out in the following N treatments applied to the crop: control (N-unfertilized plots), organomineral fertilizer (100 kg ha(-1) yr(-1) N), and synthetic fertilizer (100 and 200 kg ha(-1) yr(-1) N). Soil samples from native vegetation located near each site were also taken, to serve as reference for studying LUC. For Site 1, successive application of N fertilizers on sugarcane managed under green cane trash blanketing system maintained the C and N dynamics and stocks in soil to conditions similar to those found before LUC. At Site 2, however, modifications in soil attributes caused by LUC were more impacting than the N fertilization management. Compared to synthetic N fertilizers, successive application of organomineral fertilizer did not improve the soil microbiological attributes as well as organic C and total N stocks. Lastly, successive high N input (200 kg ha(-1) yr(-1), via synthetic fertilizer) promoted accumulation of mineral N deep in the soil profile, thus increasing potential losses through NO3- leaching.</t>
  </si>
  <si>
    <t>10.1016/j.agee.2017.06.005</t>
  </si>
  <si>
    <t>Bogdziewicz, M; Szymkowiak, J; Kasprzyk, I; Grewling, L; Borowski, Z; Borycka, K; Kantorowicz, W; Myszkowska, D; Piotrowicz, K; Ziemianin, M; Pesendorfer, MB</t>
  </si>
  <si>
    <t>Masting in wind-pollinated trees: system-specific roles of weather and pollination dynamics in driving seed production</t>
  </si>
  <si>
    <t>Fagus sylvatica; flowering masting; fruiting masting; mast seeding; phenological synchrony; pollen coupling; pollination Moran effect; Quercus petraea; Quercus robur; seed production</t>
  </si>
  <si>
    <t>RESOURCE BUDGET MODEL; FAGUS-SYLVATICA L.; POLLEN LIMITATION; AIRBORNE POLLEN; FLOWERING PHENOLOGY; FOREST TREES; REPRODUCTION; OAK; QUERCUS; BEECH</t>
  </si>
  <si>
    <t>Masting, the highly variable production of synchronized large seed crops, is a common reproductive strategy in plant populations. In wind-pollinated trees, flowering and pollination dynamics are hypothesized to provide the mechanistic link for the well-known relationship between weather and population-level seed production. Several hypotheses make predictions about the effect of weather on annual pollination success. The pollen coupling hypothesis predicts that weather and plant resources drive the flowering effort of trees, which directly translates into the size of seed crops through efficient pollination. In contrast, the pollination Moran effect hypothesis predicts that weather affects pollination efficiency, leading to occasional bumper crops. Furthermore, the recently formulated phenology synchrony hypothesis predicts that Moran effects can arise because of weather effects on flowering synchrony, which, in turn, drives pollination efficiency. We investigated the relationship between weather, airborne pollen, and seed production in common European trees, two oak species (Quercus petraea and Q.robur) and beech (Fagus sylvatica) with a 19-yr data set from three sites in Poland. Our results show that warm summers preceding flowering correlated with high pollen abundance and warm springs resulted in short pollen seasons (i.e., high flowering synchrony) for all three species. Pollen abundance was the best predictor for seed crops in beech, as predicted under pollen coupling. In oaks, short pollen seasons, rather than pollen abundance, correlated with large seed crops, providing support for the pollination Moran effect and phenology synchrony hypotheses. Fundamentally different mechanisms may therefore drive masting in species of the family Fagacae.</t>
  </si>
  <si>
    <t>10.1002/ecy.1951</t>
  </si>
  <si>
    <t>Canning, AD; Death, RG; Gardner, EM</t>
  </si>
  <si>
    <t>Forest canopy affects stream macroinvertebrate assemblage structure but not trophic stability</t>
  </si>
  <si>
    <t>riparian; stability; macroinvertebrate; community; stream; land use; allochthonous; autochthonous; robustness; trophic network</t>
  </si>
  <si>
    <t>FOOD-CHAIN LENGTH; NEW-ZEALAND; PRIMARY PRODUCTIVITY; ECOSYSTEM STRUCTURE; WATER TEMPERATURE; RIPARIAN CANOPY; FLOW; DISTURBANCE; PERIPHYTON; INVERTEBRATES</t>
  </si>
  <si>
    <t>Understanding the determinates of community structure and function is a central theme in community ecology. The form in which energy is supplied to food webs can strongly influence community structure and function. Trophic stability is also thought to be affected by the nature of food web energy pathways and whether they are external (allochthonous) or internal (autochthonous) to the ecosystem. In this study, we assessed whether stream invertebrate assemblages differ in taxonomic composition, energetic network structure, trophic network stability, and assemblage temporal variability based on whether the streams they occupy occur under forested canopies or in open grasslands. We assumed that forested sites would receive more allochthonous inputs, whereas grassland sites would rely more on autochthonous resources. We also tested whether food web stability (robustness, the conservation of energy flow) changed after simulated species extinctions. We found that the forest stream assemblages were dominated by filter feeders and shredders, whereas the grassland assemblages were dominated by grazers. In spite of these differences in assemblage composition, we found no significant differences in trophic network structure, stability, or temporal variability among different site types. Many stream systems, particularly in mountainous areas, such as New Zealand, are exposed to regular and large physical disturbance from flooding, which may result in assemblages with similarly generic diets irrespective of the energy source.</t>
  </si>
  <si>
    <t>10.1086/701378</t>
  </si>
  <si>
    <t>Moriarty, KM; Zielinski, WJ; Gonzales, AG; Dawson, TE; Boatner, KM; Wilson, CA; Schlexer, FV; Pilgrim, KL; Copeland, JP; Schwartz, MK</t>
  </si>
  <si>
    <t>Wolverine Confirmation in California after Nearly a Century: Native or Long-Distance Immigrant?</t>
  </si>
  <si>
    <t>GULO-GULO; POPULATION-STRUCTURE; NORTHWEST-TERRITORIES; STABLE-ISOTOPES; MIGRATION</t>
  </si>
  <si>
    <t>We photo-verified the presence of a wolverine (Gulo gulo) in California for the first time in 86 years during February 2008. Herein we document the process of determining the origin of this wolverine using genetic, stable carbon (delta C-13) and stable nitrogen (delta N-15) isotope information. The wolverine's origin was significant because it is a state-threatened species and California represents a historically unique genotype of wolverines in North America. We obtained both photographs and noninvasively-collected genetic evidence (scat and hair). DNA analysis revealed the animal was a male and not a remnant of a historical California population. Comparison with available data revealed the individual was most closely related to populations from the western edge of the Rocky Mountains. This represents the first evidence of connectivity between wolverine populations of the Rocky and Sierra Nevada Mountain Ranges.</t>
  </si>
  <si>
    <t>10.3955/046.083.0207</t>
  </si>
  <si>
    <t>Zarco-Perello, S; Bosch, NE; Bennett, S; Vanderklift, MA; Wernberg, T</t>
  </si>
  <si>
    <t>Persistence of tropical herbivores in temperate reefs constrains kelp resilience to cryptic habitats</t>
  </si>
  <si>
    <t>herbivory; kelp forest; nursery grounds; refuge; seagrass; temperate reefs; tropicalization</t>
  </si>
  <si>
    <t>FISH KYPHOSUS-BIGIBBUS; CORAL-REEF; TEMPORAL PATTERNS; FEEDING-BEHAVIOR; MARINE; RANGE; DIET; RECRUITMENT; DIVERSITY; ABUNDANCE</t>
  </si>
  <si>
    <t>Global warming is facilitating the range expansion of tropical herbivores, causing a tropicalization of temperate marine ecosystems, where tropical herbivores can suppress habitat-forming macrophytes, supporting the resilience of canopy-free ecosystem states. However, currently we lack a thorough understanding of the mechanisms that, on one hand, support the persistence of tropical herbivores and on the other support the recovery of temperate foundation species in tropicalized ecosystems, a required knowledge to predict potential regime shifts and reversals to the baseline state of the ecosystem. This study tested processes behind the persistence of the tropicalization of temperate reefs which experienced a complete loss of their kelp forests and an influx of tropical herbivores following a marine heatwave in 2011. For this, we assessed the feedback mechanisms that maintain turf-dominated states (recruitment of tropical herbivores, browsing and grazing rates and turf cover) and those that resist it (kelp recruitment, survival and reproductiveness). We found that the reefs remained tropicalized with high abundances of turf and tropical herbivores after 9 years from the regime shift. The rabbitfish Siganus fuscescens and the chub Kyphosus bigibbus were the most important herbivores whose persistence was supported by the adjacent reef lagoon, where seagrass meadows and the backreef habitats hosted juveniles of both species, particularly rabbitfish. Tropical herbivores exerted a strong top-down control on turf seaweed and kelp during herbivory assays, rapidly consuming kelp individuals in open areas. However, in topographical refuges in the reefs, herbivory was low and kelp individuals survived, with some having reproductive tissue. Synthesis. Our findings incorporate the importance of nursery grounds for tropical herbivores and herbivory refugia for kelp individuals into the tropicalization model, where the former increases the resilience of canopy-free states and the latter might facilitate recovering kelp populations. The restoration of abundant warm-resistant kelp populations in shelters could provide local sources of propagules to recolonize open spaces; however, our results suggest that the reduction of herbivory and the provision of turf-free substratum would be necessary to boost the recovery of kelp forests.</t>
  </si>
  <si>
    <t>10.1111/1365-2745.13621</t>
  </si>
  <si>
    <t>Hersey, KA; Clark, JD; Layzer, JB</t>
  </si>
  <si>
    <t>Consumption of Freshwater Bivalves by Muskrats in the Green River, Kentucky</t>
  </si>
  <si>
    <t>SIZE-SELECTIVE PREDATION; ISOTOPE MIXING MODELS; ONDATRA-ZIBETHICUS; STABLE-ISOTOPES; UNIONID CLAMS; NORTH-AMERICA; MUSSELS; DIGESTIBILITY; POPULATION; MAMMALS</t>
  </si>
  <si>
    <t>Muskrats (Ondatra zibethicus) are known to prey on freshwater bivalves (mussels and clams) and can negatively impact imperiled mussel species. However, factors that influence muskrat predation on bivalves are poorly understood. We evaluated the feeding ecology of muskrats in the Green River, Kentucky, by using stable isotope analysis of muskrat hair samples and by monitoring bivalve shell deposition at muskrat middens. Bayesian mixing-model analysis of stable isotope delta N-15 and delta C-13 ratios revealed that the median muskrat biomass derived from bivalves was 51.4% (5th and 95th percentiles were 39.1 to 63.4%, respectively), a much higher dietary proportion than previously reported. Shell depositions by muskrats at middens decreased with the availability of seasonal emergent vegetation, suggesting that the consumption of animal matter is in response to a scarcity of plant foods, perhaps exacerbated by the altered flow regimes on the Green River. Our results add to the growing body of evidence that muskrats have the potential to impact mussel population growth and recovery in some environments.</t>
  </si>
  <si>
    <t>10.1674/0003-0031-170.2.248</t>
  </si>
  <si>
    <t>Voigt, CC; Lehnert, LS; Popa-Lisseanu, AG; Ciechanowski, M; Estok, P; Gloza-Rausch, F; Gorfol, T; Gottsche, M; Harrje, C; Hotzel, M; Teige, T; Wohlgemuth, R; Kramer-Schadt, S</t>
  </si>
  <si>
    <t>The trans-boundary importance of artificial bat hibernacula in managed European forests</t>
  </si>
  <si>
    <t>Chiroptera; Compensation; Conservation; Migratory species; Isoscape origin model; Spatial model; GIS</t>
  </si>
  <si>
    <t>STABLE-HYDROGEN; BIODIVERSITY CONSERVATION; POPULATION DECLINES; NYCTALUS-NOCTULA; DISPERSAL; ISOTOPES; HABITAT; WINTER; MIGRATION; CONFLICTS</t>
  </si>
  <si>
    <t>Many European migratory bat species hibernate in large hollow trees, a decreasing resource in present day silviculture. Here, we report on the importance of man-made hibernacula to support trans-boundary populations of noctule bats (Nyctalus noctula), a species that performs seasonal long distance movements throughout Europe. In winter, we surveyed nine bat roosts (eight artificial and one natural) in Germany and collected small tufts of fur from a total of 608 individuals. We then measured the stable isotope ratios of the non-exchangeable hydrogen in fur keratin and estimated the origin of migrants using a refined isoscape origin model that included information on expected flight distances and migration directions. According to the stable isotope signature, 78 % of hibernating bats originated from local populations. The remaining 22 % of hibernacula occupants originated from distant populations, mostly from places in northern or eastern countries such as Sweden, Poland and Baltic countries. Our results confirm that many noctule bats cross one or several political borders during migration. Data on the breeding origin of hibernating noctule bats also suggest that artificial roosts may not only be important for local but also for distant populations. Protection of natural and artificial hibernacula in managed forests may support the trans-boundary populations of migratory bats when hollow trees are scarce in managed forests.</t>
  </si>
  <si>
    <t>10.1007/s10531-014-0620-y</t>
  </si>
  <si>
    <t>Demars, BOL; Kemp, JL; Marteau, B; Friberg, N; Thornton, B</t>
  </si>
  <si>
    <t>Stream Macroinvertebrates and Carbon Cycling in Tangled Food Webs</t>
  </si>
  <si>
    <t>macroinvertebrates; stream food web; resource use efficiency; microbial loop; allochthony; autochthony</t>
  </si>
  <si>
    <t>DISSOLVED ORGANIC-CARBON; HEADWATER STREAM; BACTERIAL PRODUCTION; ISOTOPE ANALYSIS; STABLE-ISOTOPES; MATTER; TERRESTRIAL; ENRICHMENT; LARVAE; FRESH</t>
  </si>
  <si>
    <t>The annual global loss of organic carbon from terrestrial ecosystems into rivers is similar to the organic carbon stored in soils each year. Dissolved organic matter (DOM) flows through the food web to macroinvertebrates, but little is known about the effect of DOM increase on stream food webs and how much macroinvertebrates may contribute to the regulation of carbon fluxes in rivers. Using a before and after control impact (BACI) experimental design, we increased by 12% (+ 0.52 mg C L-1) the concentration of DOM in a stream for three weeks by adding sucrose, with a distinctive delta C-13 signature, to simulate a pulse of natural DOM supply from soils. We partitioned the diet of macroinvertebrates from carbon sources according to the green pathway (autotrophs) and detrital pathways (bacteria and terrestrial organic matter). Our flow food web approach based on C fluxes, with bacteria as a key node, showed the dominant contribution of the detrital pathways for macroinvertebrates in the reference stream. DOM addition induced changes in the diets of individual taxa, but did not have any strong effects on the relative overall contribution of the detrital pathways versus the green pathway. Autotrophic uptake of CO2 respired by bacteria was much larger than bacterial C flux to invertebrates (that is, the classic microbial loop) and allowed a significant fraction of natural allochthonous organic carbon to make its way to macroinvertebrates via autotrophs fixing CO2 respired by bacteria. Overall macroinvertebrates did not regulate directly to any great extent the flux of stream DOM towards downstream ecosystems.</t>
  </si>
  <si>
    <t>10.1007/s10021-021-00626-8</t>
  </si>
  <si>
    <t>Yamamura, O; Honda, S; Shida, O; Hamatsu, T</t>
  </si>
  <si>
    <t>Diets of walleye pollock Theragra chalcogramma in the Doto area, northern Japan: ontogenetic and seasonal variations</t>
  </si>
  <si>
    <t>Theragra chalcogramma; food habits; seasonality; feeding intensity; condition</t>
  </si>
  <si>
    <t>SUB-ARCTIC PACIFIC; HERRING CLUPEA-PALLASI; BODY ENERGY CONTENT; EASTERN BERING-SEA; VERTICAL-DISTRIBUTION; PROXIMATE COMPOSITION; OYASHIO REGION; SIZE; PREY; MORTALITY</t>
  </si>
  <si>
    <t>Seasonal, ontogenetic and bathymetric variations of diet were examined for walleye pollock Theragra chalcogramma based on a total of 6666 fish collected off the southeastern coast of Hokkaido Island, northern Japan (Doto area) during 1989 to 2000. Walleye pollock depended exclusively (&gt; 99 %) on pelagic prey and showed a clear ontogenetic dietary shift: smaller fish depended mainly upon mesozooplankton such as Neocalanus cristatus and Euphausia pacifica, and larger fish preyed upon pollock (cannibalism), myctophids Diaphus theta and firefly squid Watasenia scintillans. Seasonal variation was also evident. Smaller pollock depended mainly upon N. cristatus during spring then shifted gradually to E. pacifica during other seasons. For larger pollock, major prey shifted from pollock (cannibalism) during spring to micronekton during other seasons. Bathymetric variation was less pronounced, with cannibalism and Themisto spp. being more important in the shallow area (less than or equal to150 m). Feeding intensity, measured as stomach content index, was generally higher during spring and summer than autumn and winter, but showed incidentally high values during winter, suggesting sporadic but intense feeding opportunities. Fish condition fell during winter and then recovered rapidly during May and June. Recovery coincided with superabundance of N, cristatus during blooming, so that this species is essential for the recovery of pollock from wintering and spawning.</t>
  </si>
  <si>
    <t>10.3354/meps238187</t>
  </si>
  <si>
    <t>Walsh, J; Reiss, CS; Watters, GM</t>
  </si>
  <si>
    <t>Flexibility in Antarctic krill Euphausia superba decouples diet and recruitment from overwinter sea-ice conditions in the northern Antarctic Peninsula</t>
  </si>
  <si>
    <t>Antarctic krill; Chlorophyll; Diet; Overwinter survival; Recruitment; Sea ice</t>
  </si>
  <si>
    <t>WINTER PACK-ICE; LARVAL KRILL; FOOD-WEB; TROPHIC RELATIONSHIPS; ENERGY BUDGETS; SOUTHERN-OCEAN; FATTY-ACIDS; GROWTH; WEDDELL; WEST</t>
  </si>
  <si>
    <t>Winter sea-ice conditions are considered important for Antarctic krill Euphausia superba survival and recruitment, yet few broad-scale longitudinal studies have examined the underlying relationships between winter conditions and krill recruitment. We used data from a 4 yr winter study of krill condition (lipid content), diet (stable isotopes and fatty acids), and length distributions around the northern Antarctic Peninsula to examine relationships among environmental variables (annual sea-ice cover, water column chlorophyll a [chl a], and upper mixed-layer water temperature), the condition and diet of krill, and recruitment success the following year. Diet indicators (lipid content, delta N-15, delta C-1(3), and the fatty acid ratios 16:1n-7/18:4n-3 and 18:1n-9/18:1n-7) in post-larvae were consistent among years regardless of sea-ice cover, suggesting that post-larval krill do not rely on sea-ice resources for overwinter survival. Diet indicators in larvae were more variable and suggest that larvae may feed on sea-ice resources when they are available but can still persist in the water column when they are not. Principal component analysis between environmental variables and diet indicators showed that water-column chl a was the only variable that significantly affected diet, regardless of annual changes in sea-ice cover. Extensive winter ice in one year did not translate into successful recruitment the following year. Krill demonstrate a high degree of flexibility with respect to overwinter habitat and diet, and the degree to which sea ice is important during different times of year and at different life stages may be more complex than previously thought.</t>
  </si>
  <si>
    <t>10.3354/meps13325</t>
  </si>
  <si>
    <t>McDonald, RS; Roth, JD; Baldwin, FB</t>
  </si>
  <si>
    <t>Goose persistence in fall strongly influences Arctic fox diet, but not reproductive success, in the southern Arctic</t>
  </si>
  <si>
    <t>Foraging ecology; predator-prey interactions; food-web/trophic dynamics; pulsed resources; population dynamics; migratory prey</t>
  </si>
  <si>
    <t>STABLE-CARBON ISOTOPES; ALOPEX-LAGOPUS; APPARENT COMPETITION; TROPHIC INTERACTIONS; LEMMING CYCLES; MIXING MODELS; CANADA GEESE; SNOW GEESE; PATTERNS; RESOURCES</t>
  </si>
  <si>
    <t>Food availability is the primary limitation for terrestrial Arctic predators, many of which rely on rodents that fluctuate in abundance over a 3-5-year period. During rodent scarcity, predators such as Arctic foxes (Vulpes lagopus) consume alternative prey, such as migratory birds, which are plentiful during summer. In most of the Arctic these birds return south by August, but in northern Manitoba, near the southern edge of the Arctic fox distribution, large numbers of lesser snow geese (Chen caerulescens caerulescens) and Canada geese (Branta canadensis interior) persist into October. This extended availability of geese late into fall may reduce the dependence of Arctic foxes on rodents. We used stable isotope and faecal analyses to reconstruct the Arctic fox fall and winter diet and related the most probable contributions of lemmings, goose eggs and juvenile geese with changes in prey availability and fox reproduction. Geese were a potentially important component of the fall diet for Arctic foxes, especially in years with high goose productivity, but rodents were the main component of the diet in late winter, even though rodents were scarce each summer (2010-2013). Furthermore, rodent density had a greater influence on Arctic fox reproduction, which was correlated with the subsequent winter harvest, than any other variable examined. Although geese were important fall prey for Arctic foxes at the southern edge of their distribution, they did not buffer declines in availability of rodents, which were the primary prey in April when food availability is critical for Arctic fox reproduction.</t>
  </si>
  <si>
    <t>10.1080/17518369.2017.1324652</t>
  </si>
  <si>
    <t>Gao, XF; Wang, WP; Ndayishimiye, JC; Govaert, L; Chen, HH; Jeppesen, E; Xue, YY; Yu, XQ; Yang, J</t>
  </si>
  <si>
    <t>Invasive and toxic cyanobacteria regulate allochthonous resource use and community niche width of reservoir zooplankton</t>
  </si>
  <si>
    <t>cyanobacterial dominance; cyanobacteria-zooplankton interaction; food web; Raphidiopsis raciborskii; zooplankton traits</t>
  </si>
  <si>
    <t>STABLE-ISOTOPE RATIOS; CYLINDROSPERMOPSIS-RACIBORSKII; CARBON; LAKES; PHYTOPLANKTON; DOMINANCE; NITROGEN; WATER; CLADOCERANS; TERRESTRIAL</t>
  </si>
  <si>
    <t>Cyanobacterial dominance or blooms can influence ecosystem structure in reservoirs, yet there are only few studies of its effect on the resource use and trophic structure of zooplankton. We hypothesised that zooplankton traits would exhibit a strong response to the increase of invasive and toxic cyanobacteria. We investigated the effect of an invasive bloom-forming cyanobacterium Raphidiopsis raciborskii (formerly Cylindrospermopsis raciborskii) on zooplankton functional traits (e.g., growth, reproduction, allochthonous resource use and realised niche) through laboratory experiments and 3-year field investigations in two subtropical reservoirs. The realised niche (i.e., resource and habitat use) was quantified using stable isotopes (termed isotopic niches). We fed the cladoceran zooplankton Moina sp. with Scenedesmus obliquus (chlorophyte), R. raciborskii, and a mixture of S. obliquus and R. raciborskii in laboratory experiments. A diet of R. raciborskii alone depressed the growth and reproduction of Moina sp. compared to a diet of S. obliquus alone, but a mixture of S. obliquus and R. raciborskii greatly alleviated the inhibition effects caused by cyanobacteria. Under natural field conditions, we did not find a strong inhibition effect of R. raciborskii dominance on the zooplankton, but a high biomass of R. raciborskii was associated with an increase (17%) in the relative allochthonous resource (terrestrially derived organic matter) use by cladocerans (but not for copepods), even though the chlorophyll-a concentration increased from 17 mu g/L in the non-bloom period to 28 mu g/L during periods of R. raciborskii dominance or blooms. Furthermore, a high biomass of R. raciborskii increased the contribution of inter-taxa variation (taxa sorting) to the expanded isotopic niches of the zooplankton community. Our study helps to clarify cyanobacteria-zooplankton interactions and highlights the importance of cyanobacterial dominance or blooms in regulating cross-ecosystem resource use and biogeochemical cycling mediated by zooplankton in aquatic ecosystems.</t>
  </si>
  <si>
    <t>10.1111/fwb.13921</t>
  </si>
  <si>
    <t>Rushing, CS; Marra, PP; Dudash, MR</t>
  </si>
  <si>
    <t>Winter habitat quality but not long-distance dispersal influences apparent reproductive success in a migratory bird</t>
  </si>
  <si>
    <t>Aster models; breeding dispersal; carry-over effects; deuterium; long-distance dispersal; natal dispersal; seasonal interactions</t>
  </si>
  <si>
    <t>NATAL DISPERSAL; AMERICAN REDSTARTS; BREEDING DISPERSAL; CLIMATE-CHANGE; ARRIVAL DATE; CONSEQUENCES; POPULATION; FITNESS; PATTERNS; PERFORMANCE</t>
  </si>
  <si>
    <t>Long-distance breeding and natal dispersal play central roles in many ecological and evolutionary processes, including gene flow, population dynamics, range expansion, and individual responses to fluctuating biotic and abiotic conditions. However, the relative contribution of long-distance dispersal to these processes depends on the ability of dispersing individuals to successfully reproduce in their new environment. Unfortunately, due to the difficulties associated with tracking dispersal in the field, relatively little is known about its reproductive consequences. Furthermore, because reproductive success is influenced by a variety of processes, disentangling the influence of each of these processes is critical to understanding the direct consequences of dispersal. In this study, we used stable hydrogen and carbon isotopes to estimate long-distance dispersal and winter territory quality in a migratory bird, the American Redstart (Setophaga ruticilla). We then applied Aster life-history models to quantify the strength of influence of these factors on apparent reproductive success. We found no evidence that male or female reproductive success was lower for long-distance dispersers relative to non-dispersing individuals. In contrast, carry-over effects from the winter season did influence male, but not female, reproductive success. Use of Aster models further revealed that for adult males, winter territory quality influenced the number of offspring produced whereas for yearling males, high-quality winter territories were associated with higher mating and nesting success. These results suggest that although long-distance natal and breeding dispersal carry no immediate reproductive cost for American Redstarts, reproductive success in this species may ultimately be limited by the quality of winter habitat.</t>
  </si>
  <si>
    <t>10.1890/15-1259.1</t>
  </si>
  <si>
    <t>Carpenter-Kling, T; Pistorius, P; Reisinger, R; Cherel, Y; Connan, M</t>
  </si>
  <si>
    <t>A critical assessment of marine predator isoscapes within the southern Indian Ocean</t>
  </si>
  <si>
    <t>Geolocation; Stable isotope ecology; Southern Ocean; Seabirds; Procellariiformes; Penguins</t>
  </si>
  <si>
    <t>STABLE-ISOTOPE SIGNATURES; FORAGING BEHAVIOR; SOOTY ALBATROSSES; TROPHIC POSITION; CLIMATE-CHANGE; CARBON; NITROGEN; DELTA-C-13; SEABIRDS; DIET</t>
  </si>
  <si>
    <t>Background Precise and accurate retrospective geolocation of marine predators via their tissues' isotopic composition relies on quality reference maps of relevant isotopic gradients (isoscapes). Additionally, a good working knowledge of any discrimination factors that may offset a marine predator's isotopic composition from baseline isotopic values, as well as tissue specific retention rates, are imperative. We provide a critical assessment of inter-specific differences among marine predator-level isoscapes within the Indian Sector of the Southern Ocean. Methods We combined fine-scale GPS tracking data and concurrent blood plasma delta C-13 and delta N-15 values of eight seabird species (three albatross, two giant petrel and three penguin species) breeding at Marion Island to produce species- and guild-specific isoscapes. Results Overall, our study revealed latitudinal spatial gradients in both delta C-13 and delta N-15 for far-ranging seabirds (albatrosses and giant petrels) as well as inshore-offshore gradients for near-ranging seabirds (penguins). However, at the species level, latitudinal spatial gradients were not reflected in the delta C-13 and delta N-15 isoscapes of two and three, respectively, of the five far-ranging species studied. It is therefore important when possible to estimate and apply species-specific isoscapes or have a good understanding of any factors and pathways affecting marine predators' isotopic composition when estimating the foraging distribution of marine predators via their tissues' stable isotope compositions. Conclusions Using a multi-species approach, we provide evidence of large and regional scale systematic spatial variability of delta C-13 and delta N-15 at the base of the marine food web that propagates through trophic levels and is reflected in the isotopic composition of top predators' tissues.</t>
  </si>
  <si>
    <t>10.1186/s40462-020-00208-8</t>
  </si>
  <si>
    <t>Finkelstein, M; Keitt, BS; Croll, DA; Tershy, B; Jarman, WM; Rodriguez-Pastor, S; Anderson, DJ; Sievert, PR; Smith, DR</t>
  </si>
  <si>
    <t>Albatross species demonstrate regional differences in North Pacific marine contamination</t>
  </si>
  <si>
    <t>WHALES DELPHINAPTERUS-LEUCAS; PERSISTENT ORGANOCHLORINES; STABLE-ISOTOPES; TEMPORAL TRENDS; MIDWAY ATOLL; ENVIRONMENTAL CONTAMINANTS; TROPHIC RELATIONSHIPS; SOUTHERN-OCEAN/; FOOD-WEB; PESTICIDES</t>
  </si>
  <si>
    <t>Recent concern about negative effects on human health from elevated organochlorine and mercury concentrations in marine foods has highlighted the need to understand temporal and spatial patterns of marine pollution. Seabirds, long-lived pelagic predators with wide foraging ranges, can be used as indicators of regional contaminant patterns across large temporal and spatial scales. Here we evaluate contaminant levels, carbon and nitrogen stable isotope ratios, and satellite telemetry data from two sympatrically breeding North Pacific albatross species to demonstrate that (1) organochlorine and mercury contaminant levels are significantly higher in the California Current compared to levels in the high-latitude North Pacific and (2) levels of organochlorine contaminants in the North Pacific are increasing over time. Black-footed Albatrosses (Phoebastria nigripes) had 370-460% higher organochlorine (polychlorinated biphenyls [PCBs]. dichlorodiphenyltrichloroethanes [DDTs]) and mercury body burdens than a closely related species, the Laysan Albatross (P. immutabilis), primarily due to regional segregation of their North Pacific foraging areas. PCBs (the sum of the individual PCB congeners analyzed) and DDE concentrations in both albatross species were 130-360% higher than concentrations measured a decade ago. Our results demonstrate dramatically high and increasing contaminant concentrations in the eastern North Pacific Ocean, a finding relevant to other marine predators, including humans.</t>
  </si>
  <si>
    <t>10.1890/1051-0761(2006)016[0678:ASDRDI]2.0.CO;2</t>
  </si>
  <si>
    <t>Bleicher, SS; Marko, H; Morin, DJ; Teemu, K; Hannu, Y</t>
  </si>
  <si>
    <t>Balancing food, activity and the dangers of sunlit nights</t>
  </si>
  <si>
    <t>Foraging ecology; Subarctic forests; Vole-weasel model system; Sex bias and social behaviour; Evolutionary game theory; Physiological energetics</t>
  </si>
  <si>
    <t>VOLES CLETHRIONOMYS-GLAREOLUS; BANK VOLES; PREDATION RISK; PATCH USE; HABITAT SELECTION; SPACING BEHAVIOR; FIELD VOLES; POPULATION; WEASELS; STRESS</t>
  </si>
  <si>
    <t>Living in northern latitudes poses challenges to the animals that live in those habitats. The harsh environment provides a short breeding season where the sunlit summer nights provide little reprieve from visibility to predators and increased risk. In this paper, we tested the activity and food choice patterns of bank voles Myodes glareolus in early spring season, categorized by 18h of daylight and 6h of dusk in every day cycle. We found that territorial females showed a less predictable pattern of activity than males that were most active during the hours of dusk. The voles also showed preference to forage on high carbohydrate foods at sunset, while switching over to a more protein and fat-based diet towards sunrise. This shift is suggestive of a diet that is a direct adaptation to day-long fasts. Our results suggest a sensitive mechanism between food choice and predator avoidance in a system where light summer nights increase the predation risk considerably.Significance statementBank voles, Myodes glareolus, are considered a model organism in ecological studies and have been used for studies of population cycles, predator-prey interactions and studies of territoriality with over a century of published records. In this study, we challenge two major preconceptions about these animals using behavioral bio-assays in a controlled environment. (1) We challenge the diurnal activity patterns of these rodents currently accepted to have a bi-modal distribution in summer months and show a unimodular activity pattern. And (2) we show that these animals are not opportunistic foragers but vary their diet to compensate for the stress of an extended daytime fast further supporting a nocturnal pattern of activity even in extreme sunlit nights where night lasts under an hour.</t>
  </si>
  <si>
    <t>10.1007/s00265-019-2703-y</t>
  </si>
  <si>
    <t>Contradictory results from different methods for measuring direction of insect flight</t>
  </si>
  <si>
    <t>aquatic insects; colonisation cycle; flight direction; mark-recapture; stonefly</t>
  </si>
  <si>
    <t>ADULT STONEFLIES PLECOPTERA; AQUATIC INSECTS; MOUNTAIN STREAM; DRIFT PARADOX; MOVEMENTS; TRICHOPTERA; EPHEMEROPTERA; OVIPOSITION; DISPERSAL; MAYFLIES</t>
  </si>
  <si>
    <t>1. Stream ecologists have been puzzled by the apparent paradox that invertebrate populations persist in headwater streams despite the high frequency with which individuals drift downstream. To resolve this 'drift paradox', directions and distances of both larval and adult movement must be identified. Using over 50 interception traps in combination with results from several mark-capture experiments using N-15 as a label, we tested the assumption that interception traps accurately represent the ultimate direction of adult insect flight. 2. In several streams in the Hubbard Brook Experimental Forest, 76% of N-15-labelled stoneflies (Leuctra ferruginea) had flown upstream from where they emerged to where they were captured. In contrast, over 60% of stoneflies were flying downstream when captured, i.e. on the upstream side of an interception trap. 3. The instantaneous direction, as indicated by the side of the interception trap on which they were captured, indicated the ultimate flight direction for fewer than 1/3 of the individuals captured. Thus, such traps did not accurately reflect the ultimate flight patterns of individuals, as indicated by mark-capture data. 4. Conclusions drawn from interception trap counts regarding the direction of movement and the distribution and persistence of populations may need to be re-evaluated. We suggest that better tracking methods, including mass mark-capture studies using stable isotopes, be used to evaluate the potentially complex patterns of adult insect movement and the consequences of that movement for individuals and populations.</t>
  </si>
  <si>
    <t>10.1111/j.1365-2427.2004.01266.x</t>
  </si>
  <si>
    <t>Strauss, J; Schirrmeister, L; Mangelsdorf, K; Eichhorn, L; Wetterich, S; Herzschuh, U</t>
  </si>
  <si>
    <t>Organic-matter quality of deep permafrost carbon - a study from Arctic Siberia</t>
  </si>
  <si>
    <t>HOLOCENE PEAT SEQUENCE; THERMOKARST LAKES; CLIMATE-CHANGE; LAPTEV SEA; RADIOCARBON; SOIL; THAW; MINERALIZATION; VULNERABILITY; DEGRADATION</t>
  </si>
  <si>
    <t>The organic-carbon (OC) pool accumulated in Arctic permafrost (perennially frozen ground) equals the carbon stored in the modern atmosphere. To give an idea of how Yedoma region permafrost could respond under future climatic warming, we conducted a study to quantify the organic-matter quality (here defined as the intrinsic potential to be further transformed, decomposed, and mineralized) of late Pleistocene (Yedoma) and Holocene (thermokarst) deposits on the Buor-Khaya Peninsula, northeast Siberia. The objective of this study was to develop a stratigraphic classified organic-matter quality characterization. For this purpose the degree of organic-matter decomposition was estimated by using a multiproxy approach. We applied sedimentological (grain-size analyses, bulk density, ice content) and geochemical parameters (total OC, stable carbon isotopes (delta C-13),total organic carbon : nitrogen (C / N) ratios) as well as lipid biomarkers (n-alkanes, n-fatty acids, hopanes, triterpenoids, and biomarker indices, i.e., average chain length, carbon preference index (CPI), and higher-plant fatty-acid index (HPFA)). Our results show that the Yedoma and thermokarst organic-matter qualities for further decomposition exhibit no obvious degradation-depth trend. Relatively, the C / N and delta C-13 values and the HPFA index show a significantly better preservation of the organic matter stored in thermokarst deposits compared to Yedoma deposits. The CPI data suggest less degradation of the organic matter from both deposits, with a higher value for Yedoma organic matter. As the interquartile ranges of the proxies mostly over-lap, we interpret this as indicating comparable quality for further decomposition for both kinds of deposits with likely better thermokarst organic-matter quality. Supported by principal component analyses, the sediment parameters and quality proxies of Yedoma and thermokarst deposits could not be unambiguously separated from each other. This revealed that the organic-matter vulnerability is heterogeneous and depends on different decomposition trajectories and the previous decomposition and preservation history. Elucidating this was one of the major new contributions of our multiproxy study. With the addition of biomarker data, it was possible to show that permafrost organic-matter degradation likely occurs via a combination of (uncompleted) degradation cycles or a cascade of degradation steps rather than as a linear function of age or sediment facies. We conclude that the amount of organic matter in the studied sediments is high for mineral soils and of good quality and therefore susceptible to future decomposition. The lack of depth trends shows that permafrost acts like a giant freezer, preserving the constant quality of ancient organic matter. When undecomposed Yedoma organic matter is mobilized via thermokarst processes, the fate of this carbon depends largely on the environmental conditions; the carbon could be preserved in an undecomposed state till refreezing occurs. If modern input has occurred, thermokarst organic matter could be of a better quality for future microbial decomposition than that found in Yedoma deposits.</t>
  </si>
  <si>
    <t>10.5194/bg-12-2227-2015</t>
  </si>
  <si>
    <t>Codron, D; Lee-Thorp, JA; Sponheimer, M; Codron, J; De Ruiter, D; Brink, JS</t>
  </si>
  <si>
    <t>Significance of diet type and diet quality for ecological diversity of African ungulates</t>
  </si>
  <si>
    <t>body mass; carbon isotopes; fibre; hypsodonty; per cent nitrogen</t>
  </si>
  <si>
    <t>CARBON-ISOTOPE FRACTIONATION; NUTRITIONAL ECOLOGY; RUMINANT DIVERSIFICATION; GRAZING RUMINANTS; FOOD SELECTION; BODY-SIZE; BOVIDAE; ADAPTATION; HERBIVORES; RETENTION</t>
  </si>
  <si>
    <t>1. We test two nutritional hypotheses for the ecological diversity of ungulates, the browser/grazer (diet type) and diet quality models, among free-ranging herbivores in a South African savanna, the Kruger National Park. Tests are based on assessment of relationships between diet type and diet quality with body mass and hypsodonty, two morphological features that have been associated with both elements. 2. We use stable carbon isotope ratios of faeces to reconstruct diet in terms of proportions of C-3 plants (browse) and C-4 plants (grass) consumed by different species in different seasons. These data are combined with proxies for diet quality (per cent nitrogen, neutral detergent fibre, acid detergent fibre, and acid detergent lignin) from faeces to track changes in diet quality. 3. Two statistical approaches are used in model selection, i.e. tests of significant correlations based on linear regression analyses, and an information-theory approach (Akaike's Information Criterion) providing insight into strength of evidence for models. 4. Results of both methods show that, contrary to many predictions, body mass and diet type are not related, but these data confirm predictions that diet quality decreases with increasing body size, especially during the dry season. Hypsodonty, as expected, varies with diet type, increasing with increased grass intake. 5. These findings support both a diet type and diet quality model, implying some degree of exclusivity. We propose that congruence between models may be achieved through addition of diet quality proxies not included here, because hypsodonty is more likely a reflection of the abrasive properties of consumed foods, i.e. related to food quality, rather than food type. This implies that adaptation to diets of varying quality, through changes in body size and dental features, has been the primary mechanism for diversification in ungulates. 6. Our interpretation contrasts with several recent studies advocating diet type as the primary factor, exemplifying that further reconciliation between the two models is needed. We discuss the implications of this study for future approaches to achieve a more cohesive understanding of the evolutionary outcomes of herbivore nutrition.</t>
  </si>
  <si>
    <t>10.1111/j.1365-2656.2007.01222.x</t>
  </si>
  <si>
    <t>Keogh, MJ; Charapata, P; Fadely, BS; Zeppelin, T; Rea, L; Waite, JN; Burkanov, V; Marshall, C; Jones, A; Sprowls, C; Wooller, MJ</t>
  </si>
  <si>
    <t>Whiskers as a novel tissue for tracking reproductive and stress-related hormones in North Pacific otariid pinnipeds</t>
  </si>
  <si>
    <t>STELLER SEA LIONS; FUR SEALS; CIRCULATING PROGESTERONE; PHOCA-VITULINA; PREGNANCY; CORTISOL; DYNAMICS; ESTRUS; RATES</t>
  </si>
  <si>
    <t>Keratinized tissues, including whiskers, are ideal for acquiring a record of physiological parameters. Most tissues provide a snapshot of physiological status; however, whiskers may support longitudinal sampling for reproductive and stress-related hormones, if hormones are incorporated as whiskers grow and concentrations change with physiological state. Whiskers from female Steller sea lions (Eumetopias jubatus) and northern fur seals (Callorhinus ursinus) were serially sectioned and pulverized and steroid hormones were extracted. Standard methods were used to validate enzyme immunoassay kits for cortisol, progesterone, 17 beta-estradiol and testosterone. All hormones were measurable in whisker segments from both species with progesterone concentrations showing cyclical patterns, which appear to signify previous pregnancies or luteal phases. Yearly progesterone concentrations were greater in years a pup was produced compared with years when no pup was observed. Free-ranging female Steller sea lions had reproductive rates between 0 and 1.0 (0.53 +/- 0.33, n= 12) using a yearly progesterone concentration of 30 pg/mg or greater to classify a reproductive year as producing a pup and below 30 pg/mg as non-reproductive. Cortisol concentrations were greater near the root and rapidly declined, lacking any obvious patterns, throughout the rest of the whisker. Progesterone and testosterone concentrations were able to help determine sex of unknown individuals. Immunohistochemistry revealed that steroid hormones most likely do not leach out of whiskers based on the deposition patterns of progesterone and cortisol being present throughout the whisker length. Overall, measuring steroid hormones in whiskers can reveal individual reproductive histories over multiple years in sea lions and fur seals. Cyclical patterns of delta N-15 were useful for identifying periods of up to similar to 10 years of growth within whiskers, and measuring both stable isotopes and hormones may be useful for differentiating periods of active gestation from diapause and potentially track multiyear reproductive histories of female otariids.</t>
  </si>
  <si>
    <t>coaa134</t>
  </si>
  <si>
    <t>10.1093/conphys/coaa134</t>
  </si>
  <si>
    <t>Wang, L; D'Odorico, P; Okin, GS; Macko, SA</t>
  </si>
  <si>
    <t>Isotope composition and anion chemistry of soil profiles along the Kalahari Transect</t>
  </si>
  <si>
    <t>N-15; Belowground; Chloride; Kalahari; Nitrate; Phosphate; Sulfate</t>
  </si>
  <si>
    <t>SOUTHERN AFRICA; PRECIPITATION GRADIENT; ARID ECOSYSTEMS; GLOBAL PATTERNS; HYDRAULIC LIFT; SAVANNAS; VEGETATION; NITROGEN; ROOTS; SANDS</t>
  </si>
  <si>
    <t>Savannas cover about 20% of the Earth's land area across a wide range of climatic conditions. As an important and distinct biome, savannas produce approximately 29% of global terrestrial net primary productivity. In these ecosystems the distribution of belowground resources remains poorly investigated and the relationship to the climatic conditions remains unclear. In the present study, vertical profiles of soil nutrients (chloride, nitrate, phosphate and sulfate) and nitrogen stable isotopes were analyzed at four sites along the Kalahari mega-transect, where a distinct rainfall gradient exists on a homogeneous soil substrate. The results show clear differences in nutrients and delta N-15 vertical distributions between wet and dry seasons. The results also show how the formation of fertility islands (i.e., the concentration of soil nutrients in the soils beneath tree canopies) is not necessarily coupled with belowground processes in that the distribution of soil nutrients at the surface does not match belowground patterns. The results also indicate that phosphorus may be a limiting nutrient in these savanna ecosystems with seasonal dynamics in its cycling. (C) 2008 Elsevier Ltd. All rights reserved.</t>
  </si>
  <si>
    <t>10.1016/j.jaridenv.2008.11.010</t>
  </si>
  <si>
    <t>Vitoria, AP; Avila-Lovera, E; Vieira, TD; do Couto-Santos, APL; Pereira, TJ; Funch, LS; Freitas, L; de Miranda, LDP; Rodrigues, PJFP; Rezende, CE; Santiago, LS</t>
  </si>
  <si>
    <t>Isotopic composition of leaf carbon (delta C-13) and nitrogen (delta N-15) of deciduous and evergreen understorey trees in two tropical Brazilian Atlantic forests</t>
  </si>
  <si>
    <t>leaf habit; leaf traits; N and C concentration; tropical rain forest; water use efficiency</t>
  </si>
  <si>
    <t>N-15 NATURAL-ABUNDANCE; WATER-USE EFFICIENCY; PRECIPITATION GRADIENT; STABLE-ISOTOPES; PLANT NITROGEN; RAIN-FOREST; DRY FORESTS; COSTA-RICA; DISCRIMINATION; TRAITS</t>
  </si>
  <si>
    <t>Isotopic composition of leaf carbon (delta C-13) and nitrogen (delta N-15) is determined by biotic and abiotic factors. In order to determine the influence of leaf habit and site on leaf delta C-13 and delta N-15 in the understorey of two Atlantic forests in Brazil that differ in annual precipitation (1200 and 1900 mm), we measured these isotopes in the shaded understorey of 38 tropical tree species (20 in the 1200-mm site and 18 in the 1900-mm site). Mean site values for delta N-15 were significantly lower at the 1200-mm site (-1.4 parts per thousand) compared with the 1900-mm site (+3.0 parts per thousand), and delta C-13 was significantly greater in the 1200-mm site (-30.4 parts per thousand) than in the 1900-mm site (-31.6 parts per thousand). Leaf C concentration was greater and leaf N concentration was lower at 1200-mm than at 1900-mm. Leaf delta N-15 was negatively correlated with delta C-13 across the two sites. Leaf delta C-13 and delta N-15 of evergreen and deciduous species were not significantly different within a site. No significant phylogenetic signal for any traits among the study species was found. Overall, site differences were the main factor distinguishing traits among species, suggesting strong functional convergence to local climate and soils within each site for individuals in the shaded understorey.</t>
  </si>
  <si>
    <t>10.1017/S0266467418000093</t>
  </si>
  <si>
    <t>Sidagyte, E; Razlutskij, V; Alekhnovich, A; Rybakovas, A; Moroz, M; Sniaukstaite, V; Vaitonis, G; Arbaciauskas, K</t>
  </si>
  <si>
    <t>Predatory diet and potential effects of Orconectes limosus on river macroinvertebrate assemblages of the southeastern Baltic Sea basin: implications for ecological assessment</t>
  </si>
  <si>
    <t>spiny-cheek crayfish; narrow-clawed crayfish; feeding preference; community-specific impact; water quality assessment</t>
  </si>
  <si>
    <t>SPINY-CHEEK CRAYFISH; INTRODUCED SIGNAL CRAYFISH; NATIVE NOBLE CRAYFISH; INVASIVE CRAYFISH; PROCAMBARUS-CLARKII; MOVEMENT PATTERNS; STABLE-ISOTOPES; STREAM; IMPACT; LAKES</t>
  </si>
  <si>
    <t>Invasive crayfish can affect macroinvertebrate assemblages and thus alter conventional macroinvertebrate-based ecological assessment. We aimed to reveal potential impacts of the North American crayfish Orconectes limosus on river assessment in the Neman River basin (southeastern Baltic Sea). A laboratory experiment using identical macroinvertebrate assemblages was conducted to compare feeding selectivity and effects between O. limosus and the European Astacus leptodactylus. Field experiments were conducted to evaluate potential impacts of O. limosus on disturbed and undisturbed crayfish-free macroinvertebrate assemblages: one dominated by Oligochaeta vs. one co-dominated by Ephemeroptera-Plecoptera-Trichoptera and Mollusca (EPT-codominated). In the laboratory experiment, both crayfish species preferred feeding on Diptera (mostly chironomids), but O. limosus also selected Trichoptera and Ephemeroptera. Family richness did not change, but both species inflated the Shannon Diversity index by reducing Diptera domination. Astacus leptodactylus treatments had higher Shannon Diversity and percentage of EPT abundance compared to O. limosus treatments. Field experiments indicated (1) negative, (2) assemblage-specific, or (3) no effects of O. limosus on macroinvertebrate metrics. A negative effect, especially in the undisturbed assemblage, was observed on simple additive metrics based on taxa presence data, such as total or EPT family richness, or BMWP (Biological Monitoring Working Party) score. Assemblage-specific effects were indicated for some metrics based on relative abundances. In the Oligochaeta-dominated assemblage, Shannon Diversity was inflated and the percentage of Oligochaeta abundance was reduced. In the EPT-codominated assemblage Shannon Diversity was deflated while the relative abundance of Oligochaeta was not affected. No effects were observed when using the ASPT (Average BMWP Score Per Taxon) or percentage of EPT abundance. We conclude that O. limosus may have a more diverse predatory diet than A. leptodactylus, and thus can have a stronger effect on macroinvertebrate taxa sensitive to disturbances. Therefore, the invasion of O. limosus can alter macroinvertebrate assemblages and compromise conventional ecological assessment, even when it displaces resident Astacus species.</t>
  </si>
  <si>
    <t>10.3391/ai.2017.12.4.09</t>
  </si>
  <si>
    <t>Nakagawa, F; Tsunogai, U; Obata, Y; Ando, K; Yamashita, N; Saito, T; Uchiyama, S; Morohashi, M; Sase, H</t>
  </si>
  <si>
    <t>Export flux of unprocessed atmospheric nitrate from temperate forested catchments: a possible new index for nitrogen saturation</t>
  </si>
  <si>
    <t>TRIPLE OXYGEN ISOTOPES; STABLE-ISOTOPES; INORGANIC CONSTITUENTS; NITRIFICATION RATES; CHEMICAL CONVERSION; SEASONAL-VARIATION; FRESH-WATER; DEPOSITION; JAPANESE; DELTA-O-17</t>
  </si>
  <si>
    <t>To clarify the biological processing of nitrate within temperate forested catchments using unprocessed atmospheric nitrate exported from each catchment as a tracer, we continuously monitored stream nitrate concentrations and stable isotopic compositions, including O-17 excess (Delta O-17), in three forested catchments in Japan (KJ, IJ1, and IJ2) for more than 2 years. The catchments showed varying fluxweighted average nitrate concentrations of 58.4, 24.4, and 17.1 mu molL(-1) in KJ, IJ1, and IJ2, respectively, which correspond to varying export fluxes of nitrate: 76.4, 50.1, and 35.1 mmolm(-2) in KJ, IJ1, and IJ2, respectively. In addition to stream nitrate, nitrate concentrations and stable isotopic compositions in soil water were determined for comparison in the most nitrate-enriched catchment (site KJ). While the O-17 excess of nitrate in soil water showed significant seasonal variation, ranging from +0.1% to +5.7% in KJ, stream nitrate showed small variation, from +0.8% to +2.0% in KJ, +0.7% to +2.8% in IJ1, and +0.4% to +2.2% in IJ2. We conclude that the major source of stream nitrate in each forested catchment is groundwater nitrate. Additionally, the significant seasonal variation found in soil nitrate is buffered by the groundwater nitrate. The estimated annual export flux of unprocessed atmospheric nitrate accounted for 9.4% +/- 2.6 %, 6.5% +/- 1.8 %, and 2.6%+/-0.6% of the annual deposition flux of atmospheric nitrate in KJ, IJ1, and IJ2, respectively. The export flux of unprocessed atmo-spheric nitrate relative to the deposition flux showed a clear normal correlation with the flux-weighted average concentration of stream nitrate, indicating that reductions in the biological assimilation rates of nitrate in forested soils, rather than increased nitrification rates, are likely responsible for the elevated stream nitrate concentration, probably as a result of nitrogen saturation. The export flux of unprocessed atmospheric nitrate relative to the deposition flux in each forest ecosystem is applicable as an index for nitrogen saturation.</t>
  </si>
  <si>
    <t>10.5194/bg-15-7025-2018</t>
  </si>
  <si>
    <t>HAMPP, R</t>
  </si>
  <si>
    <t>COMPARATIVE-EVALUATION OF THE EFFECTS OF GASEOUS-POLLUTANTS, ACIDIC DEPOSITION, AND MINERAL DEFICIENCIES ON THE CARBOHYDRATE-METABOLISM OF TREES</t>
  </si>
  <si>
    <t>SPRUCE PICEA-ABIES; PISUM-SATIVUM-L; SUCROSE-PHOSPHATE SYNTHASE; STABLE CARBON ISOTOPES; RICINUS-COMMUNIS L; ONE-YEAR-OLD; NORWAY SPRUCE; L KARST; FOREST-DECLINE; SEASONAL-CHANGES</t>
  </si>
  <si>
    <t>With a focus on conifers, recent literature on the interaction of pollution, acidic deposition and mineral (mainly Mg) deficiency on plant carbohydrate metabolism is reviewed. By combining most recent knowledge about the regulation of carbon partitioning and allocation of photoassimilate with data on symptom-related pool sizes of carbohydrates, biochemical indications for shifts in allocation are presented. In summary, the data, although in part conflicting, indicate that the impact of pollutants at moderate levels (up to three times ambient concentration) should not be responsible for the decline symptoms observed.</t>
  </si>
  <si>
    <t>10.1016/0167-8809(92)90008-Y</t>
  </si>
  <si>
    <t>Singh, S; Compton, JE; Hawkins, TR; Sobota, DJ; Cooter, EJ</t>
  </si>
  <si>
    <t>A Nitrogen Physical Input-Output Table (PIOT) model for Illinois</t>
  </si>
  <si>
    <t>PIOT; Nitrogen; Coupled economy-ecology models; EPIC; Biogeochemical cycles; Sustainable resource management</t>
  </si>
  <si>
    <t>UNITED-STATES; CYCLE; US; POLLUTION; LOSSES; LAND; MEAT</t>
  </si>
  <si>
    <t>Nitrogen (N) presents an important challenge for sustainability. Human intervention in the global nitrogen cycle has been pivotal in providing goods and services to society. However, release of N beyond its intended societal use has many negative health and environmental consequences. Several systems modeling approaches have been developed to understand the tradeoffs between the beneficial and harmful effects of N. These efforts include life cycle modeling, integrated management practices and sustainability metrics for individuals and communities. However, these approaches do not connect economic and ecological N flows in physical units throughout the system, which could better represent these trade-offs for decision-makers. Physical Input-Output Table (PIOT) based models present a viable complementary solution to overcome this limitation. We developed a N-PIOT for Illinois representing the interdependence of sectors in 2002, using N mass units. This allows studying the total N flow required to produce a certain amount of N in the final product. An Environmentally Extended Input Output (EEIO) based approach was used to connect the physical economic production to environmental losses; allowing quantification of total environmental impact to support production in Illinois. A bottom up approach was used to develop the N-PIOT using Material Flow Analysis (MFA) tracking N flows associated with top 3 commodities (Corn, Soybean and Wheat). These three commodities cover 99% of N fertilizer use in Illinois. The PIOT shows that of all the N inputs to corn farming the state exported 68% of N embedded in useful products, 9% went to animal feed manufacturing and only 0.03% was consumed directly within the state. Approximately 35% of N input to soybean farming ended up in animal feed manufacturing. Release of N to the environment was highest from corn farming, at about 21.8% of total N fertilizer inputs, followed by soybean (9.2%) and wheat farming (4.2%). The model also allowed the calculation of life cycle N use efficiency for N based on physical flows in the economy. Hence, PIOTs prove to be a viable tool for developing a holistic approach to manage disrupted biogeochemical cycles, since these provide a detailed insight into physical flows in economic systems and allow physical coupling with ecological N flows. (C) 2017 Elsevier B.V. All rights reserved.</t>
  </si>
  <si>
    <t>10.1016/j.ecolmodel.2017.06.015</t>
  </si>
  <si>
    <t>Nasholm, T; Huss-Danell, K; Hogberg, P</t>
  </si>
  <si>
    <t>Uptake of organic nitrogen in the field by four agriculturally important plant species</t>
  </si>
  <si>
    <t>agricultural plants; amino acid; ammonium; glycine; N-15 and C-13; nitrate; organic nitrogen uptake; Phleum pratense; Ranunculus acris; stable isotopes; Trifolium hybridum; Trifolium pratense</t>
  </si>
  <si>
    <t>AMINO-ACIDS; PINUS-CONTORTA; TUNDRA; SOILS; AVAILABILITY; METABOLISM; NUTRITION; NITRATE; COMPLEX; SEDGE</t>
  </si>
  <si>
    <t>Uptake of glycine was studied in four plants commonly used in grasslands in northern Europe (Phleum pratense, Trifolium hybridum, T. pratense, and Ranunculus acris) and compared to uptake of ammonium and nitrate. The experiment was conducted in the field, but with plants transferred to pots with soil 8-10 d before the start of the experiment. Plant uptake of U-(C2N)-C-13-N-15 glycine, (NH4+)-N-15, and (NO3-)-N-15 was studied by injecting dilute (1 mmol/L) solutions of respectively labeled N source into the pots and harvesting plants 21 h later. Measurements of C-13 and N-15 in roots showed that, in all plants, part of the glycine N was taken up in the form of intact amino acid. Hence, regressions of plots of excess C-13 against excess N-15 showed that a minimum of 19-23% of the glycine-derived N was taken up as intact amino acid; possible losses of labeled C atoms of glycine during its metabolism in the plants implies that these estimates are conservative. Uptake of the different N sources was similar in the two Trifolium species, while rates of nitrate uptake were comparably high in P. pratense, and rates of glycine uptake were comparably low in R. acris. N-15 labeling of shoots was detected in all species, whereas significant levels of C-13 tracer was only found in shoots of P. pratense. It is concluded that a capacity for uptake of organic N exists also in an agricultural setting, despite the rapid turnover of organic N usually found under such conditions. This adds to the growing knowledge of plant utilization of organic N sources in natural ecosystems and stresses the need for reexamining this step in the biogeochemical N cycle.</t>
  </si>
  <si>
    <t>10.1890/0012-9658(2000)081[1155:UOONIT]2.0.CO;2</t>
  </si>
  <si>
    <t>Thorup, K; Korner-Nievergelt, F; Cohen, EB; Baillie, SR</t>
  </si>
  <si>
    <t>Large-scale spatial analysis of ringing and re-encounter data to infer movement patterns: A review including methodological perspectives</t>
  </si>
  <si>
    <t>re-encounter probability; observer bias; spatial distribution; migration; bird ringing; bird banding; migratory connectivity</t>
  </si>
  <si>
    <t>ESTIMATING MIGRATORY CONNECTIVITY; STABLE-ISOTOPES; BIRD MIGRATION; WINTER DISTRIBUTION; HABITAT QUALITY; STAGING AREAS; RECOVERY; MIGRANT; RATES; SONGBIRD</t>
  </si>
  <si>
    <t>A major aim of bird ringing is to provide information about the migration and movements of bird populations. However, in comparison with demographic studies, little research has been devoted to improving quantitative inferences through large-scale spatial analyses. This represents a serious knowledge gap because robust information on geographical linkages of migratory populations throughout the annual cycle is necessary to understand the ecology and evolution of migrants and for the conservation and management of populations. Here, we review recent developments and emerging opportunities for the quantitative study of movements of bird populations based on marked birds. Large-scale spatial analyses of ringing data need to account for spatiotemporal variation in re-encounter probability and the complexity of movement processes, including variability among individuals and populations in migration direction and distance. We identify seven recent studies that used quantitative methods for large-scale spatial analyses of ringing and re-encounter data gathered by national ringing centres. In most cases, numbers ringed and recovered in a series of source and destination areas were used to derive estimates of the proportion of each source population travelling to each destination area. Where recovery data were sparse, precision was improved by incorporating information on re-encounter probabilities of similar species. When numbers ringed were not available, inferences could sometimes be drawn based on local recapture data from the source areas. Studies to date illustrate that analyses of these large-scale ringing data sets can provide robust quantitative inferences. Further work is needed to develop these modelling approaches and to test their sensitivity to key assumptions using both real and simulated data. Data for all birds that were marked, not only those re-encountered, are often inaccessible and should be computerised in parallel with analytical developments. Further, there is great potential for the formal combination of re-encounter data with information from additional data sources such as counts and detailed movement data from radiotracking or data loggers. Because data from bird ringing operations cover long periods of time and exist in large quantities, they hold great promise for inferring spatiotemporal migration patterns, including changes in relation to climate, land use change and other environmental drivers.</t>
  </si>
  <si>
    <t>10.1111/2041-210X.12258</t>
  </si>
  <si>
    <t>Pascal, PY; Reynaud, Y; Poulin, E; De Ridder, C; Saucede, T</t>
  </si>
  <si>
    <t>Feeding in spatangoids: the case of Abatus Cordatus in the Kerguelen Islands (Southern Ocean)</t>
  </si>
  <si>
    <t>Irregular sea urchin; Selectivity; Deposit feeding; Ingestion rate; Meiofauna; Nematode</t>
  </si>
  <si>
    <t>URCHIN ECHINOCARDIUM-CORDATUM; SHALLOW REEF LAGOON; FOOD WEB STRUCTURE; ECHINOIDS ECHINODERMATA; BRISSOPSIS-LYRIFERA; DISCOVERY BAY; STABLE-ISOTOPES; CLIMATE-CHANGE; FATTY-ACIDS; SEDIMENT</t>
  </si>
  <si>
    <t>Irregular urchins exclusively live in marine soft bottom habitats, dwelling either upon or inside sediments and selectively picking up sediment grains and organic particles, or swallowing bulk sediment to feed on the associated organic matter. The exact food source and dietary requirements of most irregular echinoids, however, remain incompletely understood. The schizasterid species Abatus cordatus (Verrill, 1876) is a sub-Antarctic spatangoid that is endemic to the Kerguelen. The feeding behaviour of A. cordatus was investigated using simultaneously metabarcoding and stable isotope approaches. Comparison of ingested and surrounding sediments by metabarcoding revealed a limited selective ingestion of prokaryotes and eukaryotes by the urchin. Compared to surrounding sediments, the gut content had (i) higher carbon and nitrogen concentrations potentially due to selective ingestion of organic matter and/or the sea urchin mucus secretion and (ii) delta N-15 enrichment due to the selective assimilation of lighter isotope in the gut. Feeding experiments were performed using C-13 and (15) N-enriched sediments in aquariums. The progression of stable isotope enrichment in proximal and distal parts of the digestive track of A. cordatus revealed that all particles are not similarly transported likely due to siphon functioning. Ingestion of water with associated dissolved and particulate organic matter should play an important role in urchin nutrition. A. cordatus had a gut resident time fluctuating between 76 and 101 h and an ingestion rate of 36 mg dry sediment h(-1) suggesting that dense populations of the species may play a key ecological role through bioturbation in soft bottom shallow-water habitats of the Kerguelen Islands.</t>
  </si>
  <si>
    <t>10.1007/s00300-021-02841-4</t>
  </si>
  <si>
    <t>Bastow, JL; Sabo, JL; Finlay, JC; Power, ME</t>
  </si>
  <si>
    <t>A basal aquatic-terrestrial trophic link in rivers: algal subsidies via shore-dwelling grasshoppers</t>
  </si>
  <si>
    <t>subsidy; river-watershed exchange; tetrigidae; pygmy grasshopper; riparian</t>
  </si>
  <si>
    <t>CARBON-ISOTOPE RATIOS; FOOD WEBS; STABLE ISOTOPES; ENERGY-FLOW; STREAM; ECOSYSTEM; MARINE; INVERTEBRATES; METABOLISM; ABSENCE</t>
  </si>
  <si>
    <t>Rivers provide important resources for riparian consumers, especially in and or seasonally and biomes. Pygmy grasshoppers (Paratettix aztecus and R mexicanus: Tetrigidae) graze river algae stranded along shorelines of the South Fork Eel River in northern California (39degrees44'N, 123degrees39'W) as the river recedes during the summer drought. Densities of tetrigids during the mid to late summer were highest (1 individual/m(2) in July) within 1 m of the river margin, and declined to near zero at 4 m from the margin, especially during peak temperatures in the afternoon. These observations suggested that the distribution of tetrigids was determined by the availability of algae, water, or both. We manipulated the presence/absence of water and beached algae (Cladophora glomerata) in a 2x2 factorial design. All treatments were positioned 2 m upslope from the river's edge (about 30 cm above the water table), where the cobble bar was naturally dry and devoid of algae and densities of tetrigids were lower than at the river margin (0.4 individuals/m(2) in July). Tetrigids responded only to the wet Cladophora treatment, which had 30x higher densities than other treatments. Stable isotopic signatures (delta(13)C) of tetrigids (-19.7parts per thousand) collected from the same cobble bars were more similar to those of epilithic algae (-20.4parts per thousand) than terrestrial plants (-28.2parts per thousand), and higher than those of acridid grasshoppers (-27.9parts per thousand) from the same habitats. Mixing models suggest that 88-100% of the C in tetrigid grasshoppers at our study site is derived from riverine algae. A preliminary analysis suggests that tetrigids ingested sufficient quantities of algae to easily meet their energetic demands during the summer. This study supports the idea that algae, produced in stream systems. can determine the distribution and relative abundance of a common terrestrial scavenger and provide an additional pathway for energy exchange between rivers and riparian food webs.</t>
  </si>
  <si>
    <t>10.1007/s00442-002-0879-7</t>
  </si>
  <si>
    <t>Jose, PA; Yuval, B; Jurkevitch, E</t>
  </si>
  <si>
    <t>Maternal and host effects mediate the adaptive expansion and contraction of the microbiome during ontogeny in a holometabolous, polyphagous insect</t>
  </si>
  <si>
    <t>bacteria-insect interactions; Ceratitis capitata; symbiosis; tephritids</t>
  </si>
  <si>
    <t>CERATITIS-CAPITATA DIPTERA; GENE-EXPRESSION; DIET BREADTH; FRUIT; TEPHRITIDAE; COMMUNITIES; LIGNIN</t>
  </si>
  <si>
    <t>1. Polyphagous, holometabolous insects adapt to rapid diet shifts imposed by their ecology and their life cycle. One shift is linked to development, as larvae and adults usually dwell and feed in different environments, using different resources. The second is caused by changes in larval hosts, often occurring at each generation. Studies show that the insect's microbiome also changes in relation to development and larval host. However, parental and larval host contributions to its structure and trans-generational dynamics remain uncharted.2. We investigated the sources of variation of the microbiome of the highly polyphagous Mediterranean fruit fly by tracking microbiome structure and its potential functional impact in fly lineages over generations and fruit host shifts, using 16S rRNA gene amplicon single variant analysis.3. Bacterial community alpha-diversity expanded and contracted cyclically in a life stage-dependent manner with the mothers' microbiome community 'resetting' to the same structure across generations. Expansion occurred at the larval stage, while alpha-diversity decreased in tenerals, and significantly in mothers. In contrast, richness was highest in mothers, with rare taxa expanding in larvae depending upon fruit type.4. Metabolic predictions using PICRUSt pointed to increased metabolism of vitamins in mothers, and of aromatic compouds in larvae and tenerals, while indicator species analysis suggested fruit host composition-dependent potential functional adaptations.5. Our data indicate lineage, fruit host and their interactions as the main sources of microbiome variation and provide examples of possible metabolic developmental and ecological adaptations. Taken together, these data support the hypothesis that microbiome diversity and microbiome-driven local adaptations act as a mechanism sustaining polyphagy.</t>
  </si>
  <si>
    <t>10.1111/1365-2435.14286</t>
  </si>
  <si>
    <t>West, EH; Brunk, K; Peery, MZ</t>
  </si>
  <si>
    <t>When protected areas produce source populations of overabundant species</t>
  </si>
  <si>
    <t>Dispersal; Parks; Population growth; Resource subsidies; Steller's jays</t>
  </si>
  <si>
    <t>ISOTOPE MIXING MODELS; POSTFLEDGING SURVIVAL; JUVENILE SURVIVAL; HABITAT SELECTION; STABLE-ISOTOPES; NEST PREDATION; FOOD; CONSERVATION; MANAGEMENT; CONSEQUENCES</t>
  </si>
  <si>
    <t>While protected areas are a cornerstone of biodiversity conservation, human activities in these areas can negatively affect native species in direct and indirect ways. However, the potential effects of food subsidies provided by visitors on the local- and landscape-scale population dynamics of overabundant specie and how these effects may be augmented by human development outside of parks, are largely unexplored. Here, we investigated how human foods at heavily-visited sites within California parks benefited populations of Steller's jay (Cyanocitta stelleri), an overabundant predator of a threatened seabird that nests in remnant old-growth forests. Our study population was heavily subsidized with both juveniles and adults consuming substantial amounts of human foods by biomass (46% and 57%, respectively), as indicated by stable isotope analyses. Juvenile survival adult survival, and fecundity-estimated from radio-telemetry data-were high and the population was projected to grow rapidly (25% annually). Most juveniles dispersed from parks following seasonal declines in human visitation to areas with high housing densities and more stable resources-with almost half of dispersers returning to old-growth forests the following breeding season. Thus, we found that local food subsidies at heavily-visited sites promoted source populations of jays that may bolster populations in old-growth forests at broader spatial scales, and that this effect was likely augmented by more temporally stable resources in developed areas outside of parks during the nonbreeding season. These novel results indicate that curbing populations of overabundant predators may require reductions in food subsidies both within protected areas and surrounding landscapes.</t>
  </si>
  <si>
    <t>10.1016/j.biocon.2019.108220</t>
  </si>
  <si>
    <t>Towns, DR; Borrelle, SB; Thoresen, J; Buxton, RT; Evans, A</t>
  </si>
  <si>
    <t>Mercury Islands and their role in understanding seabird island restoration</t>
  </si>
  <si>
    <t>NEW ZEALAND JOURNAL OF ECOLOGY</t>
  </si>
  <si>
    <t>biogeography; species area; colonisation; ecosystem function; eradication; reference sites; Korapuki Island; unknown consequences; New Zealand</t>
  </si>
  <si>
    <t>NORTHERN OFFSHORE ISLANDS; RATTUS-EXULANS PEALE; NEW-ZEALAND ISLANDS; PEMBROKESHIRE ISLANDS; CONSERVATION; ERADICATION; RATS; PREDATORS; ECOLOGY; MAMMALS</t>
  </si>
  <si>
    <t>The progressive removal of invasive mammals from the Mercury Islands has led to over 25 years of field study designed to test the processes of restoration and natural recovery of these seabird-driven island ecosystems. Resulting from this work, four key restoration questions can now be identified as fundamental to designing island restoration programmes The questions are: what is the regional context of the island (biogeography); how does each island ecosystem operate (ecosystem function); how have invasive species changed the ecosystem (response effects); and how can progress towards a restoration goal be defined (outcome measures)? Examples of how these questions influenced restoration in the Mercury Islands are provided with Korapuki Island as a case study. However, unpredicted and subtle responses can eventuate. In the Mercury Islands these included a hitherto unknown honeydew parasite-bird-gecko food web and subtle effects of rats on plant regeneration. Promising outcome measures of restoration progress are now being developed, including indices of marine influence using stable isotopes of nitrogen and the use of network analysis to analyse the composition of invertebrate food webs.</t>
  </si>
  <si>
    <t>Plamboeck, AH; Grip, H; Nygren, U</t>
  </si>
  <si>
    <t>A hydrological tracer study of water uptake depth in a Scots pine forest under two different water regimes</t>
  </si>
  <si>
    <t>xylem sap; hydrogen isotopes; oxygen isotope; soil hydraulic conductivity; root distribution</t>
  </si>
  <si>
    <t>STABLE ISOTOPE COMPOSITION; NORWAY SPRUCE; DEUTERIUM; SOILS; TREES; KARST; O-18</t>
  </si>
  <si>
    <t>Little is known about the vertical distribution of water uptake by trees under different water supply regimes, the subject of this study, conducted in a Scots pine stand on sandy loam in northern Sweden. The objective was to determine the water uptake distribution in pines under two different water regimes desiccation (no precipitation) and irrigation (2 mm day(-1) in July and 1 mm day(-1) in August), and to relate the uptake to water content, root and soil texture distributions. The natural O-18 gradient in soil water was exploited, in combination with two added tracers,H-2 at 10 cm and H-3 at 20 cm depth. Extraction of xylem sap and water from the soil profile then enabled evaluation of relative water uptake from four different soil depths (humus layer, 0-10, 10-25 and 25-55 cm) in each of two 50-m(2) plots per treatment. In addition, water content, root biomass and soil texture were determined. There were differences in vertical water uptake distribution between treatments. In July, the pines at the irrigated and desiccated plots took up 50% and 30%, respectively, of their water from the upper layers, down to 25 cm depth. In August, the pines on the irrigated plots took up a greater proportion of their water from layers below 25 cm deep than they did in July. In a linear regression, the mean hydraulic conductivity for each mineral soil horizon explained a large part of the variation in relative water uptake. No systematic variation in the residual water uptake correlated to the root distribution. It was therefore concluded that the distribution of water uptake by the pines at Aheden was not a function of root density in the mineral soil, but was largely determined by the unsaturated hydraulic conductivity.</t>
  </si>
  <si>
    <t>10.1007/s004420050807</t>
  </si>
  <si>
    <t>Crete, M; Manseau, M</t>
  </si>
  <si>
    <t>Natural regulation of cervidae along a 1000 km latitudinal gradient: Change in trophic dominance</t>
  </si>
  <si>
    <t>caribou, herbivory; moose; predation; trophic interactions; wolf</t>
  </si>
  <si>
    <t>EXPLOITATION ECOSYSTEMS; SOUTHWESTERN QUEBEC; POPULATION-DYNAMICS; NORTHERN QUEBEC; ALCES-ALCES; MOOSE; CARIBOU; WOLVES; DEER</t>
  </si>
  <si>
    <t>The biomass of forage, herbivores (caribou and moose) and predators (wolf) were estimated for four assemblages of large mammals along a latitudinal gradient in the Quebec-Labrador peninsula and related to predictions made by two types of multitrophic level models. Wolves were present in three study areas, but they had been extirpated in the last one. Annual production of preferred forage exhibited a clear north-south increase for moose, but not for caribou. Neither the herbivore nor predator biomass increased along the latitudinal gradient: the highest herbivore biomass occurred in the wolf-free area and in the northernmost site, while the greatest predator density was observed in the southernmost site. Consequently, the ratio of the herbivore to forage biomass was the highest in the area devoid of wolves and in the northernmost site occupied by migratory caribou. Availability of forage per herbivore was the greatest in the moose-wolf and the caribou-moose-wolf assemblages. The observed data supported the multitrophic level model incorporating classical predator-prey relationships and producing stepwise accrual of trophic level biomass with increasing food chain length. In the northernmost site, the system was limited to two functional trophic levels and caribou were regulated by summer forage. Three functional trophic levels appeared to exist in the central study area where caribou and moose were preyed upon by wolves. Both herbivores were at very low density, the first one due probably to its poor adaptation to predation and the second because of an unproductive range. In the southernmost site, moose were clearly regulated by predation and kept much below the carrying capacity. With the extirpation of wolves in the last study area, moose were regulated by forage and the density exceeded that in the moose-wolf system by seven times even in a less productive range. Caribou, having primarily evolved under resource limitation, is replaced by a cervid better adapted to predation, the moose, in more productive 'three-link' ecosystems.</t>
  </si>
  <si>
    <t>10.1007/BF01239346</t>
  </si>
  <si>
    <t>Le Gall, M; Beye, A; Diallo, M; Cease, AJ</t>
  </si>
  <si>
    <t>Generational variation in nutrient regulation for an outbreaking herbivore</t>
  </si>
  <si>
    <t>carbohydrates; herbivory; insect outbreak; locust; protein; multivoltine; nutrient regulation; plant nutrients</t>
  </si>
  <si>
    <t>SENEGALESE GRASSHOPPER; INSECT HERBIVORE; DESERT LOCUST; LEAF TOUGHNESS; TRADE-OFF; PROTEIN; FLIGHT; ORTHOPTERA; CARBOHYDRATE; REPRODUCTION</t>
  </si>
  <si>
    <t>Multivoltine insects can produce multiple generations in one year. Favorable conditions support more generations, leading to serious outbreaks. For herbivores, plant nutrient availability is a major environmental factor affecting fitness and it can shift substantially throughout seasons. In a stochastic environment, organisms can adopt several strategies to regulate their nutrient intake and maximize performance. However, data regarding nutrient regulation of wild herbivores are scarce, and even more so regarding potential intergenerational plasticity. To bridge this gap, we measured nutritional regulation and performance of an outbreaking multivoltine herbivore - one of the most serious agricultural pests in the Sahel: Oedaleus senegalensis. We surveyed a field population in Senegal and measured its nutritional preference and regulation across two generations (G1 and G3) using artificial diets and plant choice experiments. In the field, G1 locusts were five to ten times more abundant than G3 locusts. We found that G1 and G3 locusts selected different protein:carbohydrate ratios but also that the strength of regulation was different. G1 locusts regulated their nutrient target more tightly than G3 locusts. In contrast, studies with laboratory populations demonstrate strong regulation for grasshoppers, appearing less plastic than field populations. Both generations selected a carbohydrate-biased nutrient ratio, although it was more carbohydrate-biased for G3 locusts. In both cases, plant nutrient contents in the field were more protein biased than their preferred diet. Therefore, choices by locusts were likely influenced by other ecological variables such as leaf toughness or plant defenses. G1females were heavier and laid more eggs than G3 females. However, G3 locusts survived longer during the experiment than G1 locusts, suggesting a potential generational tradeoff between reproduction and survival. Our data highlight the importance of studying nutritional regulation in situ and incorporating field and lab data to better understand foraging decisions and nutritional tradeoffs.</t>
  </si>
  <si>
    <t>e09096</t>
  </si>
  <si>
    <t>10.1111/oik.09096</t>
  </si>
  <si>
    <t>ABAL, EG; LONERAGAN, N; BOWEN, P; PERRY, CJ; UDY, JW; DENNISON, WC</t>
  </si>
  <si>
    <t>PHYSIOLOGICAL AND MORPHOLOGICAL RESPONSES OF THE SEAGRASS ZOSTERA-CAPRICORNI ASCHERS TO LIGHT-INTENSITY</t>
  </si>
  <si>
    <t>LIGHT; PHOTOADAPTATION; SEAGRASS; ZOSTERA</t>
  </si>
  <si>
    <t>CARBON ISOTOPE VARIABILITY; ULTRA-VIOLET RADIATION; GREAT-BARRIER-REEF; OCEANICA L DELILE; MARINA L EELGRASS; POSIDONIA-OCEANICA; THALASSIA-TESTUDINUM; DEPTH DISTRIBUTION; IZEMBEK LAGOON; GAS-DISCHARGE</t>
  </si>
  <si>
    <t>The responses of the seagrass Zostera capricorni Aschers. to changes in light intensity were examined in flowing seawater aquaria experiments. Plants were grown in six light regimes: full sunlight (100%), 50, 30, 20, 15, and 5% of full light over a 2-month period. Measurements of growth, biomass, pigments, stable isotopes and leaf anatomy were made at the end of the experiment. Plants survived under all light treatments, even below minimum light requirements of related seagrasses. However, the experimental light levels possibly do not correspond to light reaching seagrass leaves under natural conditions. Plants grown under high light conditions (50-100% light) had smaller shoots, higher biomass and productivity, less negative deltaC-13 values, lower leaf nitrogen content, less chlorophyll and more ultraviolet light absorbing pigment than plants grown under low light conditions (&lt;20% light). Photoadaptation by ultraviolet light absorbing pigment(s) was noted, with more variability in ultraviolet light pigments than in chlorophyll levels. Increased CO2 demand and/or increased CO2 recycling in internal gas spaces may account for the less negative deltaC-13 values in high light treatments indicating less isotopic discrimination in seagrass leaves in high light. A saturation response of growth rates to light intensity was observed, with less substantial growth reductions at lower light intensities than observed in other seagrass shading experiments. Nutrient limitation in high light was inferred by a growth maximum at 50% light level, increased root biomass and lower leaf nitrogen content in high light treatments. Overall, a wide range of morphological and physiological photoadaptive responses not previously reported in Zostera capricorni was observed.</t>
  </si>
  <si>
    <t>10.1016/0022-0981(94)90228-3</t>
  </si>
  <si>
    <t>Bergstrom, DM; Stewart, GR; Selkirk, PM; Schmidt, S</t>
  </si>
  <si>
    <t>N-15 natural abundance of fossil peat reflects the influence of animal-derived nitrogen on vegetation</t>
  </si>
  <si>
    <t>N-15 natural abundance; peat; subantarctic; Macquarie Island; Holocene</t>
  </si>
  <si>
    <t>MACQUARIE-ISLAND; ECOSYSTEM; ISOTOPES; ECOLOGY; AVAILABILITY; CLIMATE; CARBON; SOILS</t>
  </si>
  <si>
    <t>delta(15)N signatures of fossil peat were used to interpret past ecosystem processes on tectonically active subantarctic Macquarie Island. By comparing past vegetation reconstructed from the fossil record with present-day vegetation analogues, our evidence strongly suggests that changes in the delta(15)N signatures of fossil peat at this location reflect mainly past changes in the proportion of plant nitrogen derived from animal sources. Associated with uplift above sea level over the past 8,500 years, fossil records in two peat deposits on the island chronicle a change from coastal vegetation with fur and elephant seal disturbance to the existing inland herbfield. Coupled with this change are synchronous changes in the delta(15)N signatures of peat layers. At two sites N-15-enriched peat delta(15)N signatures of up to +17parts per thousand were associated with a high abundance of pollen of the nitrophile Callitriche antarctica (Callitrichaceae). At one site fossil seal hair was also associated with enriched peat delta(15)N. Less N-15 enriched delta(15)N signatures (e.g. -1.9parts per thousand to +3.9parts per thousand) were measured in peat layers which lacked animal associated C. antarctica and Acaena spp. Interpretation of a third peat profile indicates continual occupation of a ridge site by burrowing petrels for most of the Holocene. We suggest that N-15 signatures of fossil peat remained relatively stable with time once deposited, providing a significant new tool for interpreting the palaeoecology.</t>
  </si>
  <si>
    <t>10.1007/s004420100807</t>
  </si>
  <si>
    <t>Davis, JL; Freeman, MC; Golladay, SW</t>
  </si>
  <si>
    <t>Identifying Life-History Traits that Promote Occurrence for Four Minnow (Leuciscidae) Species in Intermittent Gulf Coastal Plain Streams</t>
  </si>
  <si>
    <t>ALTERED FLOW REGIMES; NORTH-AMERICAN MINNOWS; FISH ASSEMBLAGES; UNITED-STATES; RIVER; STRATEGIES; DROUGHT; WITHDRAWALS; DISTURBANCE; MANAGEMENT</t>
  </si>
  <si>
    <t>Life-history traits of stream fishes partly reflect adaptations to disturbance regimes, which in turn shape assemblage composition via environmental filters. In this study, we focused on life-history traits of 4 morphologically similar leuciscid species in coastal plain streams of southwestern GA that are shifting from historically perennial to intermittent flow. We evaluated the following traits hypothesized to influence species persistence in intermittent streams: differences in reproductive timing, sex ratio, body size at maturity, reproductive investment, and diet. First, we ordinated published species occurrence data for samples of fish communities in perennial and intermittent streams in the study region, and identified 4 focal taxa as differing in their associations with intermittency. We then periodically sampled individuals of the focal taxa in 14 streams over a year (May 2016-April 2017). We found that for Pteronotropis harperi (Redeye Chub), a species strongly associated with intermittent streams, reproductive timing did not overlap with typical seasonal stream drying. Redeye Chub also had the significantly smallest minimum length at maturation and the greatest reproductive investment. Fishes associated with perennial streams (Pteronotropis grandipinnis [Apalachee Shiner] and Notropis texanus [Weed Shiner] ), or not associated with either stream type (Notropis petersoni [Coastal Shiner]), had at least a portion of their reproductive timing overlapping with times when streams were likely to dry, and had similar and significantly lower reproductive investment than Redeye Chub. Redeye Chub displayed no shift in diet when streams ceased flowing, while Apalachee Shiner showed decreases in terrestrial prey. Our results suggest that size at maturity, reproductive timing, and reproductive investment may promote persistence by the Redeye Chub given projections of more frequent and intense periods of stream intermittency.</t>
  </si>
  <si>
    <t>10.1656/058.019.0112</t>
  </si>
  <si>
    <t>Arent, ZJ; Gilmore, C; Ayanz, JMS; Neyra, LQ; Garcia-Pena, FJ</t>
  </si>
  <si>
    <t>Molecular Epidemiology of Leptospira Serogroup Pomona Infections Among Wild and Domestic Animals in Spain</t>
  </si>
  <si>
    <t>leptospirosis; Pomona; Mozdok; wild animals; domestic animals; Leptospira</t>
  </si>
  <si>
    <t>RESTRICTION-ENDONUCLEASE ANALYSIS; TANDEM-REPEAT ANALYSIS; INTERROGANS SEROVARS BRATISLAVA; CROSS-AGGLUTINATION ABSORPTION; FRAGMENT-LENGTH-POLYMORPHISMS; NORTHERN PORTUGAL; NEW-ZEALAND; SUS-SCROFA; ANTIBODIES; PIGS</t>
  </si>
  <si>
    <t>Strains of Leptospira serogroup Pomona are known to cause widespread animal infections in many parts of the world. Forty-three isolates retrieved from domestic animals and wild small mammals suggest that serogroup Pomona is epidemiologically relevant in Spain. This is supported by the high prevalence of serovar Pomona antibodies in livestock and wild animals. In this study, the strains were serologically and genetically characterized in an attempt to elucidate their epidemiology. Serological typing was based on the microscopic agglutination test but molecular typing involved species-specific polymerase chain reaction, restriction endonuclease analysis, and multiple-locus variable-number tandem repeat analysis. The study revealed that the infections are caused by two serovars, namely Pomona and Mozdok. Serovar Pomona was derived only from farm animals and may be adapted to pigs, which are recognized as the maintenance host. The results demonstrated that serovar Pomona is genetically heterogeneous and three different types were recognized. This heterogeneity was correlated with different geographical distributions of the isolates. All strains derived from small wild mammals were identified as serovar Mozdok. Some isolates of this serovar retrieved from cattle confirm that this serovar may also be the cause of infections in food-producing animals for which these wild species may be source of infection.</t>
  </si>
  <si>
    <t>10.1007/s10393-017-1210-8</t>
  </si>
  <si>
    <t>Roesti, M; Groh, JS; Blain, SA; Huss, M; Rassias, P; Bolnick, DI; Stuart, YE; Peichel, CL; Schluter, D</t>
  </si>
  <si>
    <t>Species divergence under competition and shared predation</t>
  </si>
  <si>
    <t>adaptive divergence; asymmetric interactions; biotic selection; character displacement; sculpin; species interactions; stickleback</t>
  </si>
  <si>
    <t>ECOLOGICAL CHARACTER DISPLACEMENT; LAKE-STREAM STICKLEBACK; GASTEROSTEUS-ACULEATUS L; THREESPINE STICKLEBACK; EVOLUTIONARY DIVERSIFICATION; APPARENT COMPETITION; ADAPTIVE DIVERGENCE; GENETIC-DIVERGENCE; TROPHIC POSITION; BODY FORM</t>
  </si>
  <si>
    <t>Species competing for resources also commonly share predators. While competition often drives divergence between species, the effects of shared predation are less understood. Theoretically, competing prey species could either diverge or evolve in the same direction under shared predation depending on the strength and symmetry of their interactions. We took an empirical approach to this question, comparing antipredator and trophic phenotypes between sympatric and allopatric populations of threespine stickleback and prickly sculpin fish that all live in the presence of a trout predator. We found divergence in antipredator traits between the species: in sympatry, antipredator adaptations were relatively increased in stickleback but decreased in sculpin. Shifts in feeding morphology, diet and habitat use were also divergent but driven primarily by stickleback evolution. Our results suggest that asymmetric ecological character displacement indirectly made stickleback more and sculpin less vulnerable to shared predation, driving divergence of antipredator traits between sympatric species.</t>
  </si>
  <si>
    <t>10.1111/ele.14138</t>
  </si>
  <si>
    <t>Schmitz, OJ</t>
  </si>
  <si>
    <t>Direct and indirect effects of predation and predation risk in old-field interaction webs</t>
  </si>
  <si>
    <t>food web interactions; indirect effects; density-mediated indirect effects; trait-mediated indirect effects; predation; old-field arthropods</t>
  </si>
  <si>
    <t>FOOD WEBS; TROPHIC EXPLOITATION; RESOURCE EDIBILITY; COMMUNITY; PREY; PRODUCTIVITY; COMPETITION; ECOSYSTEMS; ABUNDANCE; DYNAMICS</t>
  </si>
  <si>
    <t>Indirect effects emerge when a change in the: abundance of one species indirectly affects another by changing the abundances of intermediate species-called density-mediated indirect effects-or they arise when one species modifies how two other species interact-called trait-mediated indirect effects. I report on field experiments that evaluated how grass and herb biomass in old-field interaction webs was influenced indirectly by a spider carnivore through its interactions with a generalist and a grass-specialist grasshopper species. I manipulated interaction pathways between the spider and the plants using different combinations of the grasshopper species. I changed the modality of predator-prey interactions to isolate density-mediated from trait-mediated effects using natural spiders (predation spiders) or spiders that were prevented from subduing prey by mouthpart manipulation (risk spiders). I found that indirect effects were stronger in speciose, reticulate food webs than in linear food chains owing to a trait-mediated effect, a diet shift by herbivores in response to predation risk. Spiders alone did not have significant effects on grasshopper densities in the field experiments, removing any possibility of density-mediated indirect effects. The study illustrates that ecologists should not underestimate the importance of behavioral ecology in determining community-level interactions.</t>
  </si>
  <si>
    <t>10.1086/286122</t>
  </si>
  <si>
    <t>Brown, D; Edmunds, PJ</t>
  </si>
  <si>
    <t>Long-term changes in the population dynamics of the Caribbean hydrocoral Millepora spp</t>
  </si>
  <si>
    <t>Biophysical coupling; Caribbean; Hydrozoa; Long-term; Millepora</t>
  </si>
  <si>
    <t>REGION-WIDE DECLINES; CORAL-REEF COMMUNITY; ST-JOHN; CLIMATE-CHANGE; PHASE-SHIFTS; HURRICANE HUGO; ABUNDANCE; FLORIDA; COVER; RECRUITMENT</t>
  </si>
  <si>
    <t>In this study, the abundance of Millepora spp. on the shallow (&lt;9-m depth) fringing reefs of St. John, US Virgin Islands, was measured from 1992 to 2008 using photoquadrats recorded annually. The objectives were to describe how a rare, yet ecologically important invertebrate has changed in abundance over 16 years, and evaluate the extent to which the changes were associated with seawater temperature and storm intensity. Millepora spp. covered &lt;= 1.5% of the benthos throughout the study, but it increased in cover as much as 306% between some consecutive years, while decreasing 67% between other years. Overall, mean Millepora spp. cover declined 49% from 0.99 +/- 0.33% in 1992 to 0.51 +/- 0.15% in 2008, in part because colonies became 47% smaller through shrinkage and fission. The percentage cover, number of branches, and population density (i.e., colonies m(-2)) of Millepora spp. decreased in years characterized by warm seawater and intense storm effects, but the size of Millepora spp. colonies increased in years characterized by large numbers of cold days. Changing abundances of scleractinian corals are well documented on coral reefs, but the present. study is unusual in demonstrating strong temporal variation in abundance of a rare taxon, probably as a result of some of the same physical conditions affecting scleractinians. As scleractinian corals decline in abundance, the dynamics of rare taxa are likely to play increasingly important roles in the community structure and function of tropical reefs. (c) 2013 Elsevier B.V. All rights reserved.</t>
  </si>
  <si>
    <t>10.1016/j.jembe.2013.01.013</t>
  </si>
  <si>
    <t>Moss, WE; Alldredge, MW; Pauli, JN</t>
  </si>
  <si>
    <t>Quantifying risk and resource use for a large carnivore in an expanding urban-wildland interface</t>
  </si>
  <si>
    <t>conflict; cougar; diet composition; foraging; habitat use; mortality risk; mountain lion; Puma concolor; stable isotope analysis; urbanization</t>
  </si>
  <si>
    <t>COUGAR POPULATION; STABLE-ISOTOPES; UNITED-STATES; BLACK BEARS; CARBON; URBANIZATION; MANAGEMENT; NITROGEN; BIODIVERSITY; LANDSCAPE</t>
  </si>
  <si>
    <t>Large carnivores, though globally threatened, are increasingly using developed landscapes. However, most of our knowledge of their ecology is derived from studies in wildland systems; thus, for effective conservation and management, there is a need to understand their behavioural plasticity and risk of mortality in more developed landscapes. We examined cougar Puma concolor foraging ecology and survival in an expanding urban-wildland system in Colorado from 2007 to 2013. For GPS-collared individuals, we related diet (n=41; isotopic analysis) to age-sex class and fine-scale space use, with regard to levels of habitat development. We also examined how habitat development impacted risk of mortality (n=49), using hazards models and records of cougar-human conflict. Cougars obtained 63-82% of assimilated biomass from native herbivores, and adult females consistently showed higher use of native herbivores than other age-sex classes. Individuals using the most highly developed areas obtained approximately 20% more of their diet from alternative prey (synanthropic wildlife and domestic species) than those in the least developed areas. Overall, survival of adult females was higher than adult males. Yet, use of developed areas substantially increased cougar risk of mortality; for every 10% increase in housing density, risk of mortality increased by 65%, regardless of sex.Synthesis and applications. Cougars showed flexibility in diet, taking advantage of human-associated prey items, but had high rates of mortality, suggesting that human tolerance, rather than adaptability, may be the limiting factor for range expansion by cougar and other large carnivores. Thus, large carnivore conservation will not only depend upon adequate prey resources, but also limiting potential conflict resulting from depredation of synanthropic wildlife and domestic animals. Cougars showed flexibility in diet, taking advantage of human-associated prey items, but had high rates of mortality, suggesting that human tolerance, rather than adaptability, may be the limiting factor for range expansion by cougar and other large carnivores. Thus, large carnivore conservation will not only depend upon adequate prey resources, but also limiting potential conflict resulting from depredation of synanthropic wildlife and domestic animals.</t>
  </si>
  <si>
    <t>10.1111/1365-2664.12563</t>
  </si>
  <si>
    <t>James, A; Plank, MJ; Rossberg, AG; Beecham, J; Emmerson, M; Pitchford, JW</t>
  </si>
  <si>
    <t>Constructing Random Matrices to Represent Real Ecosystems</t>
  </si>
  <si>
    <t>community matrix; complexity; food web; interaction strength; stability; predator-prey interaction</t>
  </si>
  <si>
    <t>BODY-SIZE; INTERACTION STRENGTHS; FOOD WEBS; STABILITY; COMPLEX; CONSEQUENCES; ARCHITECTURE; COEXISTENCE; ABUNDANCE; PATTERNS</t>
  </si>
  <si>
    <t>Models of complex systems with n components typically have order n(2) parameters because each component can potentially interact with every other. When it is impractical to measure these parameters, one may choose random parameter values and study the emergent statistical properties at the system level. Many influential results in theoretical ecology have been derived from two key assumptions: that species interact with random partners at random intensities and that intraspecific competition is comparable between species. Under these assumptions, community dynamics can be described by a community matrix that is often amenable to mathematical analysis. We combine empirical data with mathematical theory to show that both of these assumptions lead to results that must be interpreted with caution. We examine 21 empirically derived community matrices constructed using three established, independent methods. The empirically derived systems are more stable by orders of magnitude than results from random matrices. This consistent disparity is not explained by existing results on predator-prey interactions. We investigate the key properties of empirical community matrices that distinguish them from random matrices. We show that network topology is less important than the relationship between a species' trophic position within the food web and its interaction strengths. We identify key features of empirical networks that must be preserved if random matrix models are to capture the features of real ecosystems.</t>
  </si>
  <si>
    <t>10.1086/680496</t>
  </si>
  <si>
    <t>Thys, TM; Ryan, JP; Dewar, H; Perle, CR; Lyons, K; O'Sullivan, J; Farwell, C; Howard, MJ; Weng, KC; Lavaniegos, BE; Gaxiola-Castro, G; Bojorquez, LEM; Hazen, EL; Bograd, SJ</t>
  </si>
  <si>
    <t>Ecology of the Ocean Sunfish, Mola mola, in the southern California Current System</t>
  </si>
  <si>
    <t>California Current; Fronts; Gelatinous zooplankton; Ocean sunfish; Remote sensing; Satellite tagging</t>
  </si>
  <si>
    <t>STABLE-ISOTOPES CHALLENGE; SEA-SURFACE TEMPERATURE; LIGHT-BASED GEOLOCATION; FRONTAL ZONES; TRACKING; MOVEMENTS; FISH; CONSERVATION; PERCEPTION; ABUNDANCE</t>
  </si>
  <si>
    <t>The common ocean sunfish, Mola mola, occupies a unique position in the eastern Pacific Ocean and the California Current Large Marine Ecosystem (CCLME) as the world's heaviest, most fecund bony fish, and one of the most abundant gelativores. M. mola frequently occur as bycatch in fisheries worldwide and comprise the greatest portion of the bycatch in California's large-mesh drift gillnet fishery. In this first long-term tagging study of any ocean sunfish species in the eastern Pacific, 15 M. mola (99 cm to 200 cm total length) were tagged in the southern California Bight (SCB) between 2003 and 2010 using 14 satellite pop-off archival tags (PATs) and one Fastloc Mk10 GPS tag. Ten tags provided positional data for a cumulative dataset of 349 tracking days during the months of july through March. Thirteen tags provided temperature and depth data. All M. mola remained within similar to 300 km of the coast, and nearly all exhibited seasonal movement between the SCB and adjacent waters off northern and central Baja California, Mexico. No tagged individuals were tracked north of the SCB. Tag depth data showed diel vertical migration and occasional deep (&gt;500 m) dives. Data from the Fastloc GPS tag allowed close examination of the relationship between the movements of the largest tagged ocean sunfish (2 m TL) and fine-scale oceanographic features. Near-instantaneous satellite sea surface temperature images showed this individual associated with upwelling fronts along its migration path, which exceeded 800 km and ranged from 6 to 128 km from the coast. Tag depth data showed active use of the water column within the frontal zones. Synthetic aperture radar (SAR) images demonstrated that surface slicks, which often indicate convergent circulation, coincided with this type of front. Zooplankton tows in the southern region of tracking off central Baja California, Mexico revealed dense populations of salps toward the warm side of these fronts. Satellite tag and ecosystem data suggest that bio-physical interactions in coastal upwelling fronts create favorable foraging habitat. (C) 2015 The Authors. Published by Elsevier B.V.</t>
  </si>
  <si>
    <t>10.1016/j.jembe.2015.05.005</t>
  </si>
  <si>
    <t>Mitzscherling, J; Horn, F; Winterfeld, M; Mahler, L; Kallmeyer, J; Overduin, PP; Schirrmeister, L; Winkel, M; Grigoriev, MN; Wagner, D; Liebner, S</t>
  </si>
  <si>
    <t>Microbial community composition and abundance after millennia of submarine permafrost warming</t>
  </si>
  <si>
    <t>DISSOLVED ORGANIC-MATTER; CLIMATE-CHANGE; ACTIVE LAYER; LENA DELTA; BACTERIAL COMMUNITIES; SOIL; SEA; CARBON; SEDIMENTS; SHELF</t>
  </si>
  <si>
    <t>Warming of the Arctic led to an increase in permafrost temperatures by about 0.3 degrees C during the last decade. Permafrost warming is associated with increasing sediment water content, permeability, and diffusivity and could in the long term alter microbial community composition and abundance even before permafrost thaws. We studied the long-term effect (up to 2500 years) of submarine permafrost warming on microbial communities along an onshore-offshore transect on the Siberian Arctic Shelf displaying a natural temperature gradient of more than 10 degrees C. We analysed the in situ development of bacterial abundance and community composition through total cell counts (TCCs), quantitative PCR of bacterial gene abundance, and amplicon sequencing and correlated the microbial community data with temperature, pore water chemistry, and sediment physicochemical parameters. On timescales of centuries, permafrost warming coincided with an overall decreasing microbial abundance, whereas millennia after warming microbial abundance was similar to cold onshore permafrost. In addition, the dissolved organic carbon content of all cores was lowest in submarine permafrost after millennial-scale warming. Based on correlation analysis, TCC, unlike bacterial gene abundance, showed a significant rank-based negative correlation with increasing temperature, while bacterial gene copy numbers showed a strong negative correlation with salinity. Bacterial community composition correlated only weakly with temperature but strongly with the pore water stable isotopes delta O-18 and delta D, as well as with depth. The bacterial community showed substantial spatial variation and an overall dominance of Actinobacteria, Chloroflexi, Firmicutes, Gemmatimonadetes, and Proteobacteria, which are amongst the microbial taxa that were also found to be active in other frozen permafrost environments. We suggest that, millennia after permafrost warming by over 10 degrees C, microbial community composition and abundance show some indications for proliferation but mainly reflect the sedimentation history and paleoenvironment and not a direct effect through warming.</t>
  </si>
  <si>
    <t>10.5194/bg-16-3941-2019</t>
  </si>
  <si>
    <t>Vander Zanden, HB; Bjorndal, KA; Bolten, AB</t>
  </si>
  <si>
    <t>Temporal consistency and individual specialization in resource use by green turtles in successive life stages</t>
  </si>
  <si>
    <t>Isotopic niche; Foraging patterns; Chelonia mydas; Ontogeny; Scute</t>
  </si>
  <si>
    <t>CHELONIA-MYDAS; SEA-TURTLES; STABLE-ISOTOPES; TROPHIC NICHE; POPULATION; MIGRATION; ECOLOGY; TORTUGUERO; PATTERNS; BEHAVIOR</t>
  </si>
  <si>
    <t>Not all individuals in a population use the same subset of dietary and habitat resources. Patterns of individual specialization have been documented in an increasing number of organisms, but often without an associated time scale over which niche specialization was observed. We examined the patterns in individual resource use through time and in relation to the population with metrics of temporal consistency and degree of individual specialization. We used stable isotope analysis of carbon and nitrogen in successive subsections of scute tissue from the carapace to compare foraging patterns in three successive life stages of the green turtle (Chelonia mydas). Temporal consistency was measured as the mean within-individual variation in stable isotope values through time, whereas the degree of individual specialization was a ratio of the individual variation to that of the population. The distinction between these two parameters is important, as the metric of temporal consistency quantifies the regularity of individual resource use, and the degree of individual specialization indicates what proportion of the population niche an average individual uses. The scute record retains a chronological history of resource use and was estimated to represent a minimum 0.8 years in juveniles to a maximum of 6.5 years in adults. Both temporal consistency and individual specialization varied significantly among life stages. Adults were highly consistent in resource use through time and formed a generalist population with individual specialists maintaining long-term patterns in resource use. Oceanic and neritic juvenile life stages exhibited less temporal consistency in resource use with less individual specialization than adults. These observations are important when considering the ecological roles filled by green turtles in each life stage; also, individual differences in resource use may result in differential fitness consequences.</t>
  </si>
  <si>
    <t>10.1007/s00442-013-2655-2</t>
  </si>
  <si>
    <t>Choquenot, D</t>
  </si>
  <si>
    <t>Testing the relative influence of intrinsic and extrinsic variation in food availability on fetal pig populations in Australia's rangelands</t>
  </si>
  <si>
    <t>density dependence; food-limitation; population regulation; simulation modelling; Sus scrofa</t>
  </si>
  <si>
    <t>DENSITY-DEPENDENCE; FERAL PIGS; PASTURE AVAILABILITY; SEMIARID RANGELANDS; HELICOPTER COUNTS; LARGE HERBIVORES; VISIBILITY BIAS; BODY CONDITION; WILD REINDEER; DYNAMICS</t>
  </si>
  <si>
    <t>1. Intrinsic variation in the availability of food to animal populations reflects the influence of foraging by the animals themselves. Intrinsic variation in food availability provides a link between population density, subsequent food availability and variation in the rate of population increase (r), operating through density-dependent food shortage. In contrast, extrinsic variation in food availability is caused by environmental influences on food or animal abundance, which are independent of animal foraging. Extrinsic variation in food availability is random relative to that arising through intrinsic shortage. Intrinsic and extrinsic variation in food availability can influence animal populations simultaneously. Intrinsic variation will impart a tendency towards an equilibrium between animal and food abundance, which will be progressively obscured by density-independent variation as the influence of extrinsic factors increases. 2. This study used a large-scale field experiment, in which the density of food-limited feral pig (Sus scrofa L.) populations was manipulated on six sites, to assess the relative influence of intrinsic and extrinsic variation in food availability. The experiment evaluated the influence of pig population density on r and the abundance of food resources measured as pasture biomass. It was predicted that if intrinsic shortages dominated variation in food availability, pasture biomass and r would decline with increasing pig density. If extrinsic factors dominated variation in food availability, pig density would have no systematic effect on either pasture biomass or r. If intrinsic and extrinsic sources simultaneously affected variation in food availability, higher pig densities would have no systematic effect on r, but would reduce pasture biomass. The simultaneous model predicts reduced pasture biomass because, in the absence of compensatory changes in other sources of variation, the effects of intrinsic and extrinsic factors will be additive. 3. To examine further the degree of interdependence in pig and pasture abundance, a series of stochastic models of the grazing system were estimated and the feedback loop comprising the functional and numerical responses of feral pigs to variation in pasture biomass was manipulated. 4. In the large-scale experiment, neither pasture biomass nor r declined with increasing pig density, suggesting that food availability was dominated by extrinsic factors. However, limitations of the experiment meant that a minor decline in pasture biomass may have gone undetected. Comparison of simulation models, which included and omitted pasture offtake by pigs, indicated that because they were less efficient grazers and persisted at lower average densities relative to other large herbivores, pigs had little influence on variation in pasture biomass. 5. The minor influence pigs appear to exert on pasture biomass suggests that trophic processes, typically invoked to explain herbivore population persistence, have, at best, limited consequences for pig populations. Despite this, simulation models indicate that pigs are able to persist indefinitely under rangelands conditions, because their high intrinsic capacity for increase (r(m) = 0.69) means that they are able to exploit periods when pasture is plentiful more effectively than other large herbivores. 6. The study concludes that intrinsic and extrinsic sources of variation in food availability represent two extremes of a continuum in the strength of interaction between herbivores and their food resources. The position or a grazing system along this hypothetical continuum depends on the relative influence of stochastic, density-independent environmental processes (extrinsic variation) and the efficiency of its vegetation-herbivore feedback loop (intrinsic variation). Feral pig populations in the rangelands appear to occupy a position towards the extrinsic extreme of this continuum. where their dynamics are more influenced by extrinsic than intrinsic sources of variation in pasture availability.</t>
  </si>
  <si>
    <t>10.1046/j.1365-2656.1998.6760887.x</t>
  </si>
  <si>
    <t>Linzmaier, SM; Jeschke, JM</t>
  </si>
  <si>
    <t>Towards a mechanistic understanding of individual-level functional responses: Invasive crayfish as model organisms</t>
  </si>
  <si>
    <t>biological invasions; foraging; freshwater crayfish; functional response; mechanistic model; predator-prey interactions; trait variation</t>
  </si>
  <si>
    <t>MUSSEL DREISSENA-POLYMORPHA; ZEBRA MUSSEL; ECOLOGICAL IMPACTS; BEHAVIORAL TYPES; INTRASPECIFIC COMPETITION; PACIFASTACUS-LENIUSCULUS; BIOTIC RESISTANCE; HABITAT STRUCTURE; MARBLED CRAYFISH; GROWTH-RATE</t>
  </si>
  <si>
    <t>In novel communities, a rising number of new and emerging invasive species interact with resident species, some of which are non-native themselves. We implemented an innovative trophic interaction framework for novel communities and quantified the interaction strength and impact potential of a truly novel species (marbled crayfish Procambarus virginalis) with a resident non-native counterpart (spiny-cheek crayfish Faxonius limosus). As prey, we used Dreissena mussels, which are non-native as well and now hold a key position in many European and North American aquatic ecosystems. For both crayfish species, we predicted functional responses based on a mechanistic model that we parameterised with a set of experimental observations of foraging behaviour and satiation. We compared these predicted functional responses to empirically observed responses. In addition, we incorporated behavioural traits such as aggression, activity, and boldness in the comparisons between the species and individuals to determine their influence on functional responses. We tested individuals from aquarium stocks as well as naturalised individuals from invaded water bodies. Altogether, we performed 1,095 experiments with 26 individual crayfish. We found that per capita predation of spiny-cheek crayfish exceeded that of marbled crayfish from aquaria and naturalised individuals. Functional responses differed between species and were mostly higher for spiny-cheek crayfish males. Marbled crayfish, however, were more voracious and reached satiation more slowly. Consumption rates correlated with aggression for marbled crayfish and with an aggressive threat response for spiny-cheek crayfish. We conclude that spiny-cheek crayfish can reach higher short-term consumption rates than marbled crayfish, but both species probably do not substantially affect Dreissena mussel populations in the field. For marbled crayfish, high long-term consumption, interspecific aggression, and reproduction rates can promote their establishment and spread. Risk assessments of these invaders should be improved by considering numerical responses, and different prey organisms and predators.</t>
  </si>
  <si>
    <t>10.1111/fwb.13456</t>
  </si>
  <si>
    <t>Zmudczynska-Skarbek, K; Barcikowski, M; Zwolicki, A; Iliszko, L; Stempniewicz, L</t>
  </si>
  <si>
    <t>Variability of polar scurvygrass Cochlearia groenlandica individual traits along a seabird influenced gradient across Spitsbergen tundra</t>
  </si>
  <si>
    <t>Arctic; Guano; Nutrients; Ornithogenic tundra; Polar scurvygrass</t>
  </si>
  <si>
    <t>NUTRIENT AVAILABILITY; ORNITHOGENIC PRODUCTS; PENGUIN ROOKERIES; PLANT MORPHOLOGY; STABLE-ISOTOPES; ARCTIC TUNDRA; LEAF SIZE; NITROGEN; GROWTH; COLONY</t>
  </si>
  <si>
    <t>In the resource-limited Arctic environment, vegetation developing near seabird colonies is exceptionally luxuriant. Nevertheless, there are very few detailed quantitative studies of any specific plant species responses to ornithogenic manuring. Therefore, we studied variability of polar scurvygrass Cochlearia groe nlandica individual biomass and leaf width along a seabird influenced gradient determining environmental conditions for vegetation in south-west Spitsbergen. We found seabird colony effect being a paramount factor responsible for augmented growth of C. groenlandica. The species predominated close to the colony and reached the highest mean values of individual biomass (1.4 g) and leaf width (26.6 mm) 10 m below the colony. Its abundance and size declined towards the coast. Both C. groenlandica individual traits significantly decreased with distance from the colony, soil water and organic matter content and increased with guano deposition, soil delta N-15, conductivity, acidity and nitrate, phosphate and potassium ion content. Our study supports the hypothesis that seabirds have fundamental importance for vegetation growth in poor Arctic environment. Highly plastic species such as C. groenlandica may be a useful instrument in detecting habitat condition changes, for instance resulting from climate change.</t>
  </si>
  <si>
    <t>10.1007/s00300-013-1385-6</t>
  </si>
  <si>
    <t>Walker, DJ; Holcomb, J; Nichols, R; Gangloff, MM</t>
  </si>
  <si>
    <t>Trophic and Population Ecology of Introduced Flathead Catfish Pylodictis olivaris in the Tar River, North Carolina</t>
  </si>
  <si>
    <t>PECTORAL SPINES; MANAGEMENT; MORTALITY; OTOLITHS; GROWTH</t>
  </si>
  <si>
    <t>Pyiodiclis olivaris (Flathead Catfish) are large piscivores native to western Gulf of Mexico drainages that have been widely introduced into Atlantic Slope drainages with largely unknown consequences for native lotic faunas. From 2009-2011, we assessed the diet; demography, growth, and spatial distribution of Flathead Catfish in the lower Tar River in east-central North Carolina. We documented current presence of Flathead Catfish using electrofishing at 27 sites in the Tar River and its tributaries Fishing and Sandy creeks and examined diet and growth rates in the lower Tar River population. Stomach contents revealed that Tar River Flathead Catfish arc primarily piscivorous but also consumcd a diverse range of prey items. Canonical correspondence analysis found that Flathead Catfish &gt;= 500 mm TL appeared to consume centrarchids at greater rates than smaller Flathead Catfish, suggesting a shift to larger prey in larger, older fish. Body-condition analysis found that condition did not change with body size, suggesting that the lower Tar River population has likely not yet over-exploited its resource base. Upstream distribution of Flathead Catfish in the upper Tar River and Fishing Creek, two important refuges for numerous imperiled lotic taxa in this fragmented drainage, appears restricted by two small dams. Our data suggest a need for continued monitoring for natural and human-mediated Flathead Catfish range expansions into sensitive reaches as well as empirical study of possible species-, assemblage-, and ecosystem-level effects of this apex predator on imperiled freshwater biota in the Tar River. Moreover, tabling the removal of some small dams in the Tar Drainage may be a prudent action capable of protecting sensitive taxa, at least in the short-term.</t>
  </si>
  <si>
    <t>10.1656/058.014.0103</t>
  </si>
  <si>
    <t>Gonzalez-Bergonzoni, I; D'Anatro, A; Vidal, N; Stebniki, S; Tesitore, G; Silva, I; de Mello, FT</t>
  </si>
  <si>
    <t>Origin of Fish Biomass in a Diverse Subtropical River: An Allochthonic-Supported Biomass Increase Following Flood Pulses</t>
  </si>
  <si>
    <t>river wave concept; river food webs; energy subsidies; fuelling resources; allochthonous carbon; Uruguay River; Prochilodus lineatus</t>
  </si>
  <si>
    <t>FOOD WEBS; TROPHIC POSITION; ENERGY-SOURCES; CARBON FLOW; ISOTOPE; RESOURCES; DYNAMICS; TEMPERATE; CONSUMERS; SUBSIDIES</t>
  </si>
  <si>
    <t>The origin of resources supporting metazoan biomass in rivers has long been a subject of debate. The river wave concept (RWC) postulates that the energetic basis of food webs varies along its spatial-temporal location with respect to flow pulses. According to the RWC, river flow determines carbon assimilation in food webs, but this may also depend on river geomorphology. However, studies testing this theory are scarce, particularly those from large subtropical rivers. To analyse the origin of fish biomass in areas of differing geomorphology, we combined stable isotope analysis with standardised measurements of biomass of a diverse fish assemblage along the lower Uruguay River. Furthermore, using 14 years of monitoring data, we tested for relationships between the biomass of species dominantly fuelled by allochthonic resources and the river flow. Fish biomass was dominantly allochthonous-derived along most of the studied sites. At all trophic levels, autochthonous-derived fish biomass was the highest in an upstream anabranch functional process zone (FPZ) (fuelling 54% of the total biomass), while allochthonous-derived biomass prevailed downstream, in the widest sections of an unconstrained lowland FPZ (fuelling 64-72% of the total biomass). Moreover, the dominant species that derived most of its biomass from allochthonous resources (Prochilodus lineatus) increased its biomass following flood pulses. This study supports the RWC statements that, at a spatial scale, local river geomorphology affects fuelling sources for food webs (probably by determining contrasting resource availability scenarios) and, at a temporal scale, increases in the allochthonous fraction of biomass are driven by flood pulses.</t>
  </si>
  <si>
    <t>10.1007/s10021-019-00370-0</t>
  </si>
  <si>
    <t>Liu, YH; Liu, FD; Dorland, E; Zhang, JP; Yu, JB; An, SQ; Shao, HB</t>
  </si>
  <si>
    <t>Water isotope technology application for sustainable eco-environmental construction: Effects of landscape characteristics on water yield in the alpine headwater catchments of Tibetan Plateau for sustainable eco-environmental construction</t>
  </si>
  <si>
    <t>delta D and delta O-18; Water source; Vegetation coverage; Runoff; Eco-environmental construction</t>
  </si>
  <si>
    <t>STABLE-ISOTOPES; RIVER-BASIN; MOUNTAIN; MIDDLE; CHEMISTRY; HIMALAYAS; COVER; CHINA; SOIL</t>
  </si>
  <si>
    <t>Topography-climate-vegetation-runoff relationships are important issues in hydrological studies. In this paper, based on analyzing water isotope characteristics of river water, the influence of these variables on the relative contribution of rain to river water was investigated during one rain event in the Heishui Valley of the upper Yangtze River in China. During one rain event on August 19, 2005, a total number of 182 river water samples were collected at 13 sampling sites located along the principal river course and its tributaries. The analysis of water isotopes in the principal river course and its tributaries showed that new rain water and secondary evaporation precipitation caused great variation in values of delta D and high d-excess increased with altitude. Based on calculations of two-component hydrograph separation using delta O-18, the results showed that the biggest relative contribution of new rain to river water (43%) was found in tributary B, while the smallest contribution (less than 5%) was found in tributary I. According to stepwise linear regression analysis, topography (elevation and slope) was the most important factor affecting the contributions of new rain to river water. When only vegetation variables were considered in the regression model, alpine shrub coverage proved to be negatively correlated with the contributions of new rain to river water, while alpine meadow coverage was positively correlated with the contributions of new rain. This would imply that increasing the relative coverage of alpine shrubs in this mountainous region of China may decrease the risk of flooding. (C) 2014 Elsevier B.V. All rights reserved.</t>
  </si>
  <si>
    <t>10.1016/j.ecoleng.2014.10.018</t>
  </si>
  <si>
    <t>Chamberlin, JW; Beckman, BR; Greene, CM; Rice, CA; Hall, JE</t>
  </si>
  <si>
    <t>How relative size and abundance structures the relationship between size and individual growth in an ontogenetically piscivorous fish</t>
  </si>
  <si>
    <t>Chinook salmon; IGF-1; individual growth; intraguild predation; Pacific herring</t>
  </si>
  <si>
    <t>SALMON SALMO-SALAR; JUVENILE CHINOOK SALMON; PRINCE-WILLIAM-SOUND; EARLY MARINE GROWTH; PUGET-SOUND; ATLANTIC SALMON; INTERANNUAL VARIABILITY; ONCORHYNCHUS-TSHAWYTSCHA; POPULATION-DYNAMICS; FORAGE FISHES</t>
  </si>
  <si>
    <t>While individual growth ultimately reflects the quality and quantity of food resources, intra and interspecific interactions for these resources, as well as individual size, may have dramatic impacts on growth opportunity. Out-migrating anadromous salmonids make rapid transitions between habitat types resulting in large pulses of individuals into a given location over a short period, which may have significant impact on demand for local resources. We evaluated the spatial and temporal variation in IGF-1 concentrations (a proxy for growth rate) and the relationship between size and concentration for juvenile Chinook salmon in Puget Sound, WA, USA, as a function of the relative size and abundance of both Chinook salmon and Pacific herring, a species which commonly co-occurs with salmonids in nearshore marine habitats. The abundance of Chinook salmon and Pacific herring varied substantially among the sub-basins as function of outmigration timing and spawn timing, respectively, while size varied systematically and consistently for both species. Mean IGF-1 concentrations were different among sub-basins, although patterns were not consistent through time. In general, size was positively correlated with IGF-1 concentration, although the slope of the relationship was considerably higher where Pacific herring were more abundant than Chinook salmon; specifically where smaller individual herring, relative to Chinook salmon, were more abundant. Where Pacific herring were less abundant than Chinook salmon, IGF-1 concentrations among small and large Chinook salmon were more variable and showed no consistent increase for larger individuals. The noticeable positive effect of relative Pacific herring abundance on the relationship between size and individual growth rates likely represents a shift to predation based on increased IGF-1 concentrations for individual Chinook salmon that are large enough to incorporate fish into their diet and co-occur with the highest abundances of Pacific herring.</t>
  </si>
  <si>
    <t>10.1002/ece3.3218</t>
  </si>
  <si>
    <t>Costa-Pereira, R; Tavares, LER; de Camargo, PB; Araujo, MS</t>
  </si>
  <si>
    <t>Seasonal population and individual niche dynamics in a tetra fish in the Pantanal wetlands</t>
  </si>
  <si>
    <t>Floodplain; individual specialization; intraspecific variation; mixing models; resource fluctuation; trophic niche</t>
  </si>
  <si>
    <t>INTRASPECIFIC COMPETITION; RESOURCE AVAILABILITY; LIFE-HISTORY; MATO-GROSSO; DIET; SPECIALIZATION; COMMUNITY; FLOODPLAIN; DIVERSITY; SHIFTS</t>
  </si>
  <si>
    <t>In seasonal tropical regions, rainfall and/or temporary floods during the wet season generally increase the abundance and diversity of food resources to many consumers as compared to the dry season. Therefore, seasonality can affect intraspecific competition and ecological opportunity, which are two important ecological mechanisms underlying population and individual niche variations. Here, we took advantage of the strong seasonality in the Pantanal wetlands to investigate how within-and between-individual diet variations relate to seasonal population niche dynamics of the tetra fish Astyanax lacustris. We quantified dietary niche using gut contents and stable isotopes. Tetras had higher gut fullness and better body condition in the wet season, suggesting that competition is more intense in the dry season. The population niche was broader in the wet season due to an increase in diet divergence between individuals, in spite of potential stronger competition in the dry season. We posit that low ecological opportunity in the dry season limits the diversifying effect of intraspecific competition, constraining population niche expansion. Our results add new insights on how seasonality affects population and individual diets, indicating that intraspecific competition and ecological opportunity interact to determine temporal niche variations in seasonal environments.</t>
  </si>
  <si>
    <t>10.1111/btp.12434</t>
  </si>
  <si>
    <t>Ares-Pereira, G; Rosalino, LM; Teixeira, D; Castro, G; Magalhaes, A; Lima, C; Fonseca, C; Torres, RT</t>
  </si>
  <si>
    <t>Eucalyptus plantations alter spatiotemporal relationships of wild ungulates</t>
  </si>
  <si>
    <t>Eucalyptus plantations; Activity patterns; Deer; Mediterranean; Production forests; Capreolus capreolus; Cervus elaphus</t>
  </si>
  <si>
    <t>DEER CAPREOLUS-CAPREOLUS; RED CERVUS-ELAPHUS; ROE DEER; ACTIVITY PATTERNS; HABITAT USE; SYMPATRIC RED; SEASONAL-VARIATION; OCCUPANCY MODELS; DIET COMPOSITION; PLANTED FORESTS</t>
  </si>
  <si>
    <t>Eucalyptus plantations, the second most economically important exotic tree in Europe, cover circa 1,5 million hectares on this continent. However, little is known about their effect on the ecological patterns of widely distributed and increasing populations of wild ungulates. This lack of knowledge jeopardizes our ability to correctly manage these populations in increasingly ubiquitous exotic forests. We aimed to understand how exotic forestry plantations influence ungulates spatial and temporal dimensions of their niche and determine how the species interactions may be changed by these artificial systems. We used roe deer and red deer as wildlife models, the Portuguese Eucalyptus plantation as standards for forestry plantations, and camera-trapping, occupancy modeling, and kernel density estimators as tools to fulfill our goals. Eucalyptus plantations had a strong effect on roe deer and red deer spatial behavior when compared to areas dominated by native vegetation. Both species seem to avoid disturbed areas such as agricultural land and Eucalyptus plantations. Even when using plantations, they shift their activity to reduce human encounters. Furthermore, plantations are not a homogeneous landcover, and thus distinct production phases of Eucalyptus plantations affect species interactions and activity patterns differently. Our results show that the pre-harvesting phases seem to be the more critical period for deer. Thus, production forest managers must guarantee that plantation structure encompasses areas with different tree ages to minimize this effect and fulfill deer's food and cover requirements. Forestry activities should avoid dawn and dusk, to minimize disturbance and to reduce the negative interaction between sympatric guild members, by allowing species to be sparsely distributed (and not clustered in the few undisturbed patches). Plantations should include dispersed native patches to which animals may move in search of food and refuge, therefore creating discontinuities within plantations.</t>
  </si>
  <si>
    <t>10.1016/j.agee.2022.108174</t>
  </si>
  <si>
    <t>Green, SJ; Cote, IM</t>
  </si>
  <si>
    <t>Trait-based diet selection: prey behaviour and morphology predict vulnerability to predation in reef fish communities</t>
  </si>
  <si>
    <t>foraging behaviour; in situ observations; predator-prey interactions; prey characteristics; Pterois volitans; miles; resource use and availability; selective predation; stomach contents analysis</t>
  </si>
  <si>
    <t>INDO-PACIFIC LIONFISH; SPATIAL HETEROGENEITY; STABLE-ISOTOPES; ECOLOGY; RISK; ABUNDANCE; INVASION; RECRUITMENT; MIGRATION; SEABIRDS</t>
  </si>
  <si>
    <t>Understanding how predators select their prey can provide important insights into community structure and dynamics. However, the suite of prey species available to a predator is often spatially and temporally variable. As a result, species-specific selectivity data are of limited use for predicting novel predator-prey interactions because they are assemblage specific. We present a method for predicting diet selection that is applicable across prey assemblages, based on identifying general morphological and behavioural traits of prey that confer vulnerability to predation independent of species identity. We apply this trait-based approach to examining prey selection by Indo-Pacific lionfish (Pterois volitans and Pterois miles), invasive predators that prey upon species-rich reef fish communities and are rapidly spreading across the western Atlantic. We first generate hypotheses about morphological and behavioural traits recurring across fish species that could facilitate or deter predation by lionfish. Constructing generalized linear mixed-effects models that account for relatedness among prey taxa, we test whether these traits predict patterns of diet selection by lionfish within two independent data sets collected at different spatial scales: (i) in situ visual observations of prey consumption and availability for individual lionfish and (ii) comparisons of prey abundance in lionfish stomach contents to availability on invaded reefs at large. Both analyses reveal that a number of traits predicted to affect vulnerability to predation, including body size, body shape, position in the water column and aggregation behaviour, are important determinants of diet selection by lionfish. Small, shallow-bodied, solitary fishes found resting on or just above reefs are the most vulnerable. Fishes that exhibit parasite cleaning behaviour experience a significantly lower risk of predation than non-cleaning fishes, and fishes that are nocturnally active are at significantly greater risk. Together, vulnerable traits heighten the risk of predation by a factor of nearly 200. Our study reveals that a trait-based approach yields insights into predator-prey interactions that are robust across prey assemblages. Importantly, in situ observations of selection yield similar results to broadscale comparisons of prey use and availability, which are more typically gathered for predator species. A trait-based approach could therefore be of use across predator species and ecosystems to predict the outcomes of changing predator-prey interactions on community dynamics.</t>
  </si>
  <si>
    <t>10.1111/1365-2656.12250</t>
  </si>
  <si>
    <t>Hein, AM; Martin, BT</t>
  </si>
  <si>
    <t>Information limitation and the dynamics of coupled ecological systems</t>
  </si>
  <si>
    <t>FUNCTIONAL-RESPONSES; POPULATION-DYNAMICS; STABILITY; SEARCH; MODELS; PREY; CALIFORNIA; PREDATORS; MUTUALISM; FRONTS</t>
  </si>
  <si>
    <t>A theoretical framework is developed to show that interactions among organisms are limited by the availability of sensory information, and that the dynamical properties of a wide variety of interacting populations depend on responses to this information. The dynamics of large ecological systems result from vast numbers of interactions between individual organisms. Here, we develop mathematical theory to show that the rate of such interactions is inherently limited by the ability of organisms to gain information about one another. This phenomenon, which we call 'information limitation', is likely to be widespread in real ecological systems and can dictate both the rates of ecological interactions and long-run dynamics of interacting populations. We show how information limitation leads to sigmoid interaction rate functions that can stabilize antagonistic interactions and destabilize mutualistic ones; as a species or type becomes rare, information on its whereabouts also becomes rare, weakening coupling with consumers, pathogens and mutualists. This can facilitate persistence of consumer-resource systems, alter the course of pathogen infections within a host and enhance the rates of oceanic productivity and carbon export. Our findings may shed light on phenomena in many living systems where information drives interactions.</t>
  </si>
  <si>
    <t>10.1038/s41559-019-1008-x</t>
  </si>
  <si>
    <t>Brunk, KM; West, EH; Peery, MZ; Pidgeon, AM</t>
  </si>
  <si>
    <t>Reducing anthropogenic subsidies can curb density of overabundant predators in protected areas</t>
  </si>
  <si>
    <t>Anthropogenic subsidy; Spillover predation; Visitor education; Protected area; Cyanocitta stelleri</t>
  </si>
  <si>
    <t>COMMON RAVEN PREDATION; STABLE-ISOTOPES; MARBLED MURRELETS; BLACK BEARS; POPULATION; FOOD; CONSERVATION; PERFORMANCE; LANDSCAPES; EDUCATION</t>
  </si>
  <si>
    <t>Protected areas safeguard biodiversity and provide opportunities for human recreation. However, abundant anthropogenic food subsidies associated with human activities in protected areas can lead to high densities of generalist predators, posing a threat to rare species at broad spatial scales. Reducing anthropogenic subsidies could curb populations of overabundant predators, yet the effectiveness of this strategy is unclear. We characterized changes in the foraging ecology, body condition, and demography of a generalist predator, the Steller?s jay, three years after implementation of a multi-faceted management program to reduce anthropogenic subsidies in a protected area in California. Stable isotope analysis revealed that the proportional contribution of anthropogenic foods to jay diets declined from 88% to 47% in response to management. Overlap between jay home ranges decreased after management began, while home range size, body condition, and individual fecundity remained stable. Adult density in subsidized areas decreased markedly from 4.33 (SE: ?0.91) to 0.65 (?0.20) jays/ha after the initiation of management, whereas density in unsubsidized areas that were not expected to be affected by management remained stable (0.70 ? 0.22 pre-management, 0.58 ? 0.38 post-management). Thus, the response of jays to management was density-dependent such that reduced densities facilitated the maintenance of individual body condition and fecundity. Importantly, though, jay population size and collective reproductive output declined substantially. Our study provides evidence that limiting anthropogenic subsidies can successfully reduce generalist predator populations and be part of a strategy to increase compatibility of species protection and human recreation within protected areas.</t>
  </si>
  <si>
    <t>10.1016/j.biocon.2021.109081</t>
  </si>
  <si>
    <t>Mueller, C; Moser, FN; Frei, D; Seehausen, O</t>
  </si>
  <si>
    <t>Constraints to speciation despite divergence in an old haplochromine cichlid lineage</t>
  </si>
  <si>
    <t>adaptive radiation; cichlid fish; mate choice; population genomics; reproductive isolation; speciation</t>
  </si>
  <si>
    <t>SEXUAL SELECTION; LAKE-VICTORIA; ADAPTIVE RADIATION; PHENOTYPIC PLASTICITY; PLEISTOCENE DESICCATION; ECOLOGICAL OPPORTUNITY; REPRODUCTIVE ISOLATION; EXPLOSIVE SPECIATION; SWIMMING PERFORMANCE; SPECIES RICHNESS</t>
  </si>
  <si>
    <t>Most of the 500+ cichlid species of Lake Victoria evolved very rapidly in the wake of an adaptive radiation within the last 15,000 years. All 500 species have evolved from just one out of five old cichlid lineages that colonized the lake. Endemic to the Lake Victoria region, Astatoreochromis alluaudi is a member of an old haplochromine lineage that never speciated in the region. Even though the species occurs in a wide range of habitats, there were no indications of evolutionary diversification. Here, we tested predictions of several hypothetical mechanisms that might constrain speciation, including high dispersal rates, a generalist life style and the lack of behavioral assortative mating. Genomic analyses of individuals from 13 populations revealed several genomically distinct groups, associated with major habitat classes, indicating the existence of two distinct ecotypes. We found significant phenotypic differences between these ecotypes in the wild, which were retained under common-garden conditions, potentially indicating heritable phenotypic adaptations. Female mate choice experiments revealed the absence of behavioral assortative mating despite genetic and phenotypic differentiation between ecotypes. We suggest that the lack of coupling between behavioral mating preferences and phenotypic and genetic divergence constrains speciation in this cichlid.</t>
  </si>
  <si>
    <t>10.1093/evolut/qpad001</t>
  </si>
  <si>
    <t>Waser, NA; Yin, KD; Yu, ZM; Tada, K; Harrison, PJ; Turpin, DH; Calvert, SE</t>
  </si>
  <si>
    <t>Nitrogen isotope fractionation during nitrate, ammonium and urea uptake by marine diatoms and coccolithophores under various conditions of N availability</t>
  </si>
  <si>
    <t>isotope fractionation; N-15/N-14; nitrogen uptake; diatoms; coccolithophores; nitrate; ammonium; urea</t>
  </si>
  <si>
    <t>THALASSIOSIRA-PSEUDONANA; NATURAL ABUNDANCE; CHESAPEAKE BAY; GROWTH-RATE; OPEN OCEAN; PHYTOPLANKTON; PARTICLES; COASTAL; DELTA-N-15; NUTRITION</t>
  </si>
  <si>
    <t>Stable isotopes of N provide a new approach to the study of algal production in the ocean, yet knowledge of the isotope fractionation (epsilon) in various oceanic regimes is lacking. Here we report large and rapid changes in isotope composition (delta(15)N) of 2 coastal diatoms and 2 clones (open and coastal) of a coccolithophore grown in the simultaneous presence of nitrate, ammonium and urea under varying conditions of N availability (i.e. N-sufficiency and N-starvation followed by N-resupply) and hence different physiological states, During N-sufficiency, the delta(15)N of particulate organic N (PON) was well reproduced, using a model derived from Rayleigh distillation theory, with constant epsilon similar to that for growth on each individual N source. However, following N-resupply, the variations in delta(15)N(PON) could be well explained only in the case of the open ocean Emiliania huxleyi, with epsilon similar to N-sufficient conditions. It was concluded that the mechanism of isotope fractionation changed rapidly with N availability for the 3 coastal clones. However, in the case of E. huxleyi isolated from the Subarctic Pacific Ocean, no evidence of a change in mechanism was found, suggesting that perhaps open ocean species can quickly recover from N-depleted conditions.</t>
  </si>
  <si>
    <t>10.3354/meps169029</t>
  </si>
  <si>
    <t>Banks, J; Lea, MA; Wall, S; McMahon, GR; Hindell, MA</t>
  </si>
  <si>
    <t>Combining bio-logging and fatty acid signature analysis indicates spatio-temporal variation in the diet of the southern elephant seal, Mirounga leonina</t>
  </si>
  <si>
    <t>Annual variation; Blubber; Fatty acids; Foraging; Spatial variation</t>
  </si>
  <si>
    <t>STABLE-ISOTOPE ANALYSES; ANTARCTIC FUR SEALS; KING-GEORGE ISLAND; FORAGING ECOLOGY; TROPHIC ECOLOGY; MARINE MAMMALS; JUVENILE SOUTHERN; CEPHALOPOD DIET; HARBOR SEALS; BLUBBER</t>
  </si>
  <si>
    <t>Quantifying the foraging ecology of apex predators is crucial for understanding the predator-prey interactions in marine ecosystems. This is particularly important in the Southern Ocean ecosystem, where year-round studies are logistically and financially impractical. Detailed investigations into the diet of wide-ranging southern hemisphere marine predators, therefore, need to be quantified spatio-temporally. We coupled tracking data with fatty acid signature analysis (FASA) to investigate the foraging ecology of a wide-ranging Southern Ocean marine predator, the southern elephant seal (Mirounga leonina). Seal foraging areas varied spatially and over time, but seals concentrated their activities in three broad geographic regions (i) off the East Antarctic Continental Shelf (S-ACC), (ii) at the edge of the pack ice north of the Ross Sea (SE-RS) and (iii) north of the Sub-Antarctic Front (SE-SAF). There were significant differences in the fatty acid (FA) composition of the blubber from the seals that used these different regions. Seals foraging in the SE-SAF had blubber high in short chained mono-unsaturated fatty acids (SC-MUFAs), compared to those from the S-ACC and SE-RS habitats, which contained more poly-unsaturated fatty acids (PUFAs). Comparisons with FAs of known prey species in the region indicated that blubber collected from seals using the shelf and pelagic habitats (i.e. S-ACC and SE-SAP) were likely to have higher proportions of fish in the diet and, conversely, those from the pack-ice habitat (i.e. SE-RS) were more likely to have a cosmopolitan diet, i.e. an evenly mixed diet of fish and squid. Seal diet also varied annually, within the shelf and pelagic habitats changing from a diet relatively high in fish, to a diet relatively high in squid. Coupling tracking data with FASA is a powerful technique to investigate the spatio-temporal variations in the diet of wide-ranging marine predators. (C) 2013 Elsevier B.V. All rights reserved.</t>
  </si>
  <si>
    <t>10.1016/j.jembe.2013.10.024</t>
  </si>
  <si>
    <t>Li, WJ; Wyckhuys, KAG; Wu, KM</t>
  </si>
  <si>
    <t>Does feeding behavior of a zoophytophagous mirid differ between host plant and insect prey items?</t>
  </si>
  <si>
    <t>ARTHROPOD-PLANT INTERACTIONS</t>
  </si>
  <si>
    <t>Apolygus lucorum; Omnivore; Diet selection; Electrical penetration graph</t>
  </si>
  <si>
    <t>APOLYGUS-LUCORUM; LYGUS-HESPERUS; BT COTTON; STYLET PENETRATION; WAVE-FORMS; HEMIPTERA CICADELLIDAE; MACROLOPHUS-PYGMAEUS; SEASONAL ABUNDANCE; FORAGING BEHAVIOR; ARTIFICIAL DIET</t>
  </si>
  <si>
    <t>Many mirid bugs are omnivores, and several species are key pests of agricultural crops. While mirid feeding behavior on plant hosts is relatively well studied, little attention has been paid to foraging, acceptance, and consumption of insect prey items. In this study, we investigated the feeding behavior and stylet penetration of the green mirid bug Apolygus lucorum on insect prey (Helicoverpa armigera eggs), plant hosts (green bean Phaseolus vulgaris pod), and combined plant + prey diets. Direct observation and electrical penetration graph (EPG) assays were used to assess feeding on either food item. Overall feeding time was highest on combined diets (48.18 +/- A 4.92 % of total time) and plant foods (42.23 +/- A 3.36 %), compared with only 28.95 +/- A 2.27 % feeding time on H. armigera eggs. When exposed to combined diets, A. lucorum spent 3.8 times longer feeding on green bean pod than on H. armigera eggs. The overall duration of stylet penetration was 5866.27 +/- A 800.39 s on green bean pod versus 3644.81 +/- A 715.19 s on H. armigera eggs, representing a 37.87 % reduction in duration. Similarly, the duration of a single probing event was significantly higher on green bean pod (355.76 +/- A 50.13 s) versus H. armigera eggs (236.20 +/- A 25.17 s), with a 33.61 % reduction. This first work in which omnivory is studied by combined use of observational studies and EPG assays (1) provides further insights into A. lucorum omnivory, (2) further elucidates its trophic position in agroecosystems, and (3) guides the development of artificial diets for this pest species.</t>
  </si>
  <si>
    <t>10.1007/s11829-015-9410-z</t>
  </si>
  <si>
    <t>Munoz, CC; Saito, T; Vermeiren, P</t>
  </si>
  <si>
    <t>Cohort structure and individual resource specialization in loggerhead turtles, long-lived marine species with ontogenetic migrations</t>
  </si>
  <si>
    <t>Ontogenetic shift; Migratory history; Change point analysis; Isotopic analysis; Sea turtle; Niche breadth; Population structure; Caretta caretta</t>
  </si>
  <si>
    <t>STABLE-ISOTOPE ANALYSES; CARETTA-CARETTA; GREEN TURTLES; SEA-TURTLES; ERETMOCHELYS-IMBRICATA; LIFE-HISTORIES; CHELONIA-MYDAS; GROWTH; AGE; POPULATION</t>
  </si>
  <si>
    <t>Cohort structure and degree of individual resource specialization affect individual- and population-level fitness and ecosystem interactions. These 2 characteristics are difficult to establish for long-lived marine species such as sea turtles. Both characteristics were approached by applying a novel Broken-Stick analysis of Stable isotope Time series (BS-SiTs) framework to longitudinal data series derived from metabolically inert carapace scute tissue of 13 loggerhead turtles Caretta caretta near the coast of Kochi prefecture, Japan. During the subadult stage, delta N-15 signatures decreased 1.29 parts per thousand per 50 mu m scute slice away from values associated with neritic habitats and a diet of benthic invertebrates. Following a breakpoint, delta N-15 signatures stabilized in the range of 10-15 parts per thousand, corresponding with planktonic feeding adults with an oceanic foraging strategy in the North Pacific. Ontogenetic shifts in delta N-15 occurred at different chronological points for each individual, implying the presence of a diverse cohort structure within the local coastal population. During the adult stage, within-individual variation in delta N-15 was &lt;6.1% of the total delta N-15 variation among sampled individuals. To offer effective protection, management actions should account for this potentially high individual resource specialization at the scale of local coastal populations. Nesting numbers of loggerhead turtles in Japan have been declining since the 1990s. The BS-SiTs framework provides ecological baseline information on ontogenetic shifts in resource use of individuals suitable to support management plans. Specifically, when applied across multiple individuals, the BS-SiTs framework offers a low-cost, non-invasive solution to monitor and compare trends in cohort structure among local coastal populations.</t>
  </si>
  <si>
    <t>10.3354/meps13767</t>
  </si>
  <si>
    <t>Roper, CFE; Vecchione, M</t>
  </si>
  <si>
    <t>IN SITU OBSERVATIONS TEST HYPOTHESES OF FUNCTIONAL MORPHOLOGY IN MASTIGOTEUTHIS (CEPHALOPODA, OEGOPSIDA)</t>
  </si>
  <si>
    <t>CEPHALOPODS; SQUID; SUBMERSIBLE; DEEP SEA; BEHAVIOR; FUNCTIONAL MORPHOLOGY</t>
  </si>
  <si>
    <t>Mastigoteuthis magna observed in situ has a characteristic tuning fork posture that can be used as an aid for identification, even for very small squids. Observations of living Mastigoteuthis from submersibles in the western Atlantic Ocean enabled us to test formerly proposed hypotheses concerning functional morphology of these deep sea squids. Hypotheses supported by observations on live animals include : 1) The large fins provide propulsion; simple and double sinusoidal waves move anteriorly or posteriorly, fins flap powerfully, fins roll together ventrally to squeeze water out anteriorly or posteriorly. 2) Tentacular suckers have weak release mechanism; tentacular clubs on live animals feel very sticky, like fly paper, and must be firmly pulled off observer's skin and aquarium wall. 3) Tentacular suckers have sensory function; tentacular tips skim along bottom to allow animal to maintain position in food-rich benthic boundary layer. Observations do not support these hypotheses : 1) Vacuolated arms and head induce head-upwards posture; observations confirm a head-downwards posture maintained by constantly maneuvering fins. 2) Ventral arms lock together to form gutter for feeding; live animals hold long ventral arms far apart with proximal part of tentacles enveloped in tentacular sheaths, allowing them to serve as non-tangling trolling lines fishing for minute prey. 3) Well developed eyes and ink sac indicate photic zone habitat; all observations of Mastigoteuthis from submersibles are close to the bottom below 500 m, never in photic zone. We suggest Mastigoteuthis evolved from a Chiroteuthis-like ancestor; its adaptive characters enable it to inhabit the unique trophic zone immediately above the deep sea bottom, feeding on small zooplankters with trolled, non-tangling tentacles.</t>
  </si>
  <si>
    <t>Lyons, K; Bigman, JS; Kacev, D; Mull, CG; Carlisle, AB; Imhoff, JL; Anderson, JM; Weng, KC; Galloway, AS; Cave, E; Gunn, TR; Lowe, CG; Brill, RW; Bedore, CN</t>
  </si>
  <si>
    <t>Bridging disciplines to advance elasmobranch conservation: applications of physiological ecology</t>
  </si>
  <si>
    <t>Conservation; elasmobranch; physiological ecology</t>
  </si>
  <si>
    <t>JUVENILE SCALLOPED HAMMERHEAD; STABLE-ISOTOPES; METABOLIC-RATE; DISCRIMINATION FACTORS; OCEAN ACIDIFICATION; MIGRATION PATTERNS; BRAIN ORGANIZATION; LEMON SHARK; FISH; CONTAMINANTS</t>
  </si>
  <si>
    <t>A strength of physiological ecology is its incorporation of aspects of both species' ecology and physiology; this holistic approach is needed to address current and future anthropogenic stressors affecting elasmobranch fishes that range from overexploitation to the effects of climate change. For example, physiology is one of several key determinants of an organism's ecological niche (along with evolutionary constraints and ecological interactions). The fundamental role of physiology in niche determination led to the development of the field of physiological ecology. This approach considers physiological mechanisms in the context of the environment to understand mechanistic variations that beget ecological trends. Physiological ecology, as an integrative discipline, has recently experienced a resurgence with respect to conservation applications, largely in conjunction with technological advances that extended physiological work from the lab into the natural world. This is of critical importance for species such as elasmobranchs (sharks, skates and rays), which are an especially understudied and threatened group of vertebrates. In 2017, at the American Elasmobranch Society meeting in Austin, Texas, the symposium entitled 'Applications of Physiological Ecology in Elasmobranch Research' provided a platform for researchers to showcase work in which ecological questions were examined through a physiological lens. Here, we highlight the research presented at this symposium, which emphasized the strength of linking physiological tools with ecological questions. We also demonstrate the applicability of using physiological ecology research as a method to approach conservation issues, and advocate for a more available framework whereby results are more easily accessible for their implementation into management practices.</t>
  </si>
  <si>
    <t>coz011</t>
  </si>
  <si>
    <t>10.1093/conphys/coz011</t>
  </si>
  <si>
    <t>Shigeta, K; Tsuma, S; Yonekura, R; Kakamu, H; Maruyama, A</t>
  </si>
  <si>
    <t>Isotopic analysis of epidermal mucus in freshwater fishes can reveal short-time diet variations</t>
  </si>
  <si>
    <t>delta C-13; delta N-15 Epidermal mucus; Fish slime; Trophic discrimination factor</t>
  </si>
  <si>
    <t>NITROGEN STABLE-ISOTOPES; DISCRIMINATION FACTORS; MULTIPLE TISSUES; CARBON ISOTOPES; TURNOVER RATES; DELTA-C-13; RATIOS; DELTA-N-15; N-15; FRACTIONATION</t>
  </si>
  <si>
    <t>Although stable isotope analysis is a powerful tool for determining animal diets, migration patterns, and the structure of food webs in aquatic systems, the slow response of isotopic ratios in the traditionally used muscle tissue of fishes often hampers this approach. By analyzing tissues with more rapid isotopic change, this technique can be used over a finer time scale than traditional isotopic analyses. We conducted a diet-switch experiment to compare changes in the stable carbon and nitrogen isotope ratio values (delta C-13 and delta N-15, respectively) in epidermal mucus, fin and muscle tissues of three species of freshwater cyprinid fishes. The half-life of the isotopic change ranged from 62 to 144 days in mucus, 57 to 202 days in fin, and 196 to 680 days in the muscle tissue. The isotope ratios in mucus changed more rapidly than those in muscle tissues in the three species examined, similarly to the previously studied three species (catfish, steelhead, freshwater goby), whereas fin showed relatively variable trends in isotopic change. Interspecific variation in the trophic discrimination factor (TDF) was particularly large in the delta C-13 values of fin tissue compared with those in the other two tissues. With generally rapid change and relatively invariable TDF, the use of epidermal mucus in isotope analysis instead of the widely used fin and muscle tissues is advantageous for studying short-term changes in food habits of fishes and food web structures.</t>
  </si>
  <si>
    <t>10.1007/s11284-017-1478-8</t>
  </si>
  <si>
    <t>Inman, R; Fotheringham, AS; Franklin, J; Esque, T; Edwards, T; Nussear, K</t>
  </si>
  <si>
    <t>Local niche differences predict genotype associations in sister taxa of desert tortoise</t>
  </si>
  <si>
    <t>conservation genetics; desert tortoise; ecological niche; multiscale geographically weighted regression; species distribution modelling</t>
  </si>
  <si>
    <t>GOPHERUS-AGASSIZII POPULATION; DISTRIBUTION MODELS; PHYLOGENETIC DIVERSITY; BIOLOGICAL DIVERSITY; SPECIES RICHNESS; EVOLUTIONARY PROCESSES; NON-STATIONARITY; CLIMATE-CHANGE; HYBRID ZONES; SCALE</t>
  </si>
  <si>
    <t>Aims To investigate spatial congruence between ecological niches and genotype in two allopatric species of desert tortoise that are species of conservation concern. Location Mojave and Sonoran Desert ecoregions; California, Nevada, Arizona, Utah, USA. Methods We compare ecological niches of Gopherus agassizii and Gopherus morafkai using species distribution modelling (SDM) and then calibrate a pooled-taxa distribution model to explore local differences in species-environment relationships based on the spatial residuals of the pooled-taxa model. We use multiscale geographically weighted regression (MGWR) applied to those residuals to estimate local species-environment relationships that can vary across the landscape. We identify multivariate clusters in these local species-environment relationships and compare them against models of (a) a geographically based taxonomic designation for two sister species and (b) an environmental ecoregion designation, with respect to their ability to predict a genotype association index for these two species. Results We find non-identical niches for these species, with differences that span physiographic and vegetation niche dimensions. We find evidence for two distinct clusters of local species-environment relationships that when mapped, predict an index of genotype association for the two sister taxa better than did either the geographically based taxonomic designation or an environmental ecoregion designation. Main conclusions Exploring local species-environment relationships by coupling SDM and MGWR can benefit studies of biogeography and conservation. We find that niche separation in habitat selection conforms to genotypic differences between sister taxa of tortoise in a recent secondary contact zone. This result may inform decision making by agencies with regulatory or land management authority for the two sister taxa addressed here.</t>
  </si>
  <si>
    <t>10.1111/ddi.12927</t>
  </si>
  <si>
    <t>Hargan, KE; Stewart, EM; Michelutti, N; Grooms, C; Kimpe, LE; Mallory, ML; Smol, JP; Blais, JM</t>
  </si>
  <si>
    <t>Sterols and stanols as novel tracers of waterbird population dynamics in freshwater ponds</t>
  </si>
  <si>
    <t>sterols; stanols; cholesterol; sitosterol; palaeolimnological biomarkers; waterbirds</t>
  </si>
  <si>
    <t>DOUBLE-CRESTED CORMORANTS; GREAT-LAKES; FECAL POLLUTION; SEDIMENTS; COPROSTANOL; MARKERS; MARINE; RECORD; LEAD; CONTAMINATION</t>
  </si>
  <si>
    <t>With the expansion of urban centres in the mid-twentieth century and the post-1970 decrease in pesticides, populations of double-crested cormorants (Phalacrocorax auritus) and ring-billed gulls (Larus delawarensis) around Lake Ontario (Canada and USA) have rapidly rebounded, possibly to unprecedented numbers. Along with the use of traditional palaeolimnological methods (e.g. stable isotopes, biological proxies), we now have the capacity to develop specific markers for directly tracking the presence of waterbirds on nesting islands. Here, we apply the use of lipophilic sterols and stanols from both plant and animal-faecal origins as a reliable technique, independent of traditional isotopic methods, for pinpointing waterbird arrival and population growth over decadal timescales. Sterol and stanol concentrations measured in the guano samples of waterbird species were highly variable within a species and between the three species of waterbirds examined. However, cholesterol was the dominant sterol in guano, and phytosterols were also high in ring-billed gull guano. This variability highlights a specialist piscivorous diet for cormorants compared to a generalist, omnivorous diet for gulls, which may now often include grain and invertebrates from agricultural fields. A ratio that includes cholesterol and sitosterol plus their aerobically reduced products (cholestanol, stigmastanol) best explained the present range of bird abundance across the islands and was significantly correlated to sedimentary delta N-15. Overall, we demonstrate the use of sterols and stanols as a direct means for tracking the spatial and temporal presence of waterbirds on islands across Lake Ontario, and probably elsewhere.</t>
  </si>
  <si>
    <t>10.1098/rspb.2018.0631</t>
  </si>
  <si>
    <t>Rodrigues, CF; Hilario, A; Cunha, MR</t>
  </si>
  <si>
    <t>Chemosymbiotic species from the Gulf of Cadiz (NE Atlantic): distribution, life styles and nutritional patterns</t>
  </si>
  <si>
    <t>HYDROCARBON SEEP COMMUNITIES; RIDGE HYDROTHERMAL VENTS; MUD VOLCANOS; OF-MEXICO; CHEMOSYNTHETIC BACTERIA; NORTHEAST ATLANTIC; BIVALVE MOLLUSKS; CARBON; SYMBIOSES; MUSSEL</t>
  </si>
  <si>
    <t>Previous work in the mud volcanoes from the Gulf of Cadiz (South Iberian Margin) revealed a high number of chemosymbiotic species, namely bivalves and siboglinid polychaetes. In this study we give an overview of the distribution and life styles of these species in the Gulf of Cadiz, determine the role of autotrophic symbionts in the nutrition of selected species using stable isotope analyses (delta C-13, delta N-15 and delta S-34) and investigate the intra-specific variation of isotope signatures within and between study sites. During our studies, we identified twenty siboglinidae and nine bivalve chemosymbiotic species living in fifteen mud volcanoes. Solemyid bivalves and tubeworms of the genus Siboglinum are widespread in the study area, whereas other species were found in a single mud volcano (e. g. Bathymodiolus mauritanicus) or restricted to deeper mud volcanoes (e. g. Polybrachia sp., Lamelisabella denticulata). Species distribution suggests that different species may adjust their position within the sediment according to their particular needs, and to the intensity and variability of the chemical substrata supply. Tissue stable isotope signatures for selected species are in accordance with values found in other studies, with thiotrophy as the dominant nutritional pathway, and with methanotrophy and mixotrophy emerging as secondary strategies. The heterogeneity in terms of nutrient sources (expressed in the high variance of nitrogen and sulphur values) and the ability to exploit different resources by the different species may explain the high diversity of chemosymbiotic species found in the Gulf of Cadiz. This study increases the knowledge on distributional patterns and resource partitioning of chemosymbiotic species and highlights how trophic fuelling varies on spatial scales with direct implications to seep assemblages and potentially to the biodiversity of continental margin.</t>
  </si>
  <si>
    <t>10.5194/bg-10-2569-2013</t>
  </si>
  <si>
    <t>Miller, BT; Schoenebeck, CW; Koupal, KD</t>
  </si>
  <si>
    <t>Summer food habits and prey taxa and size electivity of age-0 white bass in a South-Central Nebraska irrigation reservoir</t>
  </si>
  <si>
    <t>White bass; Calanoida; food habits; prey electivity; zooplankton</t>
  </si>
  <si>
    <t>DIET OVERLAP; LAKE; ZOOPLANKTON; WALLEYE; LARVAL; ECOLOGY; DAPHNIA; FISHES; PERCH; SHIFT</t>
  </si>
  <si>
    <t>Understanding consumption patterns and preferences of particular life stages for fish species can clarify potential dietary overlap and identify energy flow within aquatic communities. Age-0 white bass (Morone chrysops) have been documented to consume a variety of prey items and zooplankton are a common occurrence. The importance of particular zooplankton taxa and available sizes will likely impact prey selectivity, which is not understood for age-0 white bass. The objectives of this study were to evaluate food habits, prey electivity, and size selectivity of age-0 white bass in an irrigation reservoir from July to September 2015 and 2016. By number, age-0 white bass consumed mostly zooplankton from July to September. Consumption of fish become an important component of the diet for 22% of fish starting at 80 mm TL. Calanoida were the primary zooplankton taxa consumed and selected for by age-0 white bass. In relation to other zooplankton taxa, Calanoida were one of the most abundant taxa groups available and age-0 white bass displayed size selective feeding by consuming the larger Calanoida available in the environment. While Calanoida are not the largest taxa available, their high density appears to result in higher consumption by age-0 white bass compared to other available taxa.</t>
  </si>
  <si>
    <t>10.1080/02705060.2019.1592028</t>
  </si>
  <si>
    <t>Xia, YH; Wang, HL; Ding, BJ; Svensson, GP; Jarl-Sunesson, C; Cahoon, EB; Hofvander, P; Lofstedt, C</t>
  </si>
  <si>
    <t>Green Chemistry Production of Codlemone, the Sex Pheromone of the Codling Moth (Cydia pomonella), by Metabolic Engineering of the Oilseed Crop Camelina (Camelina sativa)</t>
  </si>
  <si>
    <t>Conjugated double bonds; Plant factory; Acyl-ACP thioesterase; increment 9 desaturase; Multi-gene copies; P19; Agrobacterium-based floral-dip transformation; Bioassay</t>
  </si>
  <si>
    <t>FATTY-ACIDS; SILENCING-SUPPRESSOR; TRANSGENIC PLANTS; ACP THIOESTERASE; PROTEIN; BIOSYNTHESIS; EXPRESSION; PROMOTER; LEPIDOPTERA; DISRUPTION</t>
  </si>
  <si>
    <t>Synthetic pheromones have been used for pest control over several decades. The conventional synthesis of di-unsaturated pheromone compounds is usually complex and costly. Camelina (Camelina sativa) has emerged as an ideal, non-food biotech oilseed platform for production of oils with modified fatty acid compositions. We used Camelina as a plant factory to produce mono- and di-unsaturated C-12 chain length moth sex pheromone precursors, (E)-9-dodecenoic acid and (E,E)-8,10-dodecadienoic acid, by introducing a fatty acyl-ACP thioesterase FatB gene UcTE from California bay laurel (Umbellularia californica) and a bifunctional increment 9 desaturase gene Cpo_CPRQ from the codling moth, Cydia pomonella. Different transgene combinations were investigated for increasing pheromone precursor yield. The most productive Camelina line was engineered with a vector that contained one copy of UcTE and the viral suppressor protein encoding P19 transgenes and three copies of Cpo_CPRQ transgene. The T-2 generation of this line produced 9.4% of (E)-9-dodecenoic acid and 5.5% of (E,E)-8,10-dodecadienoic acid of the total fatty acids, and seeds were selected to advance top-performing lines to homozygosity. In the T-4 generation, production levels of (E)-9-dodecenoic acid and (E,E)-8,10-dodecadienoic acid remained stable. The diene acid together with other seed fatty acids were converted into corresponding alcohols, and the bioactivity of the plant-derived codlemone was confirmed by GC-EAD and a flight tunnel assay. Trapping in orchards and home gardens confirmed significant and specific attraction of C. pomonella males to the plant-derived codlemone.</t>
  </si>
  <si>
    <t>10.1007/s10886-021-01316-4</t>
  </si>
  <si>
    <t>Castelin, M; Van Steenkiste, N; Pante, E; Harbo, R; Lowe, G; Gilmore, SR; Therriault, TW; Abbott, CL</t>
  </si>
  <si>
    <t>A new integrative framework for large-scale assessments of biodiversity and community dynamics, using littoral gastropods and crabs of British Columbia, Canada</t>
  </si>
  <si>
    <t>brachyuran crabs; co-occurrence; GMYC; PTP; shelled gastropods; species delimitation</t>
  </si>
  <si>
    <t>ROCKY INTERTIDAL COMMUNITY; SPECIES DELIMITATION; PHYLOGENETIC-RELATIONSHIPS; MOLECULAR PHYLOGENY; ASSEMBLY RULES; DNA TAXONOMY; SEA OTTERS; COOCCURRENCE; EVOLUTION; PATTERNS</t>
  </si>
  <si>
    <t>Improving our understanding of species responses to environmental changes is an important contribution ecologists can make to facilitate effective management decisions. Novel synthetic approaches to assessing biodiversity and ecosystem integrity are needed, ideally including all species living in a community and the dynamics defining their ecological relationships. Here, we present and apply an integrative approach that links high-throughput, multicharacter taxonomy with community ecology. The overall purpose is to enable the coupling of biodiversity assessments with investigations into the nature of ecological interactions in a community-level data set. We collected 1195 gastropods and crabs in British Columbia. First, the General mixed Yule-coalescent (GMYC) and the Poisson Tree Processes (PTP) methods for proposing primary species-hypotheses based on cox1 sequences were evaluated against an integrative taxonomic framework. We then used data on the geographic distribution of delineated species to test species co-occurrence patterns for nonrandomness using community-wide and pairwise approaches. Results showed that PTP generally outperformed GMYC and thus constitutes a more effective option for producing species-hypotheses in community-level data sets. Nonrandom species co-occurrence patterns indicative of ecological relationships or habitat preferences were observed for grazer gastropods, whereas assemblages of carnivorous gastropods and crabs appeared influenced by random processes. Species-pair associations were consistent with current ecological knowledge, thus suggesting that applying community assembly within a large taxonomical framework constitutes a valuable tool for assessing ecological interactions. Combining phylogenetic, morphological and co-occurrence data enabled an integrated view of communities, providing both a conceptual and pragmatic framework for biodiversity assessments and investigations into community dynamics.</t>
  </si>
  <si>
    <t>10.1111/1755-0998.12534</t>
  </si>
  <si>
    <t>Warfe, DM; Hardie, SA; Uytendaal, AR; Bobbi, CJ; Barmuta, LA</t>
  </si>
  <si>
    <t>The ecology of rivers with contrasting flow regimes: identifying indicators for setting environmental flows</t>
  </si>
  <si>
    <t>flow restoration; flow variability; flow-ecology relationships; monitoring and evaluation; river management</t>
  </si>
  <si>
    <t>MACROINVERTEBRATE COMMUNITIES; FISH ASSEMBLAGE; CONSEQUENCES; DISTURBANCE; PRINCIPLES; RESPONSES; CLASSIFICATION; VARIABILITY; MANAGEMENT; VEGETATION</t>
  </si>
  <si>
    <t>The scientific basis for setting environmental flows is still hampered by our incomplete understanding of flow-ecology relationships and how river ecology varies with flow regime. We conducted a study of six rivers in Tasmania (Australia), three perennial and three intermittent, measuring a range of abiotic, biotic and ecosystem process attributes over 2years. Our intentions were to identify: (i) whether they had an ecology characteristic of their flow regime and (ii) whether certain ecological attributes were more responsive to flow regime than others, and therefore represented candidate indicators (for environmental flows or flow alteration) specific to each flow regime. Only a few abiotic variables showed any relationship with flow regime: banks were higher, pools shallower and sediments finer in perennial rivers, and water temperature was generally lower in perennial rivers. Although rarely measured, we found that productivity and net ecosystem metabolism were strongly related to flow regime, whereas food chain length did not vary between perennial and intermittent rivers. Multivariate, rather than univariate, metrics of biotic assemblages were more effective at distinguishing perennial and intermittent flow regimes, and this was consistent among riparian and instream vegetation, biofilm and macroinvertebrate assemblages. In contrast to expectations from the literature, fish assemblages were not strong indicators of flow regime, largely due to the relatively low diversity and abundance of the Tasmanian fish fauna. Our findings demonstrate that rivers with different flow regimes can support a distinctive ecology, and conventional metrics of ecological character may not be the most sensitive to flow regime. We provide a set of ecological attributes that can: (i) support extrapolation of flow-ecology relationships across rivers to regional scales, (ii) provide benchmarks for environmental flow and flow restoration objectives, (iii) indicate alterations to natural or existing flow regimes and (iv) be used to monitor and evaluate flow management actions.</t>
  </si>
  <si>
    <t>10.1111/fwb.12407</t>
  </si>
  <si>
    <t>Kynoch, C; Fuentes, MMPB; Dutton, PH; LaCasella, EL; Silver-Gorges, I</t>
  </si>
  <si>
    <t>Origins of juvenile green sea turtles (Chelonia mydas) in the Bahamas: A comparison of recent and historical rookery contributions</t>
  </si>
  <si>
    <t>marine turtles; migratory connectivity; mitochondrial DNA; mixed stock analysis; population structure</t>
  </si>
  <si>
    <t>MIXED-STOCK ANALYSIS; POPULATION-STRUCTURE; CARETTA-CARETTA; SCALE CONNECTIVITY; ACTIVE DISPERSAL; STABLE-ISOTOPES; LOST YEARS; CONSERVATION; ATLANTIC; DNA</t>
  </si>
  <si>
    <t>Conservation of green sea turtles (Chelonia mydas) benefits from knowledge of population connectivity across life stages. Green turtles are managed at the level of genetically discrete rookeries, yet individuals from different rookeries mix at foraging grounds; therefore, rookeries may be impacted by processes at foraging grounds. Bimini, Bahamas, hosts an important foraging assemblage, but rookery contributions to this assemblage have never been resolved. We generated mitochondrial DNA sequences for 96 foraging green turtles from Bimini and used Mixed Stock Analysis to determine rookery contributions to this population using 817 and 490 base pair (bp) rookery baseline data. The MSA conducted with 817 bp data indicated that Quintana Roo, Mexico, and Central Eastern Florida contributed most to the Bimini population. The MSA conducted with 490 bp data indicated that Southwest Cuba and Central Eastern Florida contributed the most to Bimini. The results of the second MSA differ from a previous study undertaken with 490 bp data, conducted in Great Inagua, Bahamas, which suggested that Tortuguero, Costa Rica, contributed the most to that foraging assemblage. Large credible intervals in our results do not permit explicit interpretation of individual rookery contributions, but our results do indicate substantial relative differences in rookery contributions to two Bahamian foraging assemblages which may be driven by oceanic currents, rookery sizes, and possibly juvenile natal homing. Our findings may implicate a shift in contributions to the Bahamas over two decades, highlighting the importance of regularly monitoring rookery contributions and resolving regional recruitment patterns to inform conservation.</t>
  </si>
  <si>
    <t>e9548</t>
  </si>
  <si>
    <t>10.1002/ece3.9548</t>
  </si>
  <si>
    <t>Horn, MH; Correa, SB; Parolin, P; Pollux, BJA; Anderson, JT; Lucas, C; Widmann, P; Tjiu, A; Galetti, M; Goulding, M</t>
  </si>
  <si>
    <t>Seed dispersal by fishes in tropical and temperate fresh waters: The growing evidence</t>
  </si>
  <si>
    <t>Frugivory; Ichthyochory; Fish diversity; Biogeographic regions; Floodplains; Human impacts</t>
  </si>
  <si>
    <t>COMMON CARP; COLOSSOMA-MACROPOMUM; PIARACTUS-MESOPOTAMICUS; SUBMERGED MACROPHYTES; POTENTIAL DISPERSAL; SYSTEMATIC REVISION; COMPARATIVE ECOLOGY; FOOD-HABITS; RIVER; FLOODPLAIN</t>
  </si>
  <si>
    <t>Fruit-eating by fishes represents an ancient (perhaps Paleozoic) interaction increasingly regarded as important for seed dispersal (ichthyochory) in tropical and temperate ecosystems. Most of the more than 275 known frugivorous species belong to the mainly Neotropical Characiformes (pacus, piranhas) and Siluriformes (catfishes), but cypriniforms (carps, minnows) are more important in the Holarctic and Indomalayan regions. Frugivores are among the most abundant fishes in Neotropical floodplains where they eat the fruits of a wide variety of trees and shrubs. By consuming fruits, fishes gain access to rich sources of carbohydrates, lipids and proteins and act as either seed predators or seed dispersers. With their often high mobility, large size, and great longevity, fruit-eating fishes can play important roles as seed dispersers and exert strong influences on local plant-recruitment dynamics and regional biodiversity. Recent feeding experiments focused on seed traits after gut passage support the idea that fishes are major seed dispersers in floodplain and riparian forests. Overfishing, damming, deforestation and logging potentially diminish ichthyochory and require immediate attention to ameliorate their effects. Much exciting work remains in terms of fish and plant adaptations to ichthyochory, dispersal regimes involving fishes in different ecosystems, and increased use of nondestructive methods such as stomach lavage, stable isotopes, genetic analyses and radio transmitters to determine fish diets and movements. (C) 2011 Elsevier Masson SAS. All rights reserved.</t>
  </si>
  <si>
    <t>10.1016/j.actao.2011.06.004</t>
  </si>
  <si>
    <t>Schindler, DE; Carter, JL; Francis, TB; Lisi, PJ; Askey, PJ; Sebastian, DC</t>
  </si>
  <si>
    <t>Mysis in the Okanagan Lake food web: a time-series analysis of interaction strengths in an invaded plankton community</t>
  </si>
  <si>
    <t>Mysis diluviana; MAR; Time-series analysis; Food web analysis; Plankton community; Introduced species; Interaction strength</t>
  </si>
  <si>
    <t>ZOOPLANKTON; RELICTA; NITROGEN; CARBON; SHRIMP</t>
  </si>
  <si>
    <t>Mysis introductions to the lakes of western North America have shown they are important predators on zooplankton, especially daphnids, and intercept energy flows that would otherwise be available to pelagic fishes. However, understanding of the ecological roles of Mysis within invaded communities following their establishment remains weak. We analyzed zooplankton and phytoplankton data collected from Okanagan Lake, British Columbia, within a time-series framework to evaluate the strength of ecological interactions between Mysis and the other dominant plankton. Top-down effects of Mysis in the plankton community were only detected on cyclopoid copepods and cyanophytes. Mysis dynamics were mostly driven by bottom-up effects from diatoms and from small cladocerans whose dynamics were driven primarily by the abundance of edible phytoplankton. This result supports the growing appreciation of the importance of omnivory in mysids and was consistent between the two main basins of the lake. We also analyzed published stable C and N isotope data from the plankton of Okanagan Lake with an isotope mixing model to estimate the relative importance of various potential energy sources to Mysis. This analysis supported the time-series results suggesting the importance of diatoms and small zooplankton to Mysis. However, the isotopes also suggested important resource flows from Daphnia to Mysis, an interaction not detected in the time-series analysis. Taken together, these results suggest that Mysis is a strong interactor in the Okanagan Lake food web, relying in part on energy flow through Daphnia. However, subsidies from diatoms likely decouple seasonal Mysis population dynamics from the seasonal population dynamics of Daphnia.</t>
  </si>
  <si>
    <t>10.1007/s10452-012-9393-0</t>
  </si>
  <si>
    <t>Porazinska, DL; Giblin-Davis, RM; Faller, L; Farmerie, W; Kanzaki, N; Morris, K; Powers, TO; Tucker, AE; Sung, W; Thomas, WK</t>
  </si>
  <si>
    <t>Evaluating high-throughput sequencing as a method for metagenomic analysis of nematode diversity</t>
  </si>
  <si>
    <t>454 genome sequencer FLX; biodiversity; DNA barcoding; high-throughput sequencing; metagenomic; nematode</t>
  </si>
  <si>
    <t>PHYLOGENETIC-RELATIONSHIPS; DNA; MODEL; GENE</t>
  </si>
  <si>
    <t>Nematodes play an important role in ecosystem processes, yet the relevance of nematode species diversity to ecology is unknown. Because nematode identification of all individuals at the species level using standard techniques is difficult and time-consuming, nematode communities are not resolved down to the species level, leaving ecological analysis ambiguous. We assessed the suitability of massively parallel sequencing for analysis of nematode diversity from metagenomic samples. We set up four artificial metagenomic samples involving 41 diverse reference nematodes in known abundances. Two samples came from pooling polymerase chain reaction products amplified from single nematode species. Two additional metagenomic samples consisted of amplified products of DNA extracted from pooled nematode species. Amplified products involved two rapidly evolving similar to 400-bp sections coding for the small and large subunit of rRNA. The total number of reads ranged from 4159 to 14771 per metagenomic sample. Of these, 82% were &gt; 199 bp in length. Among the reads &gt; 199 bp, 86% matched the referenced species with less than three nucleotide differences from a reference sequence. Although neither rDNA section recovered all nematode species, the use of both loci improved the detection level of nematode species from 90 to 97%. Overall, results support the suitability of massively parallel sequencing for identification of nematodes. In contrast, the frequency of reads representing individual species did not correlate with the number of individuals in the metagenomic samples, suggesting that further methodological work is necessary before it will be justified for inferring the relative abundances of species within a nematode community.</t>
  </si>
  <si>
    <t>10.1111/j.1755-0998.2009.02611.x</t>
  </si>
  <si>
    <t>Stafford, CP; Downs, CC; Langner, HW</t>
  </si>
  <si>
    <t>Mercury Hazard Assessment for Piscivorous Wildlife in Glacier National Park</t>
  </si>
  <si>
    <t>Fish mercury; fish selenium; air pollution; piscivorous wildlife; Glacier National Park</t>
  </si>
  <si>
    <t>FOOD-CHAIN STRUCTURE; FRESH-WATER FISH; TROPHIC POSITION; LAKE TROUT; SELENIUM; METHYLMERCURY; BIOACCUMULATION; CONTAMINATION; DEPOSITION; EXPOSURE</t>
  </si>
  <si>
    <t>We examined the mercury hazard posed to selected piscivorous wildlife in Glacier National Park (GNP), Montana. Logging Lake was our focal site where we estimated the dietary mercury concentrations of wildlife (common loon [Gavia immer], American mink [Neovison vison], river otter [Lontra canadensis], and belted kingfisher [Megaceryle alcyon]) by assuming that fishes were consumed in proportion to their relative abundances. To evaluate if Logging Lake provided a suitable baseline for our study, we made geographic comparisons of fish mercury levels and investigated the distribution and abundance of high mercury fishes within GNP. We complimented our assessment by examining selenium: mercury molar ratios in fishes from Logging Lake and Saint Mary Lake. Our results suggest fish consumption does not imperil wildlife from Logging Lake based on published thresholds for adverse mercury effects, but some hazard may exist particularly if there is strong feeding selectivity for the most contaminated species, northern pikeminnow (Ptychocheilus oregonensis). The geographic comparisons of fish mercury levels, together with the distribution and abundance of high mercury fishes within GNP, suggest that Logging Lake provided a relatively protective baseline among our study lakes. Risk may be further reduced by the molar excess of selenium relative to mercury, particularly in the smaller fishes typically consumed by GNP wildlife. Our findings contrast with studies from northeastern US and southeastern Canada where greater mercury hazard to wildlife exists. An emergent finding from our research is that waterborne concentrations of methylmercury may provide limited insight into regional differences in fish mercury levels.</t>
  </si>
  <si>
    <t>10.3955/046.090.0406</t>
  </si>
  <si>
    <t>Le Corre, M; Jaeger, A; Pinet, P; Kappes, MA; Weimerskirch, H; Catry, T; Ramos, JA; Russell, JC; Shah, N; Jaquemet, S</t>
  </si>
  <si>
    <t>Tracking seabirds to identify potential Marine Protected Areas in the tropical western Indian Ocean</t>
  </si>
  <si>
    <t>Indian Ocean; Seabird; IBA; Telemetry; Tuna fishery; Oil spill</t>
  </si>
  <si>
    <t>COMPARATIVE FORAGING ECOLOGY; MOZAMBIQUE CHANNEL; PELAGIC SEABIRD; OIL-SPILL; STABLE-ISOTOPES; LATHAM ISLAND; COMMUNITY; TUNA; FISHERIES; CONSERVATION</t>
  </si>
  <si>
    <t>We conducted a regional tracking program on seabirds in order to identify major forging hotspots and potential Marine Protected Areas in the tropical western Indian Ocean. Thirty-one species of seabirds breed in the region, totaling 7.4 million pairs. The main breeding grounds are in the Seychelles, in the Mozambique Channel and in the Mascarene. Seven pelagic species have been tracked so far from eight different islands of the region. Using count per sector analysis we identified five major oceanic foraging hotspots, among which three include the breeding colonies and two are oceanic areas not connected to a breeding island. We found important overlaps between most of these seabird foraging hotspots and potential threats (industrial fishery targeting surface dwelling tunas and marine pollution due to maritime routes) suggesting that in these regions seabirds may be at risk when foraging. Although this analysis is based on a limited number of tracking studies, the knowledge on seabird distribution at sea has increased tremendously in the last 6 years in the tropical western Indian Ocean, and this trend will continue, as research is ongoing. The data, we present here for the first time in a single synthesis show clear spatial patterns that identify high priority locations for designation as Marine Protected Areas in the tropical western Indian Ocean. (c) 2011 Elsevier Ltd. All rights reserved.</t>
  </si>
  <si>
    <t>10.1016/j.biocon.2011.11.015</t>
  </si>
  <si>
    <t>Bedford, M; Melbourne-Thomas, J; Corney, S; Jarvis, T; Kelly, N; Constable, A</t>
  </si>
  <si>
    <t>Prey-field use by a Southern Ocean top predator: enhanced understanding using integrated datasets</t>
  </si>
  <si>
    <t>Prey-specific foraging; Prey switching; Prey-field characteristics; Prey depletion; Ecosystem function; Active-acoustics; Macaroni penguins</t>
  </si>
  <si>
    <t>PENGUINS EUDYPTES-CHRYSOLOPHUS; ACOUSTIC CHARACTERIZATION; PROVISIONING BEHAVIOR; PROXIMATE COMPOSITION; ENERGY-REQUIREMENTS; EUPHAUSIA-SUPERBA; MARINE PREDATORS; SEASONAL-CHANGES; STABLE-ISOTOPES; FORAGING AREAS</t>
  </si>
  <si>
    <t>An important challenge for understanding and managing marine ecosystems is determining the relationship between the distributions of prey species and the foraging of top predators. We examined the diet and foraging dynamics of breeding macaroni penguins Eudyptes chrysolophus from sub-Antarctic Heard Island and related these to prey distributions derived from active-acoustics and net-derived data in the foraging zone of the penguins. Consistent with previous findings, we found that penguin diets changed between the guard and creche stages of the breeding cycle and that this change in diet corresponded with a switch from short foraging trips in the guard stage to significantly longer, offshore foraging trips in the creche stage. We related these differences in diet and foraging to characteristics of the prey field-specifically, a relatively uniform distribution of krill over the shelf and in deeper, offshore waters, compared with an increasing abundance of fish further from shore. We developed a simple dynamic energy budget for macaroni penguins to explore whether targeting fish during the creche stage was an energetically favourable strategy. Finally, we extrapolated our energy budget to estimate prey consumption at the colony scale as previous work has suggested that depletion near breeding colonies could contribute to prey switching. We found that prey switching during the creche stage was energetically favourable and was most likely related to a reduction in foraging constraints, rather than prey depletion. This study shows the value of integrating data sets to address questions surrounding variation in diet and the use of alternative prey by marine predators.</t>
  </si>
  <si>
    <t>10.3354/meps11203</t>
  </si>
  <si>
    <t>Senanayake, NDM; Ratnayake, AS; Wijesinghe, UMP; Ratnayake, NP</t>
  </si>
  <si>
    <t>Geochemistry and sedimentology of tropical mangrove sediments along the southwest coast of Sri Lanka: Fingerprints for development history of wetlands</t>
  </si>
  <si>
    <t>Holocene; Tropical wetlands; Organic-rich sediments; Sea-level changes</t>
  </si>
  <si>
    <t>SEA-LEVEL RECONSTRUCTIONS; ORGANIC-MATTER; PEAT DECOMPOSITION; INDIAN-OCEAN; ENVIRONMENTAL-CHANGES; CARBON ACCUMULATION; LATE PLEISTOCENE; CLIMATE-CHANGE; BOLGODA LAKE; C/N RATIOS</t>
  </si>
  <si>
    <t>Tropical wetlands are one of the major terrestrial carbon sinks during the Holocene. However, there is considerable uncertainty in the development history of tropical wetlands in different geographical regions. In this study, the main objective was to synthesize the formation history of mangrove wetlands along the southwest coast of Sri Lanka in terms of past sea-level records in the region. Sedimentological observations were determined using representative sediment cores at Telwatta. Geochemical characteristics of sediment cores were determined using delta C-13 and delta N-15 stable isotopes, X-ray diffraction (XRD), and Fourier transform infrared spectroscopy (FTIR) analyses. The chronology was obtained using accelerated mass spectrometry C-14 data for fossil coral samples. Black color fine to medium-grained core sediments can be identified as H-3/H-4 levels of decomposition based on the modified Von Post classification. This study identified that organic-rich sediment accumulation was initiated over the basal/inland coral deposits, any time after middle Holocene sea-level highstands. In this study, paleo sea-level indicator (i.e., basal coral in present-day land area) suggests that sea-level was about 1-2 m higher than present during ca. 5500 Cal year B.P. Heavy rainfall on the southwestern slopes also promotes the preservation of organic-rich sediments with seasonal flooding. The temporal variations of organic matter and carbonate contents suggest that there are no clear facies variations in this sedimentary succession. XRD analysis identified clay minerals such as montmorillonite and illite, and it indicates the deposition of sediments from a near distance or in situ source materials due to reinforced physical erosion. Stable isotopic values (delta C-13 = -27.18 parts per thousand to -26.46 parts per thousand and delta N-15 = 6.64 parts per thousand to 8.01 parts per thousand) reflect the mixing of freshwater sources (i.e., dissolved organic carbon and nitrate) to C-3 terrestrial plants dominant sediments. The humification index based on FTIR results (aromatic C=C and asymmetric COO- group vibrations to polysaccharides (1630/1053 cm(-1))) suggests a depleted level for decarboxylation below similar to 30 cm. The ratio of carboxyl C=O and aromatic ester group vibrations to polysaccharides (1720/1053 cm(-1)) also shows similar variations with the humification index. Looking forward, the 1720/1053 cm(-1) ratio can be proposed as a possible geochemical proxy for determining the degree of formation of humic acids in organic-rich sediments. (c) 2021 Elsevier B.V. All rights reserved.</t>
  </si>
  <si>
    <t>10.1016/j.rsma.2021.101884</t>
  </si>
  <si>
    <t>Zhang, GB; Ji, Y; Ma, J; Liu, G; Xu, H; Yagi, K</t>
  </si>
  <si>
    <t>Pathway of CH4 production, fraction of CH4 oxidized, and C-13 isotope fractionation in a straw-incorporated rice field</t>
  </si>
  <si>
    <t>METHANE OXIDATION; METHANOGENIC PATHWAYS; ARCHAEAL COMMUNITY; SEASONAL-VARIATION; STABLE-ISOTOPES; CARBON; SOIL; EMISSION; HYDROGEN; ACETATE</t>
  </si>
  <si>
    <t>Straw incorporation generally increases CH4 emission from rice fields, but its effects on the mechanism of CH4 emission, especially on the pathway of CH4 production and the fraction of CH4 oxidized, are not well known. To investigate the methanogenic pathway, the fraction of CH4 oxidized as well as the stable carbon isotope fractionation during the oxidation and transport of CH4 as affected by straw incorporation, observations were conducted of production and oxidation of CH4 in paddy soil and rice roots and delta C-13-values of produced CH4 and CO2, and emitted CH4 in incubation and field experiments. Straw incorporation significantly enhanced CH4 production potentials of the paddy soil and rice roots. However, it increased the relative contribution of acetate to total CH4 production (F-ac) in the paddy soil by similar to 10-30 %, but decreased F-ac-value of the rice roots by similar to 5-20 %. Compared with rice roots, paddy soil was more important in acetoclastic methanogenesis, with F-ac-value being 6-30% higher. Straw incorporation highly decreased the fraction of CH4 oxidized (F-ox) by 41-71 %, probably attributed to the fact that it increased CH4 oxidation potential whereas CH4 production potential was increased to a larger extent. There was little CH4 formed during aerobic incubation, and the produced CH4 was more C-13-enriched relative to that of anaerobic incubation. Assuming delta C-13-values of CH4 aerobically produced in paddy soil to be the delta C-13-values of residual CH4 after being oxidized, F-ox-value still appeared to be 45-68% lower when straw was incorporated. Oxidation fractionation factor (alpha(ox)) was higher with straw incorporation (1.033) than without straw incorporation (1.025). The delta C-13-values of CH4 emitted after cutting of the plants (-50 to -43 parts per thousand) were more positive than those of before (-58 to -55 parts per thousand), suggesting a transport fractionation factor (epsilon(transport)) was -8.0 parts per thousand with straw incorporation and -12.0 parts per thousand without straw incorporation. Causes of this difference may be related to the diffusion process in transport as affected by growth of rice plants and pressure in the rhizosphere. The experiment shows that straw incorporation increases the contribution of acetate to total methanogenesis in paddy soil but decreases it on rice roots, and it significantly decreases the fraction of CH4 oxidized in the field and expands oxidation fractionation while reducing transport fractionation.</t>
  </si>
  <si>
    <t>10.5194/bg-10-3375-2013</t>
  </si>
  <si>
    <t>Poff, NL</t>
  </si>
  <si>
    <t>Beyond the natural flow regime? Broadening the hydro-ecological foundation to meet environmental flows challenges in a non-stationary world</t>
  </si>
  <si>
    <t>environmental flows; hydroecology; hydrologic alteration; non-stationarity</t>
  </si>
  <si>
    <t>FRESH-WATER FISHES; FOOD-CHAIN LENGTH; CLIMATE-CHANGE; RIVER FLOW; BASE-LINES; CONSERVATION; MANAGEMENT; CLASSIFICATION; ASSEMBLAGES; RESTORATION</t>
  </si>
  <si>
    <t>The natural flow regime concept has contributed significantly to environmental flows (e-flows) science and applications over the last 20years. Natural flow regimes reflect long-term, historical patterns of flow variability that have shaped riverine species' adaptations and continue to shape community and ecosystem structure and function. This scientific perspective, however, carries with it important assumptions about climatic and ecological stationarity in terms of reference conditions that provide a basis for comparing success or outcomes of e-flow interventions. Non-stationarity in climate and other environmental conditions (temperature, sediment, nutrients) and in ecological features (non-native species spread) presents important challenges for environmental flows science. Reliance on the assumption of restoration to reference conditions for either hydrologic or ecological conditions is no longer tenable, and an expanded e-flows science foundation is needed to meet several challenges facing future e-flows implementations. Currently recognised limitations of e-flows science contribute to the emergence of research frontiers that need further development. These are (1) shifting from static, regime-based flow metrics to dynamic, time-varying flow characterisations; (2) expanding the ecological metrics (and space-time scales) used in e-flows from primary reliance on ecosystem states to include process (population) rates and species traits; (3) incorporating other non-flow environmental features (e.g. temperature, sediment) to guide prioritisation of e-flows applications with a likelihood of success; and (4) broadening the ecological foundation of e-flows to incorporate more ecological theory that will contribute to a more predictive science. The natural flow regime perspective of managing for historical variability will remain important to understand ecological response to hydrologic alterations and to inform e-flows management. However, under shifting hydro-climatic and ecological conditions, a new imperative of managing for resilience is emerging, that is, identifying and prescribing e-flows to sustain robust, persistent and socially valued ecological characteristics in a flexible and adaptive management framework.</t>
  </si>
  <si>
    <t>10.1111/fwb.13038</t>
  </si>
  <si>
    <t>Baylis, AMM; Orben, RA; Arnould, JPY; Peters, K; Knox, T; Costa, DP; Staniland, IJ</t>
  </si>
  <si>
    <t>Diving deeper into individual foraging specializations of a large marine predator, the southern sea lion</t>
  </si>
  <si>
    <t>Dietary specialization; Habitat selection; Hidden Markov models; South American sea lions; State-space models</t>
  </si>
  <si>
    <t>ANTARCTIC FUR SEALS; STABLE-ISOTOPES; OTARIA-FLAVESCENS; ENVIRONMENTAL VARIATION; DIET SPECIALIZATION; SITE FIDELITY; BEHAVIOR; STRATEGIES; HABITAT; OTTERS</t>
  </si>
  <si>
    <t>Despite global declines in the abundance of marine predators, knowledge of foraging ecology, necessary to predict the ecological consequences of large changes in marine predator abundance, remains enigmatic for many species. Given that populations suffering severe declines are of conservation concern, we examined the foraging ecology of southern sea lions (SSL) (Otaria flavescens)-one of the least studied otariids (fur seal and sea lions)-which have declined by over 90 % at the Falkland Islands since the 1930s. Using a combination of biologging devices and stable isotope analysis of vibrissae, we redress major gaps in the knowledge of SSL ecology and quantify patterns of individual specialization. Specifically, we revealed two discrete foraging strategies, these being inshore (coastal) and offshore (outer Patagonian Shelf). The majority of adult female SSL (72 % or n = 21 of 29 SSL) foraged offshore. Adult female SSL that foraged offshore travelled further (92 +/- A 20 vs. 10 +/- A 4 km) and dived deeper (75 +/- A 23 vs. 21 +/- A 8 m) when compared to those that foraged inshore. Stable isotope analysis revealed long-term fidelity (years) to these discrete foraging habitats. In addition, we found further specialization within the offshore group, with adult female SSL separated into two clusters on the basis of benthic or mixed (benthic and pelagic) dive behavior (benthic dive proportion was 76 +/- A 9 vs. 51 +/- A 8 %, respectively). We suggest that foraging specialization in depleted populations such as SSL breeding at the Falkland Islands, are influenced by foraging site fidelity, and could be independent of intraspecific competition. Finally, the behavioral differences we describe are crucial to understanding population-level dynamics, impediments to population recovery, and threats to population persistence.</t>
  </si>
  <si>
    <t>10.1007/s00442-015-3421-4</t>
  </si>
  <si>
    <t>Simpson, KG; Tremblay, JE; Brugel, S; Price, NM</t>
  </si>
  <si>
    <t>Nutrient dynamics in the western Canadian Arctic. II. Estimates of new and regenerated production over the Mackenzie Shelf and Cape Bathurst Polynya</t>
  </si>
  <si>
    <t>Nitrogen uptake N-15 isotopes; N-15 uptake; Phytoplankton; Bacteria; Amundsen Gulf; Arctic Ocean; New production; Primary production; Polynya</t>
  </si>
  <si>
    <t>DISSOLVED ORGANIC-MATTER; FREE-LIVING BACTERIA; BARENTS-SEA; HETEROTROPHIC BACTERIA; COASTAL WATERS; AMINO-ACIDS; NORTH WATER; NITROGEN; OCEAN; PHYTOPLANKTON</t>
  </si>
  <si>
    <t>Uptake of N-15-labelled nitrate, ammonium, and urea was measured over a quasi-annual cycle in the Cape Bathurst Polynya in the Amundsen Gulf and on the Mackenzie Shelf, during the Canadian Arctic Shelf Exchange Study (CASES) in 2003 and 2004. Before the phytoplankton bloom and in autumn, nitrogen uptake was slow, representing less than 5% of annual consumption. Uptake rates increased exponentially after ice retreat and within 3 wk reached a maximum of 38.6 mmol N m(-2) d(-1). During spring, NO3- uptake supported new production of 166 mmol N m(-2) and f-ratios rose from 0.1-0.2 to 0.6-0.9. Filter fractionation showed that GF/F filters retained 93.1 +/- 1.3% of the N-15 incorporated into particulate matter, suggesting that phytoplankton were responsible for the majority of the N uptake. Although free-living bacteria took up relatively more N-15 in autumn and in the lower part of the euphotic zone than phytoplankton, their assimilation of inorganic N had little effect on water column integrated f-ratios or new production. Urea supplied almost half the N assimilated by phytoplankton annually and about 80% of the regenerated production during the spring bloom. Total new production, estimated from water column integrated N-15-nitrogen uptake rates and linear models that interpolated rates over unsampled periods, was 342-415 mmol N m(-2) yr(-1). Total annual N production for the region was 1.24-1.48 mol N m(-2) yr(-1).</t>
  </si>
  <si>
    <t>10.3354/meps10298</t>
  </si>
  <si>
    <t>Wigand, C; Smith, H; Spears, C; Keith, B; McKinney, R; Chintala, M; Raposa, K</t>
  </si>
  <si>
    <t>Relationships of Modeled Nitrogen Loads with Marsh Fish in the Narragansett Bay Estuary, Rhode Island</t>
  </si>
  <si>
    <t>ENGLAND SALT MARSHES; COASTAL WATERSHEDS; ISOTOPE SIGNATURES; STABLE-ISOTOPES; EUTROPHICATION; RECORD; INPUTS</t>
  </si>
  <si>
    <t>The human population and associated watershed development has risen steadily since the 1850s in Rhode Island. With these increases, human-derived wastewater has also risen dramatically, resulting in increasing nitrogen loads to estuarine systems. In this study, we examined relationships of modeled watershed nitrogen loads of 6 coastal subwatersheds of varying land development with the stable nitrogen isotope ratio (delta N-15) of salt marsh fish and larvae. There was a significant positive relationship (r= +0.97, P &lt; 0.05) between the watershed modeled percent wastewater and delta N-15 in Fundulus heterochtus L. (Common Mummichog), and significantly higher (P &lt; 0.05) delta N-15 in fish larvae collected from developed mainland marsh sites compared to less-developed island marsh sites. Our results support earlier published findings that fish in coastal marshes are assimilating nitrogen derived from watershed wastewater sources. Furthermore, there was an inverse relationship (P = 0.05) between the modeled percentage of human wastewater and mummichog size. The increasing loads of watershed nitrogen entering into coastal salt marshes are a concern because it is unclear how well salt marsh ecosystems can continue to assimilate high nitrogen inputs especially when also subjected to a warming climate.</t>
  </si>
  <si>
    <t>10.1656/045.022.0101</t>
  </si>
  <si>
    <t>Latitudinal and photic effects on diel foraging and predation risk in freshwater pelagic ecosystems</t>
  </si>
  <si>
    <t>antipredation window; diel; light; pelagic; piscivore; planktivore; predation risk; predator-prey interactions; turbidity; visual foraging</t>
  </si>
  <si>
    <t>JUVENILE SOCKEYE-SALMON; TROUT SALVELINUS-NAMAYCUSH; VISUAL PREY DETECTION; VERTICAL MIGRATION; ONCORHYNCHUS-NERKA; LAKE-SUPERIOR; CHINOOK SALMON; NORTHWEST-TERRITORIES; ANTIPREDATION WINDOW; PLANKTIVOROUS FISH</t>
  </si>
  <si>
    <t>1. Clark &amp; Levy (American Naturalist, 131, 1988, 271-290) described an antipredation window for smaller planktivorous fish during crepuscular periods when light permits feeding on zooplankton, but limits visual detection by piscivores. Yet, how the window is influenced by the interaction between light regime, turbidity and cloud cover over a broad latitudinal gradient remains unexplored. We evaluated how latitudinal and seasonal shifts in diel light regimes alter the foraging-risk environment for visually feeding planktivores and piscivores across a natural range of turbidities and cloud covers. Pairing a model of aquatic visual feeding with a model of sun and moon illuminance, we estimated foraging rates of an idealized planktivore and piscivore over depth and time across factorial combinations of latitude (0-70 degrees), turbidity (01-5 NTU) and cloud cover (clear to overcast skies) during the summer solstice and autumnal equinox. We evaluated the foraging-risk environment based on changes in the magnitude, duration and peak timing of the antipredation window. The model scenarios generated up to 10-fold shifts in magnitude, 24-fold shifts in duration and 55-h shifts in timing of the peak antipredation window. The size of the window increased with latitude. This pattern was strongest during the solstice. In clear water at low turbidity (01-05 NTU), peaks in the magnitude and duration of the window formed at 57-60 degrees latitude, before falling to near zero as surface waters became saturated with light under a midnight sun and clear skies at latitudes near 70 degrees. Overcast dampened the midnight sun enough to allow larger windows to form in clear water at high latitudes. Conversely, at turbidities 2 NTU, greater reductions in the visual range of piscivores than planktivores created a window for long periods at high latitudes. Latitudinal dependencies were essentially lost during the equinox, indicating a progressive compression of the window from early summer into autumn. Model results show that diel-seasonal foraging and predation risk in freshwater pelagic ecosystems changes considerably with latitude, turbidity and cloud cover. These changes alter the structure of pelagic predator-prey interactions, and in turn, the broader role of pelagic consumers in habitat coupling in lakes.</t>
  </si>
  <si>
    <t>10.1111/1365-2656.12295</t>
  </si>
  <si>
    <t>Wang, ZL; Zheng, HB; Meng, XJ; Zhu, XQ; Hou, FH; Li, J; Mei, X; Wang, ZB; Cao, BH; Sun, J</t>
  </si>
  <si>
    <t>Late Quaternary sedimentation and neotectonics in Liaodong Bay, northern Bohai Sea</t>
  </si>
  <si>
    <t>Sedimentary differences; Paleoenvironment; Provenance; Active faults</t>
  </si>
  <si>
    <t>SURFACE SEDIMENTS; LATE PLEISTOCENE; OXYGEN ISOTOPES; RIVER DELTA; EAST CHINA; SHELF; MAGNETOSTRATIGRAPHY; DISTRIBUTIONS; PROVENANCE; EVOLUTION</t>
  </si>
  <si>
    <t>The Bohai Sea is a typical shelf sea, with obvious sediment differences in different regions. Although Liaodong Bay is the largest bay in the Bohai Sea, there lacks boreholes with precise dating. In this paper, the core sediments taken from YKC-2 borehole in the northeastern of Liaodong Bay are dated with AMS14C and OSL, in addition to grain size analysis, foraminifera and pollen identification, lithological characteristics and other testing results. Correlation is made with the global sea level change curve, and upon the basis the evolution of paleoenvironment in the northeast of Liaodong Bay is reconstructed. It is speculated that the age of the bottom of borehole YKC-2 is 150 kyr B.P., and two transgressions have been recorded, similar to the situation in JXC-1, a borehole 46.7 km to the west. It can be found that the sedimentation rate of YKC-2 borehole is obviously higher than that of JXC-1. The authors' research found that it is mainly controlled by two factors: the provenance difference and the differential movement of basin controlling faults. In the west, sediments are mainly transported by the Bohai Sea current, with insufficient sediment supply, and the basin-controlling faults are rather stable and very weak in activity. In the east, sediments are transported mainly by the surrounding rivers with sufficient sediment supply; and the changes in accommodation space are under the control of the Tan-Lu fault zone. Affected by the strong extensional dynamic environment of the Bohai Bay Basin, the accommodation space, where the borehole YKC-2 is located, continuously increased for deposition of near-source river sediments. This article is an endeavor to study the evolution of the Late Quaternary sedimentary environment and the influence of tectonic activity on Quaternary sedimentation in the Bohai Sea. (c) 2022 Elsevier B.V. All rights reserved.</t>
  </si>
  <si>
    <t>10.1016/j.rsma.2022.102581</t>
  </si>
  <si>
    <t>Edren, SMC; Wisz, MS; Teilmann, J; Dietz, R; Soderkvist, J</t>
  </si>
  <si>
    <t>Modelling spatial patterns in harbour porpoise satellite telemetry data using maximum entropy</t>
  </si>
  <si>
    <t>SPECIES DISTRIBUTION MODELS; PHOCOENA-PHOCOENA; ANIMAL MOVEMENT; SPACE-USE; HABITAT; DISTRIBUTIONS; CONSERVATION; WHALES; PERFORMANCE; PREDICTION</t>
  </si>
  <si>
    <t>The distribution of harbour porpoises in EU waters is poorly understood, and modelled predictions of their distributions could inform the strategic spatial planning of future exploitation of the marine environment to avoid potential conflicts. We analysed satellite telemetry data from 39 harbour porpoises Phocoena phocoena in inner Danish waters using a modelling tool rooted in maximum entropy: Maxent. Maxent does not require absence data and has been shown to be effective for data characterised by small sample size, sampling bias and locational errors. For each season we used an iterative bootstrapping procedure to randomly select among the most precise records from each of the 39 tagged individuals, and ran Maxent on pooled records based on explanatory environmental variables hypothesised to serve as good proxies for harbour porpoise prey abundance. Among our environmental variables, distance to coast and bottom salinity had the most explanatory power, and their response shapes were relatively consistent across most seasons. The predictive power of the models (assessed by ROC-AUC) ranged from 0.70 to 0.86 within seasons. The southern Kattegat, the Belt Seas, most western part of the Baltic Sea and the Sound were predicted to have relatively high probabilities of occurrence across seasons. In contrast, the central part of Kattegat and the Baltic Sea south and east of Limhamn and Darss Ridge consistently showed low probabilities of occurrence. Areas with the lowest probabilities of occurrence were generally characterised by high predictive uncertainty. Our methods have implications for the analyses of satellite tagged animals in terrestrial and marine environments. By coupling a bootstrapping procedure with Maxent we circumvented some of the statistical challenges presented by satellite telemetry data to generate spatial predictions within the inner Danish waters.</t>
  </si>
  <si>
    <t>10.1111/j.1600-0587.2009.05901.x</t>
  </si>
  <si>
    <t>Kuglerova, L; Jansson, R; Sponseller, RA; Laudon, H; Malm-Renofalt, B</t>
  </si>
  <si>
    <t>Local and regional processes determine plant species richness in a river-network metacommunity</t>
  </si>
  <si>
    <t>boreal; connectivity; dispersal; disturbance; hydrochory; riparian; river network; soil conditions; spatial organization; vascular plants</t>
  </si>
  <si>
    <t>RIPARIAN VEGETATION; DIVERSITY; PATTERNS; NESTEDNESS; STREAMS; BIODIVERSITY; COMMUNITIES; DISPERSAL; FRAMEWORK; DYNAMICS</t>
  </si>
  <si>
    <t>River systems form dendritic ecological networks that influence the spatial structure of riverine communities. Few empirical studies have evaluated how regional, dispersal-related processes and local habitat factors interact to govern network patterns of species composition. We explore such interactions in a boreal watershed and show that riparian plant species richness increases strongly with drainage size, i.e., with downstream position in the network. Assemblage composition was nested, with new species successively added downstream. These spatial patterns in species composition were related to a combination of local and regional processes. Breadth in local habitat conditions increased downstream in the network, resulting in higher habitat heterogeneity and reduced niche overlap among species, which together with similar trends in disturbance, allows more species to coexist. Riparian edaphic conditions were also increasingly favorable to more species within the regional pool along larger streams, with greater nitrogen availability (manifested as lower C:N) and more rapid mineralization of C and N (as indicated by ratios of stable isotopes) observed with downstream position in the network. The number of species with the capacity for water dispersal increased with stream size, providing a mechanistic link between plant traits and the downstream accumulation of species as more propagules arrive from upstream sites. Similarity in species composition between sites was related to both geographical and environmental distance. Our results provide the first empirical evidence that position in the river network drives spatial patterns in riparian plant diversity and composition by the joint influence of local (disturbance, habitat conditions, and habitat breadth) and regional (dispersal) forces.</t>
  </si>
  <si>
    <t>10.1890/14-0552.1</t>
  </si>
  <si>
    <t>Wyborn, CA</t>
  </si>
  <si>
    <t>Connecting knowledge with action through coproductive capacities: adaptive governance and connectivity conservation</t>
  </si>
  <si>
    <t>adaptive capacity; adaptive governance; boundary organizations; bridging organizations; connectivity conservation; coproduction; coproductive capacities</t>
  </si>
  <si>
    <t>BOUNDARY ORGANIZATIONS; CLIMATE-CHANGE; SCIENCE; COMANAGEMENT; MANAGEMENT; PERSPECTIVES; RESILIENCE; AUSTRALIA; SYSTEMS; POLICY</t>
  </si>
  <si>
    <t>Effective adaptive governance will emerge from strong relationships between science, governance, and practice. However, these relationships receive scant critical attention among adaptive governance scholarship. To address this lacuna, Jasanoff's idiom of coproduction provides a lens to view the dialectical relationships between science and society. This view sees science and governance as coevolving through iterative relationships between the material, cognitive, social, and normative dimensions of a problem. This coevolution is precisely the aspiration of adaptive governance; however, the abstract notion of coproduction must be grounded to provide practical guidance for groups aspiring to govern adaptively. I have drawn on three concepts, namely coproduction, bridging/boundary organizations, and adaptive capacity, to present a conceptual framework of coproductive capacities. Coproductive capacities are the material, cognitive, social, and normative capacities that enable groups of actors to connect knowledge with action in a cross-scale governance context. This framework was applied to two cases of connectivity conservation. Inspired by the science of conservation biology, connectivity conservation promotes collaborative, cross-scale governance to conserve biodiversity at a landscape scale. This tight coupling of science and governance in a cross-scale context makes connectivity conservation a classic case of both coproduction and adaptive governance. However, the inability of the initiatives in the cases examined to turn their visions into action highlights a critical absence of key capacities. In particular, challenges faced in connecting knowledge with action at various scales points to the importance of building relationships between actors across scales. The structures and mechanisms of governance have dominated adaptive governance scholarship, yet coproductive capacity and adaptive governance emerge from the relationships between actors seeking to connect knowledge with action. Building capacity to negotiate these relationships is a more fruitful focus for adaptive governance than design principles and diagnostics.</t>
  </si>
  <si>
    <t>10.5751/ES-06510-200111</t>
  </si>
  <si>
    <t>Chen, Y; Wang, B; Pollino, CA; Cuddy, SM; Merrin, LE; Huang, C</t>
  </si>
  <si>
    <t>Estimate of flood inundation and retention on wetlands using remote sensing and GIS</t>
  </si>
  <si>
    <t>floodplain; flow; average recurrence interval; MODIS; mNDWI; CN</t>
  </si>
  <si>
    <t>MACQUARIE MARSHES; LANDSAT TM; MODEL; SCALE; AUSTRALIA; DYNAMICS; IMAGERY; EXTENT; EVENT; AVHRR</t>
  </si>
  <si>
    <t>Flood inundation and retention are key hydrological characteristics of floodplain wetlands. This study developed a methodology for regional estimates of potential floodwater retention under floodplain inundation from ecologically significant flood return periods by coupling remote sensing and geographic information system technologies with spatial hydrological modelling. The Macquarie Marshes in Australia were selected as the case study area. Time series of Moderate Resolution Imaging Spectroradiometer 8-day composite imagery were related to peak flows (Mlday(-1)) of the 1-in-10 return period. Inundation extent in corresponding images was detected using the modified normalised difference water index (mNDWI). The potential maximum soil water retention was derived using a spatial hydrological modelling approach, which is driven by the Soil Conservation Service Curve Number (SCS CN) method. Soil and land cover data were collected and intersected to determine spatial distribution of CN using ArcGIS. The CN-based retention capacity map was then integrated with an inundation extent map to delineate the spatial pattern of retention under inundation. The results have ecological implications in relation to the response of broad eco-types in wetlands. This study has proved that the integration of remote sensing, geographic information system and spatial hydrologic modelling can be used to provide essential information as inputs to the management of environmental flows in terms of sustaining ecosystem function, biodiversity and habitat suitability. Copyright (c) 2013 John Wiley &amp; Sons, Ltd.</t>
  </si>
  <si>
    <t>10.1002/eco.1467</t>
  </si>
  <si>
    <t>Gharechahi, J; Vahidi, MF; Bahram, M; Han, JL; Ding, XZ; Salekdeh, GH</t>
  </si>
  <si>
    <t>Metagenomic analysis reveals a dynamic microbiome with diversified adaptive functions to utilize high lignocellulosic forages in the cattle rumen</t>
  </si>
  <si>
    <t>PHYLOGENETIC ANALYSIS; BACTERIAL COMMUNITY; ASSEMBLED GENOMES; FEED DIGESTION; CELLULOSOMES; NANOMACHINES; METHANOGENS; PREDICTION; ALGORITHM; ALIGNMENT</t>
  </si>
  <si>
    <t>Rumen microbiota play a key role in the digestion and utilization of plant materials by the ruminant species, which have important implications for greenhouse gas emission. Yet, little is known about the key taxa and potential gene functions involved in the digestion process. Here, we performed a genome-centric analysis of rumen microbiota attached to six different lignocellulosic biomasses in rumen-fistulated cattle. Our metagenome sequencing provided novel genomic insights into functional potential of 523 uncultured bacteria and 15 mostly uncultured archaea in the rumen. The assembled genomes belonged mainly to Bacteroidota, Firmicutes, Verrucomicrobiota, and Fibrobacterota and were enriched for genes related to the degradation of lignocellulosic polymers and the fermentation of degraded products into short chain volatile fatty acids. We also found a shift from copiotrophic to oligotrophic taxa during the course of rumen fermentation, potentially important for the digestion of recalcitrant lignocellulosic substrates in the physiochemically complex and varying environment of the rumen. Differential colonization of forages (the incubated lignocellulosic materials) by rumen microbiota suggests that taxonomic and metabolic diversification is an evolutionary adaptation to diverse lignocellulosic substrates constituting a major component of the cattle's diet. Our data also provide novel insights into the key role of unique microbial diversity and associated gene functions in the degradation of recalcitrant lignocellulosic materials in the rumen.</t>
  </si>
  <si>
    <t>10.1038/s41396-020-00837-2</t>
  </si>
  <si>
    <t>Santos, E; Wagner-Riddle, C; Lee, X; Warland, J; Brown, S; Staebler, R; Bartlett, P; Kim, K</t>
  </si>
  <si>
    <t>Use of the isotope flux ratio approach to investigate the (COO)-O-18-O-16 and (CO2)-C-13 exchange near the floor of a temperate deciduous forest</t>
  </si>
  <si>
    <t>CARBONIC-ANHYDRASE ACTIVITY; TUNABLE DIODE-LASER; STABLE-ISOTOPE; WATER-VAPOR; CO2 FLUXES; SOURCE/SINK DISTRIBUTIONS; ABSORPTION-SPECTROSCOPY; TERRESTRIAL VEGETATION; MODELING EVAPORATION; RESPIRED CO2</t>
  </si>
  <si>
    <t>Stable isotopologues of CO2, such as (CO2)-C-13 and (COO)-O-18, have been used to study the CO2 exchange between land and atmosphere. The advent of new measuring techniques has allowed near-continuous measurements of stable isotopes in the air. These measurements can be used with micrometeorological techniques, providing new tools to investigate the isotope exchange in ecosystems. The objectives of this study were to evaluate the use of the isotope flux ratio method (IFR) near the forest floor of a temperate deciduous forest and to study the temporal dynamics of delta O-18 of CO2 flux near the forest floor by comparing IFR estimates with estimates of delta O-18 of net soil CO2 flux provided by an analytical model. Mixing ratios of (CO2)-C-12-O-16, (CO2)-C-13 and (COO)-O-16-O-18 were measured within and above a temperate deciduous forest, using the tunable diode laser spectroscopy technique. The half-hourly compositions of the CO2 flux near the forest floor (delta C-13(F) and delta O-18(F)) were calculated by IFR and compared with estimates provided by a modified Keeling plot technique (mKP) and by a Lagrangian dispersion analysis (WT analysis). The mKP and IFR delta O-18(F) estimates showed good agreement (slope = 1.03 and correlation, R-2 = 0.80). The delta C-13(F) estimates from the two methods varied in a narrow range of -32.7 and -23 parts per thousand; the mean (+/- SE) mKP and IFR delta C-13(F) values were -27.5 parts per thousand (+/- 0.2) and -27.3 parts per thousand (+/- 0.1), respectively, and were statistically identical (p &gt; 0.05). WT analysis and IFR delta O-18(F) estimates showed better correlation (R-2 = 0.37) when only turbulent periods (u(*)&gt; 0.6 m s(-1)) were included in the analysis. The large amount of data captured (similar to 95 % of half-hour periods evaluated) for the IFR in comparison with mKP (27 %) shows that the former provides new opportunities for studying delta O-18(F) dynamics within forest canopies. Values of delta O-18(F) showed large temporal variation, with values ranging from -31.4 parts per thousand (DOY 208) to -11.2 parts per thousand (DOY 221). Precipitation events caused substantial variation (similar to 8 parts per thousand) in delta O-18(F) over a period of approximately 24 h. A diel trend of delta O-18(F) was observed, with more depleted values present during the daytime. Model simulations indicate that the activity of the carbonic anhydrase enzyme was quite variable during the evaluated period. These simulations indicate that more frequent sampling of delta O-18 of soil water could improve the estimates of delta O-18 of net soil CO2 flux.</t>
  </si>
  <si>
    <t>10.5194/bg-9-2385-2012</t>
  </si>
  <si>
    <t>Lavrieux, M; Birkholz, A; Meusburger, K; Wiesenberg, GLB; Gilli, A; Stamm, C; Alewell, C</t>
  </si>
  <si>
    <t>Plants or bacteria? 130 years of mixed imprints in Lake Baldegg sediments (Switzerland), as revealed by compound-specific isotope analysis (CSIA) and biomarker analysis</t>
  </si>
  <si>
    <t>POLYCYCLIC AROMATIC-HYDROCARBONS; STABLE CARBON ISOTOPES; HIGH-RESOLUTION VARVE; FATTY-ACIDS; LIPID BIOMARKERS; ORGANIC-MATTER; HYPERTROPHIC BALDEGGERSEE; SURFACE SEDIMENTS; N-ALKANES; SOIL</t>
  </si>
  <si>
    <t>Soil erosion and associated sediment transfer are among the major causes of aquatic ecosystem and surface water quality impairment. Through land use and agricultural practices, human activities modify the soil erosive risk and the catchment connectivity, becoming a key factor of sediment dynamics. Hence, restoration and management plans of water bodies can only be efficient if the sediment sources and the proportion attributable to different land uses are identified. According to this aim, we applied two approaches, namely compound-specific isotope analysis (CSIA) of long-chain fatty acids (FAs) and triterpenoid biomarker analysis, to a eutrophic lake, Lake Baldegg, and its agriculturally used catchment (Switzerland). Soils reflecting the five main land uses of the catchment (arable lands, temporary and permanent grasslands, mixed forests, orchards) were subjected to CSIA. The compound-specific stable isotope delta C-13 signatures clearly discriminate between potential grasslands (permanent and temporary) and forest sources. Signatures of agricultural land and orchards fall in between. The soil signal was compared to the isotopic signature of a lake sediment sequence covering ca. 130 years (before 1885 to 2009). The recent lake samples (1940 to 2009, with the exception of 1964 to 1972) fall into the soil isotopic signature polygon and indicate an important contribution of the forests, which might be explained by (1) the location of the forests on steep slopes, resulting in a higher connectivity of the forests to the lake, and/or (2) potential direct inputs of trees and shrubs growing along the rivers feeding the lake and around the lake. However, the lake sediment samples older than 1940 lie outside the source soils' polygon, as a result of FA contribution from a not yet identified source, most likely produced by an in situ aquatic source, either algae, bacteria or other microorganisms or an ex-site historic source from wetland soils and plants (e.g. Sphagnum species). Despite the overprint of the yet unknown source on the historic isotopic signal of the lake sediments, land use and catchment history are clearly reflected in the CSIA results, with isotopic shifts being synchronous with changes in the catchment, land use and eutrophication history. The investigated highly specific biomarkers were not detected in the lake sediment, even though they were present in the soils. However, two trimethyltetrahydrochrysenes (TTHCs), natural diagenetic products of pentacyclic triterpenoids, were found in the lake sediments. Their origin is attributed to the in situ microbial degradation of some of the triterpenoids. While the need to apportion sediment sources is especially crucial in eutrophic systems, our study stresses the importance of exercising caution with CSIA and triterpenoid biomarkers in such environments, where the active metabolism of bacteria might mask the original terrestrial isotopic signals.</t>
  </si>
  <si>
    <t>10.5194/bg-16-2131-2019</t>
  </si>
  <si>
    <t>Karakoc, C; Singer, A; Johst, K; Harms, H; Chatzinotas, A</t>
  </si>
  <si>
    <t>Transient recovery dynamics of a predator-prey system under press and pulse disturbances</t>
  </si>
  <si>
    <t>Pulse disturbance; Press disturbance; Transient dynamics; Recovery; Trophic interactions; Protist; Bacteria; Predation; Prey release; Food web</t>
  </si>
  <si>
    <t>TOP PREDATOR; DIVERSITY; FOOD; PERSISTENCE; COMMUNITIES; RESISTANCE; PROTIST</t>
  </si>
  <si>
    <t>Background: Species recovery after disturbances depends on the strength and duration of disturbance, on the species traits and on the biotic interactions with other species. In order to understand these complex relationships, it is essential to understand mechanistically the transient dynamics of interacting species during and after disturbances. We combined microcosm experiments with simulation modelling and studied the transient recovery dynamics of a simple microbial food web under pulse and press disturbances and under different predator couplings to an alternative resource. Results: Our results reveal that although the disturbances affected predator and prey populations by the same mortality, predator populations suffered for a longer time. The resulting diminished predation stress caused a temporary phase of high prey population sizes (i.e. prey release) during and even after disturbances. Increasing duration and strength of disturbances significantly slowed down the recovery time of the predator prolonging the phase of prey release. However, the additional coupling of the predator to an alternative resource allowed the predator to recover faster after the disturbances thus shortening the phase of prey release. Conclusions: Our findings are not limited to the studied system and can be used to understand the dynamic response and recovery potential of many natural predator-prey or host-pathogen systems. They can be applied, for instance, in epidemiological and conservational contexts to regulate prey release or to avoid extinction risk of the top trophic levels under different types of disturbances.</t>
  </si>
  <si>
    <t>10.1186/s12898-017-0123-2</t>
  </si>
  <si>
    <t>Bernreuther, M; Schmidt, J; Stepputtis, D; Temming, A</t>
  </si>
  <si>
    <t>Vertically resolved prey selectivity and competition of Baltic herring Clupea harengus and sprat Sprattus sprattus</t>
  </si>
  <si>
    <t>Selectivity; Competition; Herring; Sprat; Baltic; Diel; Feeding</t>
  </si>
  <si>
    <t>ANCHOVY ENGRAULIS-ENCRASICOLUS; SARDINE SARDINOPS-SAGAX; DIEL FEEDING PATTERNS; SMALL PELAGIC FISH; COD GADUS-MORHUA; GASTRIC EVACUATION; TEMORA-LONGICORNIS; FOOD-CONSUMPTION; SEASONAL-CHANGES; PARTICLE-SIZE</t>
  </si>
  <si>
    <t>Prey selectivity of Baltic herring Clupea harengus and sprat Sprattus sprattus was studied in the Bornholm Basin, Baltic Sea, in June 2001. A total of 165 sprat stomachs (10 to 15 cm total length, TL) and 214 herring stomachs (12 to 30 cm TL) were analysed. The diel vertical distribution of zooplankton prey was analysed by multi-net samples; clupeid distributions were estimated by hydroacoustic measurements. These measurements enabled us to describe the diel feeding rhythm and to estimate vertically resolved selectivity indices for the 2 most important zooplanktivores in the Baltic Sea. Diet composition of herring and sprat were similar (mainly copepods and cladocerans), resulting in strong competition. Possibly to reduce this competition, both species were partly specializing on certain prey species (sprat: Podon spp.; herring: Evadne nordmanni and Temora longicornis) and copepodite stages (sprat: adult [C6] males of Pseudocalanus acuspes; herring: C6 females of P. acuspes). Sprat and, to some extent, herring exhibited a marked shift in prey preference between day and night. Sprat mainly selected T. longicornis during the day and Podon spp. during the night, while herring mainly selected T. longicornis during the day and E. nordmanni during parts of the night. A comparison of the field stomach contents with the estimated gastric evacuation predicted by parameters based on laboratory experiments indicated that sprat fed during the night, while herring did not or only to a minor extent. Comparison of our zooplankton sampling scheme with commonly used sampling designs revealed that investigations which consider both time and stage are needed to fully understand the feeding selectivity dynamics of herring and sprat in the Baltic Sea. However, the objective of a selectivity study should determine the most appropriate zooplankton sampling scheme.</t>
  </si>
  <si>
    <t>10.3354/meps10405</t>
  </si>
  <si>
    <t>Tomaszewicz, CNT; Seminoff, JA; Peckham, SH; Avens, L; Kurle, CM</t>
  </si>
  <si>
    <t>Intrapopulation variability in the timing of ontogenetic habitat shifts in sea turtles revealed using N-15 values from bone growth rings</t>
  </si>
  <si>
    <t>alternate life histories; habitat selection; intrapopulation variability; marine migrators; ontogenetic shifts; sea turtle; survival</t>
  </si>
  <si>
    <t>STABLE-ISOTOPE ANALYSIS; EASTERN TROPICAL PACIFIC; ANNUAL SKELETAL MARKS; LOGGERHEAD TURTLES; CARETTA-CARETTA; CHELONIA-MYDAS; REPRODUCTIVE OUTPUT; MIGRATION PATTERNS; NITROGEN; DIET</t>
  </si>
  <si>
    <t>Determining location and timing of ontogenetic shifts in the habitat use of highly migratory species, along with possible intrapopulation variation in these shifts, is essential for understanding mechanisms driving alternate life histories and assessing overall population trends. Measuring variations in multi-year habitat-use patterns is especially difficult for remote oceanic species. To investigate the potential for differential habitat use among migratory marine vertebrates, we measured the naturally occurring stable nitrogen isotope (N-15) patterns that differentiate distinct ocean regions to create a regional isotope characterization', analysed the N-15 values from annual bone growth layer rings from dead-stranded animals, and then combined the bone and regional isotope data to track individual animal movement patterns over multiple years. We used humeri from juvenile North Pacific loggerhead turtles (Caretta caretta), animals that undergo long migrations across the North Pacific Ocean (NPO), using multiple discrete regions as they develop to adulthood. Typical of many migratory marine species, ontogenetic changes in habitat use throughout their decades-long juvenile stage is poorly understood, but each potential habitat has unique foraging opportunities and spatially explicit natural and anthropogenic threats that could affect key life-history parameters. We found a bimodal size/age distribution in the timing that juveniles underwent an ontogenetic habitat shift from the oceanic central North Pacific (CNP) to the neritic east Pacific region near the Baja California Peninsula (BCP) (42772 vs. 683 +/- 34cm carapace length, 75 +/- 27 vs. 156 +/- 17years). Important to the survival of this population, these disparate habitats differ considerably in their food availability, energy requirements and threats, and these differences can influence life-history parameters such as growth, survival and future fecundity. This is the first evidence of alternative ontogenetic shifts and habitat-use patterns for juveniles foraging in the eastern NPO. We combine two techniques, skeletochronology and stable isotope analysis, to reconstruct multi-year habitat-use patterns of a remote migratory species, linked to estimated ages and body sizes of individuals, to reveal variable ontogeny during the juvenile life stage that could drive alternate life histories and that has the potential to illuminate the migration patterns for other species with accretionary tissues.</t>
  </si>
  <si>
    <t>10.1111/1365-2656.12618</t>
  </si>
  <si>
    <t>Tuda, M; Bonsall, MB</t>
  </si>
  <si>
    <t>Evolutionary and population dynamics of host-parasitoid interactions</t>
  </si>
  <si>
    <t>RESEARCHES ON POPULATION ECOLOGY</t>
  </si>
  <si>
    <t>trade-off; virulence; encapsulation; intraspecific competition; population persistence and stability; polymorphism</t>
  </si>
  <si>
    <t>PATCHY ENVIRONMENTS; GENETIC-VARIATION; ASOBARA-TABIDA; DROSOPHILA-MELANOGASTER; BIOLOGICAL-CONTROL; MODELS; ASSOCIATIONS; COMPETITION; COEVOLUTION; RESISTANCE</t>
  </si>
  <si>
    <t>The role of evolutionary dynamics in understanding host-parasitoid interactions is interlinked with the population dynamics of these interactions. Here, we address the problems in coupling evolutionary and population dynamics of host-parasitoid interactions. We review previous theoretical and empirical studies and show that evolution can alter the ecological dynamics of a host-parasitoid interaction. Whether evolution stabilizes or destabilizes the interaction depends on the direction of evolutionary changes, which are affected by ecological, physiological, and genetic details of the insect biology. We examine the effect of life history correlations on population persistence and stability, embedding two types, one of which is competitively inferior but superior in encapsulation (for parasitoid, virulence), in a Nicholson-Bailey model with intraspecific resource competition for host. If a trade-off exists between intraspecific competitive ability and encapsulation (or virulence, as a countermeasure) in both the host and parasitoid, the trade-off or even positive correlation in the parasitoid is less influential to ecological stability than the trade-off in the host. We comment on the bearing this work has on the broader issues of understanding host-parasitoid interactions. including long-term biological control.</t>
  </si>
  <si>
    <t>10.1007/PL00011985</t>
  </si>
  <si>
    <t>Illan, JG; Wang, GM; King, DT; Cunningham, FL</t>
  </si>
  <si>
    <t>Seasonal variation and tracking of climate niche of a migratory bird</t>
  </si>
  <si>
    <t>American White Pelican; Niche tracking hypothesis; Niche switching hypothesis; Pelecanus erythrorhynchos; Satellite telemetry; Waterbirds</t>
  </si>
  <si>
    <t>AMERICAN WHITE PELICANS; ANIMAL ECOLOGY; DELTA REGION; POPULATION; EVOLUTION; ABUNDANCE; SELECTION; WINTER</t>
  </si>
  <si>
    <t>Migratory birds inhabit different areas during breeding and non-breeding seasons. Depending on the time of the year, they may utilize different resources available in seasonal habitats, but also are subjected to changing climate regimes during their annual life cycle. Migratory birds may adopt ecological niche tracking to cope with different environmental conditions between breeding and non-breeding grounds. The American White Pelican (Pelecanus erythrorhynchos, hereafter 'AWPE') is a short-distance migrant between the Gulf of Mexico coastal regions (nonbreeding grounds) and the Northern Great Plains (breeding grounds) of Canada and the US. The American White Pelican is a piscivore, feeding on fish, crayfish, and salamanders in inland freshwater wetlands. Cold, icy winter weather conditions substantially reduce and limit food resource availability at the breeding grounds during winters. Thus, we hypothesize that AWPEs would migrate between the breeding and non-breeding grounds to track climatic conditions that allow easier availability of resources. However, the niche tracking strategies have not been tested in AWPEs mainly due to the lack of reliable tracking data. Our objectives were to test whether the niche tracking or niche switching hypothesis would better explain seasonal variations in ecological niche overlap of AWPEs using the GPS locations of 19 tracked migrating birds, which had GPS locations at both breeding and non-breeding grounds. We estimated overlap of climate niche to test for seasonal niche tracking behaviors at both individual and population levels. Our results indicate that six out of 13 GPS-tracked AWPE individuals tracked climatic niche during the annual migration cycle. The analysis of the combined data of all 19 tracked AWPEs demonstrated that AWPEs tracked seasonal climate niche at the population level. Cold winter temperatures below zero (celcius) may freeze the water surface of wetlands and shallow waterbodies, preventing AWPEs from acquiring sufficient food. The coupling of winter food resources with winter climatic conditions may result in climate niche tracking. Variation in climate niche tracking among individuals may offer ecological plasticity for AWPEs to cope with climatic changes.</t>
  </si>
  <si>
    <t>e02155</t>
  </si>
  <si>
    <t>10.1016/j.gecco.2022.e02155</t>
  </si>
  <si>
    <t>Vulla, E; Hobson, KA; Korsten, M; Leht, M; Martin, AJ; Lind, A; Mannil, P; Valdmann, H; Saarma, U</t>
  </si>
  <si>
    <t>Carnivory is positively correlated with latitude among omnivorous mammals: evidence from brown bears, badgers and pine martens</t>
  </si>
  <si>
    <t>MELES-MELES L; FOX VULPES-VULPES; URSUS-ARCTOS; FOOD-HABITS; STABLE-ISOTOPES; EUROPEAN BADGER; GRIZZLY BEARS; RED FOX; CONSERVATION GENETICS; DIET</t>
  </si>
  <si>
    <t>Omnivores exploit numerous sources of protein and other nutrients throughout the year, and meat is generally considered a high-quality resource. However, it is unknown if there is any general association between latitude and carnivorous behavior in omnivorous mammals. We examined the relative importance of meat and other dietary components, including anthropogenic food items, in the diet of brown bears (Ursus arctos) in Estonia using conventional scat- and stomach-content analyses as well as stable-isotope (delta N-15, delta C-13) analyses. When food habits of brown bears,in Estonia were compared with those of other populations in central and northern Europe, the proportion of animal prey in the diet was positively correlated with latitude. Further comparison with the data on the diet of two other omnivorous mammals, the European badger (Meles meles) and the European pine marten (Martes martes), provides evidence that increased carnivory towards northern latitudes may be a general adaptation in omnivorous mammals.</t>
  </si>
  <si>
    <t>10.5735/086.046.0601</t>
  </si>
  <si>
    <t>Annasawmy, P; Horne, JK; Reiss, CS; Cutter, GR; Macaulay, GJ</t>
  </si>
  <si>
    <t>Antarctic krill (Euphausia superba) distributions, aggregation structures, and predator interactions in Bransfield Strait</t>
  </si>
  <si>
    <t>Predator-prey interactions; Echometrics; Wavelet analysis; GAM; Hierarchical clustering</t>
  </si>
  <si>
    <t>SOUTH SHETLAND ISLANDS; FORAGING BEHAVIOR; MACARONI PENGUINS; ELEPHANT ISLAND; FUR SEALS; DYNAMICS; FISH; VARIABILITY; EXCRETION; ABUNDANCE</t>
  </si>
  <si>
    <t>The Antarctic krill, Euphausia superba, is a major component of the Southern Ocean's ecosystem. Limited high-resolution data on the relative importance of oceanographic processes on the behavioral responses of krill at traditional predator foraging grounds constitutes a major obstacle in the understanding of krill-environment coupling and ecosystem-based management of this resource. Aggregation structures of krill and predator interactions were investigated using active acoustic data collected by WBAT echosounders deployed on moorings in two hydrographically different sites in Bransfield Strait. Near Nelson Island, water flows from the northwest to southeast while Deception Island is influenced by stronger net current velocities from the southwest to northeast. Krill aggregations were identified and then classified in three clusters using a swarm-identification algorithm and hierarchical clustering using aggregation morphological characteristics: acoustic density, mean depth, center of mass, inertia, equivalent area, aggregation index, and proportion occupied. A total of 693 and 736 aggregations were detected at the mooring sites close to Nelson and Deception Islands. The three aggregation categories ranged from high to low densities, evenness, and dispersion and were distributed throughout the water column. Krill aggregation density distribution and mean thickness are influenced by krill mean depth, current velocities and direction. The majority of observed predator dive profiles occurred over the aggregation type with highest krill densities at both Nelson and Deception Islands, and within the first 25 m of the water column. The heterogeneity of krill aggregations potentially impacts predator foraging strategies and predator-krill interactions in the hydrodynamically active Bransfield Strait.</t>
  </si>
  <si>
    <t>10.1007/s00300-023-03113-z</t>
  </si>
  <si>
    <t>Verberk, WCEP; van der Velde, G; Esselink, H</t>
  </si>
  <si>
    <t>Explaining abundance-occupancy relationships in specialists and generalists: a case study on aquatic macroinvertebrates in standing waters</t>
  </si>
  <si>
    <t>aggregation; aquatic insects; biological traits; causal mechanisms; core-satellite hypothesis; density; dispersal; distribution; metapopulation dynamics; niche breadth</t>
  </si>
  <si>
    <t>RANGE SIZE RELATIONSHIPS; LIFE-HISTORY STRATEGIES; DENSITY-DISTRIBUTION RELATIONSHIPS; LOCAL ABUNDANCE; METAPOPULATION MODELS; POSITIVE RELATIONSHIP; BRITISH BUTTERFLIES; ECOLOGICAL TRAITS; SPATIAL VARIATION; EXTINCTION RISK</t>
  </si>
  <si>
    <t>P&gt;1. A positive interspecific abundance-occupancy relationship is one of the most robust patterns in macroecology. Yet, the mechanisms driving this pattern are poorly understood. Here, we use biological traits of freshwater macroinvertebrates to gain a mechanistic understanding and disentangle the various explanations. We ask whether mechanisms underlying the abundance-occupancy relationship differ between species, and whether information on individual species can be used to explain their contribution to the interspecific relationship. 2. We test the hypothesis that the importance of metapopulation dynamics or niche differences in explaining the relationship differs between species, varying in relation to their habitat breadth. In addition, we analyse how a species' biological traits shape its habitat breadth and its abundance and occupancy. 3. The abundance and occupancy of the 234 different aquatic macroinvertebrate species were strongly and positively related. Marked differences were found between habitat specialists and habitat generalists in the goodness-of-fit of abundance-occupancy relationships. The occupancy-frequency distribution was bimodal for habitat generalists, allowing 'satellite species' to be distinguished from 'core species'. 4. Habitat generalists appeared to be more widespread but less abundant than habitat specialists, suggesting that the jack-of-all-trades may be master-of-none. Species traits (trophic position and other life-history traits) explained a significant part of the variation around the general relationship. Among habitat specialists, more species showed synchronized life cycles, a low dispersal capacity or clustered oviposition, being better adapted to predictable habitats. Among habitat generalists, more species had long-lived adults, spreading reproductive effort in time and space, and were strong dispersers, being better adapted to unpredictable habitats. 5. Interspecific abundance-occupancy relationships can be best understood by examining the contribution of individual species. For habitat specialists, the interplay between niche differences (diet and habitat use) and the underlying spatial distribution of environmental conditions result in competitive displacement and differences in species' success. For habitat generalists, differences in colonization and extinction rates between species are more important. Therefore, both metapopulation dynamics and niche differences can operate simultaneously but apply to different species, thus constituting different endpoints of the same continuum.</t>
  </si>
  <si>
    <t>10.1111/j.1365-2656.2010.01660.x</t>
  </si>
  <si>
    <t>McCormack, J; Viehberg, F; Akdemir, D; Immenhauser, A; Kwiecien, O</t>
  </si>
  <si>
    <t>Ostracods as ecological and isotopic indicators of lake water salinity changes: the Lake Van example</t>
  </si>
  <si>
    <t>HIGH-RESOLUTION POLLEN; HOLOCENE ENVIRONMENTAL-CHANGE; CYPRIDEIS-TOROSA JONES; EASTERN ANATOLIA; ABRUPT CLIMATE; SHELL CHEMISTRY; TRACE-ELEMENT; OXYGEN; RECORD; CRUSTACEA</t>
  </si>
  <si>
    <t>Ostracods are common lacustrine calcitic microfossils. Their faunal assemblage and morphological characteristics are important ecological proxies, and their valves are archives of geochemical information related to palaeoclimatic and palaeohydrological changes. In an attempt to assess ostracod ecology (taxonomic diversity and valve morphology) combined with valve geochemistry (delta O-18 and delta C-13) as palaeosalinity indicators, we analysed sedimentary material from the International Continental Scientific Drilling Program (ICDP) Ahlat Ridge site from a terminal and alkaline lake, Lake Van (Turkey), covering the last 150 kyr. Despite a low species diversity, the ostracod faunal assemblage reacted sensitively to changes in the concentration of total dissolved salts in their aquatic environment. Limnocythere inopinata is present throughout the studied interval, while Limnocythere sp. A is restricted to the Last Glacial period and related to increased lake water salinity and alkalinity. The presence of species belonging to the genus Candona is limited to periods of lower salinity. Valves of Limnocytherinae species (incl. L. inopinata) display nodes (hollow protrusions) during intervals of increased salinity. Both the number of noded valves and the number of nodes per valve appear to increase with rising salinity, suggesting that node formation is related to hydrological changes (salinity and/or alkalinity). In contrast to Lake Van's bulk delta O-18 record, the delta O-18 values of ostracod valves do record relative changes of the lake volume, with lower values during high lake level periods. The delta C-13 values of different species reflect ostracod habitat preferences (i.e. infaunal vs. epifaunal) but are less sensitive to hydrological changes. However, combined with other proxies, decreasing Holocene delta C-13 values may indicate a freshening of the lake water compared to the low lake level during the Last Glacial period. The Lake Van example underscores the significance and value of coupling ostracod ecology and valve geochemistry in palaeoenvironmental studies of endorheic lake basins.</t>
  </si>
  <si>
    <t>10.5194/bg-16-2095-2019</t>
  </si>
  <si>
    <t>Scott, M; Robinson, WD</t>
  </si>
  <si>
    <t>Mobbing behavior of songbirds in response to calls of an ambush-predator, the Northern Pygmy-Owl</t>
  </si>
  <si>
    <t>anti-predator behavior; Glaucidium gnoma; Poecile atricapillus; Poecile rufescens; risky behavior; seasonal behavioral shifts; Sitta canadensis</t>
  </si>
  <si>
    <t>ADAPTIVE SIGNIFICANCE; SEASONAL-VARIATION; DIETS; RISK</t>
  </si>
  <si>
    <t>Mobbing is a widespread but risky behavior where prey actually approach and may even attack their predators. Small songbirds gather in multi-species flocks to direct mobbing at birds of prey such as the Northern Pygmy-Owl (Glaucidium gnoma), a small diurnal species of owl in mountainous western North America. We hypothesized that intensity of mobbing behavior would vary according to risk to songbirds and that risk varied seasonally and across elevations. In particular, we expected mobbing intensity to change seasonally as a function of two primary sources of risk: seasonal dietary changes of pygmy-owls and distribution of pygmy-owls as a function of elevation. Pygmy-owls are known to shift their diet from mostly mammals in early spring to birds in early summer, so we hypothesized risk of predation would vary in parallel. Likewise, risk was expected to vary as the distribution of pygmy-owls was thought to vary seasonally across elevations. To elicit mobbing in a controlled manner, we conducted owl call playback experiments in the Oregon Coast Range mountains, United States. Overall, we found mobbing to be rare, observing it in 8.1% of 663 experiments. The frequency of mobbing did not appear to vary across elevations. Instead, mobbing varied mostly by season. The frequency of mobbing was highest during fall at lower elevations. Mobbing was rarest (1.3% of trials) during winter. Mobbing occurred during seasons when pygmy-owls tend to consume more birds, consistent with the hypothesis that seasonal variation in risk influences mobbing. In our study, mobbing happened when risk was higher. However, the increased risk may be offset by the influence of mobbing group size. Mobbing was more likely to occur at sites where the number of songbirds, especially chickadees (Poecile sp.) and nuthatches (Sitta sp.), was larger. Yet, even when songbird numbers were high, mobbing was rare during winter, suggesting an interaction between risk and energetic costs of mobbing. Additional experiments manipulating food resource availability may be able to reveal the strength and influence of the interaction on mobbing decisions.</t>
  </si>
  <si>
    <t>10.3389/fevo.2023.1092323</t>
  </si>
  <si>
    <t>Wanner, KW; Willis, LG; Theilmann, DA; Isman, MB; Feng, QL; Plettner, E</t>
  </si>
  <si>
    <t>Analysis of the insect os-d-like gene family</t>
  </si>
  <si>
    <t>OS-D-like; chemosensory protein (CSP); sensory appendage protein (SAP); insect; Choristoneura fumiferana; Lepidoptera</t>
  </si>
  <si>
    <t>PHEROMONE-BINDING-PROTEINS; CHEMOSENSORY PROTEINS; IMMUNOCYTOCHEMICAL LOCALIZATION; DROSOPHILA-MELANOGASTER; EXPRESSION PATTERN; MOLECULAR-CLONING; SOLUBLE-PROTEINS; MOTH; CDNA; ORGANIZATION</t>
  </si>
  <si>
    <t>Insect OS-D-like proteins, also known as chemosensory (CSP) or sensory appendage proteins ( SAP), are broadly expressed in various insect tissues, where they are thought to bind short to medium chain length fatty acids and their derivatives. Although their specific function remains uncertain, OS-D-like members have been isolated from sensory organs (including the sensillum lymph in some cases), and a role in olfaction similar to that of the insect odorant binding proteins (OBP) has been suggested for some. We have identified 15 new OS-D-like sequences: four from cDNA clones described herein and 11 from sequence databases. The os-d-like genes from the Anopheles gambiae, Apis mellifera, Drosophila melanogaster, and Drosophila pseudoobscura genomes typically have single, small introns with a conserved splice site. Together with all family members entered on GenBank, a total of 70 OS-D-like proteins, representing the insect orders Diptera, Dictyoptera, Hymenoptera, Lepidoptera, Orthoptera, and Phasmatodea, were analyzed. A neighbor joining distance phenogram identified several protein similarity classes that were characterized by highly conserved sequence motifs, including ( A) N-terminal YTTKYDN(V/I)(N/D)(L/V)DEIL, (B) central DGKELKXX(I/L)PDAL, and (C)C-terminal KYDP. In contrast, three similarity classes were characterized by their diversion from these conserved motifs. The functional importance of conserved amino acid residues is discussed in relation to the crystal and NMR structures of MbraCSPA6.</t>
  </si>
  <si>
    <t>10.1023/B:JOEC.0000028457.51147.d4</t>
  </si>
  <si>
    <t>Haslun, JA; Ostrom, NE; Hegg, EL; Ostrom, PH</t>
  </si>
  <si>
    <t>Estimation of isotope variation of N2O during denitrification by Pseudomonas aureofaciens and Pseudomonas chlororaphis: implications for N2O source apportionment</t>
  </si>
  <si>
    <t>NITROUS-OXIDE PRODUCTION; ISOTOPOLOGUE FRACTIONATION; NITROSOMONAS-EUROPAEA; NONLINEAR RESPONSE; SITE PREFERENCE; FERTILIZER; REDUCTION; NITRIFICATION; AGRICULTURE; CHALLENGES</t>
  </si>
  <si>
    <t>Soil microbial processes, stimulated by agricultural fertilization, account for 90% of anthropogenic nitrous oxide (N2O), the leading source of ozone depletion and a potent greenhouse gas. Efforts to reduce N2O flux commonly focus on reducing fertilization rates. Management of microbial processes responsible for N2O production may also be used to reduce N2O emissions, but this requires knowledge of the prevailing process. To this end, stable isotopes of N2O have been applied to differentiate N2O produced by nitrification and denitrification. To better understand the factors contributing to isotopic variation during denitrification, we characterized the delta N-15, delta O-18 and site preference (SP; the intramolecular distribution of N-15 in N2O) of N2O produced during NO3- reduction by Pseudomonas chlororaphis subsp. aureofaciens and P. c. subsp. chlororaphis. The terminal product of denitrification for these two species is N2O because they lack the gene nitrous oxide reductase, which is responsible for the reduction of N2O to N-2. In addition to species, treatments included electron donor (citrate and succinate) and electron donor concentration (0.01, 0.1, 1 and 10mM) as factors. In contrast to the expectation of a Rayleigh model, all treatments exhibited curvilinear behaviour between delta N-15 or O-delta 18 and the extent of the reaction. The curvilinear behaviour indicates that the fractionation factor changed over the course of the reaction, something that is not unexpected for a multi-step process such as denitrification. Using the derivative of the equation, we estimated that the net isotope effects (eta) vary by as much as 100% over the course of a single reaction, presenting challenges for using delta N-15 and delta O-18 as apportionment tools. contrast, SP for denitrification was not affected by the extent of the reaction, the electron donor source or concentration, although the mean SP of N2O produced by each species differed. Therefore, SP remains a robust indicator of the origin of N2O. To improve apportionment estimates with SP, future studies could evaluate other factors that contribute to the variation in SP.</t>
  </si>
  <si>
    <t>10.5194/bg-15-3873-2018</t>
  </si>
  <si>
    <t>Bouahim, S; Rhazi, L; Ernoul, L; Mathevet, R; Amami, B; Er-Riyahi, S; Muller, SD; Grillas, P</t>
  </si>
  <si>
    <t>Combining vulnerability analysis and perceptions of ecosystem services in sensitive landscapes: A case from western Moroccan temporary wetlands</t>
  </si>
  <si>
    <t>Conservation strategies; Human-nature relations; Mediterranean wetlands; North Africa; Temporary pools</t>
  </si>
  <si>
    <t>LAND-USE CHANGE; BIODIVERSITY CONSERVATION; NATURAL-RESOURCES; PLANT-COMMUNITIES; INTEGRITY; SCIENCE; FORESTS; IMPACT; REGION; AREAS</t>
  </si>
  <si>
    <t>Given that people are an inseparable part of their environment through their dependence on ecosystems and the services they provide, it is essential to understand the human influences that impact the environment and in turn determine the effects they will have on the existing ecosystem services. This relationship was explored by coupling a habitat vulnerability study with an ecosystem service perception evaluation. A biological survey and a socio-economic study were implemented in western Morocco (Benslimane Province) to identify the vulnerability of different temporary pools and to determine the perceived ecosystem services obtained by local stakeholders. A total of 101 temporary pools were studied and in person interviews were conducted with 110 randomly selected households. For each pool, vulnerability to various land uses, pressures and threats were analyzed. Temporary pools located in forested areas were under less threat than those located in agricultural lands. The nuisances associated with temporary pools were indicated by local stakeholders, increasing the pools' vulnerability. Provisioning and cultural ecosystem services were also perceived, increasing acceptance for conservation measures. The results of this study highlight the need to account for natural science and social sciences to inform future management. This methodology can further be tested and applied in other fragile ecosystems to better target conservation strategies. (C) 2015 Elsevier GmbH. All rights reserved.</t>
  </si>
  <si>
    <t>10.1016/j.jnc.2015.05.003</t>
  </si>
  <si>
    <t>DeYoung, CA; Fulbright, TE; Hewitt, DG; Wester, DB; Draeger, DA</t>
  </si>
  <si>
    <t>Linking White-Tailed Deer Density, Nutrition, and Vegetation in a Stochastic Environment</t>
  </si>
  <si>
    <t>WILDLIFE MONOGRAPHS</t>
  </si>
  <si>
    <t>density dependence; forbs; nutrition; Odocoileus virginianus; selective foraging; shrubs; South Texas; stochasticity; supplemental feeding; vegetation dynamics</t>
  </si>
  <si>
    <t>Density-dependent behavior underpins white-tailed deer (Odocoileus virginianus) theory and management application in North America, but strength or frequency of the phenomenon has varied across the geographic range of the species. The modifying effect of stochastic environments and poor-quality habitats on density-dependent behavior has been recognized for ungulate populations around the world, including white-tailed deer populations in South Texas, USA. Despite the importance of understanding mechanisms influencing density dependence, researchers have concentrated on demographic and morphological implications of deer density. Researchers have not focused on linking vegetation dynamics, nutrition, and deer dynamics. We conducted a series of designed experiments during 2004-2012 to determine how strongly white-tailed deer density, vegetation composition, and deer nutrition (natural and supplemented) are linked in a semi-arid environment where the coefficient of variation of annual precipitation exceeds 30%. We replicated our study on 2 sites with thornshrub vegetation in Dimmit County, Texas. During late 2003, we constructed 6 81-ha enclosures surrounded by 2.4-m-tall woven wire fence on each study site. The experimental design included 2 nutrition treatments and 3 deer densities in a factorial array, with study sites as blocks. Abundance targets for low, medium, and high deer densities in enclosures were 10 deer (equivalent to 13 deer/km(2)), 25 deer (31 deer/km(2)), and 40 deer (50 deer/km(2)), respectively. Each study site had 2 enclosures with each deer density. We provided deer in 1 enclosure at each density with a high-quality pelleted supplement ad libitum, which we termed enhanced nutrition; deer in the other enclosure at each density had access to natural nutrition from the vegetation. We conducted camera surveys of deer in each enclosure twice per year and added or removed deer as needed to approximate the target densities. We maintained &gt;50% of deer ear-tagged for individual recognition. We maintained adult sex ratios of 1:1-1:1.5 (males:females) and a mix of young and older deer in enclosures. We used reconstruction, validated by comparison to known number of adult males, to make annual estimates of density for each enclosure in analysis of treatment effects. We explored the effect of deer density on diet composition, diet quality, and intake rate of tractable female deer released into low- and high-density enclosures with natural nutrition on both study sites (4 total enclosures) between June 2009 and May 2011, 5 years after we established density treatments in enclosures. We used the bite count technique and followed 2-3 tractable deer/enclosure during foraging bouts across 4 seasons. Proportion of shrubs, forbs, mast, cacti, and subshrubs in deer diets did not differ (P &gt; 0.57) between deer density treatments. Percent grass in deer diets was higher (P = 0.05) at high deer density but composed only 1.3 +/- 0.3% (SE) of the diet. Digestible protein and metabolizable energy of diets were similar (P &gt; 0.45) between deer density treatments. Likewise, bite rate, bite size, and dry matter intake did not vary (P &gt; 0.45) with deer density. Unlike deer density, drought had dramatic (P &lt;= 0.10) effects on foraging of tractable deer. During drought conditions, the proportion of shrubs and flowers increased in deer diets, whereas forbs declined. Digestible protein was 31%, 53%, and 54% greater (P = 0. 06) during non-drought than drought during autumn, winter, and spring, respectively. We studied the effects of enhanced nutrition on the composition and quality of tractable female deer diets between April 2007 and February 2009, 3 years after we established density treatments in enclosures. We also estimated the proportion of supplemental feed in deer diets. We used the 2 low-density enclosures on each study site, 1 with enhanced nutrition and 1 with natural nutrition (4 total enclosures). We again used the bite count technique and 2-3 tractable deer living in each enclosure. We estimated proportion of pelleted feed in diets of tractable deer and non-tractable deer using ratios of stable isotopes of carbon. Averaged across seasons and nutrition treatments, shrubs composed a majority of the vegetation portion of deer diets (44%), followed by mast (26%) and forbs (15%). Enhanced nutrition influenced the proportion of mast, cacti, and flowers in the diet, but the nature and magnitude of the effect varied by season and year. The trend was for deer in natural-nutrition enclosures to eat more mast. We did not detect a statistical difference (P = 0.15) in the proportion of shrubs in diets between natural and enhanced nutrition, but deer with enhanced nutrition consumed 7-24% more shrubs in 5 of 8 seasons. Deer in enhanced-nutrition enclosures had greater (P = 0.03) digestible protein in their overall diet than deer in natural-nutrition enclosures. The effect of enhanced nutrition on metabolizable energy in overall diets varied by season and was greater (P &lt; 0.04) for enhanced-nutrition deer during summer and autumn 2007 and winter 2008. In the enhanced-nutrition treatment, supplemental feed averaged 47-80% of the diet of tractable deer. Of non-tractable deer in all density treatments with enhanced nutrition, 97% (n = 128 deer) ate supplemental feed. For non-tractable deer averaged across density treatments, study sites, and years, percent supplemental feed in deer diets exceeded 70% for all sex and age groups. We determined if increasing deer density and enhanced nutrition resulted in a decline in preferred forbs and shrubs and an increase in plants less preferred by deer. We sampled all 12 enclosures via 20, 50-m permanent transects in each enclosure. Percent canopy cover of preferred forbs was similar (P = 0.13) among deer densities averaged across nutrition treatments and sampling years (low density: 305; = 8%, SE range 6-10; medium density: 5%, 4-6; high density: 4%, 3-5; SE ranges are presented because SEs associated with backtransformed means are asymetrical). Averaged across deer densities, preferred forb canopy cover was similar between nutrition treatments in 2004; but by 2012 averaged 20 +/- 17-23% in enhanced-nutrition enclosures compared to 10 +/- 8-13% in natural-nutrition enclosures (P = 0.107). Percent canopy cover of other forbs, preferred shrubs, other shrubs, and grasses, as well as Shannon's index, evenness, and species richness were similar (P &gt; 0.10) among deer densities, averaged across nutrition treatments and sampling years. We analyzed fawn:adult female ratios, growth rates of fawns and yearlings, and survival from 6 to 14 months of age and for adults &gt;14 months of age. We assessed adult body mass and population growth rates (lambda apparent, lambda(APP)) to determine density and nutrition effects on deer populations in the research enclosures during 2004-2012. Fawn:adult female ratios declined (P = 0.04) from low-medium density to high density in natural-nutrition enclosures but were not affected (P = 0.48) by density in enhanced nutrition enclosures although, compared to natural nutrition, enhanced nutrition increased fawn:adult female ratios by 0.15 +/- 0.12 fawns:adult female at low-medium density and 0.44 +/- 0.17 fawns:adult female at high density. Growth rate of fawns was not affected by deer density under natural or enhanced nutrition (P &gt; 0.17) but increased 0.03 +/- 0.01 kg/day in enhanced-nutrition enclosures compared to natural nutrition (P &lt; 0.01). Growth rate of yearlings was unaffected (P &gt; 0.71) by deer density, but growth rate increased for males in some years at some density levels in enhanced-nutrition enclosures. Adult body mass declined in response to increasing deer density in natural-nutrition enclosures for both adult males (P &lt; 0.01) and females (P = 0.10). Enhanced nutrition increased male body mass, but female mass did not increase compared to natural nutrition. Survival of adult males was unaffected by deer density in natural- (P = 0.59) or enhanced- (P = 0.94) nutrition enclosures. Survival of adult females was greatest in medium-density enclosures with natural nutrition but similar at low and high density (P = 0.04). Enhanced nutrition increased survival of females (P &lt; 0.01) and marginally for males (P = 0.11). Survival of fawns 6-14 months old was unaffected (P &gt; 0.35) by density in either natural- or enhanced-nutrition treatments but was greater (P = 0.04) under enhanced nutrition. Population growth rate declined (P = 0.06) with increasing density in natural-nutrition enclosures but not (P = 0.55) in enhanced nutrition. Enhanced nutrition increased lambda(APP) by 0.32. Under natural nutrition, we found only minor effects of deer density treatments on deer diet composition, nutritional intake, and plant communities. However, we found density-dependent effects on fawn:adult female ratios, adult body mass, and population growth rate. In a follow-up study, deer home ranges in our research enclosures declined with increasing deer density. We hypothesized that habitat quality varied among home ranges and contributed to density-dependent responses. Variable precipitation had a greater influence on deer diets, vegetation composition, and population parameters than did deer density. Also, resistance to herbivory and low forage quality of the thornshrub vegetation of our study sites likely constrained density-dependent behavior by deer. We posit that it is unlikely that, at our high-density (50 deer/km(2)) and perhaps even medium-density (31 deer/km(2)) levels, negative density dependence would occur without several wet years in close association. In the past century, this phenomenon has only happened once (1970s). Thus, density dependence would likely be difficult to detect in most years under natural nutrition in this region. Foraging by deer with enhanced nutrition did not result in a reduction in preferred plants in the vegetation community and had a protective effect on preferred forbs because &lt;= 53% of deer diets consisted of vegetation. However, enhanced nutrition improved fitness of individual deer and deer populations, clearly demonstrating that nutrition is limiting for deer populations under natural conditions in western South Texas. (c) 2019 The Authors. Wildlife Monographs published by Wiley Periodicals, Inc. on behalf of The Wildlife Society.</t>
  </si>
  <si>
    <t>10.1002/wmon.1040</t>
  </si>
  <si>
    <t>Denis, J; Vincent, D; Antajan, E; Vallet, C; Mestre, J; Lefebvre, V; Caboche, J; Cordier, R; Marchal, P; Loots, C</t>
  </si>
  <si>
    <t>Gut fluorescence technique to quantify pigment feeding in Downs herring larvae</t>
  </si>
  <si>
    <t>Clupea harengus; Gut content analyses; Fish larval feeding; Chlorophyll pigment ingestion; Copepod; Daily metabolic needs</t>
  </si>
  <si>
    <t>CLUPEA-HARENGUS LARVAE; ANCHOVY ENGRAULIS-ENCRASICOLUS; ATLANTIC COD LARVAE; NORTH-SEA; GASTRIC EVACUATION; GADUS-MORHUA; RECRUITMENT FAILURE; FORAGING BEHAVIOR; LIGHT-INTENSITY; IMAGE-ANALYSIS</t>
  </si>
  <si>
    <t>The ingestion of chlorophyll pigments (chlorophyll a and phaeopigments) by Downs herring Clupea harengus larvae (8-13 mm) collected in the English Channel and the North Sea during winter 2014 (International Bottom Trawl Survey) was quantitatively estimated via gut fluorescence analysis, a method classically used for copepods. Our results confirmed the consumption of chlorophyll pigments either directly, or indirectly through the consumption of herbivorous copepods. Higher mean pigment ingestion rates were observed for small larvae (8-11 mm, 52 +/- 51 [SD] ng chl a eq. ind.(-1) d(-1)), whereas lower mean rates (43 +/- 48 ng chl a eq. ind.(-1) d(-1)) were measured in larger larvae (12-13 mm). This decrease in the rate of pigment ingestion coincided with an ontogenetic shift in prey preference that occurred at 12-13 mm. Chlorophyll pigment ingestion covered on average up to 18% of the daily metabolic needs of 8-13 mm herring larvae and thus constitutes a non-negligible part of the larval diet mainly during the first feeding stages. Direct ingestion of autotrophic protist prey primarily involved small larvae (8-11 mm, 73 +/- 38 to 84 +/- 34%), as it can synergistically increase digestion efficiency of other prey items (e.g. copepods). The gut fluorescence method applied to fish larvae provides a global estimate of total ingested pigments and a snapshot of their diets. As a fast and easy method, it should be deployed in future surveys to compare food intake (ingestion) in different areas, and to quantitatively assess the nutritional status of fish larvae in the field.</t>
  </si>
  <si>
    <t>10.3354/meps12775</t>
  </si>
  <si>
    <t>Flaherty, EA; Ben-David, M</t>
  </si>
  <si>
    <t>Overlap and partitioning of the ecological and isotopic niches</t>
  </si>
  <si>
    <t>STABLE-ISOTOPES; SEASONAL-CHANGES; RIVER OTTERS; DIET; NITROGEN; RATIOS; DELTA-C-13; FLORIDA; MODELS; CARBON</t>
  </si>
  <si>
    <t>Recently, it was proposed that stable isotope patterns can be used to quantify the width of the ecological niche of animals. However, the potential effects of habitat use on isotopic patterns of consumers have not been fully explored and consequently isotopic patterns may yield deceptive estimates of niche width. Here, we simulated four different scenarios of a consumer foraging across an isotopically heterogeneous landscape to test the combined effects of habitat and diet selection on the widths of the isotopic niche. We then modeled the actions of a naive researcher who randomly sampled consumers from the simulated populations, and used these results to assess the overlap and partitioning of the isotopic and the ecological niches when habitat-derived differences among isotope signatures are not considered. Our results suggest that populations of dietary specialists exhibited broader isotopic niches than populations composed of dietary generalists, and habitat generalists exhibited narrower isotopic niche widths compared with populations of individuals that foraged in specific habitats. The conversion of isotopic niches to ecological niches without knowledge of foraging behavior and habitat-derived isotopic differences transformed an informative delta-space into 'a blurry p-space'. Therefore, knowledge of habitat-derived differences in stable isotope values and understanding of habitat use and individual foraging behavior are critical for the correct quantification of the ecological niche.</t>
  </si>
  <si>
    <t>10.1111/j.1600-0706.2010.18259.x</t>
  </si>
  <si>
    <t>Bauters, M; Meeus, S; Barthel, M; Stoffelen, P; De Deurwaerder, HPT; Meunier, F; Drake, TW; Ponette, Q; Ebuy, J; Vermeir, P; Beeckman, H; Wyffels, F; Bode, S; Verbeeck, H; Vandelook, F; Boeckx, P</t>
  </si>
  <si>
    <t>Century-long apparent decrease in intrinsic water-use efficiency with no evidence of progressive nutrient limitation in African tropical forests</t>
  </si>
  <si>
    <t>aggravated nutrient limitation; CO2 fertilization; Congo Basin; herbarium; photosynthesis; stomata; tropical forest; water-use efficiency</t>
  </si>
  <si>
    <t>CARBON-DIOXIDE UPTAKE; PHOSPHORUS LIMITATION; PHOTOSYNTHETIC CAPACITY; LEAF NITROGEN; STABLE OXYGEN; GROWTH; CO2; ISOTOPES; INCREASE; PRODUCTIVITY</t>
  </si>
  <si>
    <t>Forests exhibit leaf- and ecosystem-level responses to environmental changes. Specifically, rising carbon dioxide (CO2) levels over the past century are expected to have increased the intrinsic water-use efficiency (iWUE) of tropical trees while the ecosystem is gradually pushed into progressive nutrient limitation. Due to the long-term character of these changes, however, observational datasets to validate both paradigms are limited in space and time. In this study, we used a unique herbarium record to go back nearly a century and show that despite the rise in CO2 concentrations, iWUE has decreased in central African tropical trees in the Congo Basin. Although we find evidence that points to leaf-level adaptation to increasing CO2-that is, increasing photosynthesis-related nutrients and decreasing maximum stomatal conductance, a decrease in leaf delta C-13 clearly indicates a decreasing iWUE over time. Additionally, the stoichiometric carbon to nitrogen and nitrogen to phosphorus ratios in the leaves show no sign of progressive nutrient limitation as they have remained constant since 1938, which suggests that nutrients have not increasingly limited productivity in this biome. Altogether, the data suggest that other environmental factors, such as increasing temperature, might have negatively affected net photosynthesis and consequently downregulated the iWUE. Results from this study reveal that the second largest tropical forest on Earth has responded differently to recent environmental changes than expected, highlighting the need for further on-ground monitoring in the Congo Basin.</t>
  </si>
  <si>
    <t>10.1111/gcb.15145</t>
  </si>
  <si>
    <t>Haubert, D; Birkhofer, K; Fliessbach, A; Gehre, M; Scheu, S; Ruess, L</t>
  </si>
  <si>
    <t>Trophic structure and major trophic links in conventional versus organic farming systems as indicated by carbon stable isotope ratios of fatty acids</t>
  </si>
  <si>
    <t>SOIL MICROBIAL BIOMASS; FOOD-WEB; NATURAL-ABUNDANCE; FEEDING GUILDS; WOLF SPIDER; COLLEMBOLA; COMMUNITIES; NITROGEN; LIPIDS; FRACTIONATION</t>
  </si>
  <si>
    <t>Using bulk tissue and fatty acid 13C analysis we investigated major trophic pathways from soil microorganisms to microbial consumers to predators in conventional versus organic farming systems planted for the first time with maize. Organic farming led to an increase in microbial biomass in particular that of fungi as indicated by phospholipid fatty acids (PLFAs). Microbial PLFAs reflected the conversion from C(3) to C(4) plants by a shift in delta 13C of 2 parts per thousand, whereas the isotopic signal in fatty acids (FAs) of Collembola was much more pronounced. In the euedaphic Protaphorura fimata the delta 13C values in maize fields exceeded that in C(3) (soybean) fields by up to 10 parts per thousand, indicating a close relationship between diet and vegetation cover. In the epedaphic Orchesella villosa delta 13C values shifted by 4 parts per thousand, suggesting a wider food spectrum including carbon of former C(3) crop residues. Differences in delta 13C of corresponding FAs in consumers and resources were assessed to assign food web links. P. fimata was suggested as root and fungal feeder in soybean fields, fungal feeder in conventional and leaf consumer in organically managed maize fields. O. villosa likely fed on root and bacteria under soybean, and bacteria and fungi under maize. Comparison of delta 13C values in FAs of the cursorial spider Pardosa agrestis and O. villosa implied the latter as important prey species in soybean fields. In contrast, the web-building spider Mangora acalypha showed no predator-prey relationship with Collembola. The determination of delta 13C values in trophic biomarker FAs allowed detailed insight into the structure of the decomposer food web and identified diet-shifts in both consumers at the base of the food web and in top predators in organic versus conventional agricultural systems. The results indicate changes in major trophic links and therefore carbon flux through the food web by conversion of conventional into organic farming systems.</t>
  </si>
  <si>
    <t>10.1111/j.1600-0706.2009.17587.x</t>
  </si>
  <si>
    <t>Anderson, A; McCormack, S; Helden, A; Sheridan, H; Kinsella, A; Purvis, G</t>
  </si>
  <si>
    <t>The potential of parasitoid Hymenoptera as bioindicators of arthropod diversity in agricultural grasslands</t>
  </si>
  <si>
    <t>agro-ecosystem; biodiversity; indicator; invertebrate; parasitoid abundance; parasitoid Hymenoptera; taxon richness</t>
  </si>
  <si>
    <t>WEIGHT-RANK METHOD; BIODIVERSITY INDICATORS; INVERTEBRATE DIVERSITY; SURROGATE TAXA; FIELD MARGIN; MANAGEMENT; INSECT; PLANT; FRAGMENTATION; PRODUCTIVITY</t>
  </si>
  <si>
    <t>P&gt;1. As measuring biodiversity in its entirety is impractical, there is a need for bioindicators. This study tested the hypothesis that parasitoid Hymenoptera are potential bioindicators that provide a useful means to assess the wider biodiversity of arthropod populations in agro-ecosystems. There are a range of theoretical arguments to support such a claim, including the high trophic position of these taxa within the arthropod communities in which they occur, and the unique nature of their biological relationships with the majority of terrestrial arthropod groups. 2. A survey of 48 commercial farms was conducted and Generalized Linear Models used to investigate relationships between six taxa-parasitoid Hymenoptera, Coleoptera, Hemiptera, Diptera, Araneae and plants (species richness and sward height)-in agricultural grasslands. As well as relationships between these groups, the relationship of each individual group to the overall biodiversity of all other arthropod groups was explored. 3. Both abundance (r2 = 0 center dot 58) and taxon richness (r2 = 0 center dot 54) of parasitoid Hymenoptera had stronger relationships with overall arthropod taxon richness than any other arthropod group investigated. Parasitoid abundance also had a positive relationship with species richness of Coleoptera (r2 = 0 center dot 23) and Hemiptera (r2 = 0 center dot 47). 4. An historical data set demonstrated how the relationship between parasitoid abundance and overall arthropod taxon richness changes over the growing season. July, when the relationship was strongest, is potentially the most useful time to sample. 5. For use in routine monitoring, it is important that an effort be made to understand the seasonal influence on the relationship in the context being studied. Equal sampling effort must be made for all sites being compared and sites should be sampled as close together in the season as is possible. 6. Synthesis and applications. We show that, within agricultural grasslands, both the abundance and taxon richness of parasitoid Hymenoptera are more closely related with overall arthropod diversity than any other arthropod group investigated. The use of parasitoid abundance provides a simple and practicable monitoring tool for tracking change in wider arthropod diversity in agro-ecosystems.</t>
  </si>
  <si>
    <t>10.1111/j.1365-2664.2010.01937.x</t>
  </si>
  <si>
    <t>Arias-Ortiz, A; Masque, P; Glass, L; Benson, L; Kennedy, H; Duarte, CM; Garcia-Orellana, J; Benitez-Nelson, CR; Humphries, MS; Ratefinjanahary, I; Ravelonjatovo, J; Lovelock, CE</t>
  </si>
  <si>
    <t>Losses of Soil Organic Carbon with Deforestation in Mangroves of Madagascar</t>
  </si>
  <si>
    <t>Mangroves; Deforestation; Soil carbon; Soil disturbance; CO2 emissions; Madagascar</t>
  </si>
  <si>
    <t>BLUE CARBON; BULK-DENSITY; STOCKS; DYNAMICS; CONVERSION; ECOSYSTEMS; SEDIMENT; FORESTS; EROSION; BAY</t>
  </si>
  <si>
    <t>Global mangrove deforestation has resulted in substantial CO2 emissions to the atmosphere, but the extent of emissions from soil organic carbon (C) loss remains difficult to assess. Here, we sampled five intact and five deforested mangrove plots from Tsimipaika Bay, Madagascar, to examine the loss of soil C in the 10 years since deforestation. We estimated tree biomass and analyzed grain size, Pb-210 activities, organic C and total nitrogen (N) and their stable isotopes in soils as well as dissolved organic C in surface waters. Deforested soils revealed evidence of disturbance in the upper 14 g cm(-2) (similar to 40 cm) when compared to reference intact soils, indicated by lower porosity, higher dry bulk density, an order of magnitude higher soil mixing and loss of C and N despite no significant soil erosion. Although C loss from biomass was unequivocal and was estimated at 130 Mg C ha(-1), the C loss from soils was more difficult to assess given the large heterogeneity of intact forest soils. We estimated that the loss of C due to mangrove clearing and soil exposure over 10 years was equivalent to about 20% of the upper meter soil C stock, and about 45% of the C stock accumulated during the last century. Soil C loss rate was 4.5 times higher than the C sequestration rate in reference intact soils. These results emphasize the importance of mangrove conservation for CO2 emissions mitigation, as they suggest that deforestation-C losses will take substantially longer to offset with mangrove restoration.</t>
  </si>
  <si>
    <t>10.1007/s10021-020-00500-z</t>
  </si>
  <si>
    <t>Longstaff, BJ; Loneragan, NR; O'Donohue, MJ; Dennison, WC</t>
  </si>
  <si>
    <t>Effects of light deprivation on the survival and recovery of the seagrass Halophila ovalis (RBr) Hook</t>
  </si>
  <si>
    <t>chlorophyll alpha fluorescence; Halophila ovalis; light; seagrass; storage carbohydrates</t>
  </si>
  <si>
    <t>MARINA L EELGRASS; ZOSTERA-MARINA; CHLOROPHYLL FLUORESCENCE; PHOTOSYNTHETIC RESPONSES; THALASSIA-TESTUDINUM; POSIDONIA-OCEANICA; AQUATIC VEGETATION; GROWTH; INTENSITY; REDUCTION</t>
  </si>
  <si>
    <t>Survival and recovery of the seagrass Halophiln ovalis (R.Br.) Hook during and after light deprivation was investigated to assist in the interpretation of recent losses of Halophiln spp. in Queensland, Australia. Light deprivation experiments were conducted in outdoor aquaria and in situ at two water depths. Halophiln ovalis plants were deprived of light for a maximum of 30 days, and recovery processes were investigated for up to 18 days following 15 days of light deprivation. Measurements of H. ovalis biomass, storage carbohydrate concentrations, chlorophyll a+b concentrations, stable carbon isotopes ratios (delta(13)C) and chlorophyll a fluorescence parameters (F-0, F-m and F-v/F-m) were made during and at the end of the light deprivation and recovery periods. Biomass declined after 3-6 days in the dark and complete plant death occurred after 30 days. During the recovery period, biomass continued to decline for a short duration of time before stabilising. Sugar concentrations declined rapidly for the first 2 days of light deprivation before stabilising, then increased rapidly during the recovery period, Chlorophyll a+b concentrations were sensitive to very small differences in light availability: concentration decreased in total darkness, remained unchanged at 0.1% of surface irradiance and increased at 0.5% of surface irradiance. Photochemical efficiency of photosystem II (F-v/F-m) remained unchanged during the light deprivation and recovery periods. The lack of response in delta(13)C during light deprivation indicated the cessation of carbon fixation. Decreased sugar utilisation after 2 days of light deprivation indicated a reduction in respiration and growth. Starch concentrations did not change during light deprivation, suggesting the inhibition of starch utilisation by anaerobic conditions within the plant. Plant death after 30 days was notably faster than previously reported for other species of seagrass. The rapid die-off may be due to a shortage of available carbohydrates or due to a build-up of the phytotoxic end products of anaerobic respiration. Overall, H. ovalis has a very limited tolerance to light deprivation when compared to larger species of seagrass. Consequently, the persistence of this species in coastal marine environments may be dependent upon the occurrence and duration of transient light deprivation events. (C) 1999 Elsevier Science B.V. All rights reserved.</t>
  </si>
  <si>
    <t>10.1016/S0022-0981(98)00137-3</t>
  </si>
  <si>
    <t>Spivak, AC; Vanni, MJ; Mette, EM</t>
  </si>
  <si>
    <t>Moving on up: can results from simple aquatic mesocosm experiments be applied across broad spatial scales?</t>
  </si>
  <si>
    <t>chlorophyll; experimental design; mesocosm; nutrients; scaling</t>
  </si>
  <si>
    <t>ORGANIC-MATTER COMPOSITION; FOOD-CHAIN LENGTH; MICROCOSM EXPERIMENTS; LIMITED RELEVANCE; EXPERIMENTAL ECOSYSTEMS; ENRICHMENT EXPERIMENTS; PHOSPHORUS LIMITATION; EXPERIMENTAL SYSTEMS; MODEL SYSTEMS; NUTRIENT</t>
  </si>
  <si>
    <t>P&gt; Aquatic ecologists use mesocosm experiments to understand mechanisms driving ecological processes. Comparisons across experiments, and extrapolations to larger scales, are complicated by the use of mesocosms with varying dimensions. We conducted a mesocosm experiment over a volumetric scale spanning five orders of magnitude (from 4 L to whole ponds) to determine the generality of algal responses to nutrient enrichment. Recognising that mesocosm dimensions may affect algal growth, we also manipulated the ratio of mesocosm surface area to volume (SA : V) over two levels (high versus low). We used mesocosm tanks of similar size and construction to those commonly used in aquatic experiments to increase the generality of our results. Volume was generally a stronger determinant of algal responses than mesocosm shape (i.e. SA : V). However, the effects of both volume and shape on algae were weak and explained a small portion of the variance in response variables. In addition, there was no consistent, directional relationship (positive or neutral) between mesocosm volume and algal abundance (estimated by chlorophyll concentration). Combined, our findings suggest that results from small-scale experiments, examining the direct response of algae to nutrient enrichment, can probably be 'moved on up' and applied to larger, more natural aquatic systems. Algal response to nutrient enrichment (e.g. nutrient use efficiency and effect size) varied strongly with time. This underscores the importance of choosing an experimental timescale appropriate to the biological and/or ecological process of interest. We compared our results to those from a recent meta-analysis of nutrient-limitation studies that included 359 freshwater pelagic experiments, spanning a wide range of volumetric and temporal scales. Similar findings between this experiment and the meta-analysis indicate that algal response to nutrient enrichment varies little across spatial scales. Therefore, it is probable that results from small-scale pelagic algal nutrient-limitation experiments are relevant to large-scale processes, such as eutrophication.</t>
  </si>
  <si>
    <t>10.1111/j.1365-2427.2010.02495.x</t>
  </si>
  <si>
    <t>Wang, SQ; Wang, XF; Xu, LX; Tian, SQ</t>
  </si>
  <si>
    <t>Feeding habits and trophic niche of rainbow runner Elagatis bipinnulata in the western and central Pacific Ocean</t>
  </si>
  <si>
    <t>Rainbow runner Elagatis bipinnulata; Western and central Pacific Ocean; Feeding habits; Trophic dynamic; Stable isotope</t>
  </si>
  <si>
    <t>STABLE-ISOTOPE; DIET; FISHES; ISLAND; FOOD; TURNOVER; NITROGEN; ECOLOGY; GAIMARD; CARBON</t>
  </si>
  <si>
    <t>Possible changes in the feeding habits and trophic niche width of rainbow runner, Elagatis bipinnulata, were investigated using stomach content analysis (SCA) and stable isotope analysis (SIA). A total of 380 samples were collected as bycatch from tuna purse seine in the western and central Pacific Ocean (WCPO) from 2010 to 2015. The results indicated that the prey groups of E. bipinnulata were composed of fish (74.8%, % by frequency of occurrence), crustaceans (7.0%), cephalopods (2.8%), and digestive mucous with prey wreckage (15.4%). The main species found in the stomach was Decapterus macarellus. There was no obvious variation in the nitrogen stable isotope ratios (delta N-15) among fork length (FL) classes when the smallest size group was not considered. In contrast, there was a significant shift in the carbon stable isotope ratios (delta C-13) between individuals &lt; 55 cm FL and &gt; 55 cm FL (p &lt; 0.01). Additionally, the trophic niche width of E. bipinnulata represented by the corrected standard ellipse area (SEAc) indicated that the trophic niches of E. bipinnulata may behave differently in different size classes because of the variance in feeding ecology or prey preferences at 55-65 cm FL.</t>
  </si>
  <si>
    <t>10.1007/s10641-021-01200-w</t>
  </si>
  <si>
    <t>Radice, VZ; Hoegh-Guldberg, O; Fry, B; Fox, MD; Dove, SG</t>
  </si>
  <si>
    <t>Upwelling as the major source of nitrogen for shallow and deep reef-building corals across an oceanic atoll system</t>
  </si>
  <si>
    <t>coral reef exposure; coral trophic strategy; Indian Ocean; Island Mass Effect; isotopic niche ecology; Maldives; particulate organic matter; upwelling</t>
  </si>
  <si>
    <t>GREAT-BARRIER-REEF; SCLERACTINIAN CORAL; GALAXEA-FASCICULARIS; ISOTOPIC COMPOSITION; MADRACIS-MIRABILIS; STABLE-ISOTOPES; SOUTHERN-OCEAN; RED-SEA; CARBON; GROWTH</t>
  </si>
  <si>
    <t>Oceanographic processes shape coral reefs worldwide by redistributing inorganic nutrients and particulate resources over depth. Deep-water upwelling occurs frequently in coral reef ecosystems, but its impact on coral nutrition remains unclear. This study investigated the influence of upwelling on the trophic ecology of three common reef-building corals (Galaxea fascicularis, Pachyseris speciosa and Pocillopora verrucosa) from different reef depths (shallow reef, 10 m, vs. deep reef, 30 m) and reef exposures (oceanic rim vs. Inner Sea) across &gt; 250 km of the Maldives archipelago, Indian Ocean. Carbon and nitrogen stable isotope ratios (delta C-13 and delta N-15) of coral hosts, their symbionts and particulate organic matter (POM) were used to characterize coral trophic strategies. Across the Maldives, consistent mean delta N-15 values were recorded in hosts (5.5 parts per thousand) and symbionts (5.2 parts per thousand) of the three coral species from shallow and deep reefs of oceanic and Inner Sea reef exposures. Coral hosts, symbionts and POM from both depths had delta N-15 values that were consistent with the isotopic signature of a deep-water nitrate source transported to surface waters via upwelling. In contrast, a wide range of delta C-13 values (similar to 10 parts per thousand) revealed different trophic strategies and isotopic niches among the coral species. Different mean delta C-13 values of G. fascicularis indicated greater symbiont autotrophy in corals from shallow (-15.5 parts per thousand) compared to deep reefs (-17.6 parts per thousand). Conversely, the mean delta C-13 values of P. speciosa (-15.1 parts per thousand) and P. verrucosa (-17.7 parts per thousand) were not affected by reef depth. These corals maintained consistent trophic strategies over depth, with P. speciosa relying more on autotrophy compared to P. verrucosa. Despite different reef exposure to oceanic waters, coral host and POM delta N-15 and delta C-13 values did not differ between oceanic and Inner Sea reef exposures. Nutritional resources appear to be homogenous in the central Maldives due to atoll-wide water circulation. However, species-specific trophic strategies resulted in diverse patterns of delta C-13 values over depth. Because heterotrophic feeding has been linked to coral host survival through coral bleaching events, understanding the trophic ecology of corals within the reef assemblage can provide insight into species resilience under ocean warming conditions. As a member of the typically competitive Pocilloporidae family, the dependence of P. verrucosa on heterotrophy may help this coral be a future winner under sustained ocean warming. A plain language summary is available for this article.</t>
  </si>
  <si>
    <t>10.1111/1365-2435.13314</t>
  </si>
  <si>
    <t>Grant, WE; Peterson, TR; Peterson, MJ</t>
  </si>
  <si>
    <t>Quantitative modeling of coupled natural/human systems: simulation of societal constraints on environmental action drawing on Luhmann's social theory</t>
  </si>
  <si>
    <t>communication; coupled natural/human systems; ecological model; function system; Luhmann; social theory; social model; social system</t>
  </si>
  <si>
    <t>We draw upon Luhmann's social theory to suggest a framework for quantitative modeling of coupled natural/human systems that may be useful in simulating the effect of societal constraints on environmental action. We (1) provide a brief summary of the key aspects of Luhmann's social theory, (2) develop a quantitative model based on this theory and evaluate model sensitivity to changes in parameters representing important aspects of the theory, (3) propose a structural linkage between the social model and biophysical models, and (4) link the social model to a simple ecological model to simulate societal constraints on environmental action. The model consists of six submodels, each representing one of the six subsystems of modern society identified by Luhmann: economy, politics, law, religion, science, and education. State variables within each submodel represent either active entities that randomly exchange units of information daily or repositories of inactive information. The. daily probability that inactive information becomes active increases, and the probability that active information becomes inactive decreases, as the strength of the subsystem increases. Strength is determined by the relative distribution of active information units among the state variables, with maximum strength attained with uniform distribution. Communication among the six subsystems depends on the relative strengths of the subsystems and the frequency with which they resonate with other subsystems. Subsystems communicate externally at the following frequencies: politics once-yearly, economics and education once every 3 months, legal once a month, and religion and science once daily. We investigated model behavior by running a series of replicate stochastic simulations and monitoring system and subsystem strength and robustness and over a period of 10 years. The simulated society was both stable and robust. Both stability and robustness of subsystems were inversely related to the, frequency of communication with other subsystems, and both strength and robustness were more variable for subsystems with higher external communication frequencies. System strength and robustness were most sensitive to changes in factors affecting the. resonance among subsystems. Subsystems open to communication with others on a daily basis (religion and science) exhibited more frequent occurrence of extinction than did subsystems open to external communication less frequently. We explored the model's usefulness in simulating societal constraints on environmental action by coupling it to a simple ecological model that simulates use of a common forage resource. We coupled the models by linking the economic, political, and legal subsystems of society to the environment via a community of resource managers composed of six pairs of ranchers, with each pair sharing a common forage resource. We structured the linkages of the economic and political subsystems with the environment to represent the Prisoner's Dilemma; and the linkages between the legal subsystem and the environment to represent the concept of mutual coercion. We ran two series of simulations in which we 'unlinked' and then 're-linked' the environment to the legal subsystem. Results from the first series of simulations demonstrated the classic ecological tragedy of the commons. Results from the second series of simulations demonstrated the effect of periodically imposed (by mutual coercion) legal restrictions on stocking rates, which allowed recovery of forage resources and supported sustainable profits for ranchers. We also examined the sensitivity of simulation results to changes in the values of key parameters affecting the dynamics of premises as they are communicated between the environment and society and among the subsystems of society. (C) 2002 Elsevier Science B.V. All rights reserved.</t>
  </si>
  <si>
    <t>PII S0304-3800(02)00219-3</t>
  </si>
  <si>
    <t>10.1016/S0304-3800(02)00219-3</t>
  </si>
  <si>
    <t>Booth, AJ; Buxton, CD</t>
  </si>
  <si>
    <t>The biology of the panga, Pterogymnus laniarius (Teleostei: Sparidae), on the Agulhas bank, South Africa</t>
  </si>
  <si>
    <t>slow growth; mortality estimates; late gonochorism; sexual maturity; opportunistic benthic carnivore; management implications</t>
  </si>
  <si>
    <t>PACHYMETOPON-BLOCHII VAL; EAST-COAST; CAPE COAST; PISCES; GROWTH; FISH; REPRODUCTION; PARAMETERS; RESOURCES; PAGRUS</t>
  </si>
  <si>
    <t>Aspects of the biology of the panga, Pterogymnus laniarius, a commercially important endemic southern African, demersal sparid fish species, are described from material collected monthly between February 1994 and July 1995 on the Agulhas Bank, South Africa. Growth studies based on sectioned sagittal otoliths revealed that the panga is relatively slow growing with ages of 16 years being recorded. Growth was best described by the von Bertalanffy growth model as L-t=379.4 (1-e(-0.13(t+/-1.78))). Estimates of total mortality, natural and fishing mortality were estimated at 0.36 year(-1) 0.28 year(-1) and 0.08 year(-1), respectively. Detailed histological examination revealed that panga are late gonochorists, males and females maturing after a non-functional intersexual interval. Females mature at approximately 200 mm fork length or 4 years of age. Reproductive activity occurs throughout the year, peaking slightly in winter when small pelagic eggs are spawned. Gametogenesis was found to be similar to that of other sparid fishes and marine teleosts in general. The panga feeds predominantly on crustaceans with a distinct ontogenetic shift in feeding habits. Juvenile fish feed predominantly in the water column on mysids after which they move to the benthos with subadult fish feeding on ophiuroids and amphipods. Adult fish remain on or near the benthos, feeding predominantly on crabs with polychaetes, ophiuroids and fishes also present in the diet in smaller quantities. Several aspects of the panga's biology such as it's late gonochoristic reproductive style, protracted spawning season, maturation before recruitment and the ability to utilise large areas of the Agulhas Bank by feeding on soft substratum prey are thought to enable this species to sustain a higher fishing pressure than other sympatric sparid species. The panga's longevity, slow growth and high natural mortality rate mitigates against these factors and needs to be considered in the development of a management strategy.</t>
  </si>
  <si>
    <t>10.1023/A:1007362700687</t>
  </si>
  <si>
    <t>Chambers, CA; Dick, TA</t>
  </si>
  <si>
    <t>Trophic structure of one deep-sea benthic fish community in the eastern Canadian Arctic: application of food, parasites and multivariate analysis</t>
  </si>
  <si>
    <t>trophic guilds; arctic marine food webs; parasite communities</t>
  </si>
  <si>
    <t>HERRING CLUPEA-HARENGUS; GUILD STRUCTURE; BIOLOGICAL INDICATORS; STABLE-ISOTOPES; CHILEAN COAST; NICHE; WEB; ECOSYSTEM; ORGANIZATION; POPULATIONS</t>
  </si>
  <si>
    <t>As new arctic marine fisheries develop there is need for a comprehensive ecosystem approach to long-term management. This approach recognizes the importance of community interactions such as food web structure and trophic patterns. We determined whether hierarchical clustering (guild formation) is an effective method of trophic evaluation in deep-sea Artic fish communities using stomach content and parasite data with size class, and evaluated the application of endohelminth communities (parasite species transmitted in the food) as indicators of trophic status. Cluster analysis using food group abundance with size class of fish revealed the presence of 11 guilds within the community, however the same analysis using parasite data showed little correlation between food and parasites. Redundancy analysis (RDA) within the 11 guilds also revealed no significant correlations between food group and parasite abundance suggesting that this type of ordination is not suited for environments containing mainly generalist feeders. RDA of individual taxa without a priori guild designation found that taxa in benthic deep-sea communities are defined by their ability to exploit prey species in more than one habitat zone. Benthic fish species were significantly correlated with benthic food groups and parasites that utilize benthic intermediate hosts whereas benthopelagic-pelagic species fed on a higher diversity of prey species and were infected by a larger number of non-host specific parasites. Eigenanalysis and Monte Carlo results showed that parasites and food groups are highly correlated, indicating that parasite community analysis is an effective tool for predicting feeding strategies in Arctic marine environments. It also suggests that in most cases endoparasite infections alone could be used for trophic evaluation in the absence of stomach content data.</t>
  </si>
  <si>
    <t>10.1007/s10641-005-2922-0</t>
  </si>
  <si>
    <t>Vercauteren, A; De Dobbelaere, I; Grunwald, NJ; Bonants, P; Van Bockstaele, E; Maes, M; Heungens, K</t>
  </si>
  <si>
    <t>Clonal expansion of the Belgian Phytophthora ramorum populations based on new microsatellite markers</t>
  </si>
  <si>
    <t>metalaxyl resistance; nurseries; oomycetes; population genetics; Sudden Oak Death; universal labelling</t>
  </si>
  <si>
    <t>SUDDEN OAK DEATH; 1ST REPORT; FUNGICIDE RESISTANCE; GENOTYPIC DIVERSITY; PRACTICAL EXPERIENCE; METALAXYL RESISTANCE; ORNAMENTAL PLANTS; MATING-TYPE; PATHOGEN; INFESTANS</t>
  </si>
  <si>
    <t>Co-existence of both mating types A1 and A2 within the EU1 lineage of Phytophthora ramorum has only been observed in Belgium, which begs the question whether sexual reproduction is occurring. A collection of 411 Belgian P. ramorum isolates was established during a 7-year survey. Our main objectives were genetic characterization of this population to test for sexual reproduction, determination of population structure, evolution and spread, and evaluation of the effectiveness and impact of control measures. Novel, polymorphic simple sequence repeat (SSR) markers were developed after screening 149 candidate loci. Eighty isolates of P. ramorum, broadly representing the Belgian population, were analyzed using four previously described and three newly identified polymorphic microsatellite loci as well as amplified fragment length polymorphisms. SSR analysis was most informative and was used to screen the entire Belgian population. Thirty multilocus genotypes were identified, but 68% of the isolates belonged to the main genotype EU1MG1. Although accumulated mutation events were detected, the overall level of genetic diversity within the Belgian isolates of P. ramorum appears to be limited, indicating a relatively recent clonal expansion. Based on our SSR analysis there is no evidence of sexual recombination in the Belgian population of P. ramorum. Metalaxyl use decreased the genetic diversity of P. ramorum until 2005, when the majority of the isolates had become resistant. Most genotypes were site-specific and despite systematic removal of symptomatic and neighbouring plants, some genotypes were detected over a period of several years at a single site, sometimes discontinuously, indicating (latent) survival of the pathogen at those sites.</t>
  </si>
  <si>
    <t>10.1111/j.1365-294X.2009.04443.x</t>
  </si>
  <si>
    <t>Berg, S; Pimenov, A; Palmer, C; Emmerson, M; Jonsson, T</t>
  </si>
  <si>
    <t>Ecological communities are vulnerable to realistic extinction sequences</t>
  </si>
  <si>
    <t>FOOD-WEB STRUCTURE; CASCADING EXTINCTIONS; BIODIVERSITY LOSS; SECONDARY EXTINCTIONS; ROBUSTNESS; ECOSYSTEM; RISK; SIZE; COMPLEXITY; TOLERANCE</t>
  </si>
  <si>
    <t>Loss of species will directly change the structure and potentially the dynamics of ecological communities, which in turn may lead to additional species loss (secondary extinctions) due to direct and/or indirect effects (e.g. loss of resources or altered population dynamics). Furthermore, the vulnerability of food webs to repeated species loss is expected to be affected by food web topology, species interactions, as well as the order in which species go extinct. Species traits such as body size, abundance and connectivity might determine a species' vulnerability to extinction and, thus, the order in which species go primarily extinct. Yet, the sequence of primary extinctions, and their effects on the vulnerability of food webs to secondary extinctions, when species abundances are allowed to respond dynamically, has only recently become the focus of attention. Here, we analyse and compare topological and dynamical robustness to secondary extinctions of model food webs, in the face of 34 extinction sequences based on species traits. Although secondary extinctions are frequent in the dynamical approach and rare in the topological approach, topological and dynamical robustness tends to be correlated for many bottom-up directed, but not for top-down directed deletion sequences. Furthermore, removing species based on traits that are strongly positively correlated to the trophic position of species (such as large body size, low abundance, high net effect) is, under the dynamical approach, found to be as destructive as removing primary producers. Such top-down oriented removal of species are often considered to correspond to realistic extinction scenarios, but earlier studies, based on topological approaches, have found such extinction sequences to have only moderate effects on the remaining community. Thus, our result suggests that the structure of ecological communities, and therefore the integrity of important ecosystem processes could be more vulnerable to realistic extinction sequences than previously believed.</t>
  </si>
  <si>
    <t>10.1111/oik.01279</t>
  </si>
  <si>
    <t>Gibbin, E; Gavish, A; Krueger, T; Kramarsky-Winter, E; Shapiro, O; Guiet, R; Jensen, L; Vardi, A; Meibom, A</t>
  </si>
  <si>
    <t>Vibrio coralliilyticus infection triggers a behavioural response and perturbs nutritional exchange and tissue integrity in a symbiotic coral</t>
  </si>
  <si>
    <t>POCILLOPORA-DAMICORNIS; BACTERIAL COMMUNITIES; PATHOGEN; STRESS; DIVERSITY</t>
  </si>
  <si>
    <t>Under homoeostatic conditions, the relationship between the coral Pocillopora damicornis and Vibrio coralliilyticus is commensal. An increase in temperature, or in the abundance of V. coralliilyticus, can turn this association pathogenic, causing tissue lysis, expulsion of the corals' symbiotic algae (genus Symbiodinium), and eventually coral death. Using a combination of microfluidics, fluorescence microscopy, stable isotopes, electron microscopy and NanoSIMS isotopic imaging, we provide insights into the onset and progression of V. coralliilyticus infection in the daytime and at night, at the tissue and (sub-)cellular level. The objective of our study was to connect the macro-scale behavioural response of the coral to the micro-scale nutritional interactions that occur between the host and its symbiont. In the daytime, polyps enhanced their mucus production, and actively spewed pathogens. Vibrio infection primarily resulted in the formation of tissue lesions in the coenosarc. NanoSIMS analysis revealed infection reduced C-13-assimilation in Symbiodinium, but increased C-13-assimilation in the host. In the night incubations, no mucus spewing was observed, and a mucus film was formed on the coral surface. Vibrio inoculation and infection at night showed reduced C-13-turnover in Symbiodinium, but did not impact host C-13-turnover. Our results show that both the nutritional interactions that occur between the two symbiotic partners and the behavioural response of the host organism play key roles in determining the progression and severity of host-pathogen interactions. More generally, our approach provides a new means of studying interactions (ranging from behavioural to metabolic scales) between partners involved in complex holobiont systems, under both homoeostatic and pathogenic conditions.</t>
  </si>
  <si>
    <t>10.1038/s41396-018-0327-2</t>
  </si>
  <si>
    <t>Tucker, S; Bowen, WD; Iverson, SJ; Blanchard, W; Stenson, GB</t>
  </si>
  <si>
    <t>Sources of variation in diets of harp and hooded seals estimated from quantitative fatty acid signature analysis (QFASA)</t>
  </si>
  <si>
    <t>Harp seal; Pagophilus groenlandicus; Hooded seal; Cystophora cristata; Diet segregation; Quantitative fatty acid signature analysis; QFASA</t>
  </si>
  <si>
    <t>DRIFT ICE WATERS; PHOCA-GROENLANDICA; CYSTOPHORA-CRISTATA; NORTHWEST ATLANTIC; DIVING BEHAVIOR; SEX-DIFFERENCES; PAGOPHILUS-GROENLANDICUS; HALICHOERUS-GRYPUS; FORAGING BEHAVIOR; STABLE-ISOTOPES</t>
  </si>
  <si>
    <t>Inter-specific competition for prey is thought to influence the structure of ecological communities and species niche breadth. Harp seals Pagophilus groenlandicus and hooded seals Cystophora cristata are geographically overlapping and highly migratory predators in the North Atlantic ocean. Hooded seals are known to dive deeper and longer than harp seals and are more closely associated with the continental shelf edge and deep ocean. Quantitative fatty acid (FA) signature analysis (QFASA) was recently developed to estimate the species composition of diets by statistically comparing FA signatures of predator adipose tissue with that of potential prey. Using QFASA, we estimated diets for harp (adults, n = 294; juveniles, n = 232) and hooded (adults, n = 115; juveniles, n = 38) seals from the pre- and post-breeding periods between 1994 and 2004. We found evidence of inter- and intra-specific variation in diets, diet quality and breadth, reflecting different foraging tactics. Harp seal diets were comprised predominantly of amphipods, Arctic cod, capelin, herring, sand lance and redfish. Hooded seal diets were composed primarily of amphipods, Atlantic argentine, capelin, euphausiids and redfish. Relative to the other species, harp seals consumed twice the proportion of amphipods, while hooded seals consumed 3 times the proportion of redfish; percentages of capelin were similar. QFASA provided new evidence of the importance of amphipods in the diets of both species and of the pronounced differences in the proportions of pelagic forage fish between demographic groups.</t>
  </si>
  <si>
    <t>10.3354/meps08000</t>
  </si>
  <si>
    <t>Sellers, AJ; Leung, B; Altieri, AH; Glanz, J; Turner, BL; Torchin, ME</t>
  </si>
  <si>
    <t>Seasonal upwelling reduces herbivore control of tropical rocky intertidal algal communities</t>
  </si>
  <si>
    <t>bottom&amp;#8208; up control; community assembly; Eastern Pacific; mollusks; nutrient subsidies; oceanography; spatial; temporal; top&amp;#8208; down control</t>
  </si>
  <si>
    <t>BOTTOM-UP; EXPLOITATION ECOSYSTEMS; SPATIAL VARIATION; EL-NINO; CONSUMERS; ISLAND; PANAMA; PREY; GRADIENTS; DYNAMICS</t>
  </si>
  <si>
    <t>Communities are shaped by a variety of ecological and environmental processes, each acting at different spatial scales. Seminal research on rocky shores highlighted the effects of consumers as local determinants of primary productivity and community assembly. However, it is now clear that the species interactions shaping communities at local scales are themselves regulated by large-scale oceanographic processes that generate regional variation in resource availability. Upwelling events deliver nutrient-rich water to coastal ecosystems, influencing primary productivity and algae-herbivore interactions. Despite the potential for upwelling to alter top-down control by herbivores, we know relatively little about the coupling between oceanographic processes and herbivory on tropical rocky shores, where herbivore effects on producers are considered to be strong and nutrient levels are considered to be limiting. By replicating seasonal molluscan herbivore exclusion experiments across three regions exposed to varying intensity of seasonal upwelling, separated by hundreds of kilometers along Panama's Pacific coast, we examine large-scale environmental determinants of consumer effects and community structure on tropical rocky shores. At sites experiencing seasonal upwelling, grazers strongly limited macroalgal cover when upwelling was absent, leading to dominance by crustose algae. As nutrients increased and surface water cooled during upwelling events, increases in primary productivity temporarily weakened herbivory, allowing foliose, turf and filamentous algae to replace crusts. Meanwhile, grazer effects were persistently strong at sites without seasonal upwelling. Our results confirm that herbivores are key determinants of tropical algal cover, and that the mollusk grazing guild can control initial stages of macroalgal succession. However, our focus on regional oceanographic conditions revealed that bottom-up processes regulate top-down control on tropical shorelines. This study expands on the extensive body of work highlighting the influence of upwelling on local ecological processes by demonstrating that nutrient subsidies delivered by upwelling events can weaken herbivory in tropical rocky shores.</t>
  </si>
  <si>
    <t>e03335</t>
  </si>
  <si>
    <t>10.1002/ecy.3335</t>
  </si>
  <si>
    <t>Hart, DD; Calhoun, AJK</t>
  </si>
  <si>
    <t>Rethinking the role of ecological research in the sustainable management of freshwater ecosystems</t>
  </si>
  <si>
    <t>interdisciplinary research; knowledge-to-action; problem solving; sustainability science; vernal pools</t>
  </si>
  <si>
    <t>RANA-SYLVATICA; HABITAT; SCIENCE; CONSEQUENCES; ENVIRONMENT; AMPHIBIANS; MORTALITY; KNOWLEDGE; OUTCOMES; POOLS</t>
  </si>
  <si>
    <t>1. Despite the dramatic growth in the understanding of freshwater ecosystems in recent decades, many analyses indicate that the magnitude, complexity and urgency of freshwater environmental problems are increasing rather than decreasing. This pattern serves as a sobering reminder that ecological science is necessary but not sufficient for addressing a wide range of sustainability challenges and suggests the need for alternative strategies that can increase the effectiveness of science in environmental problem solving. 2. One key step in efforts to link knowledge with action more effectively is to use a conceptual model that examines factors leading to mismatches between the demand for science to achieve various societal goals and the supply of scientific information by researchers. Some common examples of supply and demand mismatches include instances where scientific information is provided but not needed, is needed but not provided, is not sufficiently trusted or reliable or conflicts with user's values or interests. 3. Recent work in sustainability science and related fields suggests that such mismatches can be reduced by more careful attention to the design of interdisciplinary research programmes and stakeholder partnerships. For example, research should be salient to the concerns of stakeholders. Research also needs to be independent and objective, so that it is credible to stakeholders. Moreover, researchers should work with stakeholders in ways that foster legitimate decision-making processes. We show how such design criteria can help in identifying and overcoming potential obstacles which limit the influence of ecological research on decision making. 4. These strategies are illustrated by a collaborative programme designed to promote the sustainable management of vernal pools in the northeastern U.S.A. These unique ecosystems are vulnerable to multiple stressors associated with urbanisation, forest management and climate change. An interdisciplinary team of researchers with a wide array of expertise (e.g., ecology, economics, communication, institutional governance, regional planning and forestry) has established a long-term partnership with multiple levels of government, the private sector, conservation organisations and citizens. Using a variety of approaches for linking knowledge with action, this programme has helped produce new land use regulations and management practices designed to balance economic development and vernal pool protection. 5. Thematic implications: freshwater ecosystems are increasingly impaired by multiple stressors that are usually the product of complex interactions between socioeconomic and biophysical factors. Thus, an understanding of the biophysical causes and consequences of such impairment will rarely be sufficient for achieving sustainable management policies and practices. Rather, we need a more integrative and action-oriented approach that explicitly acknowledges the strong coupling between natural and human systems and focuses on reciprocal interactions between knowledge-generating and decision-making processes. We believe that the emerging field of sustainability science holds considerable promise for strengthening connections between knowledge and action.</t>
  </si>
  <si>
    <t>10.1111/j.1365-2427.2009.02370.x</t>
  </si>
  <si>
    <t>Arantes, CC; Winemiller, KO; Petrere, M; Freitas, CEC</t>
  </si>
  <si>
    <t>Spatial variation in aquatic food webs in the Amazon River floodplain</t>
  </si>
  <si>
    <t>fish; freshwater; fluvial systems; stable isotope; carbon; nitrogen; landscape; spatial variation; production source; scale; tropics; Brazil</t>
  </si>
  <si>
    <t>STABLE-ISOTOPE RATIOS; CARBON-SOURCES; DISCRIMINATION FACTORS; FRUGIVOROUS FISHES; TEMPORAL VARIATION; TROPHIC POSITION; ORGANIC-MATTER; PLANT NITROGEN; MODELS; SCALE</t>
  </si>
  <si>
    <t>Food webs are spatially variable and temporally dynamic in heterogeneous and species-rich river floodplains. However, empirical evidence that shows how food webs vary across landscapes and scales in river-floodplain ecosystems is limited, especially in the tropics. Here, we evaluate how the flow of energy and matter varies among food webs in aquatic habitats and across scales in the lower Amazon River floodplains. We surveyed 109 habitats across 19 floodplain units (lake systems) and analyzed the isotopic composition of primary production sources and fish tissues to estimate relative contributions of these sources to fish biomass at local and regional scales. Basal production sources and fish species each varied considerably in their carbon and nitrogen isotopic ratios across the floodplain landscape. Aquatic macrophytes and suspended particulate organic material in the water column were inferred to be the principal basal sources contributing to the biomass of most fish species at the regional scale. However, the estimated contribution of different production sources to fish biomass varied, on average, by similar to 40% across lake systems. The sources estimated to contribute most to fish biomass at the regional scale were sometimes unimportant in certain species and lake systems. Conversely, the least important sources at the regional scale were sometimes very important at the local scale. Spatial variation in the isotopic composition of production sources and fishes, and the proportional contributions of sources to fish biomass in the Amazon River floodplain, are probably influenced by multiple factors including variation in the quality and quantity of basal sources. Future stable isotope investigations of aquatic food webs of river-floodplain systems should consider not only suitable replication and appropriate temporal scale, but also spatial scale.</t>
  </si>
  <si>
    <t>10.1086/701841</t>
  </si>
  <si>
    <t>Fujii, S; Haraguchi, TF; Tayasu, I</t>
  </si>
  <si>
    <t>Radiocarbon signature reveals that most springtails depend on carbon from living plants</t>
  </si>
  <si>
    <t>Collembola; isotope analysis; root-derived carbon; soil fauna; terrestrial carbon cycle</t>
  </si>
  <si>
    <t>FOREST SOIL; FOOD-WEB; STABLE-ISOTOPES; N-15 ABUNDANCE; COLLEMBOLA; NITROGEN; C-14; FUNGI; DIETS; ROOTS</t>
  </si>
  <si>
    <t>Terrestrial carbon cycling is largely mediated by soil food webs. Identifying the carbon source for soil animals has been desired to distinguish their roles in carbon cycling, but it is challenging for small invertebrates at low trophic levels because of methodological limitations. Here, we combined radiocarbon (C-14) analysis with stable isotope analyses (C-13 and N-15) to understand feeding habits of soil microarthropods, especially focusing on springtail (Collembola). Most Collembola species exhibited lower Delta C-14 values than litter regardless of their delta C-13 and delta N-15 signatures, indicating their dependence on young carbon. In contrast with general patterns across all taxonomic groups, we found a significant negative correlation between delta N-15 and Delta C-14 values among the edaphic Collembola. This means that the species with higher delta N-15 values depend on C from more recent photosynthate, which suggests that soil-dwelling species generally feed on mycorrhizae to obtain root-derived C. Many predatory taxa exhibited higher Delta C-14 values than Collembola but lower than litter, indicating non-negligible effects of collembolan feeding habits on the soil food web. Our study demonstrated the usefulness of radiocarbon analysis, which can untangle the confounding factors that change collembolan delta N-15 values, clarify animal feeding habits and define the roles of organisms in soil food webs.</t>
  </si>
  <si>
    <t>10.1098/rsbl.2021.0353</t>
  </si>
  <si>
    <t>Wigand, C; Eagle, M; Branoff, BL; Balogh, S; Miller, KM; Martin, RM; Hanson, A; Oczkowski, AJ; Huertas, E; Loffredo, J; Watson, EB</t>
  </si>
  <si>
    <t>Recent Carbon Storage and Burial Exceed Historic Rates in the San Juan Bay Estuary Peri-Urban Mangrove Forests (Puerto Rico, United States)</t>
  </si>
  <si>
    <t>mangrove; urbanization; tropical forest; soil carbon burial; CO2 emissions; carbon accumulation; carbon storage; peri-urban mangrove</t>
  </si>
  <si>
    <t>ORGANIC-CARBON; BLUE CARBON; NUTRIENT; METABOLISM; PB-210; GROWTH; ENERGY; STOCKS; C-13</t>
  </si>
  <si>
    <t>Mangroves sequester significant quantities of organic carbon (C) because of high rates of burial in the soil and storage in biomass. We estimated mangrove forest C storage and accumulation rates in aboveground and belowground components among five sites along an urbanization gradient in the San Juan Bay Estuary, Puerto Rico. Sites included the highly urbanized and clogged Cano Martin Pena in the western half of the estuary, a series of lagoons in the center of the estuary, and a tropical forest reserve (Pinones) in the easternmost part. Radiometrically dated cores were used to determine sediment accretion and soil C storage and burial rates. Measurements of tree dendrometers coupled with allometric equations were used to estimate aboveground biomass. Estuary-wide mangrove forest C storage and accumulation rates were estimated using interpolation methods and coastal vegetation cover data. In recent decades (1970-2016), the highly urbanized Martin Pena East (MPE) site with low flushing had the highest C storage and burial rates among sites. The MPE soil carbon burial rate was over twice as great as global estimates. Mangrove forest C burial rates in recent decades were significantly greater than historic decades (1930-1970) at Cano Martin Pena and Pinones. Although MPE and Pinones had similarly low flushing, the landscape settings (clogged canal vs forest reserve) and urbanization (high vs low) were different. Apparently, not only urbanization, but site-specific flushing patterns, landscape setting, and soil fertility affected soil C storage and burial rates. There was no difference in C burial rates between historic and recent decades at the San Jose and La Torrecilla lagoons. Mangrove forests had soil C burial rates ranging from 88 g m(-2) y(-1) at the San Jose lagoon to 469 g m(-2) y(-1) at the MPE in recent decades. Watershed anthropogenic CO2 emissions (1.56 million Mg C y(-1)) far exceeded the annual mangrove forest C storage rates (aboveground biomass plus soils: 17,713 Mg C y(-1)). A combination of maintaining healthy mangrove forests and reducing anthropogenic emissions might be necessary to mitigate greenhouse gas emissions in urban, tropical areas.</t>
  </si>
  <si>
    <t>10.3389/ffgc.2021.676691</t>
  </si>
  <si>
    <t>Zhao, N; Meng, P; He, YB; Yu, XX</t>
  </si>
  <si>
    <t>Interaction of CO2 concentrations and water stress in semiarid plants causes diverging response in instantaneous water use efficiency and carbon isotope composition</t>
  </si>
  <si>
    <t>LEAF GAS-EXCHANGE; MESOPHYLL CONDUCTANCE; ELEVATED CO2; STOMATAL CONDUCTANCE; STABLE-ISOTOPES; ATMOSPHERIC CO2; ORGANIC-MATTER; NITROGEN USE; TREE-RINGS; DISCRIMINATION</t>
  </si>
  <si>
    <t>In the context of global warming attributable to the increasing levels of CO2, severe drought may be more frequent in areas that already experience chronic water shortages (semiarid areas). This necessitates research on the interactions between increased levels of CO2 and drought and their effect on plant photosynthesis. It is commonly reported that C-13 fractionation occurs as CO2 gas diffuses from the atmosphere to the substomatal cavity. Few researchers have investigated C-13 fractionation at the site of carboxylation to cytoplasm before sugars are exported outward from the leaf. This process typically progresses in response to variations in environmental conditions (i.e., CO2 concentrations and water stress), including in their interaction. Therefore, saplings of two typical plant species (Platycladus orientalis and Quercus variabilis) from semiarid areas of northern China were selected and cultivated in growth chambers with orthogonal treatments (four CO2 concentration ([CO2]) x five soil volumetric water content (SWC)). The delta C-13 of water-soluble compounds extracted from leaves of saplings was determined for an assessment of instantaneous water use efficiency (WUEcp) after cultivation. Instantaneous water use efficiency derived from gas-exchange measurements (WUEge ) was integrated to estimate differences in delta C-13 signal variation before leaf-level translocation of primary assimilates. The WUEge values in P. orientalis and Q. variabilis both decreased with increased soil moisture at 35-80% of field capacity (FC) and increased with elevated [CO2] by increasing photosynthetic capacity and reducing transpiration. Instantaneous water use efficiency (iWUE) according to environmental changes differed between the two species. The WUEge in P. orientalis was significantly greater than that in Q. variabilis, while an opposite tendency was observed when comparing WUEcp between the two species. Total C-13 fractionation at the site of carboxylation to cytoplasm before sugar export (total C-13 fractionation) was species-specific, as demonstrated in the interaction of [CO2] and SWC. Rising [CO2] coupled with moistened soil generated increasing disparities in delta C-13 between water-soluble compounds (delta C-13(WSC)) and estimates based on gas-exchange observations (delta C-13(obs)) in P. orientalis, ranging between 0.0328 and 0.0472 %. Differences between delta C-13(WSC) and delta C-13(obs) in Q. variabilis increased as [CO2] and SWC increased (0.0384-0.0466 %). The C-13 fractionation from mesophyll conductance (g(m)) and post-carboxylation both contributed to the total C-13 fractionation that was determined by delta C-13 of water-soluble compounds and gas-exchange measurements. Total C-13 fractionation was linearly dependent on stomatal conductance, indicating that post-carboxylation fractionation could be attributed to environmental variation. The magnitude and environmental dependence of apparent post-carboxylation fractionation is worth our attention when addressing photosynthetic fractionation.</t>
  </si>
  <si>
    <t>10.5194/bg-14-3431-2017</t>
  </si>
  <si>
    <t>Tripathi, V; Dubey, RK; Singh, HB; Singh, N; Abhilash, PC</t>
  </si>
  <si>
    <t>Is Vigna radiata (L.) R. Wilczek a suitable crop for Lindane contaminated soil?</t>
  </si>
  <si>
    <t>Persistent organic pollutants; Organochlorine pesticide; Lindane; Vigna radiata (L.) R. Wilczek; Phytoaccumulation; Maximum residue limit</t>
  </si>
  <si>
    <t>ORGANOCHLORINE PESTICIDES; REMEDIATION; DISSIPATION; CHALLENGE</t>
  </si>
  <si>
    <t>Lindane (gamma-hexachlorocyclohexane) is an organochlorine pesticide recently included in the Stockholm list of persistent organic pollutants for global elimination. However, India is still allowed to use lindane for combating vector borne diseases. Because of its large scale utilization during the last few decades, lindane residue is reported from almost all agricultural soils of India. So there is an immediate need to monitor the accumulation of lindane residue in crop plants growing in contaminated systems and suitable strategies should be taken to prevent the possible entry of lindane in food chain. Therefore, in the present study, we studied the accumulation and translocation of lindane in Vigna radiata (L.) R. Wilczek (Mung bean), a widely grown legume in India as a cheap source of protein. The test plant was grown in four different concentrations of lindane viz. 5, 10, 15 and 20 mu g g(-1) soils and harvested at 15 and 45 days and at maturity. The experimental results showed that irrespective of the exposure days, the accumulation of lindane in plant parts were linearly correlated (r(2) = 0.915) with the lindane concentration in soil. However, the lindane concentration in soil significantly reduced the growth and yield (number of pods, pod length, number of seeds and seed weight) of the test plants at 95% confidence level (alpha = 5). At maturity, the concentration of lindane in whole plant (root + shoot + leaf + seed) growing at four different concentrations were reached up to 3.8, 9.4, 13.5 and 17.79 mu g g(-1) dry matter, respectively. Worryingly, lindane residue was found in the seeds of test plants grown at 10,15 and 20 mu g g(-1) soils and the concentrations were detected as 0.2, 0.4 and 0.89 mu g g(-1) dry seed, respectively. Most importantly, the residue level detected in the edible part was higher than the maximum residue limit set by WHO and Codex Alimentarious Commission (0.1 mu g g(-1)). Thus our study suggests that Mung bean is not a suitable crop for medium to high level lindane contaminated soil. (C) 2014 Elsevier B.V. All rights reserved.</t>
  </si>
  <si>
    <t>10.1016/j.ecoleng.2014.09.056</t>
  </si>
  <si>
    <t>Watanuki, Y; Yamashita, A; Ishizuka, M; Ikenaka, Y; Nakayama, SMM; Ishii, C; Yamamoto, T; Ito, M; Kuwae, T; Trathan, PN</t>
  </si>
  <si>
    <t>Feather mercury concentration in streaked shearwaters wintering in separate areas of southeast Asia</t>
  </si>
  <si>
    <t>Geolocator; Migration; delta N-15; Breeding</t>
  </si>
  <si>
    <t>CALONECTRIS-LEUCOMELAS; MOLTING STRATEGIES; MIGRATORY SEABIRD; CORYS SHEARWATERS; PELAGIC SEABIRD; STABLE-ISOTOPES; DIOMEDEA; BEHAVIOR; SEX; ALBATROSSES</t>
  </si>
  <si>
    <t>We measured mercury concentration ([Hg]) and nitrogen stable isotope values (delta N-15) in tail feathers that were replaced during the non-breeding period of streaked shearwaters Calonectris leucomelas that bred on 3 islands in Japan. The birds' year-round movements were tracked and their breeding status was monitored. [Hg] was greater in males than in females, and was greatest in those birds spending their non-breeding period in the South China Sea (3.1 +/- 1.5 mu g g(-1) dry weight), moderate in birds in the Arafura Sea (1.5 +/- 0.7 mu g g(-1)), and lowest in birds in the Pacific Ocean north of New Guinea (0.8 +/- 0.4 mu g g(-1)). Adverse effects of feather [Hg] on breeding status were not observed. This regional variation in feather [Hg] might partly reflect differences in the intake of Hg between these non-breeding areas in addition to accumulation during the late breeding period and the southward migration period.</t>
  </si>
  <si>
    <t>10.3354/meps11669</t>
  </si>
  <si>
    <t>Hou, EQ; Chen, CR; Wen, DZ; Kuang, YW; Sun, FF</t>
  </si>
  <si>
    <t>Plant and soil delta C-13 and delta N-15 are linked to community biomass, litter production, and litter turnover rate in mature subtropical forests</t>
  </si>
  <si>
    <t>Natural isotope abundance; Community biomass; Litter production; Litter turnover; Nutrient availability; Mature forests</t>
  </si>
  <si>
    <t>CARBON-ISOTOPE DISCRIMINATION; N-15 NATURAL-ABUNDANCE; PHOSPHORUS LIMITATION; NITROGEN RELATIONSHIPS; MINERAL-NUTRITION; STABLE-ISOTOPES; GLOBAL PATTERNS; FOLIAR; PHOTOSYNTHESIS; LEAVES</t>
  </si>
  <si>
    <t>The natural abundance of C-13 and N-15 can integrate information on the dynamics of C and N, respectively. This study tested whether and how delta C-13 and delta N-15 of the plant and soil samples (including leaf, forest floor litters, fine roots, and 0-15 cm mineral soil) can detect local variations in community biomass, litter production, and litter turnover rate were explored in eight mature subtropical forests in southern China. Community biomass, litter production, and litter turnover rate were significantly positively correlated with each other and revealed similar correlations with other plant and soil parameters. Leaf delta C-13 was significantly negatively correlated with litter production, suggesting the stomatal regulation of leaf gas exchange. Similar correlations were also observed for delta C-13 of the mineral soil and other plant materials. Leaf and forest floor litters delta N-15 were positively correlated with community biomass, litter production, and litter turnover rate. Such correlations were significantly positively mediated by soil availability of P rather than N, as demonstrated by the multiple regression analysis. In contrast, fine roots delta N-15 was not related significantly to community biomass, litter production, or litter turnover rate. Significant differences in delta C-13 and delta N-15 among forests were related to the species composition, topography conditions, and land use history. Our results suggest that delta C-13 and delta N-15 of most plant and soil samples can indicate local variations in community biomass, litter production, and litter turnover rate in mature subtropical forests. Better understanding of these linkages could significantly improve our knowledge of C and N dynamics in forest ecosystems.</t>
  </si>
  <si>
    <t>10.1007/s11258-015-0473-9</t>
  </si>
  <si>
    <t>Acevedo, J; Urban, J</t>
  </si>
  <si>
    <t>Estimates of Fuegian sprat consumption by humpback whales in the Magellan Strait feeding area as predicted by a bioenergetic model</t>
  </si>
  <si>
    <t>Bioenergetic model; Prey consumption; Humpback whale; Megaptera novaeangliae; Fuegian sprat; Sprattus fueguensis; Magellan Strait</t>
  </si>
  <si>
    <t>ATLANTIC RIGHT WHALES; MEGAPTERA-NOVAEANGLIAE; BALAENOPTERA-PHYSALUS; SENSITIVITY-ANALYSIS; AQUATIC ORGANISMS; STABLE-ISOTOPES; FIN WHALES; BODY-FAT; ENERGY; BALEEN</t>
  </si>
  <si>
    <t>Knowing the biomass of prey consumed by a marine predator is a prerequisite for assessing the potential of the predator for competition with fisheries. Here, we estimated the biomass of Fuegian sprat Sprattus fueguensis consumed annually by a small subpopulation of humpback whales Megaptera novaeangliae in the Magellan Strait feeding area. We used a velocitydependent bioenergetic model that integrates annual energy requirements by sex, age class, and reproductive status, proportion of Fuegian sprat in the diet, and annual population size of whales. The annual energy required in kcal per individual whale was estimated to be 18.88 x 10(7) for calves, 27.92 x 10(7) for adults, 30.71 x 10(7) for pregnant females, and 42.59 x 10(7) for lactating females. These estimates result in an energy requirement of 19.32 x 10(9) and 23.41 x 10(9) for a seasonal abundance of 78 and 96 whales, respectively. Bayesian dietary mixing models predict that Fuegian sprat represented between 27 and 33% of the diet of the whales. This implies that humpback whales remove between 2965 and 3896 t of Fuegian sprat per year during a feeding period of 120 d. However, if estimates are extended to an abundance of 204 humpback whales during the period 2004-2017, the consumption is elevated to 8167-8383 t yr(-1). The estimates provided here are useful to apply as input data for consumption by humpback whales in the Fuegian sprat fishery management as well as for conservation plans of this small and vulnerable feeding subpopulation of humpback whales.</t>
  </si>
  <si>
    <t>10.3354/meps13543</t>
  </si>
  <si>
    <t>Feranec, RS; MacFadden, BJ</t>
  </si>
  <si>
    <t>Isotopic discrimination of resource partitioning among ungulates in C-3-dominated communities from the Miocene of Florida and California</t>
  </si>
  <si>
    <t>FOSSIL TOOTH ENAMEL; CARBON ISOTOPES; OXYGEN ISOTOPES; STABLE-ISOTOPES; ATMOSPHERIC CO2; CLIMATE-CHANGE; NORTH-AMERICA; GREAT-PLAINS; BONE PHOSPHATE; LEAF WATER</t>
  </si>
  <si>
    <t>Stable isotope analysis of mammalian tooth enamel is a valuable method for examining resource partitioning in modern and ancient environments where there is a mixture of C-3 and C-4 plants. However, before 7 Ma North American ecosystems were composed predominantly of C-3 plants, complicating isotopic assessment of resource partitioning. Study of modern African and North American ecosystems has shown that niche partitioning among mammals may be discerned in Communities dominated by C-3 plants, suggesting that a similar approach may work for ancient C-3 ecosystems. Here, such analyses are applied to explore resource use and niche partitioning in two ancient C-3-dominated communities, one from California and one from Florida. Each locality, Black Hawk Ranch (California) and the Love Bone Bed (Florida), occurs in Miocene deposits that accumulated prior to the rapid increase in C-4 ecosystems 7 Myr ago. delta C-13 and delta O-18 values were obtained from the tooth enamel of eight species from Black Hawk Ranch, and 15 species from the Love Bone Bed. Results from the 197 bulk isotope samples showed significant differences in delta C-13 among taxa at the Love Bone Bed, but no significant differences were observed among taxa at Black Hawk Ranch. At both localities, equids generally have more positive delta C-13 values than co-occurring taxa, suggesting that equids occupied more open habitats, whereas antilocaprids, camelids, and proboscideans have more negative values, implying utilization of more closed communities. One result of note is the positive delta C-13 values of Pediomeryx (Yumaceras) hamiltoni from the Love Bone Bed, which suggests that P (Y) hamiltoni incorporated abundant fiber, possibly grass, in the diet similar to the horses from this locality. The lack of significant differences among taxa at Black Hawk Ranch may indicate a relatively homogeneous flora, or presence of abundant resources permitting niche overlap, whereas the opposite is implied by the presence of significantly different isotope values among taxa at the Love Bone Bed. The results from this study highlight the utility of isotopic techniques allowing discernment of resource partitioning in C-3-dominated landscapes such as those that persisted for the millions of years before the rapid increase in C-4 ecosystems that occurred during the late Miocene.</t>
  </si>
  <si>
    <t>10.1666/05006.1</t>
  </si>
  <si>
    <t>Kuo, YM; Sepulveda, MS; Hua, I; Ochoa-Acuna, HG; Sutton, TM</t>
  </si>
  <si>
    <t>Bioaccumulation and biomagnification of polybrominated diphenyl ethers in a food web of Lake Michigan</t>
  </si>
  <si>
    <t>Polybrominated diphenyl ethers; Decabromodiphenyl ether; Biomagnification; Bioaccumulation; Food web; Lake Michigan</t>
  </si>
  <si>
    <t>POLYCHLORINATED-BIPHENYLS PCBS; BROMINATED FLAME RETARDANTS; PIKE ESOX-LUCIUS; DECABROMODIPHENYL ETHER; NITROGEN ISOTOPES; TROPHIC TRANSFER; STABLE CARBON; GREAT-LAKES; FISH; FRESH</t>
  </si>
  <si>
    <t>Polybrominated diphenyl ethers are hydrophobic chemicals and can biomagnify in food chains. Little is known about the biomagnification of PBDEs in the Lake Michigan food web. Plankton, Diporeia, lake whitefish, lake trout, and Chinook salmon were collected from Lake Michigan in 2006 between April and August. Fish liver and muscle and whole invertebrates were analyzed for six PBDEs (BDE-47, 99, 100, 153, 154, and 209). Carbon and nitrogen stable isotope ratios (delta C-13 and delta N-15) were also quantified in order to establish the trophic structure of the food web. Geometric means of Sigma PBDE concentrations in fish ranged from 0.562 to 1.61 mu g/g-lipid. BDE-209 concentrations ranged from 0.184 to 1.23 mu g/g-lipid in all three fish species. Sigma BDE-47, 99, and 209 comprised 80-94% of Sigma PBDE molar concentration. Within each fish species, there were no significant differences in PBDE concentrations between liver and muscle. The highest concentration of BDE-209 ( 144 mu g/g-lipid) was detected in Diporeia. Based on analysis of delta N-15 and PBDE concentrations, BDE-47 and 100 were found to biomagnify, whereas BDE-209 did not. A significant negative correlation between BDE-209 and trophic level was found in this food web. Biomagnification factors were also calculated and again BDE-47 and 100 biomagnified between food web members whereas BDE-209 did not. Diporeia could be one of the main dietary sources of BDE-209 for fish in Lake Michigan; BDE-47 and 100 biomagnified within this food chain; the concentration of BDE-209 decreased at higher trophic levels, suggesting partial uptake and/or biotransformation of BDE-209 in the Lake Michigan food web.</t>
  </si>
  <si>
    <t>10.1007/s10646-009-0431-1</t>
  </si>
  <si>
    <t>Twidwell, D; Fuhlendorf, SD; Taylor, CA; Rogers, WE</t>
  </si>
  <si>
    <t>Refining thresholds in coupled fire-vegetation models to improve management of encroaching woody plants in grasslands</t>
  </si>
  <si>
    <t>fire intensity; fire physics; fire trap; grassland; juniper; positive feedback; regime shifts; resilience; restoration ecology; state and transition model</t>
  </si>
  <si>
    <t>REDCEDAR JUNIPERUS-VIRGINIANA; EASTERN RED-CEDAR; TALLGRASS PRAIRIE; ECOLOGICAL THRESHOLDS; RESTORATION ECOLOGY; ASHE JUNIPER; SAVANNA; DYNAMICS; TRANSITION; CONVERSION</t>
  </si>
  <si>
    <t>Restoration priorities are typically established without quantitative information on how to overcome the thresholds that preclude successful restoration of desirable ecosystem properties and services. We seek to demonstrate that quantifying ecological thresholds and incorporating them into management-oriented frameworks provide a more comprehensive perspective on how the threshold concept can be applied to achieve restoration goals. As an example, restoration actions have been largely unsuccessful when based on prevailing ecological knowledge of fire-based thresholds in nonresprouting Juniperus woodland. We build on previous threshold-based research and link well-established models from applied fire physics with a widely applied ecological positive feedback model of woody plant encroachment to introduce a more comprehensive understanding of the mechanism influencing fire intensity and juniper mortality. Our coupling of physical and ecological fire models revealed a critical knowledge gap, a lack of a quantitative estimate on the critical surface fire intensity required to cause mortality of Juniperus ashei trees, which limits the linking of scientific knowledge from these two disciplines. To quantify the relationship between fire intensity and J.ashei mortality, we input data from a previous experiment into Byram's fireline intensity model. This critical surface fire intensitymortality threshold was estimated to be Is&gt;160kJm1s1. This value establishes a specific threshold that managers should target when attempting to use restoration to collapse J.ashei woodlands. Synthesis and applications. For scientific information associated with the threshold concept to be useful to practitioners, specific information is needed that demonstrates how to use restoration activities to overcome thresholds and collapse the current, degraded state in favour of a more desired ecological state. With this in mind, we present a broadly applicable decision support model within a state and transition framework that identifies the ecological states where the surface fire intensitymortality threshold is most likely to meet restoration objectives and provides examples of how fuel properties that drive fire intensity should be targeted in restoration to surpass this threshold.</t>
  </si>
  <si>
    <t>10.1111/1365-2664.12063</t>
  </si>
  <si>
    <t>Oliveira, TS; Xavier, DD; Santos, LD; Passos, TU; Sanders, CJ; Franca, EJ; Camargo, PB; Penny, D; Barcellos, RL</t>
  </si>
  <si>
    <t>Reconstructing the history of environmental impact in a tropical mangrove ecosystem: A case study from the Suape port-industrial complex, Brazil</t>
  </si>
  <si>
    <t>Mangrove; Anthropogenic impact; Tropical estuary; 210Pb; delta C-13 and delta N-15</t>
  </si>
  <si>
    <t>SOURCE IDENTIFICATION; NITROGEN; ESTUARY; BAY; SEDIMENTS; CARBON; PB-210; RATES</t>
  </si>
  <si>
    <t>Mangrove ecosystems can record biogeochemical and sedimentary signatures in their stratigraphic column. This study examines a mangrove sediment core to evaluate the potential environmental impact of a large-scale port-industrial construction in a tropical lagoonal-estuary near Recife, NE Brazil. Here, we measure sediment accretion rate (SAR), carbon and nitrogen stable isotopes (delta C-13 and delta N-15), total organic matter (TOM), total nitrogen (TN), total organic carbon (TOC), and carbonate content (CaCO3) to determine the impact of Suape's Port-Industrial Complex in the adjacent estuarine system. We identify a high SAR (1.37 cm yr(-1)) and propose three main depositional phases in the 82 cm sediment core. The first phase (circa 1956-1973) corresponds to the period prior to the installation of the Suape port complex, where the sediments are characterized by containing sand and organic material derived from terrestrial sources. The second phase (c. 1976-1986) shows signatures that reflect the installation of the Suape port complex and the intensification of the sugarcane monoculture in the catchment area. This phase shows an increase of mud and carbonate content, interpreted as a predominance of marine sediment source due to the morphological changes along the estuary. The third and final phase (c. 1986-2015) contains fluctuating results, reflecting an increase of land use, but not as intense as the period after the installation of the port complex (phase 2). Our results show a biogeochemical and sediment signature shifts directly related to anthropogenic impacts and natural factors. Overall, this study reveals a shift in the sediment sources and composition in the Suape estuarine system as a consequence of human development adjacent to estuarine areas and the resilience of mangrove ecosystems to adapt to anthropogenic impact. (C) 2021 Elsevier B.V. All rights reserved.</t>
  </si>
  <si>
    <t>10.1016/j.rsma.2021.101747</t>
  </si>
  <si>
    <t>Burress, ED</t>
  </si>
  <si>
    <t>Ecological diversification associated with the pharyngeal jaw diversity of Neotropical cichlid fishes</t>
  </si>
  <si>
    <t>adaptive radiation; Cichlidae; co-evolution; dentition; functional morphology; guild; niche; pharyngognathy</t>
  </si>
  <si>
    <t>PHENOTYPIC PLASTICITY; SYMPATRIC SPECIATION; FEEDING PERFORMANCE; STABLE-ISOTOPES; DIET SHIFTS; TELEOSTEI; CONVERGENCE; EVOLUTION; STATES; DIFFERENTIATION</t>
  </si>
  <si>
    <t>1. Innovations can facilitate bursts of diversification by increasing access to novel resources and the attainment of novel functional designs. Pharyngognathy, exhibited by highly diverse groups such as wrasses and cichlid fishes, is hypothesized to increase foraging capacity and efficiency. 2. Here, I test the hypothesis that pharyngeal jaw shape and tooth morphology are adaptive in an ecologically diverse radiation of Neotropical cichlid fishes that spans North, Central and South America. 3. I partitioned species into generalized trophic guilds using published stomach content analyses and quantified shape variation of the lower pharyngeal jaw (LPJ) using geometric morphometrics. Additionally, I tested for convergence in LPJ shape and trophic guild by mapping the phylogeny onto the principal components and testing for shifts towards similar evolutionary regimes. 4. Major LPJ shape variation included the length and orientation (i.e. narrow or wide) of the lateral processes and length of the medial process, which varied based on the proportion of fishes and plants consumed. Pharyngeal tooth number, diversity and the frequency of tooth types were not evenly distributed among trophic guilds. There were seven distinct evolutionary regimes that converged upon four optima. 5. Pharyngeal jaw diversification is associated with the exploitation of novel resources among Neotropical cichlids such that pharyngeal specialization has increased access to otherwise poorly accessible resources, such as resources that are difficult to crush (e.g. hard-shelled organisms) and assimilate (e.g. algae).</t>
  </si>
  <si>
    <t>10.1111/1365-2656.12457</t>
  </si>
  <si>
    <t>Schrope, MK; Chanton, JP; Allen, LH; Baker, JT</t>
  </si>
  <si>
    <t>Effect of CO2 enrichment and elevated temperature on methane emissions from rice, Oryza sativa</t>
  </si>
  <si>
    <t>carbon dioxide; methane; porosity; rice; temperature; wetlands</t>
  </si>
  <si>
    <t>CARBON-DIOXIDE; ATMOSPHERIC METHANE; METHYL-FLUORIDE; SEASONAL-VARIATION; STABLE ISOTOPES; GROWTH-RATE; EXCHANGE; METHANOGENESIS; OXIDATION; BACTERIA</t>
  </si>
  <si>
    <t>Methane emissions from rice grown within Temperature Gradient Greenhouse Tunnels under doubled CO2 concentrations were 10-45 times less than emissions from control plants grown under ambient CO2. For two cultivars of rice (cvs. Lemont and IR-72), methane emissions increased with a temperature increase of 2 degrees, from outdoor ambient temperatures to the first cell of the ambient CO2 tunnel (ambient temperature + 2 degrees C). Within both tunnels and for both cultivars methane emissions decreased with further temperature increases (from 2 degrees to 5 degrees C above ambient). Carbon dioxide enrichment stimulated both above- and below-ground production. Our original hypothesis was that increased CO2 would stimulate plant productivity and therefore stimulate methane emission, since direct linkages between these parameters have been observed. We hypothesize that CO2 enrichment led to the attenuation of methane production due to increased delivery of oxygen to the rhizosphere because of increased root biomass and porosity. The increased root biomass due to elevated CO2 may have more effectively aerated the soil, suppressing methane production. However, this study may be unique because the low organic content (&lt;1%) of the sandy soils in which the rice was grown created very little oxygen demand.</t>
  </si>
  <si>
    <t>10.1111/j.1365-2486.1999.00252.x</t>
  </si>
  <si>
    <t>Jennings, S; Pinnegar, JK; Polunin, NVC; Boon, TW</t>
  </si>
  <si>
    <t>Weak cross-species relationships between body size and trophic level belie powerful size-based trophic structuring in fish communities</t>
  </si>
  <si>
    <t>allometry; body size; food web; life history; phylogeny; trophic level</t>
  </si>
  <si>
    <t>LIFE-HISTORY TACTICS; LONG-TERM CHANGES; STABLE-ISOTOPES; NORTH-SEA; BIOMASS SPECTRA; MARINE; ABUNDANCE; ECOSYSTEM; GROWTH; INDICATORS</t>
  </si>
  <si>
    <t>1. Body size determines rates of respiration and production, energy requirements, mortality rates, patterns of predation and vulnerability to mortality. Body size distributions are often used to describe structure and energy flux in communities and ecosystems. 2. If clear relationships can be established between body size and trophic level in fishes, they may provide a basis for integrating community and ecosystem analyses based on size spectra, food webs and life histories. 3. We investigated relationships between the body sizes (weight and length) of northeast Atlantic fishes and their trophic level. The abundance of N-15, as determined by stable isotope analysis, was used as an index of trophic level. 4. Cross-species and comparative analyses demonstrated that body size was unrelated or weakly related to trophic level. Thus allometric relationships between body size and trophic level could not be used to predict the trophic structure of fish communities. 5. The results of the cross-species analyses contrasted with patterns in the size and trophic structure of entire fish communities. When fish communities were divided into size classes, there were strong positive relationships between size class and trophic level. The slope suggested a mean predator : prey body mass ratio of 80 : 1. 6. Our results suggest that body size does not provide a useful surrogate of trophic level for individual species, but that body size is an excellent predictor of trophic level within the community, providing an empirical basis for integrating community analyses based on models of trophic structure and body size distributions.</t>
  </si>
  <si>
    <t>10.1046/j.0021-8790.2001.00552.x</t>
  </si>
  <si>
    <t>Collins, SM; Kohler, TJ; Thomas, SA; Fetzer, WW; Flecker, AS</t>
  </si>
  <si>
    <t>The importance of terrestrial subsidies in stream food webs varies along a stream size gradient</t>
  </si>
  <si>
    <t>STABLE-ISOTOPE ANALYSIS; ENVIRONMENTAL WATER; PRIMARY CONSUMERS; TROPHIC DYNAMICS; LIFE-HISTORIES; HYDROGEN; CARBON; SUPPORT; METABOLISM; RESOURCE</t>
  </si>
  <si>
    <t>Cross system subsidies of energy and materials can be a substantial fraction of food web fluxes in ecosystems, especially when autochthonous production is strongly limited by light or nutrients. We explored whether assimilation of terrestrial energy varied in specific consumer taxa collected from streams of different sizes and resource availabilities. Since headwater streams are often unproductive, we expected that inputs from surrounding terrestrial systems (i.e. leaf litter, terrestrial invertebrates) would be a more important food source for consumers than in mid-size rivers that have more open canopies and higher amounts of primary production available for consumers. We collected basal resources, invertebrates, and fish along a gradient in stream size in the Adirondack Mountains (NY, USA) and in Trinidad and Tobago and analyzed all samples for hydrogen isotopes as a means of differentiating biomass derived from allochthonous versus autochthonous sources. We found significant differences in allochthonous energy use within individual consumer taxa, showing that some taxa range from being entirely allochthonous to entirely autochthonous depending on where they were collected on the stream size gradient (grazers and collector-gatherer functional feeding groups), while other taxa are relatively fixed in the source of energy they assimilate (shredder and predator functional feeding groups). Consistent with expectations, allochthonous energy use was positively correlated with canopy cover in both regions for most feeding groups, with individuals from small, shaded streams having a more pronounced allochthonous signal than individuals collected from larger streams with less canopy cover. However, consumers in the shredder/detritivore feeding group did not vary among sites in their allochthonous energy use, and had a mostly allochthonous signal regardless of canopy cover and algal biomass. Our results demonstrate that the importance of energy from terrestrial subsidies can vary markedly but are similar in both temperate and tropical streams, suggesting a widely consistent pattern.</t>
  </si>
  <si>
    <t>10.1111/oik.02713</t>
  </si>
  <si>
    <t>Levine, MR; Muller-Parker, G</t>
  </si>
  <si>
    <t>Distribution patterns and nutritional contributions of algal symbionts in the sea anemone Anthopleura xanthogrammica</t>
  </si>
  <si>
    <t>Zoochlorellae; Zooxanthellae; Temperate symbiosis; Anthopleura xanthogrammica</t>
  </si>
  <si>
    <t>ELEGANTISSIMA BRANDT CNIDARIA; ROCKY INTERTIDAL ZONE; BODY-TEMPERATURE; THERMAL-STRESS; CLIMATE-CHANGE; A. XANTHOGRAMMICA; STABLE ISOTOPES; ZOOXANTHELLAE; ZOOCHLORELLAE; PHOTOBIOLOGY</t>
  </si>
  <si>
    <t>The Pacific intertidal sea anemone Anthopleura xanthogrammica hosts 2 algal symbionts, zoochlorellae Elliptochloris marina and zooxanthellae Symbiodinium muscatinei, either alone or co-occurring. Previous studies have suggested that zoochlorellae and zooxanthellae represent 'cool' and 'warm' symbionts with respect to their field distributions, and that these symbionts may differ in their nutritional contributions to their host. We examined the seasonal distribution, density, and growth of these symbionts in A. xanthogrammica tentacles from tidepools and surge channels on the Olympic peninsula in Washington State, USA, measured temperature variation between these microhabitats, and estimated the contributions of zoochlorellae to A. xanthogrammica diet. Tentacles containing dense concentrations of zoochlorellae were found in both tidepools and surge channels at the lower intertidal limit of anemone occurrence. At the upper intertidal limit, tentacles containing primarily zoochlorellae were found in tidepools, and tentacles containing primarily zooxanthellae were found in surge channels. More extreme high temperatures in the upper surge channel may limit the distribution of zoochlorellae and favor a higher proportion of zooxanthellae in this microhabitat. Despite pronounced seasonal fluctuations in temperature, symbiont composition, density, and dietary carbon sources remained remarkably consistent. Stable isotope analysis showed that A. xanthogrammica received a greater proportion of dietary carbon from zoochlorellae (62-70%) than from heterotrophic feeding on Mytilus californianus mussels (31-38%). This study shows that dense concentrations of zoochlorellae are found in A. xanthogrammica tentacles in cooler microhabitats, and that this symbiont can contribute substantially to anemone nutrition.</t>
  </si>
  <si>
    <t>10.3354/meps09602</t>
  </si>
  <si>
    <t>Williamson, TR; Tilley, DR; Campbell, E</t>
  </si>
  <si>
    <t>Emergy analysis to evaluate the sustainability of two oyster aquaculture systems in the Chesapeake Bay</t>
  </si>
  <si>
    <t>Oyster aquaculture; Emergy analysis; Environmental sustainability; Environmental impact</t>
  </si>
  <si>
    <t>CRASSOSTREA-VIRGINICA GMELIN; SHELLFISH AQUACULTURE; HABITAT; IMPACT; GROWTH; TRANSFORMITY; CYCLES; WATER; SEA</t>
  </si>
  <si>
    <t>Oyster aquaculture is a growing industry in Maryland, USA and other coastal regions with significant estuaries that naturally provide the necessary salinity, food resources, and water flow for oyster growth. Although scientists, industry, and policy-makers promote oyster aquaculture as a sustainable business, studies to determine the environmental sustainability of oyster farming have focused on local environmental impacts without an analysis of the resources required and the overall ecological support needed to maintain a productive oyster farm. Since oyster aquaculture is a coupling of the human economy and the estuarine environment, understanding the sustainability of oyster aquaculture requires quantifying both the efforts of humans and the work of nature required to operate the farms. Emergy analysis, a quantitative tool for evaluating the energy and resources needed to support a process or product, converts the work of nature and human effort into a single metric, the solar emjoule (sej) for ease of comparison. The conversion allows the direct comparison of system flows of differing inputs, outputs and environmental impacts. This study compares two oyster (Crassostrea virginica) aquaculture farms in the Chesapeake Bay (Maryland, USA) that use differing methods of cultivation - floating rafts and on-bottom cages through an emergy analysis. Our results showed that both farms are intensive systems driven primarily by imported emergy from the economy such as human labor, hatchery products, fuels, goods, and services. In comparison with other aquaculture products, cage- and raft-grown oyster production is supported by a higher percent of local renewable emergy (23% and 28%, respectively), in the form of particulate organic matter and estuarine water circulation. Our results showed a lower environmental loading ratio (3.2 and 2.5, respectively) than other forms of aquaculture; however the emergy yield ratio (1.3 and 1.4) was comparable to other aquaculture products. Between the two methods of rearing oysters, floating cage aquaculture had a lower environmental impact and a higher percentage of renewable emergy due to closer proximity to shore, which reduced motor fuel use, labor, and services. However floating cage used more emergy from hatchery products, due to the purchase of larger spat. Overall, we determined that oyster aquaculture has a lower global environmental impact, higher sustainability rating, and a higher net benefit to society than other forms of aquaculture. Reducing fuel use by locating aquaculture zone close to shore in floating cages and reducing electricity use by accessing natural water flows to drive upweller systems during the nursery stage are two opportunities to enhance sustainability of oyster aquaculture systems. (C) 2015 Elsevier B.V. All rights reserved.</t>
  </si>
  <si>
    <t>10.1016/j.ecoleng.2015.09.052</t>
  </si>
  <si>
    <t>Merrill, GB; Testa, JW; Burns, JM</t>
  </si>
  <si>
    <t>Maternal foraging trip duration as a population-level index of foraging and reproductive success for the northern fur seal</t>
  </si>
  <si>
    <t>Pup mass; Northern fur seal; Callorhinus ursinus; Walleye pollock; Gadus chalcogrammus; VHF telemetry; Bering Sea; Pribilof Islands</t>
  </si>
  <si>
    <t>CALLORHINUS-URSINUS; ARCTOCEPHALUS-GAZELLA; ADULT FEMALE; BEHAVIOR; HABITAT; GROWTH; DIET; SURVIVAL; ISLAND; MASS</t>
  </si>
  <si>
    <t>The duration of maternal foraging trips has been regarded as an indicator of foraging conditions in many marine mammals, including northern fur seals Callorhinus ursinus (NFS). However, previous work has focused on individual variation, was conducted during limited portions of the lactation period, and/or reached conclusions based on relatively small sample sizes. Here, we build upon the substantial foundations of this previous work to establish maternal foraging trip duration (MFTD) as an index of foraging success at the rookery level. We found that a 1 d increase in rookery-averaged MFTD corresponded to a 6.52 % reduction in the average mass of female pups. Furthermore, rookery-averaged MFTD increased by 0.34 d per 1 degrees C increase in average ocean bottom temperature. The magnitude of variation observed in both MFTD and pup mass is likely too small to help explain the general decline in population size seen over recent decades. However, the correlation between rookery-averaged MFTD and pup mass highlights the potential power of the MFTD index to detect bottom-up effects on pup growth, a likely indicator of survival. Furthermore, when compared with concurrently conducted studies on prey distribution, availability, and quality, the relationship between MFTD and bottom temperature suggests a northward shift in distribution of NFS preferred prey, walleye pollock Gadus chalcogrammus, that is associated with an increase in trip duration across the study period. Thus, rookery-averaged MFTD is a promising metric for tracking broad environmental changes, such as northerly shifts in the Eastern Bering Sea cold pool.</t>
  </si>
  <si>
    <t>10.3354/meps13694</t>
  </si>
  <si>
    <t>Studer, MS; Siegwolf, RTW; Leuenberger, M; Abiven, S</t>
  </si>
  <si>
    <t>Multi-isotope labelling of organic matter by diffusion of H-2/O-18-H2O vapour and C-13-CO2 into the leaves and its distribution within the plant</t>
  </si>
  <si>
    <t>RESOLUTION MASS-SPECTROMETRY; STABLE-ISOTOPES; CARBON ISOTOPES; LEAF WATER; OXYGEN; SOIL; CELLULOSE; HYDROGEN; CO2; FRACTIONATION</t>
  </si>
  <si>
    <t>Isotope labelling is a powerful tool to study elemental cycling within terrestrial ecosystems. Here we describe a new multi-isotope technique to label organic matter (OM). We exposed poplars (Populus deltoides x nigra) for 14 days to an atmosphere enriched in (CO2)-C-13 and depleted in (H2O)-H-2-O-18. After 1 week, the water-soluble leaf OM ((delta C-13= 1346 162 parts per thousand) and the leaf water were strongly labelled (delta O-18= -63 +/- 8, (delta H-2= 156 +/- 15 %o). The leaf water isotopic composition was between the atmospheric and stem water, indicating a considerable back-diffusion of vapour into the leaves (58-69%) in the opposite direction to the net transpiration flow. The atomic ratios of the labels recovered (O-18/C-13, H-2/C-13) were 2-4 times higher in leaves than in the stems and roots. This could be an indication of the synthesis of more condensed compounds in roots and stems (e.g. lignin vs. cellulose) or might be the result of 0 and H exchange and fractionation processes during phloem transport and biosynthesis. We demonstrate that the three major OM elements (C, 0, H) can be labelled and traced simultaneously within the plant. This approach could be of interdisciplinary interest in the fields of plant physiology, palaeoclimatic reconstruction or soil science.</t>
  </si>
  <si>
    <t>10.5194/bg-12-1865-2015</t>
  </si>
  <si>
    <t>Kakela, R; Furness, RW; Kahle, S; Becker, PH; Kakela, A</t>
  </si>
  <si>
    <t>Fatty acid signatures in seabird plasma are a complex function of diet composition: a captive feeding trial with herring gulls</t>
  </si>
  <si>
    <t>calibration study; diet; fatty acids; feeding experiment; herring gull; Larus argentatus; seabirds</t>
  </si>
  <si>
    <t>NORTH-SEA; BROILER-CHICKENS; ARACHIDONIC-ACID; LIPID-METABOLISM; MARINE CARNIVORE; STABLE-ISOTOPES; PREDATOR DIETS; BETA-OXIDATION; ADIPOSE-TISSUE; LINOLEIC-ACID</t>
  </si>
  <si>
    <t>Tissue fatty acid signatures (FAS) can complement traditional methods of studying seabird diets. Although plasma lipid FAS are known to indicate dietary changes qualitatively, here we test whether they can be used to determine the proportions of different dietary items in a quantitative manner. Captive herring gulls (Larus argentatus) were fed North Atlantic plaice Pleuronectes platessa (demersal species made available to wild seabirds by fisheries) and herring Clupea harengus (pelagic fish often found naturally in their diet) with different mixing ratios (0%, 10%, 20% and 50% herring). Major fatty acids did not indicate diet, but several minor components in plasma, for example, 14 : 0, 18 : 3n-3, 18 : 4n-3 and C20-22 monounsaturated fatty acids (MUFA), showed good correlations with diet composition. Different fatty acids were incorporated from diet into plasma lipids with different calibration coefficients. Together with dose-dependent but inefficient (low calibration coefficient) transfer of 22 : 1n-11 (a major fatty acid of herring) to the plasma FAS of the gulls, the percentages of potential chain shortening products of 22 : 1n-11, that is, 20 : 1n-11, 18 : 1n-11 and 16 : 1n-11 increased with increasing proportion of herring in the diet. Notably, the dietary supply of these fatty acids itself did not change. Thus the metabolic products of certain dietary fatty acids can reflect the amount of their dietary precursors in a quantitative way. Despite the fact that many major fatty acids in FAS of seabird plasma are greatly modified by endogenous metabolism, several minor components of FAS (in this experiment 14 : 0, branched chain 17 : 0, 18 : 1n-7, 18 : 3n-3, 18 : 4n-3, C20-22 MUFA with their chain shortening products, and 22 : 4n-6) that can be accurately and reliably quantified by gas chromatography, vary proportionally to diet composition, allowing their use for monitoring temporal and spatial differences in seabird diet.</t>
  </si>
  <si>
    <t>10.1111/j.1365-2435.2008.01475.x</t>
  </si>
  <si>
    <t>Albergaria-Barbosa, ACR; Schefuss, E; Taniguchi, S; Santos, PS; Cunha-Lignon, M; Tassoni, M; Figueira, RCL; Mahiques, MM; Bicego, MC</t>
  </si>
  <si>
    <t>Characterization of the organic matter produced by Atlantic Rainforest plants and its influence in the surface sediments deposited in a protected subtropical Estuarine-Lagoon system</t>
  </si>
  <si>
    <t>n-alkanes; Isotopes; Riparian vegetation; Mangrove; Aquatic macrophytes; Canan?ia-Iguape Estuarine-Lagoon-system</t>
  </si>
  <si>
    <t>CARBON ISOTOPIC COMPOSITION; N-ALKANE DISTRIBUTIONS; IGUAPE COASTAL SYSTEM; SALT-MARSH; POTENTIAL INDICATORS; LIPID BIOMARKERS; STABLE-ISOTOPE; SAO-PAULO; LEAF; TERRESTRIAL</t>
  </si>
  <si>
    <t>The aim of the present study was to characterize the distribution and sources of terrigenous organic matter (OM) in surface sediments of a subtropical estuarine-lagoon system surrounded by the Atlantic Rainforest. n-Alkanes and their isotopic composition were evaluated in 20 surface sediment samples, as well as in leaves from nine representative plant species collected from the Cananeia-Iguape Estuarine- Lagoon System (CIELS; Brazil). According to the calculated n-alkanes indices, the analyzed plants could be grouped as monocotyledonous (aquatic productivity index [Paq] &gt; 0.1; carbon preference index [CPI] &lt; 6), dicotyledonous (Paq &lt; 0.1; CPI &gt; 10), mangrove (average chain length [ACL23-33] &lt; 29; ratio of n-C31 over n-C29 concentration [Norm31] &lt; 0.1) and riparian (ACL23-33 &gt; 29; Norm31 &gt; 0.2) vegetation. delta 13C n-alkane values were higher (&gt; -26%o) in the C4 aquatic macrophyte analyzed (Spartina alterniflora), with intermediate values (-30 to -27%o) for the pteridophyte (Pteridium aquilinum), and lower values for the C3 species (&lt;-31%o). In sediment, total n-alkanes, total organic carbon, and total nitrogen concentrations ranged from 510 to 10,000 ng g-1 in dry sediment, 0.15 to 6.37% and not detected to 0.74%, respectively, being governed by the mud composition. ACL23-33 and the Norm31 values ranged from 29.0 to 30.4 and 0.39 to 0.57, respectively. Paq and CPI values ranged from 0.06 to 0.25 and 4.2 to 6.6, respectively. These indexes showed that the main terrigenous OM source to CIELS sediment was the riparian vegetation, coming from the rivers that discharge into the system. The n-alkanes delta 13C composition, ranging from -36.0 +/- 0.0 to -24.8 +/- 0.3%o, also showed contributions of macrophytes input to the deposited OM. The influence of mangrove trees is not dominant but increases in the CIELS eastern region, where this kind of vegetation is more developed.(c) 2022 Elsevier B.V. All rights reserved.</t>
  </si>
  <si>
    <t>10.1016/j.rsma.2022.102728</t>
  </si>
  <si>
    <t>Paez-Hosas, D; Galvan-Magana, F; Baque-Menoscal, J; Tripp-Valdez, A; Fischer, C; Hearn, A</t>
  </si>
  <si>
    <t>Trophic preferences of three pelagic fish inhabiting the Galapagos Marine Reserve: ecological inferences using multiple analyses</t>
  </si>
  <si>
    <t>Trophic niche; Galapagos Marine Reserve; Interspecific differences; Prey-Specific Index; Isotopic signatures</t>
  </si>
  <si>
    <t>TUNA THUNNUS-ALBACARES; JUVENILE YELLOWFIN TUNA; ACANTHOCYBIUM-SOLANDRI; KATSUWONUS-PELAMIS; STOMACH CONTENTS; FEEDING-HABITS; DISCRIMINATION FACTORS; FISHERIES MANAGEMENT; STABLE-ISOTOPES; CARBON ISOTOPES</t>
  </si>
  <si>
    <t>There is a great need to understand how resource interactions alter the functioning of ecosystems, where the selective elimination of pelagic fishes can lead to changes in food web structure. This work analyzes the trophic niches of three species of commercial importance in the Galapagos Marine Reserve, yellowfin tuna, Thunnus albacares (TA), skipjack tuna, Katsuwonus pelamis (KP), and wahoo, Acanthocybium solandri (AS), via multiple analyses. According to the prey-specific index of relative importance, the most important prey for TA was Dosidicus gigas, while for AS it was unidentified pelagic fish. Interspecific differences were found between the isotopic signatures of AS and those of TA and KP. The isotope mixing model provides evidence for some predominance of D. gigas in the diets of TA and KP, while the fishes Selar crumenophthalmus and Paranthias colonus contribute to the diet of AS. The stable isotope Bayesian ellipses show a high overlap between TA and KP, suggesting a similar use of resources and feeding areas, while the ellipse of AS does not overlap with that of the other species. Both AS and TA were present around the islands more commonly during the day, with a peak in detections in the morning for AS and a greater presence of TA throughout the afternoon; there were only a few detections of KP in the days immediately after tagging. In summary, the results of this study suggest a pelagic foraging strategy with differential consumption of prey between AS and the other species.</t>
  </si>
  <si>
    <t>10.1007/s10641-020-00967-8</t>
  </si>
  <si>
    <t>Matimati, I; Verboom, GA; Cramer, MD</t>
  </si>
  <si>
    <t>Do hydraulic redistribution and nocturnal transpiration facilitate nutrient acquisition in Aspalathus linearis?</t>
  </si>
  <si>
    <t>Hydraulic lift; Mass-flow; Nighttime transpiration; Cape Floristic Region; Fynbos</t>
  </si>
  <si>
    <t>CARBON-ISOTOPE DISCRIMINATION; SOIL-WATER; ARTEMISIA-TRIDENTATA; NIGHTTIME TRANSPIRATION; PHOSPHORUS ACQUISITION; STABLE-ISOTOPES; PLANT-ROOTS; LIFT; NITROGEN; NITRATE</t>
  </si>
  <si>
    <t>The significance of soil water redistribution by roots and nocturnal transpiration for nutrient acquisition were assessed for deep-rooted 3-year-old leguminous Aspalathus linearis shrubs of the Cape Floristic Region (South Africa). We hypothesised that hydraulic redistribution and nocturnal transpiration facilitate nutrient acquisition by releasing moisture in shallow soil to enable acquisition of shallow-soil nutrients during the summer drought periods and by driving water fluxes from deep to shallow soil powering mass-flow nutrient acquisition, respectively. A. linearis was supplied with sub-surface (1-m-deep) irrigation rates of 0, 2 or 4 L day(-1) plant(-1). Some plants were unfertilized, whilst others were surface- or deep-fertilized (1 m depth) with (NaNO3)-N-15 and CaP/FePO4. We also supplied deuterium oxide ((H2O)-H-2) at 1 m depth at dusk and measured its predawn redistribution to shallow soil and plant stems. Hydraulic redistribution of deep water was substantial across all treatments, accounting for 34-72 % of surface-soil predawn moisture. Fourteen days after fertilization, the surface-fertilized plants exhibited increased hydraulic redistribution and increased N-15 and P acquisition with higher rates of deep-irrigation. Deep-fertilization also increased hydraulic redistribution to surface soils, although these plants additionally accumulated (H2O)-H-2 in their stem tissue overnight, probably due to nocturnal transpiration. Plants engaged in nocturnal transpiration also increased N-15 and P acquisition from deep fertilizer sources. Thus, both nocturnal transpiration and hydraulic redistribution increased acquisition of shallow soil N and P, possibly through a combination of increased nutrient availability and mobility.</t>
  </si>
  <si>
    <t>10.1007/s00442-014-2987-6</t>
  </si>
  <si>
    <t>KOTLER, BP; BROWN, JS; SLOTOW, RH; GOODFRIEND, WL; STRAUSS, M</t>
  </si>
  <si>
    <t>THE INFLUENCE OF SNAKES ON THE FORAGING BEHAVIOR OF GERBILS</t>
  </si>
  <si>
    <t>PREDATOR-PREY INTERACTIONS; SAND DUNE HABITATS; DESERT RODENTS; OWL PREDATION; RISK; COMPETITION; SELECTION; RATES; DIET; FISH</t>
  </si>
  <si>
    <t>Predation may have profound effects on the behavior of prey individuals with consequences for population dynamics and community structure. Here, we report on an experiment in which we examine the response of two gerbil species (Gerbillus allenbyi and G. pyramidum) to the presence of a snake predator, the desert diadema snake (Spalerosophus diadema), and to added illumination (a factor associated with increased risk of predation from owls). We measured rodent foraging behavior by the number of seed trays foraged in each microhabitat and amount of seed resources left in patches following exploitation by gerbils (giving-up densities; GUDs). Fewer seed trays foraged and higher GUDs are indicative of higher perceived predatory risk. Accordingly, both species foraged fewer seed trays in response to illumination, and G. pyramidum foraged fewer trays in the bush microhabitat. In response to the presence of snakes, G. pyramidum foraged fewer resource patches in the absence of added illumination. Overall, this species preferred the open microhabitat and may have intensified its use of the open in the presence of snakes. In contrast, G. allenbyi intensified its use of the bush microhabitat in the presence of added illumination. Both gerbil species left resource patches at a higher GUD in response to illumination and to snakes. While the GUD of G. allenbyi did not differ between microhabitats, G. pyramidum had a higher GUD in the bush than open microhabitat. Thus, gerbils altered their use of resource patches in response to the risk of predation. Predator facilitation is a higher order interaction in which the presence of one predator species makes it easier for another predator to capture prey. Predator facilitation may result when different predators place conflicting demands on the appropriate behavioral response of their prey. This requires that prey can distinguish among predator species and respond accordingly. We have previously shown experimentally that predation by owls causes G. allenbyi and G. pyramidum to alter their foraging activity; they shift their foraging effort away from risky patches in the open microhabitat and towards safer patches in the bush. Our current work shows that the gerbils also respond to snakes, and their response to snakes is qualitatively different than their response to owls. In accord with predator facilitation, our results support the hypothesis that owls exert a greater risk in the open microhabitat, and snakes may pose a greater threat in the bush microhabitat.</t>
  </si>
  <si>
    <t>10.2307/3545476</t>
  </si>
  <si>
    <t>Bajzak, CE; Cote, SD; Hammill, MO; Stenson, G</t>
  </si>
  <si>
    <t>Intersexual differences in the postbreeding foraging behaviour of the Northwest Atlantic hooded seal</t>
  </si>
  <si>
    <t>Cystophora cristata; Sex differences; Foraging ecology; Diving behaviour; Seasonal home range</t>
  </si>
  <si>
    <t>SEXUAL-SIZE DIMORPHISM; CYSTOPHORA-CRISTATA; DIVING BEHAVIOR; GREY SEALS; REPRODUCTIVE EXPENDITURE; CAPITAL BREEDER; STABLE-ISOTOPES; ELEPHANT SEALS; RESOURCE USE; SEGREGATION</t>
  </si>
  <si>
    <t>Sexual dimorphism and different reproductive strategies lead males and females to forage differently among a wide range of species. We used dive and location data collected from 23 hooded seals Cystophora cristala captured in the Gulf of St Lawrence (Canada) during the period from March to June, 1992 to 2005, as proxies for foraging behaviour, Females spent 12 d longer than males in the Gulf before undertaking their migration to Greenland. Females and males greatly overlapped on a horizontal scale but were segregated on a vertical scale, females diving on average 70 m shallower than males during the few weeks preceding the migration and 40 m deeper than males following the migration. Both sexes spent similar amounts of tune diving and showed significant diet variation in dive depth but, remained at significant depths at night (&gt; 200 m), suggesting that both sexes foraged mostly on benthopelagic prey. The relatively minor differences in foraging behaviour observed between sexes may be explained by similar mass loss during the reproduction and the constraints related to the extensive annual migration.</t>
  </si>
  <si>
    <t>10.3354/meps08015</t>
  </si>
  <si>
    <t>Kuglerova, L; Jansson, R; Agren, A; Laudon, H; Malm-Renofalt, B</t>
  </si>
  <si>
    <t>Groundwater discharge creates hotspots of riparian plant species richness in a boreal forest stream network</t>
  </si>
  <si>
    <t>boreal forest; groundwater discharge; Krycklan catchment; riparian zone; soil nitrogen; soil pH; species richness; terrestrial subsidy; vascular plants</t>
  </si>
  <si>
    <t>HYDROLOGICAL CHANGE; VEGETATION; ECOLOGY; WATER; FLOW; PATTERNS; GRADIENT; INDEX; ZONES; RIVER</t>
  </si>
  <si>
    <t>Riparian vegetation research has traditionally focused on channel-related processes because riparian areas are situated on the edge of aquatic ecosystems and are therefore greatly affected by the flow regime of streams and rivers. However, due to their low topographic position in the landscape, riparian areas receive significant inputs of water and nutrients from uplands. These inputs may be important for riparian vegetation, but their role for riparian plant diversity is poorly known. We studied the relationship between the influx of groundwater (GW) from upland areas and riparian plant diversity and composition along a stream size gradient, ranging from small basins lacking permanent streams to a seventh-order river in northern Sweden. We selected riparian sites with and without GW discharge using a hydrological model describing GW flow accumulation to test the hypothesis that riparian sites with GW discharge harbor plant communities with higher species richness. We further investigated several environmental factors to detect habitat differences between sites differing in GW discharge conditions. Vascular plant species richness was between 15% and 20% higher, depending on the spatial scale sampled, at riparian sites with GW discharge in comparison to non-discharge sites, a pattern that was consistent across all stream sizes. The elevated species richness was best explained by higher soil pH and higher nitrogen availability (manifested as lower soil C/N ratio), conditions which were positively correlated with GW discharge. Base cations and possibly nitrogen transported by groundwater may therefore act as a terrestrial subsidy of riparian vegetation. The stable isotopes N-15 and C-13 were depleted in soils from GW discharge compared to non-discharge sites, suggesting that GW inputs might also affect nitrogen and carbon dynamics in riparian soils. Despite the fact that many flows of water and nutrients reaching streams are filtered through riparian zones, the importance of these flows for riparian vegetation has not been appreciated. Our results demonstrated strong relationships between GW discharge, plant species richness and environmental conditions across the entire stream size gradient, suggesting that both river hydrology and upland inputs should be considered to fully understand riparian vegetation dynamics.</t>
  </si>
  <si>
    <t>10.1890/13-0363.1</t>
  </si>
  <si>
    <t>Platell, ME; Potter, IC</t>
  </si>
  <si>
    <t>Partitioning of food resources amongst 18 abundant benthic carnivorous fish species in marine waters on the lower west coast of Australia</t>
  </si>
  <si>
    <t>benthic; diets; mouth morphology; ontogeny; resource partitioning; Australia</t>
  </si>
  <si>
    <t>REPRODUCTIVE-BIOLOGY; MOUTH MORPHOLOGY; INTERSPECIFIC COMPETITION; PAREQUULA-MELBOURNENSIS; FEEDING RELATIONSHIPS; FIELD EXPERIMENTS; AGE STRUCTURES; BODY-SIZE; DIETS; HABITAT</t>
  </si>
  <si>
    <t>The volumetric contributions made by prey and plant material to the diets of 4 elasmobranch and 14 teleost species, collected seasonally by trawling from waters along ca. 200 km of the lower west coast of Australia, have been compared. These benthic carnivores, which were all abundant and collectively contributed 83% to the total number of fish caught, represented nine families (Urolophidae, Scorpaenidae, Triglidae, Platycephalidae. Sillaginidae, Carangidae, Gerreidae, Mullidae and Pempherididae). Some species were numerous in both shallow (5-15 m) and deeper (20-35 m) waters and in both northern and southern regions, whereas others were largely confined to one of these water depths or regions. Comparisons between the diets of the different species, which utilised data collected from individuals throughout the study area, demonstrated that the dietary composition of any given species was almost invariably significantly different from that of every other species. This partly reflected the fact that, while errant polychaetes, gammarid amphipods and tanaids were ingested by all species, their contributions to the diets of the different species varied. Furthermore, echinoderms contributed to the diets of just nine species, and this was substantial only in the case of two sillaginid species, while teleosts were never consumed by six species and only made a marked contribution to the diets of the single species of platycephalid. The diet of each species underwent size-related changes, reflecting a shift from the consumption by smaller fish of prey such as amphipods, mysids and copepods, to the ingestion by larger fish of prey such as polychaetes. carid decapods, isopods and small teleosts. The interspecific and intraspecific differences in dietary compositions would spread the food resources amongst and within species. thereby reducing the potential for competition for those resources within the fish community. Non-metric multi-dimensional sealing (MDS) ordination plots emphasised that the dietary compositions of species within each family possessed some obvious similarities, reflecting similarities in body and mouth morphology and feeding behaviour. However, the extent to which the dietary compositions of the different families were similar or different was often not related to the phylogenetic relationships amongst those families. Furthermore. while differences in mouth size and morphology could sometimes be used to account for differences amongst the diets of the Full suite of species, this was not always the case. Thus, the ways in which species feed and use their ancillary feeding structures were also employed to help elucidate the basis for variations in diets. (C) 2001 Elsevier Science B.V. All rights reserved.</t>
  </si>
  <si>
    <t>10.1016/S0022-0981(01)00257-X</t>
  </si>
  <si>
    <t>Perez, T; Garcia-Montiel, D; Trumbore, S; Tyler, S; De Camargo, P; Moreira, M; Piccolo, M; Cerri, C</t>
  </si>
  <si>
    <t>Nitrous oxide nitrification and denitrification N-15 enrichment factors from Amazon forest soils</t>
  </si>
  <si>
    <t>Amazon forest soils; denitrfication; isotopic enrichment factors; isotopomers; nitrification; nitrous oxide; site preference</t>
  </si>
  <si>
    <t>OXYGEN-ISOTOPE RATIOS; SITE PREFERENCE; NORTH PACIFIC; NITRIC-OXIDE; N2O BUDGET; FRACTIONATION; EMISSIONS; ADAPTATION; NITRATE; WATERS</t>
  </si>
  <si>
    <t>The isotopic signatures of N-15 and O-18 in N2O emitted from tropical soils vary both spatially and temporally, leading to large uncertainty in the overall tropical source signature and thereby limiting the utility of isotopes in constraining the global N2O budget. Determining the reasons for spatial and temporal variations in isotope signatures requires that we know the isotope enrichment factors for nitrification and denitrification, the two processes that produce N2O in soils. We have devised a method for measuring these enrichment factors using soil incubation experiments and report results from this method for three rain forest soils collected in the Brazilian Amazon: soil with differing sand and clay content from the Tapajos National Forest (TNF) near Santarem, ParA, and Nova Vida Farm, Rondonia. The N-15 enrichment factors for nitrification and denitrification differ with soil texture and site: -111 parts per thousand +/- 12 parts per thousand and -31 parts per thousand +/- 11 parts per thousand for a clay-rich Oxisol (TNF), -102 parts per thousand +/- 5 parts per thousand and -45 parts per thousand +/- 5 parts per thousand for a sandier Ultisol (TNF), and -10.4 parts per thousand +/- 3.5 parts per thousand (enrichment factor for denitrification) for another Ultisol (Nova Vida) soil, respectively. We also show that the isotopomer site preference (delta N-15(alpha) - delta N-15(beta) where alpha indicates the central nitrogen atom and beta the terminal nitrogen atom in N2O) may allow differentiation between processes of production and consumption of N2O and can potentially be used to determine the contributions of nitrification and denitrification. The site preferences for nitrification and denitrification from the TNF-Ultisol incubated soils are: 4.2 parts per thousand +/- 8.4 parts per thousand and 31.6 parts per thousand +/- 8.1 parts per thousand, respectively. Thus, nitrifying and denitrifying bacteria populations under the conditions of our study exhibit significantly different N-15 site preference fingerprints. Our data set strongly suggests that N2O isotopomers can be used in concert with traditional N2O stable isotope measurements as constraints to differentiate microbial N2O processes in soil and will contribute to interpretations of the isotopic site preference N2O values found in the free troposphere.</t>
  </si>
  <si>
    <t>10.1890/1051-0761(2006)016[2153:NONADN]2.0.CO;2</t>
  </si>
  <si>
    <t>Wyatt, ASJ; Matsumoto, R; Chikaraishi, Y; Miyairi, Y; Yokoyama, Y; Sato, K; Ohkouchi, N; Nagata, T</t>
  </si>
  <si>
    <t>Enhancing insights into foraging specialization in the world's largest fish using a multi-tissue, multi-isotope approach</t>
  </si>
  <si>
    <t>amino acid; assimilation; discrimination; elasmobranch; fasting; growth; nutritional history; radiocarbon; starvation; whale shark</t>
  </si>
  <si>
    <t>SHARKS RHINCODON-TYPUS; WHALE SHARK; STABLE-ISOTOPES; AMINO-ACIDS; NINGALOO REEF; DIET QUALITY; TROPHIC DISCRIMINATION; CHRISTMAS ISLAND; ECONOMIC VALUE; NITROGEN</t>
  </si>
  <si>
    <t>Intra-species variability in foraging strategies may be common, which has significant implications for efforts to understand and manage enigmatic species like the whale shark Rhincodon typus. The ecological relevance of differences in tissue isotopes within and between individuals in the context of foraging however depends on understanding tissue turnover times and carbon (Delta C-13) and nitrogen (Delta N-15) discrimination, which can vary with physiology, metabolism, and diet quality. Here, we examine isotope dynamics in captive R. typus as a basis for enhanced ecological insights into wild populations of the world's largest fish and other enigmatic species. A variable diet, principally consisting of two krill (Euphausia pacifica and Euphausia superba) provided an average of 48 +/- 20 MJ/d (mean +/- SD), or 2.7 +/- 1.3 times basal metabolic requirements. On this diet, in agreement with allometric relationships, large body sizes (3,000-4,000 kg) were matched by slow plasma and cartilage turnover rates (empirically derived as 9 months and 3 yr, respectively), which provide tissue-specific limits on the timescales over which we can isotopically detect diet changes in this species. Average diet-to-tissue discrimination showed significant variation between tissues (plasma and cartilage), and among growing and fasting individuals (Delta C-13 range, 1.5 to 5.5 parts per thousand; Delta N-15 range, -0.1 to 2.9 parts per thousand). Assimilation rates increased with temperature and were higher for the smaller E. pacifica (15 +/- 2 mm) than E. superba (48 +/- 2 mm). Growth significantly lowered both Delta N-15(plasma) and Delta N-15(cartilage), with inappetence markedly reducing Delta N-15(plasma) and Delta C-13(plasma), as well as significantly altering blood biochemistry. Captive findings facilitated the first robust multi-tissue growth- and nutrition-corrected isotope analysis of a wild R. typus population, suggesting individual foraging specialization on low trophic level mid-ocean or coastal prey. Long-term fasting during ocean-basin-scale migrations may be common and such metabolic effects should be carefully quantified when isotopically assessing intra-species foraging differences. The metabolically constrained multi-tissue, multi-isotope approach described can facilitate ecological insights that are indispensable for effective conservation and management of globally threatened, but poorly understood, species by identifying differences in key foraging areas and target prey within and between individuals.</t>
  </si>
  <si>
    <t>e01339</t>
  </si>
  <si>
    <t>10.1002/ecm.1339</t>
  </si>
  <si>
    <t>Giroux, MA; Berteaux, D; Lecomte, N; Gauthier, G; Szor, G; Bety, J</t>
  </si>
  <si>
    <t>Benefiting from a migratory prey: spatio-temporal patterns in allochthonous subsidization of an arctic predator</t>
  </si>
  <si>
    <t>Anser caerulescens; predator-prey interaction; SIAR mixing model; subsidies; Vulpes lagopus</t>
  </si>
  <si>
    <t>GREATER SNOW GEESE; FOXES ALOPEX-LAGOPUS; FOOD-WEB; EXPLOITATION ECOSYSTEMS; TROPHIC INTERACTIONS; STABLE-ISOTOPES; BYLOT ISLAND; FIELD EXPERIMENT; NESTING SUCCESS; LEMMING CYCLES</t>
  </si>
  <si>
    <t>1. Flows of nutrients and energy across ecosystem boundaries have the potential to subsidize consumer populations and modify the dynamics of food webs, but how spatio-temporal variations in autochthonous and allochthonous resources affect consumers subsidization remains largely unexplored. 2. We studied spatio-temporal patterns in the allochthonous subsidization of a predator living in a relatively simple ecosystem. We worked on Bylot Island (Nunavut, Canada), where arctic foxes (Vulpes lagopus L.) feed preferentially on lemmings (Lemmus trimucronatus and Dicrostonyx groenlandicus Traill), and alternatively on colonial greater snow geese (Anser caerulescens atlanticus L.). Geese migrate annually from their wintering grounds (where they feed on farmlands and marshes) to the Canadian Arctic, thus generating a strong flow of nutrients and energy across ecosystem boundaries. 3. We examined the influence of spatial variations in availability of geese on the diet of fox cubs (2003-2005) and on fox reproductive output (1996-2005) during different phases of the lemming cycle. 4. Using stable isotope analysis and a simple statistical routine developed to analyse the outputs of a multisource mixing model (SIAR), we showed that the contribution of geese to the diet of arctic fox cubs decreased with distance fromthe goose colony. 5. The probability that a den was used for reproduction by foxes decreased with distance from the subsidized goose colony and increased with lemming abundance. When lemmings were highly abundant, the effect of distance from the colony disappeared. The goose colony thus generated a spatial patterning of reproduction probability of foxes, while the lemming cycle generated a strong temporal variation of reproduction probability of foxes. 6. This study shows how the input of energy owing to the large-scale migration of prey affects the functional and reproductive responses of an opportunistic consumer, and how this input is spatially and temporally modulated through the foraging behaviour of the consumer. Thus, perspectives of both landscape and foraging ecology are needed to fully resolve the effects of subsidies on animal demographic processes and population dynamics.</t>
  </si>
  <si>
    <t>10.1111/j.1365-2656.2011.01944.x</t>
  </si>
  <si>
    <t>Riccialdelli, L; Becker, YA; Fioramonti, NE; Torres, M; Bruno, DO; Rey, AR; Fernandez, DA</t>
  </si>
  <si>
    <t>Trophic structure of southern marine ecosystems: a comparative isotopic analysis from the Beagle Channel to the oceanic Burdwood Bank area under a wasp-waist assumption</t>
  </si>
  <si>
    <t>Pelagic food web; Wasp-waist structure; delta C-13; delta N-15; MPA Namuncura-Burdwood Bank; Beagle Channel; Tierra del Fuego</t>
  </si>
  <si>
    <t>FOOD-WEB STRUCTURE; STABLE-ISOTOPES; MUNIDA-GREGARIA; ORGANIC-MATTER; PATAGONOTOTHEN-RAMSAYI; INTERANNUAL VARIATION; ZOOPLANKTON BIOMASS; SPRATTUS-FUEGENSIS; PATAGONIAN SHELF; CLIMATE-CHANGE</t>
  </si>
  <si>
    <t>Understanding the structure and functioning of marine ecosystems has become a critical issue to assess the potential short- and long-term effects of natural and anthropogenic impacts and to determine the knowledge needed to conduct appropriate conservation actions. This goal can be achieved in part by acquiring more detailed food web information and evaluating the processes that shape food web structure and dynamics. Our main objective was to identify large-scale patterns in the organization of pelagic food webs that can be linked to a wasp-waist (WW) structure, proposed for the southwestern South Atlantic Ocean. We evaluated 3 sub-Antarctic marine areas in a regional context: the Beagle Channel (BC), the Atlantic coast of Tierra del Fuego (CA) and the oceanic Burdwood Bank area (BB). We used carbon and nitrogen isotopic information of all functional trophic groups, ranging from primary producers to top predators, and analyzed them through stable isotope-based Bayesian analyses. We found that BC and BB have a more pronounced WW structure compared to CA. We identified species at mid to low trophic positions that play a key role in the trophodynamics of each marine area (e.g. Fuegian sprat Sprattus fuegensis, longtail southern cod Patagonotothen ramsayi and squat lobster Munida gregaria) and considered them as the most plausible WW species. The identification of the most influential species within food webs has become a crucial task for conservation purposes in local and regional contexts to maintain ecosystem integrity and the supply of ecosystem services for the southwestern South Atlantic Ocean.</t>
  </si>
  <si>
    <t>10.3354/meps13524</t>
  </si>
  <si>
    <t>Sittler, KL; Parker, KL; Gillingham, MP</t>
  </si>
  <si>
    <t>Resource Separation by Mountain Ungulates on a Landscape Modified by Fire</t>
  </si>
  <si>
    <t>elk; prescribed burn; resource selection; resource separation; Stone's sheep</t>
  </si>
  <si>
    <t>HABITAT SELECTION; MULE DEER; SEXUAL SEGREGATION; FORAGING ECOLOGY; STABLE-ISOTOPES; BURNED PATCHES; WOLF PREDATION; ELK; SHEEP; WINTER</t>
  </si>
  <si>
    <t>Fire restructures plant communities and can be an important modifier of ecosystems. Increases in forage quantity and quality in burned areas attract large ungulates, and may result in changes to animal distributions. In mountainous northern British Columbia where prescribed fire is used to enhance ungulate range, there is concern that expanding elk (Cervus elaphus) populations will move in response to burning into the traditional ranges of another grazing species, Stone's sheep (Ovis dalli stonei), and have adverse effects on them. We compared patterns of resource selection and use by both species on a landscape with 138 prescribed burns varying from 0 to 31 years of age. Seasonal range sizes of global positioning system (GPS)-collared individuals were smallest in winter and late winter and largest in summer for both female Stone's sheep and elk. Both species selected for south aspects and against conifer stands in all seasons. Stone's sheep selected for burned areas in fall, winter, and late winter and selected to be close to a burn in every season except summer. Elk selected for burned areas in every season, with the highest selection for burn-shrub areas. Stone's sheep typically used younger burns, whereas elk were less specific and often used older burns. The highest potential for seasonal overlap in the use of burned areas occurs during winter and late winter, but Stone's sheep and elk at current population levels overlap minimally because they partition their use of the landscape through elevation and topography. Stone's sheep always selected and used steeper rugged terrain than elk, and were at higher elevations, often in rocky areas. Elk avoided alpine and rocky areas, and were at lower elevations than Stone's sheep, on flatter less rugged terrain. We recommend continued monitoring of post-fire effects on resource selection and use by these sympatric grazers, particularly relative to the distribution of expanding elk populations, which could enable competitive interactions and change predator-prey dynamics. (c) 2015 The Wildlife Society.</t>
  </si>
  <si>
    <t>10.1002/jwmg.869</t>
  </si>
  <si>
    <t>Digel, C; Curtsdotter, A; Riede, J; Klarner, B; Brose, U</t>
  </si>
  <si>
    <t>Unravelling the complex structure of forest soil food webs: higher omnivory and more trophic levels</t>
  </si>
  <si>
    <t>ALLOMETRIC DEGREE DISTRIBUTIONS; BODY-MASS CONSTRAINTS; NETWORK STRUCTURE; CLIMATE-CHANGE; LITTER DECOMPOSITION; GENERALIST PREDATORS; STABLE-ISOTOPES; PREY DNA; SIZE; ROBUSTNESS</t>
  </si>
  <si>
    <t>Food web topologies depict the community structure as distributions of feeding interactions across populations. Although the soil ecosystem provides important functions for aboveground ecosystems, data on complex soil food webs is notoriously scarce, most likely due to the difficulty of sampling and characterizing the system. To fill this gap we assembled the complex food webs of 48 forest soil communities. The food webs comprise 89 to 168 taxa and 729 to 3344 feeding interactions. The feeding links were established by combining several molecular methods (stable isotope, fatty acid and molecular gut content analyses) with feeding trials and literature data. First, we addressed whether soil food webs (n = 48) differ significantly from those of other ecosystem types (aquatic and terrestrial aboveground, n = 77) by comparing 22 food web parameters. We found that our soil food webs are characterized by many omnivorous and cannibalistic species, more trophic chains and intraguild-predation motifs than other food webs and high average and maximum trophic levels. Despite this, we also found that soil food webs have a similar connectance as other ecosystems, but interestingly a higher link density and clustering coefficient. These differences in network structure to other ecosystem types may be a result of ecosystem specific constraints on hunting and feeding characteristics of the species that emerge as network parameters at the food-web level. In a second analysis of land-use effects, we found significant but only small differences of soil food web structure between different beech and coniferous forest types, which may be explained by generally strong selection effects of the soil that are independent of human land use. Overall, our study has unravelled some systematic structures of soil food-webs, which extends our mechanistic understanding how environmental characteristics of the soil ecosystem determine patterns at the community level.</t>
  </si>
  <si>
    <t>10.1111/oik.00865</t>
  </si>
  <si>
    <t>Morzaria-Luna, HN; Zedler, JB</t>
  </si>
  <si>
    <t>Salt marsh restoration surprise: A subordinate species accumulates and shares nitrogen while outcompeting salt marsh dominants</t>
  </si>
  <si>
    <t>California; nitrogen sharing; roots; N-15 tracer; tidal salt marsh; Triglochin concinna; N-cycling; wetland restoration</t>
  </si>
  <si>
    <t>WETLAND RESTORATION; SPARTINA-ALTERNIFLORA; SALICORNIA-VIRGINICA; NATURAL-ABUNDANCE; SEASONAL PATTERNS; STABLE ISOTOPES; PLANTS; N-15; VEGETATION; HALOPHYTES</t>
  </si>
  <si>
    <t>Selectively planting native species could guide ecosystem development toward wetland restoration targets, once we understand how influential species function, alone and in combination. Knowing that Triglochin concinna (arrow grass, Juncaceae) accumulates N in its perennial roots, we asked how it would influence N dynamics on an excavated salt marsh plain at Tijuana Estuary, in southern California. We hypothesized that it would (a) accumulate N in roots and shoots, (b) reduce biomass of other marsh plain plants or, alternatively, (c) share N with neighbors as its litter decomposed and released N. We used N-15 stable isotope enrichment to quantify N transfer between Triglochin and the marsh plain's seven-species halophyte assemblage in field and greenhouse experiments. We also examined the effect of Triglochin on individual marsh plain species' biomass and N accumulation. Triglochin had low shoot biomass (0.96 +/- 0.5 g m(-2) in field plots and 17.64 +/- 2.2 g m(-2) in greenhouse pots), high root:shoot ratios (4.3 in the field and 2.0 in the greenhouse), and high tissue N content (1.9 +/- 0.2% in the field and 1.7 +/- 0.1% in the greenhouse). Two productive perennials, Sarcocornia pacifica (pickleweed) and Frankenia salina (alkali heath), outgrew Triglochin; yet these biomass dominants produced 44%-45% less shoot biomass in greenhouse pots with Triglochin than without. However, we did not find this reduction in the field where roots were unconfined. In the greenhouse, delta N-15 values were higher for species grown with N-15-enriched Triglochin, indicating that this species made N available to its neighbors. The delta N-15 values for plants grown in the field exceeded background levels, also indicating that the marsh plain assemblage took up N released by Triglochin. We conclude that Triglochin can influence the restoration of salt marsh vegetation by accumulating N and releasing its tissue N to neighbors as leaves and roots decompose, while simultaneously reducing the biomass of neighbors. The seasonally deciduous Triglochin is low in shoot biomass, yet competitively superior in N uptake. Because this often-ignored species has limited tidal dispersal, we suggest restoration plantings, including tests of its ability to facilitate diversity where S. pacifica, the marsh plain dominant, might otherwise form monocultures.</t>
  </si>
  <si>
    <t>10.3389/fevo.2022.851055</t>
  </si>
  <si>
    <t>Liu, T; Whalen, JK; Shen, QR; Li, HX</t>
  </si>
  <si>
    <t>Increase in soil nematode abundance due to fertilization was consistent across moisture regimes in a paddy rice-upland wheat system</t>
  </si>
  <si>
    <t>Soil moisture regime; Crop rotation; Fertilization; Soil biodiversity</t>
  </si>
  <si>
    <t>MICROBIAL COMMUNITIES; ORGANIC-MATTER; DECOMPOSITION; EXTRACTION; NITROGEN; BIODIVERSITY; FUMIGATION; GROWTH; STRAW</t>
  </si>
  <si>
    <t>Nematodes exert top-down control on the microbially-mediated processes of decomposition and nutrient cycling due to their position in the soil food web. Fertilization of agricultural soils can increase substrates for nematode populations, but whether the nematode community response to fertilization is consistent under anaerobic and aerobic soil conditions is not known. Our study investigated how soil nematode abundance and community structure responded to fertilization of a double-cropping system with paddy rice, representing anaerobic soil conditions due to flooding, followed an upland wheat phase that was rainfed and predominantly aerobic. We examined nematode communities twice a year from 2011 to 2013 at the ripening stage of rice (October) or wheat (June). Five fertilizer treatments were compared, including control (CK), chemical fertilizer (CF), compound pig manure-chemical fertilizer (MCF), straw plus chemical fertilizer (SCF) and pig manure plus straw plus chemical fertilizer (MSCF). Total nematode abundance increased by fertilization consistently in the rice and wheat cropping phases, and straw addition (i.e. SCF and MSCF) showed higher increment than manure addition (i.e. MCF) and CF treatments. However, dominant nematode genera respond to fertilization differently, depending on the crop phase. This is because dominant genera in the anaerobic soils of the rice phase were the plant feeding nematode Hirschmanniella and algae-feeding nematode Rhabdolaimus, whereas dominant genera in the aerobic soils of the wheat phase were the fungal-feeding nematode Filenchus and bacterial feeding nematodes Cephalobus, Eucephalobus and Acrobeloides. The manure addition (i.e. MCF) significantly raised Hirschmanniella abundance (by 133-616%) but sharply reduced the Rhabdolaimus population by 115-774% in the rice phase. In addition, straw addition (i.e. SCF and MSCF) increased Filenchus numbers (18-118%) but decreased the Acrobeloides population (49-145%) in the wheat phase. Since the MCF, SCF and MSCF fertilizers supply organic substrates for microbes and nutrients for plants, both of which are consumed by nematodes, this implies that food resources are the key determinant of total nematode abundance, the population size of all trophic levels. Our findings show that the nematode community structure is distinctive for each crop grown under a particular soil moisture regime, and that food resources derived from fertilizer inputs act as a bottom-up modulator of nematode population size in paddy rice-upland wheat systems. (C) 2015 Elsevier Masson SAS. All rights reserved.</t>
  </si>
  <si>
    <t>10.1016/j.ejsobi.2015.12.001</t>
  </si>
  <si>
    <t>Hobson, KA; Kuwae, T; Drever, MC; Easton, WE; Elner, RW</t>
  </si>
  <si>
    <t>Biofilm and invertebrate consumption by western sandpipers (Calidris mauri) and dunlin (Calidris alpina) during spring migratory stopover: insights from tissue and breath CO2 isotopic (delta C-13,delta N-15) analyses</t>
  </si>
  <si>
    <t>staging physiology; nitrogen-15; carbon-13; Calidris mauri; Calidris alpina; breath CO2</t>
  </si>
  <si>
    <t>STABLE-ISOTOPES; ACID-COMPOSITION; ADIPOSE-TISSUE; POLAR BEARS; CARBON; TURNOVER; BLOOD; BIRDS; DIETS; C-13</t>
  </si>
  <si>
    <t>Shorebirds use key migratory stopover habitats in spring and fall where body proteins are replenished and lipids stored as fuel for the remaining journey. The Fraser River estuary, British Columbia, Canada, is a critical spring stopover site for hundreds of thousands of migrating western sandpiper, Calidris mauri, and dunlin, Calidris alpina. Intertidal biofilm in spring is an important nutritional source for western sandpiper, with previous isotopic research predicting 45-59% of total diet and 50% of total energy needs. However, these studies relied on isotopic mixing models that did not consider metabolic routing of key dietary macromolecules. Complexity arises due to the mixed macromolecular composition of biofilm that is difficult to characterize isotopically. We expanded on these earlier findings by considering a protein pathway from diet to the body protein pool represented by liver tissue, using a Bayesian mixing model based on delta C-13 and delta N-15. We used delta C-1(3) measurements of adipose tissue and breath CO2 to provide an estimate of the carbohydrate and protein delta C-1(3) values of microphytobenthos and used these derived values to better inform the isotopic mixing models. Our results reinforce earlier estimates of the importance of biofilm to staging shorebirds in predicting that assimilated nutrients from biofilm contribute similar to 35% of the protein budgets for staging western sandpipers (n = 13) and dunlin (n = 11) and at least 41% of the energy budget of western sandpiper (n = 69). Dunlin's ingestion of biofilm appeared higher than anticipated given their expected reliance on invertebrate prey compared to western sandpiper, a biofilm specialist. Isotopic analyses of bulk tissues that consider metabolic routing and that make use of breath CO 2 and adipose lipid assays can provide new insights into avian physiology. We advocate further isotopic research to better understand biofilm use by migratory shorebirds in general and as a critical requirement for more effective conservation.</t>
  </si>
  <si>
    <t>coac006</t>
  </si>
  <si>
    <t>10.1093/conphys/coac006</t>
  </si>
  <si>
    <t>Moeri, O; Sternberg, LDL; Rodicio, LP; Walsh, PJ</t>
  </si>
  <si>
    <t>Direct effects of ambient ammonia on the nitrogen isotope ratios of fish tissues</t>
  </si>
  <si>
    <t>ammonia; ammonotele; damselfish; nitrogen isotope ratios; toadfish; trophic level; ureotele</t>
  </si>
  <si>
    <t>STABLE ISOTOPES</t>
  </si>
  <si>
    <t>We tested the assumption that the nitrogen isotope ratios of fish are solely determined by their diet by exposing two species of fish having contrasting nitrogen metabolic profiles to N-15 ammonia. Beaugregory damselfish (Stegastes leucostictus) representing ammonotelic species and toadfish (Opsanus beta) representing ureotelic species were exposed to N-15 ammonia for a period of 4 weeks, after which muscle and liver tissues were analyzed for N-15 abundance and compared to their respective control group. Both species showed significant N-15 enrichment when exposed to N-15 ammonia, with the ammonotelic fish showing a greater enrichment compared to the urcotelic fish. We propose that the toadfish showed less enrichment in its muscle tissue because its active omithine-urea cycle (O-UC) rapidly sequesters ammonia away from the circulatory system and into liver tissue, thereby preventing any substantial exchange between ammonia and muscle tissue. We propose that no such sequestering occurs in the ammonotelic damselfish because they lack a functional O-UC. These results have important implications for studies using nitrogen isotope ratios to delineate trophic structure in aquatic ecosystems. (C) 2003 Elsevier Science B.V. All rights reserved.</t>
  </si>
  <si>
    <t>PII S0022-0981(02)00446-X</t>
  </si>
  <si>
    <t>10.1016/S0022-0981(02)00446-X</t>
  </si>
  <si>
    <t>Besson, JC; Neary, JJ; Stafford, JD; Dunn, CG; Miranda, LE</t>
  </si>
  <si>
    <t>Fish functional gradients along a reservoir cascade</t>
  </si>
  <si>
    <t>canonical correlation analysis; dams; impoundments; life history; river continuum concept; species richness; Tennessee River; traits</t>
  </si>
  <si>
    <t>ALTERED FLOW REGIMES; FRESH-WATER FISHES; ENVIRONMENTAL GRADIENTS; ASSEMBLAGE STRUCTURE; CANONICAL CORRELATION; SERIAL DISCONTINUITY; REGULATED RIVERS; SPATIAL POSITION; SPECIES TRAITS; COMMUNITY</t>
  </si>
  <si>
    <t>The transformations of fish assemblages caused by reservoir cascades can be severe at the reach scale, but basin-scale effects are less clear. However, prevailing river concepts provide a framework for predicting basin-scale effects.To determine if predictions made by the River Continuum Concept relative to the function of fish assemblages are sustained in a temperate river transformed into a reservoir cascade, we examined longitudinal trends in the distribution of fish functional traits over 23 reservoirs of the Tennessee River, U.S.A.In all, 115 species were recorded representing 62 traits, with trait richness increasing longitudinally in a downstream direction. Trophic, reproductive, and habitat traits showed various increasing and decreasing patterns up and down the reservoir cascade. The observed gradients in trait richness and trait distributions were generally consistent with those expected in unregulated rivers, with few unexpected results.The transformation of lotic systems into lentic ones has changed habitats and sources of food and encouraged the proliferation of certain feeding (e.g., detritivores, planktivores, invertivores, piscivores), reproduction (e.g., nest spawners polyphils, broadcast spawners phytolithophils), and habitat (slow current, lacustrine, large river) traits. In essence, reservoirs have expanded downstream habitats in an upstream direction, and thus allowed upstream expansion of species and traits that would have normally not been well represented in upper reaches of the Tennessee River basin. Nevertheless, the impounded Tennessee River has maintained much of its functional integrity, despite extensive alterations to the riverscape.We suggest that, while reservoirs have been shown to have major local-scale effects on riverine fish assemblages, with access to riverine habitats, and with proactive conservation strategies, fish functional richness can remain remarkably high at the basin scale.</t>
  </si>
  <si>
    <t>10.1111/fwb.14087</t>
  </si>
  <si>
    <t>McLain, N; Camargo, L; Whitcraft, CR; Dillon, JG</t>
  </si>
  <si>
    <t>Metrics for Evaluating Inundation Impacts on the Decomposer Communities in a Southern California Coastal Salt Marsh</t>
  </si>
  <si>
    <t>Salt marshes; Decomposers; Sea level rise; Sulfate-reducing bacteria; marsh organ</t>
  </si>
  <si>
    <t>SEA-LEVEL RISE; SULFATE REDUCTION; ORGANIC-MATTER; SPARTINA-ALTERNIFLORA; NITROGEN-FERTILIZATION; ANIMAL COMMUNITIES; FUNGAL COMMUNITIES; STABLE-ISOTOPES; CLIMATE-CHANGE; ELEVATED CO2</t>
  </si>
  <si>
    <t>Southern California coastal wetlands are heavily impacted by urbanization and are under increased inundation stress due to sea level rise (SLR). This study evaluated the impacts of inundation on decomposition rates and sediment decomposer communities (invertebrates, fungi, and bacteria) by manipulating inundation using a marsh organ. Under increased inundation, invertebrate diversity decreased, and plant litter decomposition was reduced by excluding fungi and invertebrates from substrates using litter bags, indicating that all three decomposer guilds are important. This study showed significant impacts of increased inundation on bacterial, fungal and invertebrate community structure and diversity, yet only modest effects on sulfate reduction and decomposition rates, suggesting a degree of resilience or functional redundancy in the decomposer community. While the marsh organ successfully simulated increased inundation, it also created experimental 'bottle effects' that may have obscured inundation treatment effects and altered communities from the natural marsh. In our study, invertebrates were most sensitive to inundation, while bacteria appeared to be more resistant. This has implications for how decomposition and associated biogeochemical and ecological processes might change in the face of increased inundation due to SLR and suggests that marsh organs may be less suitable for investigating microbial communities compared with plants.</t>
  </si>
  <si>
    <t>10.1007/s13157-020-01361-x</t>
  </si>
  <si>
    <t>Hepp, J; Mayr, C; Rozanski, K; Schafer, IK; Tuthorn, M; Glaser, B; Juchelka, D; Stichler, W; Zech, R; Zech, M</t>
  </si>
  <si>
    <t>Validation of a coupled delta H-2(n-alkane)-delta O-18(sugar) paleohygrometer approach based on a climate chamber experiment</t>
  </si>
  <si>
    <t>OXYGEN-ISOTOPE RATIOS; DELTA-D VALUES; N-ALKANES RECORD; PROXY I INSIGHT; LEAF WATER; SUGAR BIOMARKERS; RELATIVE-HUMIDITY; HYDROGEN ISOTOPES; STABLE-ISOTOPES; D/H RATIOS</t>
  </si>
  <si>
    <t>The hydrogen isotope composition of leaf-wax-derived biomarkers, e.g., long-chain n-alkanes (delta H-2(n-alkane)), is widely applied in paleoclimate. However, a direct reconstruction of the isotope composition of source water based on delta H-2(n-alkane) alone is challenging due to the enrichment of heavy isotopes during evaporation. The coupling of delta H-2(n-alkane) with delta O-18 of hemicellulose-derived sugars (delta O-18(sugar)) has the potential to disentangle this limitation and additionally to allow relative humidity reconstructions. Here, we present delta H-2(n-alkane) as well as delta O-18(sugar) results obtained from leaves of Eucalyptus globulus, Vicia faba, and Brassica oleracea, which grew under controlled conditions. We addressed the questions of (i) whether delta H-2(n-alkane) and delta O-18(sugar) values allow reconstructions of leaf water isotope composition, (ii) how accurately the reconstructed leaf water isotope composition enables relative humidity (RH) reconstruction, and (iii) whether the coupling of delta H-2(n-alkane) and delta O-18(sugar) enables a robust source water calculation. For all investigated species, the n-alkane n-C-29 was most abundant and therefore used for compound-specific delta H-2 measurements. For Vicia faba, additionally the delta H-2 values of n-C-31 could be evaluated robustly. Regarding hemicellulose-derived monosaccharides, arabinose and xylose were most abundant, and their delta O-18 values were therefore used to calculate weighted mean leaf delta O-18(sugar) values.Both delta H-2(n-alkane) and delta O-18(sugar) yielded significant correlations with delta H-2(leaf water) and delta O-18(leaf water), respectively (r(2)=0.45 and 0.85, respectively; p&lt;0.001, n=24). Mean fractionation factors between biomarkers and leaf water were found to be -156 parts per thousand (ranging from -133 parts per thousand to -192 parts per thousand) for epsilon(n-alkane/leaf water) and +27.3 parts per thousand (ranging from +23.0 parts per thousand to 32.3 parts per thousand) for epsilon(sugar/leaf water), respectively. Modeled RHair values from a Craig-Gordon model using measured Tair, delta 2Hleaf water and delta 18Oleaf water as input correlate highly significantly with modeled RHair values (R2=0.84, p&lt;0.001, RMSE = 6 %). When coupling delta H-2(n-alkane) and delta O-18(sugar) values, the correlation of modeled RHair values with measured RHair values is weaker but still highly significant, with R-2=0.54 (p&lt;0.001, RMSE = 10 %). Finally, the reconstructed source water isotope composition (delta H-2(s) and delta O-18(s)) as calculated from our coupled approach matches the source water in the climate chamber experiment (delta H-2(tank water) and delta O-18(tank water)). This highlights the great potential of the coupled delta H-2(n-alkane)-delta O-18(sugar) paleohygrometer approach for paleoclimate and relative humidity reconstructions.</t>
  </si>
  <si>
    <t>10.5194/bg-18-5363-2021</t>
  </si>
  <si>
    <t>Feng, T; Chen, HS; Wang, KL; Nie, YP; Zhang, XB; Mo, HW</t>
  </si>
  <si>
    <t>Assessment of underground soil loss via the tapering grikes on limestone hillslopes</t>
  </si>
  <si>
    <t>underground soil loss; tapering limestone grikes; quantitative estimation; tracer technique; bedrock dissolution</t>
  </si>
  <si>
    <t>SEDIMENT TRANSPORT; KARST CATCHMENT; CARBON ISOTOPES; VARIABILITY; GUANGXI; SLOPES; RUNOFF; RATES; MODEL</t>
  </si>
  <si>
    <t>Determining the mechanism of rocky desertification by investigating the sediment transport process in carbonate aquifers with the great mixture of various karst conduit features presents severe difficulties. This study put its focus on the overlying soil entering the master small-scale surface karst negative (SSKN) feature, the tapering grike on limestone hillslopes. The objective is to assess the primary forms and the annual rates of underground soil loss relative to the crown cross-section of the grikes wall. The tapering grikes were differentiated into the fully and partially filled ones based on the current filling status of the soil. Through the analysis of the possible scenarios, the stable carbon isotope and Cs-137 records of soil in the sample grikes in Southwest China, the underground soil loss form was mainly inferred as the downward creeping of overlying soil mass via the fully filled one, and the deposition of eroded overlying soils into the partially filled grike. The formula of inside space forming rate determined by the bedrock dissolution rate and the grike shape, was proposed for obtaining the current potential annual underground soil loss rate via the fully filled grike, the calculation result of which for the sample was 275.2 t km(-2) y(-1). The Cs-137 identification method of the sediment deposition depth was used to estimate the average annual underground soil loss rate since 1963 via the partially filled grike, which was 3094.4 t km(-2) y(-1) for the sample. The calculations indicated that the underground soil loss via the tapering grikes contributed a lot to the overlying soil reduction in the process of karst rocky desertification. More attentions should be given to assess the underground soil loss via all the SSKN features on the whole hillslope scale and evaluate the impacts of human activities.</t>
  </si>
  <si>
    <t>10.1016/j.agee.2020.106935</t>
  </si>
  <si>
    <t>Brutemark, A; Lindehoff, E; Graneli, E; Graneli, W</t>
  </si>
  <si>
    <t>Carbon isotope signature variability among cultured microalgae: Influence of species, nutrients and growth</t>
  </si>
  <si>
    <t>Algae; Carbon; Culture; Exponential phase; Isotope; Nutrients; Stationary phase</t>
  </si>
  <si>
    <t>MARINE-PHYTOPLANKTON; CO2 CONCENTRATION; PRYMNESIUM-PARVUM; STABLE-ISOTOPES; BALTIC SEA; CELL-SIZE; FRACTIONATION; DIATOM; TEMPERATURE; NITROGEN</t>
  </si>
  <si>
    <t>In this study we have investigated whether the carbon isotopic signature differs between different groups and species of marine phytoplankton depending on growth phase, nutrient conditions and salinity. The 15 investigated algal species, representing the Bacillariophyceae, Chlorophyceae, Cryptophyceae, Cyanophyceae, Dinophyceae and Haptophyceae classes were grown in batch monocultures and analysed for delta C-13 in both exponential and stationary phase. For all the cultured species, delta C-13 signatures ranged from -23.5 parts per thousand (Imantonia sp.) to - 12.3 parts per thousand (Nodulania spumigena) in the exponential phase and from - 18.8 parts per thousand (Amphidinium carterae) to - 8.0 parts per thousand (Anabaena lemmermannii) in the stationary phase. Three species (Dunaliella tertiolecta, Rhodomonas sp.. Heterocapsa triquetra) were also grown under nutrient sufficient and nitrogen or phosphorus deficient conditions. Nitrogen limitation resulted in a more negative delta C-13 signature, whereas no effect could be observed during phosphorus limitation compared to nutrient sufficient conditions. Growth of Prymnesium parvum in two different salinities resulted in a more negative delta C-13 signature in the 26 parts per thousand-media compared to growth in 7 parts per thousand-media. Our results show that the carbon isotopic signature of phytoplankton may be affected by salinity, differ among different phytoplankton species, between exponential and stationary phase, as well as between nutrient treatments. (C) 2009 Elsevier B.V. All rights reserved.</t>
  </si>
  <si>
    <t>10.1016/j.jembe.2009.02.013</t>
  </si>
  <si>
    <t>Nordstrom, MC; Currin, CA; Talley, TS; Whitcraft, CR; Levin, LA</t>
  </si>
  <si>
    <t>Benthic food-web succession in a developing salt marsh</t>
  </si>
  <si>
    <t>Infauna; Recovery; Resource availability; Spartina; Tidal marsh; Trophic relationships</t>
  </si>
  <si>
    <t>STABLE-ISOTOPES; SOUTHERN CALIFORNIA; RESTORATION ECOLOGY; PLANT DIVERSITY; COMMUNITIES; STABILITY; ECOSYSTEM; WETLAND; PRODUCTIVITY; BIODIVERSITY</t>
  </si>
  <si>
    <t>Ecological succession has long been a focal point for research, and knowledge of underlying mechanisms is required if scientists and managers are to successfully promote recovery of ecosystem function following disturbance. We addressed the influence of bottom-up processes on successional assemblage shifts in salt marshes, ecosystems with strong physical gradients, and how these shifts were reflected in the trophic characteristics of benthic fauna. We tracked the temporal development of infaunal community structure and food-web interactions in a young, created salt marsh and an adjacent natural marsh in Mission Bay, California, USA (1996-2003). Macro faunal community succession in created Spartina foliosa habitats occurred rapidly, with infaunal densities reaching 70% of those in the natural marsh after 1 yr. Community composition shifted from initial dominance of insect larvae (surface-feeding microalgivores) to increased dominance of oligo chaetes (subsurface-feeding detritivores) within the first 7 yr. Isotopic labeling of microalgae, N-2-fixing cyanobacteria, S. foliosa and bacteria revealed direct links (or absence thereof) between these basal food sources and specific consumer groups. In combination with the compositional changes in the macroinvertebrate fauna, the trophic patterns indicated an increase in food-web complexity over time, reflecting resource-driven marsh succession. Natural abundance stable isotope ratios of salt marsh consumers (infaunal and epifaunal macroinvertebrates, and fish) initially reflected distinctions in trophic structure between the created and natural marsh, but these diminished during successional development. Our findings suggest that changing resource availability is one of the important drivers of succession in benthic communities of restored wetlands in Southern California.</t>
  </si>
  <si>
    <t>U69</t>
  </si>
  <si>
    <t>10.3354/meps10686</t>
  </si>
  <si>
    <t>Garcia, GO; Zumpano, F; Jelicich, RMY; Favero, M</t>
  </si>
  <si>
    <t>Effect of urbanization on individual condition of a threatened seabird: the Olrog's Gull Larus atlanticus</t>
  </si>
  <si>
    <t>Seabirds; Blood metrics; Oxidative damage products; Coastal-marine birds; Argentina</t>
  </si>
  <si>
    <t>ANTHROPOGENIC-FOOD; OXIDATIVE STRESS; BODY CONDITION; STABLE-ISOTOPES; URIC-ACID; BIRD; ECOLOGY; CITY; ASSOCIATIONS; UNDERSTAND</t>
  </si>
  <si>
    <t>Urban areas are usually places with increased pollution, abundant parasite communities and other factors that can increase physiological stress affecting negatively the individual condition of organism. Here we investigated the relationship between physiological condition of free-living Olrog's gulls Larus atlanticus and the level of coastal urbanization. The conservation status of this gull and its recently colonization of urban ecosystems highlights the importance of this study. Sampling was conducted in two coastal sites having a highly different level of urbanization and habitat degradation. Thirty-eight gulls were captured at Mar del Plata and forty-four at Mar Chiquita Reserve (Buenos Aires, Argentina) during the winter of 2016-2019. Biochemical and hematological metrics, and oxidative damage products were analyzed. Uric acid levels, regardless the sex and age, were lower in urban individuals compared to non-urban individuals. Cholesterol levels were higher in males from the urban site. Red blood cell counts were lower and white blood cell counts were higher in urban than non-urban immature individuals. In adults the hematocrit concentration was higher in urban than non-urban individuals. Immature individuals from urban site showed higher heterophils than immature individual captured in non-urban sites. Urban females showed less monocyte concentration than non-urban females. Neither oxidative damage nor the antioxidant capacity were affected by site when nested by age and sex. These results reveal differences in the physiological condition of Olrog's gulls, and highlight the importance of monitoring species that use large cities and raise important questions about how generalist animals adapt to urban areas.</t>
  </si>
  <si>
    <t>10.1007/s11252-023-01347-7</t>
  </si>
  <si>
    <t>Sacco, M; Blyth, AJ; Humphreys, WF; Cooper, SJB; Austin, AD; Hyde, J; Mazumder, D; Hua, Q; White, NE; Grice, K</t>
  </si>
  <si>
    <t>Refining trophic dynamics through multi-factor Bayesian mixing models: A case study of subterranean beetles</t>
  </si>
  <si>
    <t>Bayesian mixing models; food webs; groundwater; metagenomics; radiocarbon; stygofauna</t>
  </si>
  <si>
    <t>FOOD-WEB STRUCTURE; STABLE-ISOTOPES; CALCRETE AQUIFER; DIVING BEETLES; AMINO-ACIDS; ARID ZONE; ECOLOGY; DNA; RADIOCARBON; DIVERSITY</t>
  </si>
  <si>
    <t>Food web dynamics are vital in shaping the functional ecology of ecosystems. However, trophic ecology is still in its infancy in groundwater ecosystems due to the cryptic nature of these environments. To unravel trophic interactions between subterranean biota, we applied an interdisciplinary Bayesian mixing model design (multi-factor BMM) based on the integration of faunal C and N bulk tissue stable isotope data (delta C-13 and delta N-15) with radiocarbon data (Delta C-14), and prior information from metagenomic analyses. We further compared outcomes from multi-factor BMM with a conventional isotope double proxy mixing model (SIA BMM), triple proxy (delta C-13, delta N-15, and Delta C-14, multi-proxy BMM), and double proxy combined with DNA prior information (SIA + DNA BMM) designs. Three species of subterranean beetles (Paroster macrosturtensis,Paroster mesosturtensis,andParoster microsturtensis) and their main prey items Chiltoniidae amphipods (AM1:Scutachiltonia axfordiand AM2:Yilgarniella sturtensis), cyclopoids and harpacticoids from a calcrete in Western Australia were targeted. Diet estimations from stable isotope only models (SIA BMM) indicated homogeneous patterns with modest preferences for amphipods as prey items. Multi-proxy BMM suggested increased-and species-specific-predatory pressures on amphipods coupled with high rates of scavenging/predation on sister species. SIA + DNA BMM showed marked preferences for amphipods AM1 and AM2, and reduced interspecific scavenging/predation onParosterspecies. Multi-factorial BMM revealed the most precise estimations (lower overallSDand very marginal beetles' interspecific interactions), indicating consistent preferences for amphipods AM1 in all the beetles' diets. Incorporation of genetic priors allowed crucial refining of the feeding preferences, while integration of more expensive radiocarbon data as a third proxy (when combined with genetic data) produced more precise outcomes but close dietary reconstruction to that from SIA + DNA BMM. Further multidisciplinary modeling from other groundwater environments will help elucidate the potential behind these designs and bring light to the feeding ecology of one the most vital ecosystems worldwide.</t>
  </si>
  <si>
    <t>10.1002/ece3.6580</t>
  </si>
  <si>
    <t>Ju, Y; Kaown, D; Lee, KK</t>
  </si>
  <si>
    <t>A three-pronged approach for identifying source and extent of nitrate contamination in groundwater</t>
  </si>
  <si>
    <t>JOURNAL OF SOIL AND WATER CONSERVATION</t>
  </si>
  <si>
    <t>Bayesian statistics; dual isotope; groundwater; land use; nitrate; PCA</t>
  </si>
  <si>
    <t>MULTIVARIATE STATISTICAL-ANALYSIS; LAND-USE; NITROGEN-ISOTOPE; SOURCE IDENTIFICATION; AGRICULTURAL LAND; CLUSTER-ANALYSIS; STABLE-ISOTOPES; LONG-ISLAND; WATER; AQUIFER</t>
  </si>
  <si>
    <t>A method to delineate the nitrate (NO3-) contamination of a study area by sequential and statistical use of dual isotope data, principal component analysis (PCA), and land use/land cover (LULC) data was demonstrated using data from Eumseong, Korea. First, a dual isotope approach was applied to identify the possible NO3- sources and quantify their contribution to NO3- contamination using Bayesian statistics. Second, a PCA was performed to discriminate and evaluate the impact of NO3- contamination on chemical evolution in the aquifer. Lastly, we incorporated the LULC data into a regression analysis to identify the contribution of various land uses to NO3- recharge. Some samples had NO3- and iron (Fe) concentrations above the local drinking water quality standard, and the distributions of potassium (K+), sulfate (SO42-), Fe, and manganese (Mn) were skewed significantly. Trends from the dual isotope analysis suggested three major sources of NO3- contamination. Among the three sources, Bayesian statistics indicated that the NO3- contamination was largely attributable to influx from manure/sewage and soil nitrogen (N). Based on the PCA, following screening for skewed data, a contamination indicator was extracted. The indicator exhibited positive correlations with NO3-, chlorine (Cl-), strontium (Sr2+), calcium (Ca2+), sodium (Na+), magnesium (Mg2+), K+, and SO42-, suggesting a single strong source. The regression analysis, using the LULC information, determined that agriculture activities in nonpaddy areas were responsible for the NO3- recharge. This study identified the benefits of combining dual isotope analysis, PCA, and LULC data for discriminating and evaluating sources of NO3- contamination when diverse contaminants are involved in geochemical evolution.</t>
  </si>
  <si>
    <t>10.2489/jswc.73.5.493</t>
  </si>
  <si>
    <t>Houadria, MYI; Barone, G; Fayle, TM; Schmitt, T; Konik, P; Feldhaar, H</t>
  </si>
  <si>
    <t>An experimental, behavioral, and chemical analysis of food limitations in mutualistic Crematogaster ant symbionts inhabiting Macaranga host plants</t>
  </si>
  <si>
    <t>behavior; coccids; food bodies; GC-MS; isotope; myrmecophyte; plant-herbivore interactions; proteomics</t>
  </si>
  <si>
    <t>DEFENSE; EUPHORBIACEAE; PARTNERS; BODIES; ASSOCIATION; ADAPTATIONS; PROTECTION; STABILITY; REWARDS; QUEENS</t>
  </si>
  <si>
    <t>Obligate mutualistic plant-ants are often constrained by their plant partner's capacity to provide resources. However, despite this limitation, some ant partners actively reject potential prey items and instead drop them from the plant rather than consuming them, leaving the ants entirely reliant on host plant-provided food, including that provided indirectly by the symbiotic scale insects that ants tend inside the plants. This dependency potentially increases the efficiency of these ants in defending their host. We hypothesize that if this ant behavior was beneficial to the symbiosis, prey rejection by ants would be observed across multiple plant host species. We also hypothesize that plant-provided food items and symbiotic scale insects from other ant plants should be rejected. We address these hypotheses in the Crematogaster ant-Macaranga plant system, in which plants provide living space and food, while ants protect plants from herbivory. We observed food acceptance and rejection behavior across five ant species and three plant host species. Ants were offered three types of food: termites as a surrogate herbivore, symbiotic scale insects, and nutritious food bodies (FB) produced by different host plant species. The unique ant species living in M. winkleri was the most likely to reject food items not provided by the plant species, followed by ants in M. glandibracteolata, while ants in M. pearsonii accepted most items offered to them. Using stable isotopes, chemical cues, and proteomic analyses, we demonstrate that this behavior was not related to differences between plant species in nutritional quality or composition of FB. Isotopic signatures revealed that certain species are primary consumers but other ant species can be secondary consumers even where surrogate herbivores are rejected, although these values varied depending on the ant developmental stage and plant species. Macaranga pearsonii and M. glandibracteolata, the two most closely related plant species, had most similar surface chemical cues of FB. However, M. glandibracteolata had strongest differences in food body nutritional content, isotopic signatures, and protein composition from either of the other two plant species studied. Taken together we believe our results point toward potential host coercion of symbiont ants by plants in the genus Macaranga Thouars (Euphorbiaceae).</t>
  </si>
  <si>
    <t>e9760</t>
  </si>
  <si>
    <t>10.1002/ece3.9760</t>
  </si>
  <si>
    <t>Wingate, L; Ogee, J; Cremonese, E; Filippa, G; Mizunuma, T; Migliavacca, M; Moisy, C; Wilkinson, M; Moureaux, C; Wohlfahrt, G; Hammerle, A; Hortnagl, L; Gimeno, C; Porcar-Castell, A; Galvagno, M; Nakaji, T; Morison, J; Kolle, O; Knohl, A; Kutsch, W; Kolari, P; Nikinmaa, E; Ibrom, A; Gielen, B; Eugster, W; Balzarolo, M; Papale, D; Klumpp, K; Kostner, B; Grunwald, T; Joffre, R; Ourcival, JM; Hellstrom, M; Lindroth, A; George, C; Longdoz, B; Genty, B; Levula, J; Heinesch, B; Sprintsin, M; Yakir, D; Manise, T; Guyon, D; Ahrends, H; Plaza-Aguilar, A; Guan, JH; Grace, J</t>
  </si>
  <si>
    <t>Interpreting canopy development and physiology using a European phenology camera network at flux sites</t>
  </si>
  <si>
    <t>DIGITAL REPEAT PHOTOGRAPHY; NET CARBON UPTAKE; SOIL-TEMPERATURE; SCOTS PINE; ECOSYSTEM RESPIRATION; CHLOROPHYLL CONTENT; FOREST PHENOLOGY; DECIDUOUS FOREST; LEAF CHLOROPHYLL; DIOXIDE UPTAKE</t>
  </si>
  <si>
    <t>Plant phenological development is orchestrated through subtle changes in photoperiod, temperature, soil moisture and nutrient availability. Presently, the exact timing of plant development stages and their response to climate and management practices are crudely represented in land surface models. As visual observations of phenology are laborious, there is a need to supplement long-term observations with automated techniques such as those provided by digital repeat photography at high temporal and spatial resolution. We present the first synthesis from a growing observational network of digital cameras installed on towers across Europe above deciduous and evergreen forests, grasslands and croplands, where vegetation and atmosphere CO2 fluxes are measured continuously. Using colour indices from digital images and using piecewise regression analysis of time series, we explored whether key changes in canopy phenology could be detected automatically across different land use types in the network. The piecewise regression approach could capture the start and end of the growing season, in addition to identifying striking changes in colour signals caused by flowering and management practices such as mowing. Exploring the dates of green-up and senescence of deciduous forests extracted by the piecewise regression approach against dates estimated from visual observations, we found that these phenological events could be detected adequately (RMSE &lt; 8 and 11 days for leaf out and leaf fall, respectively). We also investigated whether the seasonal patterns of red, green and blue colour fractions derived from digital images could be modelled mechanistically using the PROSAIL model parameterised with information of seasonal changes in canopy leaf area and leaf chlorophyll and carotenoid concentrations. From a model sensitivity analysis we found that variations in colour fractions, and in particular the late spring 'green hump' observed repeatedly in deciduous broadleaf canopies across the network, are essentially dominated by changes in the respective pigment concentrations. Using the model we were able to explain why this spring maximum in green signal is often observed out of phase with the maximum period of canopy photosynthesis in ecosystems across Europe. Coupling such quasi-continuous digital records of canopy colours with co-located CO2 flux measurements will improve our understanding of how changes in growing season length are likely to shape the capacity of European ecosystems to sequester CO2 in the future.</t>
  </si>
  <si>
    <t>10.5194/bg-12-5995-2015</t>
  </si>
  <si>
    <t>Wigand, C; Oczkowski, AJ; Branoff, BL; Eagle, M; Hanson, A; Martin, RM; Balogh, S; Miller, KM; Huertas, E; Loffredo, J; Watson, EB</t>
  </si>
  <si>
    <t>Recent Nitrogen Storage and Accumulation Rates in Mangrove Soils Exceed Historic Rates in the Urbanized San Juan Bay Estuary (Puerto Rico, United States)</t>
  </si>
  <si>
    <t>nitrogen storage; nitrogen accumulation; mangrove forest; wastewater; anthropogenic stressors; peri-urban mangrove; urbanization</t>
  </si>
  <si>
    <t>CARBON STORAGE; NUTRIENT CONTENT; STABLE-ISOTOPES; ORGANIC-CARBON; NITRATE; FORESTS; FLUXES; OXYGEN; POOLS</t>
  </si>
  <si>
    <t>Tropical mangrove forests have been described as coastal kidneys, promoting sediment deposition and filtering contaminants, including excess nutrients. Coastal areas throughout the world are experiencing increased human activities, resulting in altered geomorphology, hydrology, and nutrient inputs. To effectively manage and sustain coastal mangroves, it is important to understand nitrogen (N) storage and accumulation in systems where human activities are causing rapid changes in N inputs and cycling. We examined N storage and accumulation rates in recent (1970 - 2016) and historic (1930 - 1970) decades in the context of urbanization in the San Juan Bay Estuary (SJBE, Puerto Rico), using mangrove soil cores that were radiometrically dated. Local anthropogenic stressors can alter N storage rates in peri-urban mangrove systems either directly by increasing N soil fertility or indirectly by altering hydrology (e.g., dredging, filling, and canalization). Nitrogen accumulation rates were greater in recent decades than historic decades at Pinones Forest and Martin Pena East. Martin Pena East was characterized by high urbanization, and Pinones, by the least urbanization in the SJBE. The mangrove forest at Martin Pena East fringed a poorly drained canal and often received raw sewage inputs, with N accumulation rates ranging from 17.7 to 37.9 g m(-2) y(-1) in recent decades. The Pinones Forest was isolated and had low flushing, possibly exacerbated by river damming, with N accumulation rates ranging from 18.6 to 24.2 g m(-2) y(-1) in recent decades. Nearly all (96.3%) of the estuary-wide mangrove N (9.4 Mg ha(-1)) was stored in the soils with 7.1 Mg ha(-1) sequestered during 1970-2017 (0-18 cm) and 2.3 Mg ha(-1) during 1930-1970 (19-28 cm). Estuary-wide mangrove soil N accumulation rates were over twice as great in recent decades (0.18 +/- 0.002 Mg ha(-1)y(-1)) than historically (0.08 +/- 0.001 Mg ha(-1)y(-1)). Nitrogen accumulation rates in SJBE mangrove soils in recent times were twofold larger than the rate of human-consumed food N that is exported as wastewater (0.08 Mg ha(-1) y(-1)), suggesting the potential for mangroves to sequester human-derived N. Conservation and effective management of mangrove forests and their surrounding watersheds in the Anthropocene are important for maintaining water quality in coastal communities throughout tropical regions.</t>
  </si>
  <si>
    <t>10.3389/ffgc.2021.765896</t>
  </si>
  <si>
    <t>Csillery, K; Ovaskainen, O; Sperisen, C; Buchmann, N; Widmer, A; Gugerli, F</t>
  </si>
  <si>
    <t>Adaptation to local climate in multi-trait space: evidence from silver fir (Abies alba Mill.) populations across a heterogeneous environment</t>
  </si>
  <si>
    <t>CARBON-ISOTOPE DISCRIMINATION; WATER-USE EFFICIENCY; GENE FLOW; SEED WEIGHT; Q(ST)-F-ST COMPARISONS; ADAPTIVE RESPONSES; QUANTITATIVE TRAIT; STABLE-ISOTOPES; NORWAY SPRUCE; DOUGLAS-FIR</t>
  </si>
  <si>
    <t>Heterogeneous environments, such as mountainous landscapes, create spatially varying selection pressure that potentially affects several traits simultaneously across different life stages, yet little is known about the general patterns and drivers of adaptation in such complex settings. We studied silver fir (Abies alba Mill.) populations across Switzerland and characterized its mountainous landscape using downscaled historical climate data. We sampled 387 trees from 19 populations and genotyped them at 374 single-nucleotide polymorphisms (SNPs) to estimate their demographic distances. Seedling morphology, growth and phenology traits were recorded in a common garden, and a proxy for water use efficiency was estimated for adult trees. We tested whether populations have more strongly diverged at quantitative traits than expected based on genetic drift alone in a multi-trait framework, and identified potential environmental drivers of selection. We found two main responses to selection: (i) populations from warmer and more thermally stable locations have evolved towards a taller stature, and (ii) the growth timing of populations evolved towards two extreme strategies, 'start early and grow slowly' or 'start late and grow fast', driven by precipitation seasonality. Populations following the 'start early and grow slowly' strategy had higher water use efficiency and came from inner Alpine valleys characterized by pronounced summer droughts. Our results suggest that contrasting adaptive life-history strategies exist in silver fir across different life stages (seedling to adult), and that some of the characterized populations may provide suitable seed sources for tree growth under future climatic conditions.</t>
  </si>
  <si>
    <t>10.1038/s41437-019-0240-0</t>
  </si>
  <si>
    <t>Kharlamenko, VI; Kiyashko, SI; Imbs, AB; Vyshkvartzev, DI</t>
  </si>
  <si>
    <t>Identification of food sources of invertebrates from the seagrass Zostera marina community using carbon and sulfur stable isotope ratio and fatty acid analyses</t>
  </si>
  <si>
    <t>eelgrass community; mollusks; stable carbon isotope; stable sulfur isotope; fatty acids; food web</t>
  </si>
  <si>
    <t>ORGANIC-MATTER; BENTHIC MICROALGAE; LIPID COMPONENTS; SOLEMYA-VELUM; WEBS; VARIABILITY; SEDIMENTS; FLOW; BAY; PHYTOPLANKTON</t>
  </si>
  <si>
    <t>Carbon and sulfur stable isotope ratios, as well as fatty acid composition of tissues, of dominant consumer species were determined and compared to those of potential food sources in an isolated community of Zostera marina in a shallow, sen-ii-enclosed inlet of the Sea of Japan, Of the 6 dominant species of invertebrates, 4 species were enriched in C-13, compared to all sampled carbon sources alternative to Z. marina, Among them, the grazing gastropods Littorina squalida and Homalopoma sangarense exhibited the most enriched delta C-13 values. On the dual delta C-13 versus delta S-34 plot, these mollusks occupy an intermediate position between Z, marina and epiphytes, suggesting nearly equal proportions of organic carbon from both nutritional sources. In lipids of H. sangarense there was a high content of the 18:1(n-7) acid characteristic of aerobic bacteria; however, another grazer (L. squalida) showed the lowest content of bacterial fatty acids among all consumers, Other highly C-13-enriched consumers were the surface-deposit-feeding mollusks, the gastropod Batillaria cumingii and the bivalve Macoma incongrua; however, their delta S-34 values were markedly lower than those of any of the primary producers sampled, including Z marina. Although the high VC values of grazers and surface-deposit feeders are suggestive of a great contribution of Z. marina organic carbon, no substantial concentrations of seagrass marker fatty acids were detected, Significant interspecific variations of both the sulfur isotope ratios and the fatty acid composition of these consumers suggest that there are a variety of pathways by which seagrass organic matter reaches invertebrates at lower trophic levels of the community food web. Dominant filter feeders, the bivalves Ruditapes philippinarum and Pillucina pisidium, had carbon drastically different in isotopic composition from Z. marina organic matter, Body tissues of P. pisidium and especially its gills, which bear symbiotic bacteria, were dramatically depleted both in C-13 and S-34 compared to all sources of photosynthetically fixed carbon in the bay, Very low delta C-13 and delta S-34 values of R pisidium body together with a high content of 18: 1 (n-7) acid suggest a leading role of sulfur-oxidizing symbiotic bacteria in the nutrition of this species. R. philippinarum was only slightly C-13-enriched, compared to POM, and was the only consumer which had the high concentration of fatty acids characteristic of plankton, particularly 22:6(n-3). At the same time, it was much more S-34-depleted than would be expected, assuming negligible contribution of Z. marina detritus to its food. This mollusk showed a high content of branched fatty acids, especially the iso17:0 and anteiso17:0 acids characteristic of bacteria from sediment; this suggests that R. philippinarum assimilated notable amounts of bacteria from resuspended sediment. Furthermore, the contribution of S-34-depleted bacteria, which inhabit reduced sediment, to R. philippinarum nutrition was high enough to result in the observed depletion of S-34 in mollusks. Further progress in food web studies of seagrass ecosystems using a complex of multiple stable isotope and fatty acid analyses would appear possible on the basis of analysis of separate components of the seagrass epiphytic community and micro- and meiobenthic organisms, inhabiting surface sediments.</t>
  </si>
  <si>
    <t>10.3354/meps220103</t>
  </si>
  <si>
    <t>Maseyk, K; Hemming, D; Angert, A; Leavitt, SW; Yakir, D</t>
  </si>
  <si>
    <t>Increase in water-use efficiency and underlying processes in pine forests across a precipitation gradient in the dry Mediterranean region over the past 30 years</t>
  </si>
  <si>
    <t>CO2 fertilization; Dryland productivity; Stomatal conductance; Aleppo pine; Isotope dendrology</t>
  </si>
  <si>
    <t>CARBON-ISOTOPE DISCRIMINATION; TREE-RING DELTA-C-13; GAS-EXCHANGE; ATMOSPHERIC CO2; FAGUS-SYLVATICA; STABLE-ISOTOPES; RESPONSES; HALEPENSIS; RATIOS; VARIABILITY</t>
  </si>
  <si>
    <t>Motivated by persistent predictions of warming and drying in the entire Mediterranean and other regions, we have examined the interactions of intrinsic water-use efficiency (W-i) with environmental conditions in Pinus halepensis. We used 30-year (1974-2003) tree-ring records of basal area increment (BAI) and cellulose C-13 and O-18 composition, complemented by short-term physiological measurements, from three sites across a precipitation (P) gradient (280-700 mm) in Israel. The results show a clear trend of increasing W-i in both the earlywood (EW) and latewood (LW) that varied in magnitude depending on site and season, with the increase ranging from ca. 5 to 20% over the study period. These W-i trends were better correlated with the increase in atmospheric CO2 concentration, C-a, than with the local increase in temperature (similar to 0.04 degrees C year(-1)), whereas age, height and density variations had minor effects on the long-term isotope record. There were no trends in P over time, but W-i from EW and BAI were dependent on the interannual variations in P. From reconstructed C-i values, we demonstrate that contrasting gas-exchange responses at opposing ends of the hydrologic gradient underlie the variation in W-i sensitivity to C-a between sites and seasons. Under the mild water limitations typical of the main seasonal growth period, regulation was directed at increasing C-i/C-a towards a homeostatic set-point observed at the most mesic site, with a decrease in the W-i response to C-i with increasing aridity. With more extreme drought stress, as seen in the late season at the drier sites, the response was W-i driven, and there was an increase in the W-i sensitivity to C-a with aridity and a decreasing sensitivity of C-i to C-a. The apparent C-a-driven increases in W-i can help to identify the adjustments to drying conditions that forest ecosystems can make in the face of predicted atmospheric change.</t>
  </si>
  <si>
    <t>10.1007/s00442-011-2010-4</t>
  </si>
  <si>
    <t>Prebble, CEM; Rohner, CA; Pierce, SJ; Robinson, DP; Jaidah, MY; Bach, SS; Trueman, CN</t>
  </si>
  <si>
    <t>Limited latitudinal ranging of juvenile whale sharks in the Western Indian Ocean suggests the existence of regional management units</t>
  </si>
  <si>
    <t>Movement ecology; Planktivore; Philopatry; Elasmobranch; Mark-recapture</t>
  </si>
  <si>
    <t>RHINCODON-TYPUS SMITH; STABLE-ISOTOPES; POPULATION-STRUCTURE; HUMPBACK DOLPHINS; RESIDENCY; CONSERVATION; MOVEMENT; TISSUE; SOUTH; RATES</t>
  </si>
  <si>
    <t>Assessing the movements and connectivity of whale sharks Rhincodon typus through their range is difficult due to high individual mobility and limited knowledge of their behaviour following dispersal from coastal aggregation sites. Here, we use a large set of photo-identification and stable isotope data (delta N-15 and delta C-13) to test the assumption that sharks frequenting aggregation sites in Mozambique, Tanzania, and Qatar are a mixed stock, as inferred by genetic data. Photo-identification revealed negligible connectivity among aggregation sites and none between the southern and central areas of the Western Indian Ocean (Mozambique and Tanzania) and the Arabian Gulf (Qatar). Sight-resight data indicated that shark movements at each site could be best represented by a model that included emigration, re-immigration, and some mortality or permanent emigration. Although there was high individual variation in the isotope profiles of sharks from each location, comparison with latitudinal isotope data suggests that sharks had shown site fidelity to within a few hundred kilometres of each study area over the period of isotopic integration. Given the Endangered status of whale sharks and regional differences in anthropogenic threat profiles, further studies-and conservation assessment efforts-should consider the possibility that whale shark subpopulations exist over smaller geographical scales than previously documented.</t>
  </si>
  <si>
    <t>10.3354/meps12667</t>
  </si>
  <si>
    <t>Adams, CE; Hamilton, DJ; Mccarthy, I; Wilson, AJ; Grant, A; Alexander, G; Waldron, S; Snorasson, SS; Ferguson, MM; Skulason, S</t>
  </si>
  <si>
    <t>Does breeding site fidelity drive phenotypic and genetic sub-structuring of a population of arctic charr?</t>
  </si>
  <si>
    <t>divergence; evolution; gene-flow; polymorphism</t>
  </si>
  <si>
    <t>PER-GENERATION RULE; SALVELINUS-ALPINUS; SYMPATRIC SPECIATION; TROPHIC ECOLOGY; STABLE-ISOTOPES; BROWN TROUT; LAKE; CONSERVATION; POLYMORPHISM; SALMONIDAE</t>
  </si>
  <si>
    <t>There is now increasing acceptance that divergence of phenotypic traits, and the genetic structuring that underlie such divergence, can occur in sympatry. Here we report the serendipitous discovery of a sympatric polymorphism in the upper Forth catchment, Scotland, in a species for which high levels of phenotypic variation have been reported previously, the Arctic charr, Salvelinus alpinus. Attempting to determine the proximate mechanisms through which this pattern of phenotypic variation is maintained, we examine the use of the available feeding resource and the genotypic and phenotypic structure of charr in this system. We show clear differences in head morphology between charr from three very closely connected lakes with no barrier to movement (Lochs Doine, Voil and Lubnaig) and also differences in muscle stable isotope signatures and in stomach contents. There were significant differences at 6 microsatelite loci (between Lubnaig and the other two lochs) and very low estimates of effective migration between populations. We conclude that, despite living in effective sympatry, strong genetic and phenotypic sub-structuring is likely maintained by very high levels of site fidelity, especially during spawning, resulting in functional allopatric divergence of phenotype.</t>
  </si>
  <si>
    <t>10.1007/s10682-005-2489-4</t>
  </si>
  <si>
    <t>Belant, JL; Kielland, K; Follmann, EH; Adam, LG</t>
  </si>
  <si>
    <t>Interspecific resource partitioning in sympatric ursids</t>
  </si>
  <si>
    <t>Alaska; USA; American black bear; brown bear; diet; Oncorhynchus spp.; resource partitioning; salmon; Ursus americanus; Ursus arctos</t>
  </si>
  <si>
    <t>BLACK BEARS; BODY-COMPOSITION; STABLE-ISOTOPES; REPRODUCTIVE SUCCESS; URSUS-AMERICANUS; MOOSE MORTALITY; GRIZZLY BEARS; BROWN; MASS; MYRMECOPHAGY</t>
  </si>
  <si>
    <t>The fundamental niche of a species is rarely if ever realized because the presence of other species restricts it to a narrower range of ecological conditions. The effects of this narrower range of conditions define how resources are partitioned. Resource partitioning has been inferred but not demonstrated previously for sympatric ursids. We estimated assimilated diet in relation to body condition (body fat and lean and total body mass) and reproduction for sympatric brown bears (Ursus arctos) and American black bears (U. americanus) in southcentral Alaska, 1998-2000. Based on isotopic analysis of blood and keratin in claws, salmon (Oncorhynchus spp.) predominated in brown bear diets (&gt; 53% annually) whereas black bears assimilated 0-25% salmon annually. Black bears did not exploit salmon during a year with below average spawning numbers, probably because brown bears deterred black bear access to salmon. Proportion of salmon in assimilated diet was consistent across years for brown bears and represented the major portion of their diet. Body size of brown bears in the study area approached mean body size of several coastal brown bear populations, demonstrating the importance of salmon availability to body condition. Black bears occurred at a comparable density (mass: mass), but body condition varied and was related directly to the amount of salmon assimilated in their diet. Both species gained most lean body mass during spring and all body fat during summer when salmon were present. Improved body condition (i.e., increased percentage body fat) from salmon consumption reduced catabolism of lean body mass during hibernation, resulting in better body condition the following spring. Further, black bear reproduction was directly related to body condition; reproductive rates were reduced when body condition was lower. High body fat content across years for brown bears was reflected in consistently high reproductive levels. We suggest that the fundamental niche of black bears was constrained by brown bears through partitioning of food resources, which varied among years. Reduced exploitation of salmon caused black bears to rely more extensively on less reliable or nutritious food sources (e.g., moose [Alces alces], berries) resulting in lowered body condition and subsequent reproduction.</t>
  </si>
  <si>
    <t>10.1890/1051-0761(2006)016[2333:IRPISU]2.0.CO;2</t>
  </si>
  <si>
    <t>Hamilton, V; Evans, K; Raymond, B; Hindell, MA</t>
  </si>
  <si>
    <t>Environmental influences on tooth growth in sperm whales from southern Australia</t>
  </si>
  <si>
    <t>Energy budget; Environmental variability; GLG; Marine mammal; Nutritional history; Time series</t>
  </si>
  <si>
    <t>SEALS ARCTOCEPHALUS-GAZELLA; FUR SEALS; PHYSETER-MACROCEPHALUS; STABLE-ISOTOPES; CLIMATE; OCEAN; DISTRIBUTIONS; BEHAVIOR; TEETH; DIET</t>
  </si>
  <si>
    <t>Long time series are a necessary tool for investigating relationships between environmental variability and population parameters in marine predators and establishing changes in these, particularly under longer-term climatic change. Multi-decadal ecological datasets are however, generally lacking, as their collection requires substantial commitment. We examined time series of growth layer group widths measured in sperm whale teeth, as indicators of energetic history, firstly to investigate commonalities in growth both within and between individuals and secondly to investigate potential relationships between tooth growth and the marine environment. Growth layer group estimates obtained from the teeth of 27 individual whales ranged 14-52 GLGs. Time series of tooth growth were highly variable both within and between individuals, reflecting differences in overall tooth structure within individuals and independence of energetic budgets among individuals. Relationships between tooth growth and broad-scale environmental variables were unclear. Spatial relationships between sea surface temperature and tooth growth histories were identified across the austral summer and corresponded to historical foraging regions in southern Australian waters. Our results demonstrate the potential for sperm whale teeth to provide extended time series of individual growth and nutritional histories. Further research is needed to understand the influence of intrinsic and extrinsic factors on tooth growth and in association, a better understanding of the responses of marine mammal species to environmental variability. (C) 2013 Elsevier B.V. All rights reserved.</t>
  </si>
  <si>
    <t>10.1016/j.jembe.2013.05.031</t>
  </si>
  <si>
    <t>Walter, C; Perez, CA; Thomas, FM</t>
  </si>
  <si>
    <t>Weather or weathering? Growth of Nothofagus dombeyi on volcanic soils differing in nitrogen and phosphorus concentrations</t>
  </si>
  <si>
    <t>Andisol; annual ring; dendroecology; temperate broadleaf forest; weather anomalies</t>
  </si>
  <si>
    <t>RING ISOTOPIC COMPOSITION; LONG-TERM; STABLE-ISOTOPES; NUTRIENT LIMITATION; TREE; CARBON; OXYGEN; DELTA-C-13; DROUGHT; PLANT</t>
  </si>
  <si>
    <t>We tested whether-in addition to weather conditions-the concentrations of nitrogen and phosphorus in the substrate have an effect on the radial stem increment of Nothofagus dombeyi trees in old-growth forest stands on volcanic soil at the western slopes of the Andes in South-Central Chile. We took soil samples and tree increment cores from five proximate sites (1000-1300 m a.s.l.) that are located in the volcanic region of the Conguillio National Park and differ in the age of the substrate (Miocene-3500 years B.P.) and in its concentrations of nitrogen (N) and phosphorus (P). The soil samples were also analysed on their concentrations of other plant mineral nutrients, carbon (C) and nitrogen isotope ratios (delta N-15). Tree-ring widths and the stem basal area increment (BAI) were related to climate parameters. In selected tree rings, the stable isotope ratios of carbon (delta C-13) and oxygen (delta O-18) were determined and related to growth and climate parameters. Consistent with theory, the soils on the oldest substrate showed the highest (least negative) delta N-15 values, but mineral N was the only nutrient whose concentration exhibited a straightforward (increasing) relationship with increasing substrate age. The BAI was largest on the soil with the highest concentration of plant-available P. In contrast to BAI, tree-ring chronologies did not differ among the study sites. However, tree-ring chronologies and BAI exhibited significantly positive correlations with summer precipitation, and negative correlations, with summer (December) temperature. A negative correlation was found between delta C-13 and precipitation anomalies in the growing season (November-March). We interpret the negative correlations between growth and temperature, and between delta C-13 and delta O-18 in the tree rings, as an impairment of net carbon assimilation by anomalously warm weather conditions during the growing season. We conclude that the growth of N. dombeyi is mainly affected by high temperature and low precipitation in spring and summer irrespective of the substrate's age, and enhanced by higher concentrations of plant-available P in the soil. Our results may be representative of N. dombeyi stands on volcanic substrate within their principal distribution range along the Andes of South America.</t>
  </si>
  <si>
    <t>10.1093/jpe/rtv079</t>
  </si>
  <si>
    <t>Costa, NR; Crusciol, CAC; Trivelin, PCO; Pariz, CM; Costa, C; Castilhos, AM; Souza, DM; Bossolani, JW; Andreotti, M; Meirelles, PRL; Moretti, LG; Mariano, E</t>
  </si>
  <si>
    <t>Recovery of N-15 fertilizer in intercropped maize, grass and legume and residual effect in black oat under tropical conditions</t>
  </si>
  <si>
    <t>Zea mays L.; Urochloa brizantha; Cajanus cajan (L.) Millsp; Avena strigosa schreb; Integrated crop-livestock system; N-15 tracer technique</t>
  </si>
  <si>
    <t>The development of integrated crop-livestock systems (ICLSs) under no-tillage (NT) is of global interest for improving agroecosystem sustainability in tropical regions. In these crop systems, nitrogen (N) is the most essential nutrient. Nitrogen needs vary according to environmental conditions and crop rotation and are higher when crop succession is performed with grasses only. Intercropping maize with legumes is an interesting alternative to improve agricultural management and N cycling. To better understand N dynamics in ICLSs, in this study, two maize (Zea mays L.) silage production systems were developed: intercropping with palisadegrass (Urochloa brizantha `Marandu', syn. Brachiaria brizantha) only or palisadegrass and pigeon pea [Cajanus cajan (L.) Millsp.] (summer-autumn). In both intercropping systems, black oat (Avena strigosa Schreb) was oversown and grazed by lambs (winter-spring). We assessed biomass production, N uptake, and fertilizer-N recovery due to the addition of N-15-labeled fertilizer in maize intercropped with palisadegrass and pigeon pea and the residual effect on black oat grazed by lambs during two growing seasons in a Typic Haplorthox in southeastern Brazil. The triple intercropped crops produced higher amounts of silage and pasture biomass and efficiently increased the use of N fertilizer by maize, thereby promoting greater N-15 recovery. Palisadegrass and pigeon pea are a good option for cultivation in tropical regions, as this combination did not alter the measured levels of N in the intercropping systems but improved N dynamics, efficiency, balance, and N fertilizer distribution in the soil-plant system. This study provides a better understanding of N dynamics in the soil-plant system to support more efficient N fertilization in ICLS under NT.</t>
  </si>
  <si>
    <t>10.1016/j.agee.2020.107226</t>
  </si>
  <si>
    <t>Scharnweber, K; Gardmark, A</t>
  </si>
  <si>
    <t>Feeding specialists on fatty acid-rich prey have higher gonad weights: Pay-off in Baltic perch?</t>
  </si>
  <si>
    <t>among-individual diet variation; eggs; fatty acid composition; female investment; food quality; omega-3 HUFAs</t>
  </si>
  <si>
    <t>PIKE ESOX-LUCIUS; FISH COMMUNITIES; STABLE-ISOTOPES; BROOK CHARR; DIET; FLUVIATILIS; EGGS; DYNAMICS; QUALITY; GROWTH</t>
  </si>
  <si>
    <t>Individual specialization is a common phenomenon throughout the animal kingdom. Many studies have identified intraspecific competition as one of the main drivers for individual feeding specialization. These studies have mainly considered the quantity of resources, commonly overlooking qualitative aspects of the diet. For example, highly unsaturated fatty acids of the omega-3 class (omega-3 HUFAs) are related to optimal health and growth in consumers. However, little is known on direct fitness consequences for consumers of natural populations that specialize on high-quality resources, such as those rich in omega-3 HUFAs. Despite being such an important qualitative aspect of the diet, it is still unknown whether natural populations show among-individual variation in their choice on prey items that are either rich or poor in HUFAs, and how it affects individual performances. In this study, we investigated whether there is individual feeding specialization and whether it is related to fitness benefits, in a population of perch (Perca fluviatilis) in the Baltic Sea. The contribution of pelagic planktivorous fish to the diet varied from 17% to 61% among perch individuals, as depicted by stable isotope mixing models. This variation in diet was also qualitative, as the omega-3 HUFA content differed among prey types. Specialization on the high-quality resource pelagic planktivorous fish was associated with the proportions of omega-3 HUFA in the individuals' muscles and individuals among those with the highest proportions of omega-3 HUFAs had the greatest relative gonad weight (gonadosomatic index, GSI), a proxy for reproductive investment. Thus, our results highlight the function of food quality for individual specialization and its potential to have direct fitness benefits, playing a major role in shaping ecological interactions.</t>
  </si>
  <si>
    <t>e03234</t>
  </si>
  <si>
    <t>10.1002/ecs2.3234</t>
  </si>
  <si>
    <t>Dassou, AG; Depigny, S; Canard, E; Vinatier, F; Carval, D; Tixier, P</t>
  </si>
  <si>
    <t>Contrasting effects of plant diversity across arthropod trophic groups in plantain-based agroecosystems</t>
  </si>
  <si>
    <t>Arthropod food webs; Field scale; Multitrophic interactions; Habitat structure; Cameroon; Musa spp. AAB group</t>
  </si>
  <si>
    <t>BOTTOM-UP; TOP-DOWN; INVERTEBRATE HERBIVORY; INTRAGUILD PREDATION; STABLE-ISOTOPES; FOOD-WEB; BIODIVERSITY; DELTA-N-15; DELTA-C-13; INCREASES</t>
  </si>
  <si>
    <t>Previous biodiversity studies have shown that plant diversity increases the complexity of arthropod food webs. However, only a few studies have addressed this issue in tropical ecosystems, in which the small annual variations allow the community to approach a steady state. With the goal of optimizing pest management, we studied the effect of plant diversity on the arthropod community in 20 plantain-based fields in Cameroon, Plantain-based agroecosystems are especially useful for studying the effects of plant diversity because they contain few to many non-plantain crop plants and arc treated with few or no pesticides or fertilizers. We measured the diversity of cropped plants and the abundance of ground-dwelling arthropods. Five trophic groups of arthropods were identified based on stable isotopic signatures (delta C-13 and delta N-15). At the field scale, predator abundance was positively correlated with plant diversity while herbivore abundance displayed the opposite pattern. These strong and inverse effects of plant diversity on predator and herbivore abundances suggest that top-down forces and resource concentration structure the arthropod community in plantain fields. Our findings are consistent with other studies that showed a reduction of interaction and interference between predators in more structured habitats. These findings will help in the design of plantain agroecosystems that enhance pest control.</t>
  </si>
  <si>
    <t>10.1016/j.baae.2015.09.003</t>
  </si>
  <si>
    <t>Takatsu, K; Kishida, O</t>
  </si>
  <si>
    <t>Enhanced recruitment of larger predators in the presence of large prey</t>
  </si>
  <si>
    <t>cannibalism; gigantism; Hynobius retardatus; predator recruitment; Rana pirica; size-structured predator-prey interaction</t>
  </si>
  <si>
    <t>INTRAGUILD PREDATION; ONTOGENIC NICHE; LIFE-HISTORY; INDUCIBLE DEFENSE; STAGE STRUCTURE; GROWTH; COMPLEXITY; RISK; BOTTLENECKS; MORTALITY</t>
  </si>
  <si>
    <t>Most carnivores undergo diet shift from smaller to larger prey items during ontogeny. The trophic relationship between a growing carnivore and larger prey is representative of a size-structured predator-prey interaction. The strength of this interaction is, in part, determined by the recruitment of individuals from smaller predatory size classes into larger predatory size classes. Therefore, it is interesting to investigate how larger prey alter the recruitment of smaller predator size classes into larger predator size classes, since this can affect their own future predation risk. Past empirical studies have exclusively documented that large prey reduce predator recruitment by decreasing growth and/or survival of the smaller predators. In this study, we provide empirical evidence of the contrasting pattern: large prey enhance the recruitment of smaller predators into larger predators even though they increase cannibalism mortality of the smaller predators. We have done this here by studying the trophic interaction between predatory salamander larvae Hynobius retardatus and the frog tadpoles Rana pirica that represent their large prey. In a field experiment in which salamander hatchlings were exposed to the presence or absence of large frog tadpoles, we found that more giant salamanders emerged in the presence of frog tadpoles than in their absence. Reassignment of frog tadpoles (to both treatments) in the subsequent experimental period showed that the enhanced emergence of giant salamanders in the presence of frog tadpoles leads to the intensification of salamander predation on the frog tadpoles. In an additional laboratory experiment, to better understand the underlying mechanisms, we manipulated both the presence of frog tadpoles and the occurrence of cannibalism between salamander hatchlings. This experiment revealed that frog tadpoles intensify the cannibalism of salamander larvae during their hatchling stage, thus allowing more salamander larvae to become large-sized predators. Our results suggest that frog tadpoles can inadvertently intensify their own future predation risk by intensifying cannibalistic interactions among predatory salamander hatchlings, thereby enhancing the degree of predator recruitment to a larger size class. Hence, large prey can enhance the recruitment of individuals from small predator size classes into larger predator size classes.</t>
  </si>
  <si>
    <t>10.1111/1365-2656.13210</t>
  </si>
  <si>
    <t>Hasselquist, NJ; Metcalfe, DB; Marshall, JD; Lucas, RW; Hogberg, P</t>
  </si>
  <si>
    <t>Seasonality and nitrogen supply modify carbon partitioning in understory vegetation of a boreal coniferous forest</t>
  </si>
  <si>
    <t>C-13; biomass allocation; boreal forest; carbon cycling; ericaceous shrubs; isotopes; mosses; nitrogen availability; pulse-chase labeling; seasonality</t>
  </si>
  <si>
    <t>NET PRIMARY PRODUCTION; IN-SITU; ARCTIC TUNDRA; MINERAL-NUTRITION; PLANT-RESPONSES; SOIL ORGANISMS; ALLOCATION; ECOSYSTEM; BIOMASS; DYNAMICS</t>
  </si>
  <si>
    <t>Given the strong coupling between the carbon (C) and nitrogen (N) cycles, there is substantial interest in understanding how N availability affects C cycling in terrestrial ecosystems, especially in ecosystems limited by N. However, most studies in temperate and boreal forests have focused on the effects of N addition on tree growth. By comparison, less is known about the effects of N availability on the cycling of C in understory vegetation despite some evidence that dwarf shrubs, mosses, and lichens play an important role in the forest C balance. In this study, we used an in situ(13)CO(2) pulse-labeling technique to examine the short-term dynamics of C partitioning in understory vegetation in three boreal Pinus sylvestris forest stands exposed to different rates of N addition: a low and high N addition that receive annual additions of NH4NO3 of 20 and 100kg N/ha, respectively, and this is a typo. It should be an unfertilized control. Labeling was conducted at two distinct periods (early vs. late growing season), which provided a seasonal picture of how N addition affects C dynamics in understory vegetation. In contrast to what has been found in trees, there was no obvious trend in belowground C partitioning in ericaceous plants in response to N additions or seasonality. Increasing N addition led to a greater percentage of C-13 being incorporated into ericaceous leaves with a high turnover, whereas high rates of N addition strongly reduced the incorporation of C-13 into less degradable moss tissues. Addition of N also resulted in a greater percentage of the C-13 label being respired back to the atmosphere and an overall reduction in total understory carbon use efficiency. Taken together, our results suggest a faster cycling of C in understory vegetation with increasing N additions; yet the magnitude of this general response was strongly dependent on the amount of N added and varied seasonally. These results provide some of the first in situ C and N partitioning estimates for plants growing under the complex web of resource limitations in the boreal understory.</t>
  </si>
  <si>
    <t>10.1890/15-0831.1</t>
  </si>
  <si>
    <t>Villegas-Rios, D; Alos, J; Palmer, M; Lowerre-Barbieri, SK; Banon, R; Alonso-Fernandez, A; Saborido-Rey, F</t>
  </si>
  <si>
    <t>Life-history and activity shape catchability in a sedentary fish</t>
  </si>
  <si>
    <t>Feeding; Fish activity; Home range; Movement ecology; Reproduction; Seasonality; Sedentary fish; Vulnerability</t>
  </si>
  <si>
    <t>COD GADUS-MORHUA; HOME-RANGE SIZE; STOCK ASSESSMENT; VARYING CATCHABILITY; PERSONALITY-TRAITS; SITE FIDELITY; BALLAN WRASSE; HABITAT USE; BEHAVIOR; PERFORMANCE</t>
  </si>
  <si>
    <t>Catchability, a key parameter in stock assessment, is often considered constant in time and space. However, when fishing with passive gears like traps or gillnets, fish behavior determines the odds of encounter with the fishers and thus catchability. Few studies have presented comprehensive empirical evidence of the link between behavior measured in the wild and catchability from a life-history strategy perspective. Here, a suite of different variables, including environmental cues, physiological states, fish activity, home range and catchability, were modeled using a sinusoidal function to describe their seasonality over the year and the degree of coupling among them in a sedentary coastal fish (Labrus bergylta). All the variables except the home range size showed a significant variation over the year, following a sinusoidal pattern. The models showed a tight match between the seasonality of catchability and fish activity, with high values of both variables occurring in late spring to early summer, when the highest levels of feeding and the period of reproductive inactivity occurred. Lower catchability values were predicted in late autumn to early winter, coinciding with the spawning season and the associated reduced activity. This integrative research shows that the spatio-temporal dimension of fish life-history strategy has a key role in shaping catchability even in highly sedentary species. Timevarying catchability needs to be incorporated into stock assessment models that aim to accurately describe fish population health and to estimate abundance indices.</t>
  </si>
  <si>
    <t>10.3354/meps11018</t>
  </si>
  <si>
    <t>Huang, W; Liu, XB; Gonzalez, G; Zou, XM</t>
  </si>
  <si>
    <t>Late Holocene fire history and charcoal decay in subtropical dry forests of Puerto Rico</t>
  </si>
  <si>
    <t>FIRE ECOLOGY</t>
  </si>
  <si>
    <t>anthropology; charcoal decay; paleoclimate; paleofire; Puerto Rico forest; soil charcoal</t>
  </si>
  <si>
    <t>SOIL CHARCOAL; TROPICAL FORESTS; STABLE-ISOTOPES; CLIMATE-CHANGE; BOREAL FOREST; VEGETATION; DISTURBANCE; TEMPERATE; DYNAMICS; RECORDS</t>
  </si>
  <si>
    <t>Background: Fire is an important disturbance that influences species composition, community structure, and ecosystem function in forests. Disturbances such as hurricanes and landslides are critical determinants of community structure to Caribbean forests, but few studies have addressed the effect of paleofire disturbance on forests in Puerto Rico, USA. Soil charcoal is widely used to reconstruct fire history. However, the occurrence and frequency of paleofire can be underestimated due to charcoal decay. Results: We reconstructed the fire history of subtropical dry forests of Puerto Rico based on the analysis of soil macrocharcoal numbers adjusted by the negative exponential decay function of charcoal. Twenty-one fire events occurred over the last 1300 yr in the subtropical dry forest of northeastern Puerto Rico, and 10 fire events occurred over the last 4900 yr in the subtropical dry forest of southeastern Puerto Rico. The average turnover time of charcoal in these subtropical dry forest soils of Puerto Rico was 1000 to 1250 yr. Soil charcoal decay leads to an underestimation of one to two undetected fire events during the Late Holocene in the subtropical dry forests of Puerto Rico. The peak of paleofire events for subtropical dry forests in northeastern and southeastern Puerto Rico was broadly similar, occurring between 500 to 1300 calibrated years before present (cal yr BP; before present is understood to mean before 1950 AD). Fire frequency of the subtropical dry forests in Puerto Rico decreased after the immigration of Europeans in the past 500 yr. The fire that occurred between 4822 and 4854 cal yr BP can be interpreted as either a natural fire or a new record of a native peoples settlement in southeastern Puerto Rico. Fire became a frequent disturbance in the subtropical dry forest of Puerto Rico after the development of cultigens by native peoples. Conclusions: Our data suggested that fire was a frequent disturbance and human activity was likely a dominant cause of these paleofires in the subtropical dry forests of Puerto Rico.</t>
  </si>
  <si>
    <t>10.1186/s42408-019-0033-0</t>
  </si>
  <si>
    <t>Bai, E; Boutton, TW; Liu, F; Ben Wu, X; Archer, SR</t>
  </si>
  <si>
    <t>Variation in woody plant delta(13)C along a topoedaphic gradient in a subtropical savanna parkland</t>
  </si>
  <si>
    <t>carbon isotope discrimination; leaf nitrogen; specific leaf area; soil moisture; photosynthetic capacity</t>
  </si>
  <si>
    <t>CARBON-ISOTOPE DISCRIMINATION; HAWAIIAN METROSIDEROS-POLYMORPHA; WATER-USE EFFICIENCY; STABLE-ISOTOPES; PROSOPIS-GLANDULOSA; NATURAL-ABUNDANCE; RAINFALL GRADIENT; EPICUTICULAR WAX; LEAF DELTA-C-13; ORGANIC-CARBON</t>
  </si>
  <si>
    <t>delta(13)C values of C(3) plants are indicators of plant carbon-water relations that integrate plant responses to environmental conditions. However, few studies have quantified spatial variation in plant delta(13)C at the landscape scale. We determined variation in leaf delta(13)C, leaf nitrogen per leaf area (N(area)), and specific leaf area (SLA) in April and August 2005 for all individuals of three common woody species within a 308 x 12-m belt transect spanning an upland-lowland topoedaphic gradient in a subtropical savanna in southern Texas. Clay content, available soil moisture, and soil total N were all negatively correlated with elevation. The delta(13)C values of Prosopis glandulosa (deciduous N(2)-fixing tree legume), Condalia hookeri (evergreen shrub), and Zanthoxylum fagara (evergreen shrub) leaves increased 1-4 parts per thousand with decreasing elevation, with the delta(13)C value of P. glandulosa leaves being 1-3 parts per thousand higher than those of the two shrub species. Contrary to theory and results from previous studies, delta(13)C values were highest where soil water was most available, suggesting that some other variable was overriding or interacting with water availability. Leaf N(area) was positively correlated with leaf delta(13)C of all species (p &lt; 0.01) and appeared to exert the strongest control over delta(13)C along this topoedaphic gradient. Since leaf N(area) is positively related to photosynthetic capacity, plants with high leaf N(area) are likely to have low p(I)/p(a) ratios and therefore higher delta(13)C values, assuming stomatal conductance is constant. Specific leaf area was not correlated significantly with leaf delta(13)C. Following a progressive growing season drought in July/August, leaf delta(13)C decreased. The lower delta(13)C in August may reflect the accumulation of 13C-depleted epicuticular leaf wax. We suggest control of leaf delta(13)C along this topoedaphic gradient is mediated by leaf N(area) rather than by stomatal conductance limitations associated with water availability.</t>
  </si>
  <si>
    <t>10.1007/s00442-008-1003-4</t>
  </si>
  <si>
    <t>Liu, WJ; Wang, PY; Li, JT; Liu, WY; Li, HM</t>
  </si>
  <si>
    <t>Plasticity of source-water acquisition in epiphytic, transitional and terrestrial growth phases of Ficus tinctoria</t>
  </si>
  <si>
    <t>canopy humus soil; growth phases; soil water; strangler fig</t>
  </si>
  <si>
    <t>NEOTROPICAL SAVANNA; RAIN-FOREST; STABLE-ISOTOPES; HYDRAULIC LIFT; CLOUD-WATER; SOIL-WATER; TREES; FOG; PATTERNS; DEEP</t>
  </si>
  <si>
    <t>Despite continued studies on the ecology and physiology of strangling hemiepiphytes, there is little quantitative information about the variations in source-water uptake by these species under different growth phases. In this study, the water acquisition patterns of a hemiepiphyte, Ficus tinctoria, is investigated in relation to growth phase (epiphytic, transitional and terrestrial) and season (foggy, hot-dry and rainy). Stable isotope compositions of water in xylem, soil, canopy humus, fog and rainfall were sampled on seasonally distinct dates, and soil water content and leaf carbon isotope composition were measured in order to determine the proportion of different water sources. Results indicated that F.tinctoria displayed a high degree of plasticity in source-water acquisition associated with the growth-phase transition from purely canopy-rooted epiphyte to transitional plant to terrestrial tree. During the foggy season and the hot-dry season, epiphytes utilized a combination of recently received rainwater (82-89%) and fog water (11-18%) present in canopy humus soil, whereas terrestrial trees exclusively depended on shallow and deep terrestrial soil water and exhibited marked flexibility in depth of soil water uptake. Transitional-phase plants relied predominantly on shallow soil water (79-86%) and extracted only a small fraction of canopy humus water (14-21%). During the rainy season, epiphytes relied almost exclusively on recent rainwater (96%) and had a negligible water uptake from fog, whereas trees extracted their water primarily from the shallow soil and less from the deep soil. Plants in transitional-phase drew a considerable fraction of water from canopy humus soil. This plasticity of source-water uptake to cope with radical changes in rooting environment is likely the key feature enabling hemiepiphytic species to thrive and successfully establish in the tropical rainforests. Copyright (c) 2014 John Wiley &amp; Sons, Ltd.</t>
  </si>
  <si>
    <t>10.1002/eco.1475</t>
  </si>
  <si>
    <t>Bayes, SK; Hellerstein, MK; Fitch, M; Mills, NJ; Welter, SC</t>
  </si>
  <si>
    <t>You are what you eat: fatty acid profiles as a method to track the habitat movement of an insect</t>
  </si>
  <si>
    <t>Dispersal; Intrinsic marker; Biomarker; Navel orangeworm; Amyelois transitella</t>
  </si>
  <si>
    <t>FOOD-WEB; STABLE-ISOTOPES; ANIMAL MOVEMENT; DISPERSAL; PATTERNS; MARKERS; DIETS; SOIL; CONNECTIVITY; INDICATORS</t>
  </si>
  <si>
    <t>Tracking the movement of small organisms is of tremendous importance to understanding the ecology of populations, communities, and ecosystems. However, it remains one of the most difficult challenges facing the field of movement ecology. We developed an intrinsic marking technique for tracking small organisms using dietary fatty acid profiles as a biomarker as well as for clarifying source-sink dynamics between populations on a landscape level. Navel orangeworm moths (NOW), Amyelois transitella (Walker) (Lepidoptera: Pyralidae), raised on two different host plants with significantly different fatty acid profiles, were used to develop a model that distinguishes NOW based on their larval host plant. Wild NOW from both known and unknown host plants were used to validate the model. NOW fatty acid profiles showed striking similarities to the fatty acid profile of their host plant demonstrating that fatty acids can act as an intrinsic marking technique for quantifying the movement of small organisms. We anticipate that given sufficient spatial variation in dietary fatty acids, this technique will be useful in studying the movement of arthropods and other invertebrates particularly when addressing questions of source-sink dynamics.</t>
  </si>
  <si>
    <t>10.1007/s00442-014-2976-9</t>
  </si>
  <si>
    <t>Roscher, C; Schmid, B; Buchmann, N; Weigelt, A; Schulze, ED</t>
  </si>
  <si>
    <t>Legume species differ in the responses of their functional traits to plant diversity</t>
  </si>
  <si>
    <t>Biodiversity; Functional traits; Legumes; Species identity; Trait variation</t>
  </si>
  <si>
    <t>PHENOTYPIC PLASTICITY; GRASSLAND COMMUNITIES; BIOMASS ALLOCATION; STABLE-ISOTOPES; NITROGEN; BIODIVERSITY; IDENTITY; GROWTH; RICHNESS; LIGHT</t>
  </si>
  <si>
    <t>Plants can respond to environmental impacts by variation in functional traits, thereby increasing their performance relative to neighbors. We hypothesized that trait adjustment should also occur in response to influences of the biotic environment, in particular different plant diversity of the community. We used 12 legume species as a model and assessed their variation in morphological, physiological, life-history and performance traits in experimental grasslands of different plant species (1, 2, 4, 8, 16 and 60) and functional group (1-4) numbers. Mean trait values and their variation in response to plant diversity varied among legume species and from trait to trait. The tall-growing Onobrychis viciifolia showed little trait variation in response to increasing plant diversity, whereas the species with shorter statures responded in apparently adaptive ways. The formation of longer shoots with elongated internodes, increased biomass allocation to supporting tissue at the cost of leaf mass, reduced branching, higher specific leaf areas and lower foliar delta C-13 values indicated increasing efforts for light acquisition in more diverse communities. Although leaf nitrogen concentrations and shoot biomass:nitrogen ratios were not affected by increasing plant diversity, foliar delta N-15 values of most legumes decreased and the application of the N-15 natural abundance method suggested that they became more reliant on symbiotic N-2 fixation. Some species formed fewer inflorescences and delayed flowering with increasing community diversity. The observed variation in functional traits generally indicated strategies of legumes to optimize light and nutrient capturing, but they were largely species-dependent and only partly attributable to increasing canopy height and community biomass with increasing plant diversity. Thus, the analysis of individual plant species and their adjustment to growth conditions in communities of increasing plant diversity is essential to get a deeper insight into the mechanisms behind biodiversity-ecosystem functioning relationships.</t>
  </si>
  <si>
    <t>10.1007/s00442-010-1735-9</t>
  </si>
  <si>
    <t>Williams, KE; Sherwin, RE; Vandalen, KK; Piaggio, AJ</t>
  </si>
  <si>
    <t>A noninvasive genetic technique using guano for identification of Corynorhinus townsendii (Townsend's big-eared bat) maternity roosts</t>
  </si>
  <si>
    <t>MOLECULAR PHYLOGENY; DNA; AFFINITIES; HABITAT; SYSTEMS; DIET</t>
  </si>
  <si>
    <t>The use of DNA from fecal samples can allow for a better understanding of the ecology of a species without capturing and handling the animals. This is particularly useful for cryptic and elusive animals, such as bats. Being able to identify critical habitat, such as maternity roosts, for bat species in areas where they depend on abandoned mines that could be slated for closure is necessary to enact appropriate protections for such roosts. In particular, Corynorhinus townsendii commonly uses abandoned mines for maternity roosts. Further, maternity roosts are difficult to identify through visual surveys when only one or a few surveys are performed before mine closures. We have developed a method for identification of C. townsendii maternity roosts that uses fecal DNA extracted from fresh guano collected from plastic sheeting placed at a mine entrance. We provide a multiplex PCR assay to amplify a control region fragment found only in C. townsendii, as well as a Y-linked protein (DBY) to detect male C. townsendii DNA. The purpose of this study was to identify a temporal shift in the presence of male C. townsendii bats, which can be useful to identify a maternity roost. This method allows for noninvasive identification of critical habitat for this species and reduces the effort and safety risk of entering mines on the part of biologists.</t>
  </si>
  <si>
    <t>10.3398/064.080.0404</t>
  </si>
  <si>
    <t>Oosthuizen, WC; Bester, MN; Altwegg, R; McIntyre, T; de Bruyn, PJN</t>
  </si>
  <si>
    <t>Decomposing the variance in southern elephant seal weaning mass: partitioning environmental signals and maternal effects</t>
  </si>
  <si>
    <t>body mass; environmental variability; food availability; Marion Island; maternal effects; Mirounga leonina; population; prey abundance; process variance; Southern Ocean; temporal variation; top predator</t>
  </si>
  <si>
    <t>MIROUNGA-LEONINA; CLIMATE-CHANGE; JUVENILE SOUTHERN; POPULATION REGULATION; STABLE-ISOTOPES; TOP PREDATOR; EL-NINO; LA-NINA; SURVIVAL; TRENDS</t>
  </si>
  <si>
    <t>Predator populations are likely to respond to bottom-up processes, but there remains limited understanding of how wide-ranging marine predators respond to environmentally driven temporal variation in food availability. Widespread declines of several Southern Ocean predators, including southern elephant seals Mirounga leonina, have been attributed to decreases in food availability following environmental changes. We used linear mixed models to examine temporal process variance in weaning mass (a key fitness component) of southern elephant seals at Marion Island over a 27-year period (19862013). We quantified the contribution of within-and between-year covariates to the total phenotypic variance in weaning mass and determined whether the observed reversal of population decline was associated with a continued increase in weaning mass, suggesting improvement in per capita food availability to adult females. Weaning mass initially increased rapidly with maternal age, but reached an asymptote when females were nine years old. Longitudinal data examining between-individual maternal differences suggested latent, age-independent maternal influences on weaning mass. Between-year differences accounted for only 6% of the total phenotypic variance in weaning mass. We found no evidence for a systematic trend in weaning mass, but model predicted weaning mass was 8.70 kg (95% CI = 2.14-14.73) lower during the 1980s, suggesting that food limitation may have been most severe during these years when the population was declining. Model support for a population size effect was entirely driven by the low weaning mass and comparatively high (but declining) population size from 1986 to 1988; subsequent variation in population size had no detectable influence on weaning mass. Remotely sensed chlorophyll-a concentration within the seals' foraging distribution explained 45% of the between-year variation (1998-2013, n = 9) in weaning mass, with higher weaning mass in years of positive chlorophyll-a anomalies. Environmental variation associated with variability in the Southern Annular Mode poorly predicted temporal variation in weaning mass. Our long-term data on elephant seal weaning mass provides a perspective on variation in food availability in a pelagic environment which is poorly known. Examining the long-term regionally specific effects of environmental variability aids our understanding of how these predators interact with their environment.</t>
  </si>
  <si>
    <t>10.1890/ES14-00508.1</t>
  </si>
  <si>
    <t>de Moel, H; Ganssen, GM; Peeters, FJC; Jung, SJA; Kroon, D; Brummer, GJA; Zeebe, RE</t>
  </si>
  <si>
    <t>Planktic foraminiferal shell thinning in the Arabian Sea due to anthropogenic ocean acidification?</t>
  </si>
  <si>
    <t>ISOTOPIC COMPOSITION; CARBON ISOTOPES; CLIMATE-CHANGE; INDIAN-OCEAN; TREE-RINGS; RECORD; CO2; C-13; RADIOCARBON; CALCIFICATION</t>
  </si>
  <si>
    <t>About one third of the anthropogenic carbon dioxide (CO2) released into the atmosphere in the past two centuries has been taken up by the ocean. As CO2 invades the surface ocean, carbonate ion concentrations and pH are lowered. Laboratory studies indicate that this reduces the calcification rates of marine calcifying organisms, including planktic foraminifera. Such a reduction in calcification resulting from anthropogenic CO2 emissions has not been observed, or quantified in the field yet. Here we present the findings of a study in the Western Arabian Sea that uses shells of the surface water dwelling planktic foraminifer Globigerinoides ruber in order to test the hypothesis that anthropogenically induced acidification has reduced shell calcification of this species. We found that light, thin-walled shells from the surface sediment are younger (based on C-14 and delta C-13 measurements) than the heavier, thicker-walled shells. Shells in the upper, bioturbated, sediment layer were significantly lighter compared to shells found below this layer. These observations are consistent with a scenario where anthropogenically induced ocean acidification reduced the rate at which foraminifera calcify, resulting in lighter shells. On the other hand, we show that seasonal upwelling in the area also influences their calcification and the stable isotope (delta C-13 and delta O-18) signatures recorded by the foraminifera shells. Plankton tow and sediment trap data show that lighter shells were produced during upwelling and heavier ones during non-upwelling periods. Seasonality alone, however, cannot explain the C-14 results, or the increase in shell weight below the bioturbated sediment layer. We therefore must conclude that probably both the processes of acidification and seasonal upwelling are responsible for the presence of light shells in the top of the sediment and the age difference between thick and thin specimens.</t>
  </si>
  <si>
    <t>10.5194/bg-6-1917-2009</t>
  </si>
  <si>
    <t>Cania, B; Vestergaard, G; Kublik, S; Kohne, JM; Fischer, T; Albert, A; Winkler, B; Schloter, M; Schulz, S</t>
  </si>
  <si>
    <t>Biological Soil Crusts from Different Soil Substrates Harbor Distinct Bacterial Groups with the Potential to Produce Exopolysaccharides and Lipopolysaccharides</t>
  </si>
  <si>
    <t>Biological soil crusts; Exopolysaccharides; Lipopolysaccharides; Microbiome; Metagenomics</t>
  </si>
  <si>
    <t>POLYMERIC SUBSTANCES EPS; CYANOBACTERIAL EXOPOLYSACCHARIDES; MICROBIOTIC CRUSTS; ORGANIC-MATTER; CHAIN-LENGTH; NEGEV-DESERT; TRANSPORT; BIOSYNTHESIS; DIVERSITY; PROTEIN</t>
  </si>
  <si>
    <t>Biological soil crusts (biocrusts) play an important role in improving soil stability and resistance to erosion by promoting aggregation of soil particles. During initial development, biocrusts are dominated by bacteria. Some bacterial members of the biocrusts can contribute to the formation of soil aggregates by producing exopolysaccharides and lipopolysaccharides that act as glue for soil particles. However, little is known about the dynamics of soil glue producers during the initial development of biocrusts. We hypothesized that different types of initial biocrusts harbor distinct producers of adhesive polysaccharides. To investigate this, we performed a microcosm experiment, cultivating biocrusts on two soil substrates. High-throughput shotgun sequencing was used to obtain metagenomic information on microbiomes of bulk soils from the beginning of the experiment, and biocrusts sampled after 4 and 10 months of incubation. We discovered that the relative abundance of genes involved in the biosynthesis of exopolysaccharides and lipopolysaccharides increased in biocrusts compared with bulk soils. At the same time, communities of potential soil glue producers that were highly similar in bulk soils underwent differentiation once biocrusts started to develop. In the bulk soils, the investigated genes were harbored mainly by Betaproteobacteria, whereas in the biocrusts, the major potential producers of adhesive polysaccharides were, aside from Alphaproteobacteria, either Cyanobacteria or Chloroflexi and Acidobacteria. Overall, our results indicate that the potential to form exopolysaccharides and lipopolysaccharides is an important bacterial trait for initial biocrusts and is maintained despite the shifts in bacterial community composition during biocrust development.</t>
  </si>
  <si>
    <t>10.1007/s00248-019-01415-6</t>
  </si>
  <si>
    <t>Xu, YQ; He, JC; Cheng, WX; Xing, XR; Li, LH</t>
  </si>
  <si>
    <t>Natural N-15 abundance in soils and plants in relation to N cycling in a rangeland in Inner Mongolia</t>
  </si>
  <si>
    <t>delta N-15; NH3 volatilization; mineralization; nitrification; denitrification; grazing intensity; grassland</t>
  </si>
  <si>
    <t>NITROGEN MINERALIZATION; ACETYLENE-INHIBITION; STABLE ISOTOPES; DELTA-N-15; GRASSLAND; GRADIENT; DENITRIFICATION; PASTURE; CARBON; AVAILABILITY</t>
  </si>
  <si>
    <t>Aims Natural N-15 abundance provides integrated information about nitrogen (N) input, transformation and output, indirectly reflecting N cycling traits within terrestrial ecosystems. However, relationships between natural N-15 abundance and N cycling processes are poorly understood in China. Here, our primary objectives were to (i) examine the effects of grazing at varying levels of intensity on delta N-15 of soils and plants in a semi-arid grassland; (ii) detect the relationships between delta N-15 of soils and four major N cycling processes (i.e. mineralization, nitrification, denitrification and ammonia volatilization); and (iii) determine whether delta N-15 of soils can be used as an indicator of N cycling in this semi-arid grassland. Methods The field experiment was conducted within the long-term (17-year) grazing enclosures in a semi-arid grassland in Inner Mongolia. Five grazing intensities (0.00, 1.33, 2.67, 4.00 and 5.33 sheep ha(-1)) were designed. delta N-15 values of topsoils (0-10 cm), surface soils (0-2 cm) and plants were measured in 2006. Differences in delta N-15 of soils and plants between the five grazing intensities were examined. Rates of four soil N cycling processes were measured periodically during the 2005 and 2006 growing seasons. The delta N-15 values of topsoils were linked to the four N cycling processes to investigate their relationships. Important Findings The delta N-15 values of topsoils (5.20-5.96 parts per thousand) were substantially higher than the delta N-15 values of plants (2.51-2.93 parts per thousand) and surface soils (1.44-2.92 parts per thousand) regardless of grazing intensities. The N-15-depleted N losses during microbial decomposition of organic matter in concert with the downward movement of residual substrate over time are the possible causes of higher delta N-15 values in topsoils than in surface soils. In addition, the delta N-15 values of topsoils were positively correlated with the delta N-15 values of both plants and surface soils. Grazing, especially the high-intensity grazing (5.33 sheep ha(-1)), resulted in a significant decrease in delta N-15 of surface soils. However, no statistically significant variations in delta N-15 of topsoils and plants were found in response to grazing. The delta N-15 values of topsoils exhibited significant dependence on the cumulative rates of NH3 volatilization, net nitrification and denitrification in 2005 but not in 2006.</t>
  </si>
  <si>
    <t>10.1093/jpe/rtq023</t>
  </si>
  <si>
    <t>Cannon, JB; Gannon, BM; Feinstein, JA; Padley, EA; Metz, LJ</t>
  </si>
  <si>
    <t>Simulating spatial complexity in dry conifer forest restoration: implications for conservation prioritization and scenario evaluation</t>
  </si>
  <si>
    <t>Spatial heterogeneity; Wildfire risk; Conservation planning optimization; Forest restoration; Ecological effects models</t>
  </si>
  <si>
    <t>PINE-DOMINATED FORESTS; FUEL TREATMENTS; WILDLAND FIRE; SEDIMENT YIELDS; POSTFIRE RUNOFF; FRONT RANGE; PONDEROSA; COLORADO; EROSION; WILDFIRE</t>
  </si>
  <si>
    <t>Context Several initiatives seek to increase the pace and scale of dry forest restoration and fuels reduction to enhance forest resilience to wildfire and other stressors while improving the quality and reliability of key ecosystem services. Ecological effects models are increasingly used to prioritize these efforts at the landscape-scale based on simulated treatment outcomes. Objectives Treatments are often simulated using uniform post-treatment target conditions or proportional changes to baseline forest structure variables, but do not account for the common objective of restoration to mimic the complex forest structure that was present historically which is thought to provide an example of structural conditions that contributed to ecosystem diversity and resilience. Methods We simulate spatially homogenous fire hazard reduction treatments along with heterogeneous restoration treatments in dry conifer forests to investigate how spatial complexity affects ecological indicators of (1) forest structural heterogeneity, (2) forest and watershed vulnerability to high-severity fire, and (3) feasibility of future prescribed fire use. Results Our results suggest that spatially explicit restoration treatments should produce similar wildfire and prescribed fire outcomes as homogeneous fuels reduction treatments, but with greater forest structural heterogeneity. The lack of strong tradeoffs between ecological objectives suggests the primary benefit of spatially complex treatments is to increase forest structural heterogeneity which may promote biodiversity. Conclusions We show that landscape-scale prioritization to maximize ecological benefits can change when spatially complex restoration treatments are modeled. Coupling landscape-scale management simulations and ecological effects models offers flexible decision support for conservation assessment, prioritization, and planning.</t>
  </si>
  <si>
    <t>10.1007/s10980-020-01111-8</t>
  </si>
  <si>
    <t>Baker, BC; Wilson, AE; Scott, JT</t>
  </si>
  <si>
    <t>Phytoplankton N-2-fixation efficiency and its effect on harmful algal blooms</t>
  </si>
  <si>
    <t>nitrogen fixation; nutrient limitation; supply ratios; cyanobacteria; HABs</t>
  </si>
  <si>
    <t>NITROGEN-FIXATION; FRESH-WATER; COMMUNITY COMPOSITION; MARINE ECOSYSTEMS; STABLE-ISOTOPES; PHOSPHORUS; LAKES; EUTROPHICATION; GROWTH; MICROCYSTINS</t>
  </si>
  <si>
    <t>Toxin production during harmful algal blooms (HABs) depends on N availability. However, the role of N-2 fixation as a mechanism to fuel 'new' N into HABs and increase their toxicity has not been well studied. We quantified the effects of N : P supply ratios on N-2-fixation efficiency in HABs from 3 warm-temperate man-made reservoirs. We enriched mesocosms with the same concentration of P (112 mu g P/L) but differing amounts of N (50-2500 mu g N/L) labeled with a N-15 tracer to simulate HABs growing along a large molar N : P gradient (1-50). N-2 fixation increased significantly at low N : P but generally did not alleviate N limitation and lead to accumulating N and phytoplankton biomass efficiently unless the magnitude of stoichiometric imbalance was low. Furthermore, microcystin concentrations &gt;1.0 mu g/L occurred only in mesocosms receiving N : P = 50 supply and only in the reservoir with detectable concentrations of microcystin at the beginning of the experiment. These results suggest that HABs in P-rich reservoirs may yield significantly more biomass and potentially become more toxic when reactive N is plentiful in the water column relative to P. Thus, reducing N concentrations can be useful as a supplement to the primary P reduction strategies used to minimize the harmful effects of algal blooms.</t>
  </si>
  <si>
    <t>10.1086/697530</t>
  </si>
  <si>
    <t>Coates, BS; Kozak, GM; Kim, KS; Sun, J; Wang, YZ; Fleischer, SJ; Dopman, EB; Sappington, TW</t>
  </si>
  <si>
    <t>Influence of host plant, geography and pheromone strain on genomic differentiation in sympatric populations of Ostrinia nubilalis</t>
  </si>
  <si>
    <t>population genetics; reproductive isolation; sexual selection</t>
  </si>
  <si>
    <t>EUROPEAN CORN-BORER; FALL ARMYWORM LEPIDOPTERA; SEX-PHEROMONE; GENETIC DIFFERENTIATION; REPRODUCTIVE ISOLATION; HUBNER LEPIDOPTERA; STABLE-ISOTOPES; RACES; SELECTION; DIVERGENCE</t>
  </si>
  <si>
    <t>Patterns of mating for the European corn borer (Ostrinia nubilalis) moth depend in part on variation in sex-pheromone blend. The ratio of (E)-11- and (Z)-11-tetradecenyl acetate (E11- and Z11-14:OAc) in the pheromone blend that females produce and males respond to differs between strains of O. nubilalis. Populations also vary in female oviposition preference for and larval performance on maize (C4) and nonmaize (C3) host plants. The relative contributions of sexual and ecological trait variation to the genetic structure of O. nubilalis remains unknown. Host-plant use (C-13/C-14 ratios) and genetic differentiation were estimated among sympatric E and Z pheromone strain O. nubilalis males collected in sex-pheromone baited traps at 12 locations in Pennsylvania and New York between 2007 and 2010. Among genotypes at 65 single nucleotide polymorphism marker loci, variance at a position in the pheromone gland fatty acyl-reductase (pgfar) gene at the locus responsible for determining female pheromone ratio (Pher) explained 64% of the total genetic differentiation between males attracted to different pheromones (male response, Resp), providing evidence of sexual inter-selection at these unlinked loci. Principal coordinate, Bayesian clustering, and distance-based redundancy analysis (dbRDA) demonstrate that host plant history or geography does not significantly contribute to population variation or differentiation among males. In contrast, these analyses indicate that pheromone response and pgfar-defined strain contribute significantly to population genetic differentiation. This study suggests that behavioural divergence probably plays a larger role in driving genetic variation compared to host plant-defined ecological adaptation.</t>
  </si>
  <si>
    <t>10.1111/mec.15234</t>
  </si>
  <si>
    <t>Poulsen, JR; Clark, CJ; Palmer, TM</t>
  </si>
  <si>
    <t>Ecological erosion of an Afrotropical forest and potential consequences for tree recruitment and forest biomass</t>
  </si>
  <si>
    <t>Central Africa; Defaunation; Seed dispersal; Seed predation; Herbivoty; Above-ground biomass</t>
  </si>
  <si>
    <t>SEED DISPERSAL; NEOTROPICAL TREE; BUSHMEAT; HARVEST; CONSERVATION; MODELS; PREDATION; ABUNDANCE; PATTERNS; WILDLIFE</t>
  </si>
  <si>
    <t>Unprecedented rates of logging and hunting threaten to transform the remaining primary tropical forest into a degraded mosaic, emptied of wildlife. Defaunation is expected to interrupt plant-animal interactions with cascading effects for forest structure, composition, and ecosystem services. In a Central African forest first logged 35 years ago, we evaluated this process of ecological erosion in 30 study sites distributed across forest disturbed by logging and hunting, logging alone, and neither logging nor hunting. Both logging and hunting tended to reduce abundances of large mammals, together shifting the relative abundance of the animal community towards squirrels and small birds. Through a series of experiments, we evaluated the effects of logging and hunting on seed dispersal, seed predation and herbivory. We demonstrate. that complete defaunation is not necessary to significantly alter the strength of plant-animal interactions. Hunting reduced the mean dispersal distances of nine mammal-dispersed tree species by 22%. Rates of seed predation were similar among forest types, but hunted forest had significantly lower rates of herbivory that we attribute to the lower abundance of meso-herbivores. Hunted forest also had significantly lower above-ground biomass (301 Mg ha(-1)) than the logged only (358 Mg ha(-1)) and undisturbed (455 Mg ha(-1)) forest types, but similar numbers of tree species and individuals. Lower biomass in hunted forest is likely attributable to significantly lower wood densities at small tree size classes (&lt;40 cm). We hypothesize that over time the human-mediated modification of plant-animal interactions can alter the composition of the forest to have a higher proportion of fast-growing, low wood density tree species, diminishing the long-term potential for carbon storage. (C) 2013 Elsevier Ltd. All rights reserved.</t>
  </si>
  <si>
    <t>10.1016/j.biocon.2013.03.021</t>
  </si>
  <si>
    <t>HOBSON, KA; WELCH, HE</t>
  </si>
  <si>
    <t>DETERMINATION OF TROPHIC RELATIONSHIPS WITHIN A HIGH ARCTIC MARINE FOOD WEB USING DELTA-C-13 AND DELTA-N-15 ANALYSIS</t>
  </si>
  <si>
    <t>NORTHERN BAFFIN ISLAND; CARBON ISOTOPES; SUMMER DIET; C-13-C-12; COPEPODS; N-15; FRACTIONATION; ZOOPLANKTON; ECOLOGY; CANADA</t>
  </si>
  <si>
    <t>We measured stable-carbon [C-13/C-12] and/or nitrogen [N-15/N-14] isotope ratios in 322 tissue samples [minus lipids] representing 43 species from primary producers through polar bears Ursus maritimus in the Barrow Strait-Lancaster Sound marine food web during July-August, 1988 to 1990. delta-C-13 ranged from -21.6 + 0.3 parts per thousand for particulate organic matter [POM] to -15.0 +/- 0.7 parts per thousand for the predatory amphipod Stegocephalus inflatus. Delta-N-15 was least enriched for POM [5.4 +/- 0.8 parts per thousand], most enriched for polar bears [21.1 +/- 0.6 parts per thousand], and showed a step-wise enrichment with trophic level of + 3.8 parts per thousand. We used this enrichment value to construct a simple isotopic food-web model to establish trophic relationships within this marine ecosystem. This model confirms a food web consisting primarily of 5 trophic levels. delta-C-13 showed no discernible pattern of enrichment after the first 2 trophic levels, an effect that could not be attributed to differential lipid concentrations in food-web components. Although Arctic cod Boreogadus saida is an important link between primary producers and higher trophic-level vertebrates during late summer, our isotopic model generally predicts closer links between lower trophic-level invertebrates and several species of seabirds and marine mammals than previously established.</t>
  </si>
  <si>
    <t>10.3354/meps084009</t>
  </si>
  <si>
    <t>Qubain, CA; Yano, Y; Hu, J</t>
  </si>
  <si>
    <t>Nitrogen acquisition strategies of mature Douglas-fir: a case study in the northern Rocky Mountains</t>
  </si>
  <si>
    <t>conifer; evergreen; nitrogen availability; nitrogen storage; nitrogen translocation; nitrogen uptake; Pseudotsuga menziesii var; glauca; Rocky Mountain Douglas-fir</t>
  </si>
  <si>
    <t>BEECH FAGUS-SYLVATICA; SPRUCE PICEA-ABIES; NUTRIENT-USE; SOUTHERN-CALIFORNIA; BUDWORM OUTBREAKS; DECIDUOUS SHRUBS; SEASONAL-CHANGES; STABLE-ISOTOPES; AMINO-ACIDS; NET UPTAKE</t>
  </si>
  <si>
    <t>Nitrogen (N) limits plant growth in temperate ecosystems, yet many evergreens exhibit low photosynthetic N use efficiency, which can be explained in part by their tendency to store more N than to use it in photosynthesis. However, it remains uncertain to what extent mature conifers translocate internal N reserves or take up N from soils to support new growth. In this study, we explored N dynamics within mature Douglas-fir (Pseudotsuga menziesii var. glauca) trees by linking N uptake in field-grown trees with seasonal soil available N. We used a branch-level mass balance approach to infer seasonal changes in total N among multiple needle and stem cohorts and bole tissue, and used foliar delta N-15 to evaluate N translocation/uptake from soils. Soil resin-exchangeable N and net N transformation rates were measured to assess whether soils had sufficient N to support new needle growth. We estimated that after bud break, new needle biomass in Douglas-fir trees accumulated an average of 0.20 +/- 0.03 mg N/branch and 0.17 +/- 0.03 mg N/branch in 2016 and 2017, respectively. While we did find some evidence of translocation of N from older stems to buds prior to bud break, we did not detect a significant drawdown of N from previous years' growth during needle expansion. This suggests that the majority of N used for new growth was not reallocated from aboveground storage, but originated from the soils. This finding was further supported by the delta N-15 data, which showed divergent delta N-15 patterns between older needles and buds prior to leaf flushing (indicative of translocation), but similar patterns of depletion and subsequent enrichment following leaf expansion (indicative of N originating from soils). Overall, in order to support new growth, our study trees obtained the majority of N from the soils, suggesting tight coupling between soil available N and N uptake in the ecosystem.</t>
  </si>
  <si>
    <t>e03338</t>
  </si>
  <si>
    <t>10.1002/ecs2.3338</t>
  </si>
  <si>
    <t>Xia, CC; Zuecco, G; Chen, K; Liu, L; Zhang, ZL; Luo, J</t>
  </si>
  <si>
    <t>The estimation of young water fraction based on isotopic signals: challenges and recommendations</t>
  </si>
  <si>
    <t>young water fraction; isotope tracers; sources of uncertainty; water-related risks; further studies</t>
  </si>
  <si>
    <t>STABLE-ISOTOPES; TRANSIT TIMES; SENSITIVITY; VARIABILITY</t>
  </si>
  <si>
    <t>Young water fraction (Fyw) is defined as the fraction of water in a stream with a transit time of less than 2-3 months. Fyw is a metric used to quantify the proportion of precipitation input converted into the runoff in the form of fast flow, which provides new insights for characterizing the mechanisms of water storage and release, understanding the time-scale of ecohydrological processes and indicating water-related risks. However, Fyw has been advanced for a relatively short time, and the research on its applicability conditions and main drivers is still ongoing. Studies estimating Fyw are still very few and this index has not been reported in many landscapes and climate backgrounds, limiting its further application in hydrological studies. On the basis of summarizing the progresses of Fyw in previous studies, this paper provides a preliminary analysis of the potential uncertainties in the Fyw estimation, which can be due to temporal trends in the isotopic composition of precipitation, uneven sampling interval of stream water, and complex hydrological systems. Finally, this paper provides some recommendations for the optimization of the sampling design and the methods used for the Fyw estimation.</t>
  </si>
  <si>
    <t>10.3389/fevo.2023.1114259</t>
  </si>
  <si>
    <t>Radke, AG; Godsey, SE; Lohse, KA; McCorkle, EP; Perdrial, J; Seyfried, MS; Holbrook, WS</t>
  </si>
  <si>
    <t>Spatiotemporal Heterogeneity of Water Flowpaths Controls Dissolved Organic Carbon Sourcing in a Snow-Dominated, Headwater Catchment</t>
  </si>
  <si>
    <t>dissolved organic carbon/DOC; hydrologic connectivity; soil water; groundwater; snow; dryland ecosystems; critical zone observatory/CZO</t>
  </si>
  <si>
    <t>SOIL-WATER; STREAMFLOW GENERATION; MULTIVARIATE-ANALYSIS; STABLE-ISOTOPES; RESIDENCE TIMES; CLIMATE-CHANGE; RIPARIAN ZONE; FRONT RANGE; MATTER; GROUNDWATER</t>
  </si>
  <si>
    <t>The non-uniform distribution of water in snowdrift-driven systems can lead to spatial heterogeneity in vegetative communities and soil development, as snowdrifts may locally increase weathering. The focus of this study is to understand the coupled hydrological and biogeochemical dynamics in a heterogeneous, snowdrift-dominated headwater catchment (Reynolds Mountain East, Reynolds Creek Critical Zone Observatory, Idaho, USA). We determine the sources and fluxes of stream water and dissolved organic carbon (DOC) at this site, deducing likely flowpaths from hydrometric and hydrochemical signals of soil water, saprolite water, and groundwater measured through the snowmelt period and summer recession. We then interpret flowpaths using end-member mixing analysis in light of inferred subsurface structure derived from electrical resistivity and seismic velocity transects. Streamwater is sourced primarily from groundwater (averaging 25% of annual streamflow), snowmelt (50%), and water traveling along the saprolite/bedrock boundary (25%). The latter is comprised of the prior year's soil water, which accumulates DOC in the soil matrix through the summer before flushing to the saprolite during snowmelt. DOC indices suggest that it is sourced from terrestrial carbon, and derives originally from soil organic carbon (SOC) before flushing to the saprolite/bedrock boundary. Multiple subsurface regions in the catchment appear to contribute differentially to streamflow as the season progresses; sources shift from the saprolite/bedrock interface to deeper bedrock aquifers from the snowmelt period into summer. Unlike most studied catchments, lateral flow of soil water during the study year is not a primary source of streamflow. Instead, saprolite and groundwater act as integrators of soil water that flows vertically in this system. Our results do not support the flushing hypothesis as observed in similar systems and instead indicate that temporal variation in connectivity may cause the unexpected dilution behavior displayed by DOC in this catchment.</t>
  </si>
  <si>
    <t>10.3389/fevo.2019.00046</t>
  </si>
  <si>
    <t>Wu, H; Dannenmann, M; Wolf, B; Han, XG; Zheng, X; Butterbach-Bahl, K</t>
  </si>
  <si>
    <t>Seasonality of soil microbial nitrogen turnover in continental steppe soils of Inner Mongolia</t>
  </si>
  <si>
    <t>annual nitrogen budget; drying-rewetting; freeze-thaw; microbial biomass; nitrification; N mineralization; steppe</t>
  </si>
  <si>
    <t>DIRECT EXTRACTION METHOD; FREEZE-THAW; POOL DILUTION; HETEROTROPHIC NITRIFICATION; TRANSFORMATION RATES; TEMPERATE GRASSLAND; ORGANIC NITROGEN; N MINERALIZATION; GROSS RATES; FOREST SOIL</t>
  </si>
  <si>
    <t>Annual estimates and seasonal patterns of gross nitrogen turnover in terrestrial soils are poorly understood due to the lack of experimental evidence. Based on year round sampling in wintergrazed and ungrazed steppe soils of Inner Mongolia, we show that measurements of net rates of ammonification (-9 to -6 kg N ha (1) year (1)) or nitrification (19 to 31 kg N ha (1) year (1)) do not at all reflect the pronounced dynamics of gross rates of ammonification (215-240 kg N ha (1) year (1)) or nitrification (362-417 kg N ha (1) year (1)). Four different seasons with characteristic functional patterns of N turnover were identified: (1) Growing season dynamics as characterized by drying/rewetting cycles and negatively correlated temporal courses of net microbial growth and periods with intensive gross ammonification, contributing 40-52% and 29-32% to cumulative annual gross ammonification and nitrification, respectively. Net N mineralization was almost exclusively observed during the growing season. (2) Microbial N dynamics during the autumn freeze-thaw period was characterized by a sharp decline in microbial biomass in conjunction with a peak of gross nitrification contributing 19-36% to cumulative annual fluxes. (3) During winter at constantly frozen soil, a net build-up of microbial biomass was observed, whereas gross N turnover rates were low, contributing 7-10% and 6-11% to cumulative annual gross ammonification or gross nitrification, respectively. (4) The spring freeze-thaw period showed extremely dynamic changes in gross N turnover and soil nitrate concentrations. This period contributed 34-44% and 21-46% to cumulative annual gross ammonification and nitrification, respectively. This study highlights that freeze-thaw cycles are key periods for understanding patterns and magnitudes of gross N turnover in semi-arid continental steppe ecosystems. The results further imply that the observed patterns of microbial biomass and gross N turnover dynamics are likely the consequence of a seasonal succession of microbial communities and turnover of microbial biomass. Our findings emphasize the necessity for high resolution studies on gross N turnover as a prerequisite to infer functioning and annual budgets of ecosystem N cycling.</t>
  </si>
  <si>
    <t>10.1890/ES11-00188.1</t>
  </si>
  <si>
    <t>Perrin, G; Plourde, S; DiBacco, C; Winkler, G; Sirois, P</t>
  </si>
  <si>
    <t>Tracing the origins of Calanus sp in the Saguenay-St. Lawrence Marine Park (Quebec, Canada) using delta C-13 as a marker</t>
  </si>
  <si>
    <t>Calanus; delta C-13; Origin; Connectivity; Circulation; Saguenay-St. Lawrence Marine Park</t>
  </si>
  <si>
    <t>PARTICULATE ORGANIC-MATTER; STABLE CARBON ISOTOPES; SPATIAL VARIABILITY; LIFE-CYCLE; FINMARCHICUS; ESTUARY; CIRCULATION; FRACTIONATION; GULF; ZOOPLANKTON</t>
  </si>
  <si>
    <t>The Saguenay-St. Lawrence Marine Park (SSLMP) is a region that sustains a high abundance of zooplankton. The connectivity between zooplankton populations within the SSLMP and the surrounding areas was investigated for Calanus finmarchicus and C. hyperboreus. Deep-dwelling stage V copepodites (CVs) were collected in the Marine Park as well as in putative source regions in the St. Lawrence system in July 2009 (a time when they were entering into diapause). In May 2010, at the end of the overwintering period, diapausing CVs were sampled again in the Marine Park. To discriminate the origins and to predict the probable regions of origin of these deep-dwelling diapausing CVs in the SSLMP, a quadratic discriminant function analysis (QDFA) was performed. The classification algorithm was based on the carbon isotopic composition (delta C-13) and percent carbon (% C) of individual copepods, as these variables are conservative when lipids are extracted prior to analysis. Our results suggest that about 23% of the Calanus spp. population sampled in SSLMP in late spring 2010 originated from the Saguenay Fjord (inside the SSLMP). The remainder of this population originated from regions outside the SSLMP, including the Lower St. Lawrence Estuary, and likely further east in the Gulf of St. Lawrence. Our results revealed high connectivity across the Saguenay and the St. Lawrence systems, as well as the potential for significant local production and recruitment of Calanus spp. within the Saguenay Fjord. This study also revealed the effectiveness of using delta C-13 as a marker in delineating the origi n of Calanus spp., which has a relatively long non-feeding overwintering and diapausing period making it amenable to the conservation of isotopic signatures.</t>
  </si>
  <si>
    <t>10.3354/meps10651</t>
  </si>
  <si>
    <t>Manetta, GI; Bialetzki, A; Neto, CD; Martinelli, LA; Benedito, E</t>
  </si>
  <si>
    <t>Ontogenetic changes in the food items assimilated by Plagioscion squamosissimus (Perciformes: Sciaenidae) and Hypophthalmus edentatus (Siluriformes: Pimelodidae)</t>
  </si>
  <si>
    <t>larvae; stomach; fish; delta N-15</t>
  </si>
  <si>
    <t>STABLE-ISOTOPES; FISH</t>
  </si>
  <si>
    <t>In order to identify the ontogenetic changes in the food items assimilated by the larvae of Plagioscion squamosissimus and Hypophthalmus edentatus, we analyzed the stomach content and the nitrogen isotopic value (delta N-15) from the larvae. Samplings were performed monthly, from October 2002 to March 2003, and October 2003 to March 2004 in the subbasin of the Ivinheima River (Upper Parana River floodplain), Mato Grosso do Sul State, Brazil. The food items assimilated by the larvae of P. squamosissimus changed with respect to the developmental stages. In the preflexion stage, we found a large contribution of phytoplankton, followed by zooplankton. During the flexion and post-flexion stages, we recorded a decrease in phytoplankton contribution, an increase in zooplankton contribution, and the presence of zoobenthos. In H. edentatus, phytoplankton made the greatest contribution, followed by zooplankton. Ontogenetic changes in delta N-15 for this species were not detected. For both species, the food item predominantly ingested was not the assimilated one, except for the last two developmental stages of P. squamosissimus.</t>
  </si>
  <si>
    <t>10.1080/02705060.2011.556413</t>
  </si>
  <si>
    <t>Babur, E; Dindaroglu, T; Riaz, M; Uslu, OS</t>
  </si>
  <si>
    <t>Seasonal Variations in Litter Layers' Characteristics Control Microbial Respiration and Microbial Carbon Utilization Under Mature Pine, Cedar, and Beech Forest Stands in the Eastern Mediterranean Karstic Ecosystems</t>
  </si>
  <si>
    <t>Forest litter layer; Microbial respiration; Microbial biomass; qCO(2); Seasonal variations</t>
  </si>
  <si>
    <t>BIOMASS-C; METABOLIC QUOTIENT; SOIL CARBON; EXTRACTION METHOD; ORGANIC-CARBON; USE EFFICIENCY; CHLOROFORM FUMIGATION; NITROGEN DYNAMICS; N-MINERALIZATION; NUTRIENT STATUS</t>
  </si>
  <si>
    <t>The forest floor is hotspot of several functions integral to the stability of forest ecosystems. However, seasonal variations in litter decomposition rate contribute to biochemical and structural heterogeneity in the forest floor carbon (C) and nutrient cycling. We investigated the influence of seasonal variations in litter layers' micro-climate (temperature and moisture content) and chemical characteristics such as pH, electrical conductivity (EC), total organic C (TOC), total nitrogen (TN), and C/N ratio on microbial respiration, biomass, and C use efficiency under mature (&gt; 80 years stage age) pine, beech, and cedar forests in eastern Mediterranean Karstic ecosystems. In contrast to significantly higher microbial respiration in fall, winter, and spring under pine, beech, and cedar forests, the significantly lowest microbial biomass C (MBC) and microbial biomass N (MBN) were observed in winter under each forest. Microbial C use efficiency, measured as the metabolic quotient (qCO(2) = CO2/MBC), varied strongly between forest stands and seasons but was generally higher in winter. The significant positive correlations between litter layer and microbial biomass C/N ratios, under beech and cedar forests, suggested strong CN stoichiometric coupling and microbial adaptation to substrate resource stoichiometry. qCO(2) correlated significantly negatively with litter layers' temperature, positively with moisture content and EC. However, qCO(2) had significant negative relationships with pH in pine and beech forests but significant positive under cedar forest. qCO(2) showed significant positive relationships with C/N ratios under all forests but much stronger in beech and cedar forests suggesting higher C respired per unit MBC with an increase in C/N ratio. Despite variations between forest species, the highest MBC/TOC and MBN/TN ratios in fall indicated greater C and N incorporation into microbial biomass. Changes in MBC/MBN ratios under pine (9.62-10.6), beech (8.63-15.6), and cedar (7.32-16.2) forests indicated the shift in microbial communities as fungi have a higher C/N ratio than bacteria. Stepwise regression analysis further revealed that microbial respiration and biomass were controlled differently by litter layer characteristics in each forest. This study suggested that qCO(2) independently or with other microbial indices can show litter layers' controls on organic matter turnover in Karst ecosystems and, taking into account the strong seasonal variations, can enhance the predictive potential of decomposition models.</t>
  </si>
  <si>
    <t>10.1007/s00248-021-01842-4</t>
  </si>
  <si>
    <t>Abe, Y; Yamada, Y; Saito, R; Matsuno, K; Yamaguchi, A; Komatsu, K; Imai, I</t>
  </si>
  <si>
    <t>Short-term changes in abundance and population structure of dominant pelagic amphipod species in the Oyashio region during the spring phytoplankton bloom</t>
  </si>
  <si>
    <t>Spring bloom; Amphipods; Water mass; Growth; Reproduction</t>
  </si>
  <si>
    <t>SUB-ARCTIC PACIFIC; PRIMNO-ABYSSALIS HYPERIIDEA; SOUTHERN JAPAN SEA; THEMISTO-ABYSSORUM; VERTICAL-DISTRIBUTION; TROPHIC IMPORTANCE; NORTH PACIFIC; T-LIBELLULA; LIFE-CYCLE; OCEAN</t>
  </si>
  <si>
    <t>Short-term changes in the population structure of dominant amphipods in the Oyashio region during the spring bloom were studied and discussed from the perspective of the effect of water mass change and the utilization of a phytoplankton bloom. Throughout the sampling period, amphipods belonging to 9 genera and 13 species were found. Among them, three amphipods (Cyphocaris challengeri, Primno abyssalis and Themisto pacifica) accounted for 89% of the total amphipod abundance and 92% of the biomass. For C. challengeri, the compositions of egg-and juvenile-carrying specimens within mature females were increased through April; juveniles exhibited a drastic increase in late April. These facts suggest that C. challengeri primarily achieved reproduction during the spring phytoplankton bloom. For P. abyssalis, growth of the mean body length was observed for each juvenile cohort. Thus, P. abyssalis achieved juvenile growth during the spring phytoplankton bloom. For T. pacifica, the compositions of egg-and juvenile-carrying females increased through April. These facts suggest that T. pacifica achieved maturation during the spring phytoplankton bloom. The effect of the water mass exchange on the amphipod population was more moderate than that observed on the other macrozooplankton taxa. This finding may be a result of a strong diel vertical migration behavior, which functions to maintain the population position. The species-specific differences in the amphipods in the utilization of spring phytoplankton may be related to the species-specific life cycle timing (phenology) in this region. (C) 2015 Elsevier B.V. All rights reserved.</t>
  </si>
  <si>
    <t>10.1016/j.rsma.2015.07.005</t>
  </si>
  <si>
    <t>Tornberg, R; Helle, P; Korpimaki, E</t>
  </si>
  <si>
    <t>Vulnerability of black grouse hens to goshawk predation: result of food supply or predation facilitation?</t>
  </si>
  <si>
    <t>Vole cycle; Grouse cycle; Plant cycle; Carnivores; Predation; The mast depression</t>
  </si>
  <si>
    <t>CAPERCAILLIE TETRAO-UROGALLUS; POPULATION FLUCTUATIONS; VACCINIUM-MYRTILLUS; ACCIPITER-GENTILIS; LAGOPUS-LAGOPUS; SIDED VOLES; DIET; HABITAT; CYCLES; NUTRITION</t>
  </si>
  <si>
    <t>The plant cycle hypothesis says that poor-quality food affects both herbivorous voles (Microtinae spp.) and grouse (Tetraonidae spp.) in vole decline years, leading to increased foraging effort in female grouse and thus a higher risk of predation by the goshawk Accipiter gentilis. Poor-quality food (mainly the bilberry Vaccinium myrtillus) for these herbivores is induced by seed masting failure in the previous year, when the bilberry is able to allocate resources for chemical defence (the mast depression hypothesis; MDH). The predation facilitation hypothesis (PFH) in turn states that increased searching activity of vole-eating predators during or after the decline year of voles disturbs incubating and brooding grouse females. The behaviours used by grouse to avoid these terrestrial predators make them more vulnerable to predation by goshawks. We tested the main predictions of the MDH and PFH by collecting long-term (21-year) data from black grouse Tetrao tetrix hens and cocks killed by breeding goshawks supplemented with indices of bilberry crop, vole abundance and small carnivores in the vicinity of Oulu, northern Finland. We did not find obvious support for the prediction of the MDH that there is a negative correlation of bilberry crop in year t with vole abundance and with predation index of black grouse hens in year t + 1. We did find obvious support for the prediction of the PFH that there is a positive correlation between predator abundance and predation index of grouse hens, because the stoat Mustela erminea abundance index was positively related to the predation index of black grouse hens. We suggest that changes in vulnerability of grouse hens may mainly be caused by the guild of vole-eating predators, who shift to alternative prey in the decline phase of the vole cycle, and thus chase grouse hens and chicks to the talons of goshawks and other avian predators.</t>
  </si>
  <si>
    <t>10.1007/s00442-010-1884-x</t>
  </si>
  <si>
    <t>Li, YY; Zhang, YZ; Jiang, ZY; Guo, CX; Zhao, MY; Yang, ZG; Guo, MY; Wu, BY; Chen, QL</t>
  </si>
  <si>
    <t>Integrating morphological spatial pattern analysis and the minimal cumulative resistance model to optimize urban ecological networks: a case study in Shenzhen City, China</t>
  </si>
  <si>
    <t>MSPA analysis; MCR model; Ecological corridor; Ecological resistance surface; Shenzhen City</t>
  </si>
  <si>
    <t>LANDSCAPE CONNECTIVITY; ECOSYSTEM HEALTH; SECURITY PATTERN; HABITAT; CONSERVATION; LAND; CONSTRUCTION; FRAGMENTATION; DEGRADATION; MANAGEMENT</t>
  </si>
  <si>
    <t>Background With the increasing fragmentation of landscape induced by rapid urbanization, the construction of ecological networks is of great significance to alleviate the degradation of urban habitats and protect natural environments. However, there is considerable uncertainty when constructing ecological networks, especially the different approaches to selecting ecological sources. We used the southern Chinese city of Shenzhen as a study area to construct and optimize ecological networks using a coupling approach. Ecological source areas were extracted using morphological spatial pattern analysis (MSPA) and the landscape index method. Ecological networks were constructed using the minimal cumulative resistance (MCR) model and the gravity model. Stepping stones and ecological fault points were added in corridors to optimize the ecological network. Results Ten core areas with maximum importance patch values were extracted by the landscape index method as ecological source areas according to MSPA, after which corridors between ecological sources were constructed based on the MCR model. The constructed ecological networks were optimized using 35 stepping stones and 17 ecological fault points. The optimized ecological networks included 11 important corridors, 34 general corridors, and seven potential corridors. The results of corridor landscape-type analysis showed that a suitable ecological corridor is 60 to 200 m wide. Conclusions Overall, our results imply that ecological source areas can be identified virtually, and that ecological networks can be significantly optimized by combining MSPA and MCR models. These results provide a methodological reference for constructing ecological networks, and they will be useful for urban planning and biodiversity protection in Shenzhen and other similar regions around the world.</t>
  </si>
  <si>
    <t>10.1186/s13717-021-00332-2</t>
  </si>
  <si>
    <t>Ciach, M; Tetkowski, P; Fedyn, I</t>
  </si>
  <si>
    <t>Local-scale habitat configuration makes a niche for wildlife encroaching into an urban landscape: grubbing sites of wild boar Sus scrofa in a city matrix</t>
  </si>
  <si>
    <t>Urbanization; Urban ecology; Human-wildlife conflict; Ungulates</t>
  </si>
  <si>
    <t>CROP DAMAGE; SEASONAL-VARIATIONS; SOIL PROPERTIES; PREDATION RISK; ROE DEER; FOOD; DISTURBANCE; FOREST; DIET; SELECTION</t>
  </si>
  <si>
    <t>Urban environments may offer certain species diverse and abundant food resources of natural and anthropogenic origin. However, the local-scale configuration of habitats and urban infrastructure may influence foraging decisions regardless of the availability of food. In recent years, the expansion of wild boar Sus scrofa into areas significantly transformed by humans has been observed in many parts of its range. Grubbing (rooting) is a major foraging mode of the species, during which disturbance of the upper soil layers enables these animals to find and consume food items. However, the factors that determine the selection of grubbing sites in the urban landscape, where the balance between food availability and the avoidance of humans may influence foraging decisions, are not known. Our aim was to identify local-scale factors that influence grubbing site selection and the size of grubbed patches in an urban landscape. The characteristics of 108 wild boar grubbing sites in the city of Krakow (Poland) were compared to randomly selected control sites. The probable presence of a grubbing site was positively correlated with the proportion of meadows and fallow land in the vicinity and with increases in both canopy cover and distance to pavements. The size of a grubbed patch was positively correlated with the percentage of meadows in the vicinity, increasing distance to buildings and decreasing distance to pavements. We found a non-random pattern of grubbing sites in the urban landscape and indicated that the local-scale configuration of vegetation and urban infrastructure contribute to foraging site selection by wild boar. Our study highlights that the encroachment of wildlife into the urban landscape is a complex process, driven by both resource availability and the avoidance of human-related disturbances.</t>
  </si>
  <si>
    <t>10.1007/s11252-022-01310-y</t>
  </si>
  <si>
    <t>Peterson, AT; Williams, RAJ</t>
  </si>
  <si>
    <t>Risk Mapping of Highly Pathogenic Avian Influenza Distribution and Spread</t>
  </si>
  <si>
    <t>avian influenza; land birds; poultry; risk mapping; wild birds</t>
  </si>
  <si>
    <t>MIGRATORY BIRDS; WILD BIRDS; H5N1 VIRUS; A VIRUSES; STABLE-ISOTOPES; DOMESTIC DUCKS; AFRICA; TRANSMISSION; EVOLUTION; PATTERNS</t>
  </si>
  <si>
    <t>The rapid emergence and spread of highly pathogenic H5N1 avian influenza begs effective and accurate mapping of current knowledge and future risk of infection. Methods for such mapping, however, are rudimentary, and few good examples exist for use as templates for risk-mapping efforts. We review the transmission cycle of avian influenza viruses, and identify points on which risk-mapping can focus. We provide examples from the literature and from our work that illustrate mapping risk based on (1) avian influenza case occurrences, (2) poultry distributions and movements, and (3) migratory bird movements.</t>
  </si>
  <si>
    <t>Bierwagen, SL; Pethybridge, H; Heupel, MR; Chin, A; Simpfendorfer, CA</t>
  </si>
  <si>
    <t>Trophic niches determined from fatty acid profiles of sympatric coral reef mesopredators</t>
  </si>
  <si>
    <t>Ecological niche; Dietary overlap; Fatty acids; Reef sharks; Mesopredators</t>
  </si>
  <si>
    <t>GREAT-BARRIER-REEF; STABLE-ISOTOPES; CARCHARHINUS-AMBLYRHYNCHOS; HAWAIIAN-ISLANDS; LIPID-CONTENT; ECOLOGY; SHARKS; DIET; FISH; TISSUE</t>
  </si>
  <si>
    <t>Previous research has identified similar trophic levels in a wide range of coral reef sharks and large teleost fishes but has been unable to resolve the extent of dietary overlap and resource sharing that lead to interpretation of functional roles and, hence, adequately describe interaction strengths in food webs. We used fatty acid (FA) profiles of muscle and plasma reflecting the diet of several mesopredators to better understand the trophic structure and functioning of Great Barrier Reef ecosystems. Multivariate analysis identified significant dietary overlap between 2 shark species (whitetip reef shark Triaenodon obesus and grey reef shark Carcharhinus amblyrhynchos), but whitetip reef sharks occupied a smaller niche area than grey reef sharks. We also found clear niche separation between sharks and teleost fishes (red throat emperor, coral trout, and grass emperor). All mesopredators sampled had high proportions of polyunsaturated FAs linking them to carnivory, but differences among species in trophic biomarker ratios suggest distinctive dietary sources. However, based on a degree of niche overlap of species sharing common diet, reef-dwelling teleost fishes such as coral trout also derive nutrients from pelagic environments. A faster analytical method to determine FA profiles, proven highly useful in tuna, was tested and deemed viable for muscle tissue of tropical teleost fishes and sharks, while questions remain for use of FA extraction of plasma in ecological studies. These results demonstrate that fine-scale inter-specific differences in diet exist between mesopredators in coral reef ecosystems. Our results raise important questions about the ecological influences of these species and energy flow among mesopredators in coral reef ecosystems.</t>
  </si>
  <si>
    <t>10.3354/meps13150</t>
  </si>
  <si>
    <t>Wang, LY; Zhang, SY; Xie, YF; Liu, YF; Liu, YL</t>
  </si>
  <si>
    <t>How Does Different Cropland Expansion Trajectories Affect Cropland Fragmentation? Insights From Three Urban Agglomerations in Yangtze River Economic Belt, China</t>
  </si>
  <si>
    <t>cropland expansion trajectory; land fragmentation; landscape metrics; topographic relief amplitude; correlation analysis; landscape expansion index</t>
  </si>
  <si>
    <t>LAND-USE CHANGE; LANDSCAPE PATTERN; AREA; EVOLUTION; DYNAMICS; REFORM; GROWTH; MODEL</t>
  </si>
  <si>
    <t>A clear understanding of cropland expansion dynamics and their effects is vital for cropland protection and food security. However, the trajectories of cropland expansion have been less discussed. This study referred to the modes of landscape expansion and assessed the cropland expansion trajectory in three urban agglomerations in the Yangtze River Economic Belt and its impact on cropland fragmentation. Specifically, we identified three cropland expansion trajectories using the landscape expansion index, namely, infilling, edge-expansion, and outlying. Moreover, the surface relief amplitude model was employed to characterize the relief amplitude effect on cropland expansion trajectories. By coupling landscape metrics (e.g., patch density, landscape shape index, the largest patch index, and aggregation index) and Spearman correlation analysis, the relationship between cropland expansion trajectories and cropland fragmentation was assessed. Results show that (1) three urban agglomerations experience cropland expansion, in which the edge-expansion trajectory is primary, followed by infilling and outlying trajectories; (2) the cumulative frequency curve indicates that infilling and edge-expansion trajectories are likely to be distributed in low topographic relief amplitude regions, while the outlying trajectory is located in relatively higher topographic relief amplitude regions; and (3) infilling and edge-expansion trajectories contribute to a significantly positive relationship with the decrease of cropland fragmentation, while the outlying trajectory has a negative relationship with cropland fragmentation. This research highlights that cropland protection policies should considerably focus on the trajectory of cropland expansion, not only request the total area of cropland in a dynamic balance.</t>
  </si>
  <si>
    <t>10.3389/fevo.2022.927238</t>
  </si>
  <si>
    <t>Chen, CJ; Jia, YF; Chen, YZ; Mehmood, I; Fang, YT; Wang, GA</t>
  </si>
  <si>
    <t>Nitrogen isotopic composition of plants and soil in an arid mountainous terrain: south slope versus north slope</t>
  </si>
  <si>
    <t>NATURAL N-15 ABUNDANCE; FOLIAR DELTA-N-15; GLOBAL PATTERNS; TIANSHAN MOUNTAINS; MYCORRHIZAL FUNGI; AVAILABILITY; CLIMATE; GRADIENT; FORESTS; TRANSECT</t>
  </si>
  <si>
    <t>Nitrogen cycling is tightly associated with environment. The south slope of a given mountain could significantly differ from north slope in environment. Thus, N cycling should also be different between the two slopes. Since leaf delta N-15, soil delta N-15 and Delta delta N-15(leaf-soil) (Delta delta N-15(leaf-soil) D leaf delta N-15 soil delta N-15) could reflect the N cycling characteristics, we put forward a hypothesis that leaf delta N-15, soil delta N-15 and Delta delta N-15(leaf-soil) should differ between the two slopes. However, such a comparative study between two slopes has never been conducted. In addition, environmental effects on leaf and soil delta N-15 derived from studies at global scale were often found to be different from those on a regional scale. This led to our argument that environmental effects on leaf and soil delta N-15 could depend on local environment. To confirm our hypothesis and argument, we measured leaf and soil delta N-15 on the south and north slopes of Tian Shan. Remarkable environmental differences between the two slopes provided an ideal opportunity for our test. The study showed that leaf delta N-15, soil delta N-15 and delta N-15(leaf-soil) on the south slope were greater than those on the north slope, although the difference in soil delta N-15 was not significant. The result confirmed our hypothesis and suggested that the south slope has higher soil N transformation rates and soil N availability than the north slope. In addition, in this study it was observed that the significant influential factors of leaf delta N-15 were temperature, precipitation, leaf N, leaf C = N, soil moisture and silt = clay ratio on the north slope, whereas on the south slope only leaf C = N was related to leaf delta N-15. The significant influential factors of soil delta N-15 were temperature, precipitation, soil moisture and silt = clay ratio on the north slope, whereas on the south slope, mean annual precipitation and soil moisture exerted significant effects. Precipitation exerted contrary effects on soil delta N-15 between the two slopes. Thus, this study supported our argument that the relationships between leaf and soil delta N-15 and environmental factors are localized.</t>
  </si>
  <si>
    <t>10.5194/bg-15-369-2018</t>
  </si>
  <si>
    <t>Siders, ZA; Trotta, LB; Caltabellotta, FP; Loesser, KB; Baiser, B; Ahrens, RNM</t>
  </si>
  <si>
    <t>Functional and phylogenetic diversity of sharks in the Northeastern Pacific</t>
  </si>
  <si>
    <t>dimensions of biodiversity; elasmobranchs; museum collections; photogrammetry; pictographs; traits</t>
  </si>
  <si>
    <t>DEPTH-RELATED TRENDS; STABLE-ISOTOPES; FISH COMMUNITY; PATTERNS; ECOLOGY; SLOPE; BIOLUMINESCENCE; QUANTIFICATION; ASSEMBLAGES; SELECTION</t>
  </si>
  <si>
    <t>Aim The expansive spatial scale of pelagic communities and the difficulty in acquiring pelagic species' functional traits have stymied an understanding of marine community dynamics. We assembled and analysed a shark trait database and community phylogeny to identify the major axes of trait variation that define shark functional groups. We tested whether membership to biophysical macroecological strata is related to these functional or phylogenetic relationships. Location Northeastern Pacific, 180-255 degrees E and 0-50 degrees N. Taxon Sharks (Class: Chondrichthyes, superorder: Selachimorpha). Methods We built a community phylogeny and collected habitat, reproductive, somatic growth, trophic and dentition traits. We used principal coordinates analyses to identify axes of trait variation and hierarchical clustering to classify functional groups. We tested whether functional or phylogenetic relatedness determined species' membership to strata from five macroecological gradients: latitude, habitat type, thermal, carbon source and bathymetry. Results We assembled 38 traits from 1225 records from 130 sources, 260 pictographs from seven sources and 631 teeth from 79 jaw specimens. Life history, r versus K selection, was responsible for the biggest division in the functional dendrogram. Vertical habitat preference, growth rates, diet and dental morphology generated further divisions between r- or K-selected species. Vertical habitat preference, carbon source and biochemical habitat type were significantly dispersed or clustered on the functional dendrogram or phylogram. Main Conclusions Habitat and reproductive traits were the most important trait suites driving shark functional diversity. Through ordination and clustering, we were able to associate major axes of trait variation to the membership of shark functional groups. The phylogram approximated well the functional dendrogram's backbone but was a poor substitute for the trait diversity at the tips. Given the long evolutionary history of sharks and coincident expansive trait diversity, merging functional and phylogenetic approaches was necessary to capture the dimensions of shark biodiversity.</t>
  </si>
  <si>
    <t>10.1111/jbi.14383</t>
  </si>
  <si>
    <t>Sato-Okoshi, W; Okoshi, K</t>
  </si>
  <si>
    <t>Characteristics of shell microstructure and growth analysis of the Antarctic bivalve Laternula elliptica from Lutzow-Holm Bay, Antarctica</t>
  </si>
  <si>
    <t>Laternula elliptica; growth performance; shell microstructure; fluorescent method; chondrophore</t>
  </si>
  <si>
    <t>STABLE ISOTOPES; VALIDATION; INCREMENTS; MARKER; ISLAND; SOUND</t>
  </si>
  <si>
    <t>Growth performance of the Antarctic bivalve Laternula elliptica was examined both by shell microstructural observation and by applying a fluorescent substance, tetracycline, as a shell growth marker. The shell was composed of two calcareous layers: the thick outer layer was homogeneous or granular in structure and the thin inner layer was nacreous. The architecture of Antarctic L. elliptica was different from that of temperate L. marilina, and the ratio of thickness between the outer and inner layers appeared to be different. The growth rate of the nacreous layer was analyzed to be very low. High correlations were found between the major axis of chondrophore and both shell length and shell dry weight, respectively. It is suggested that the chondrophore is an appropriate growth indicator, and combining the information of growth increments with the fluorescent method may be useful in estimating the bivalve growth performance in the Antarctic sea.</t>
  </si>
  <si>
    <t>10.1007/s00300-007-0340-9</t>
  </si>
  <si>
    <t>LEOPOLDO, PR; FRANKEN, W; MATSUI, E</t>
  </si>
  <si>
    <t>HYDROLOGICAL ASPECTS OF THE TROPICAL RAIN-FOREST IN CENTRAL AMAZON</t>
  </si>
  <si>
    <t>Hamel, P; Riveros-Iregui, D; Ballari, D; Browning, T; Celleri, R; Chandler, D; Chun, KP; Destouni, G; Jacobs, S; Jasechko, S; Johnson, M; Krishnaswamy, J; Poca, M; Pompeu, PV; Rocha, H</t>
  </si>
  <si>
    <t>Watershed services in the humid tropics: Opportunities from recent advances in ecohydrology</t>
  </si>
  <si>
    <t>ecosystem services; investment in watershed services (IWS) programs; land management; policy support; tropical mountains</t>
  </si>
  <si>
    <t>ECOSYSTEM SERVICES; PAIRED-CATCHMENT; CITIZEN SCIENCE; SOIL-WATER; LAND-USE; PARTICIPATORY APPROACH; ISOTOPIC COMPOSITION; RUNOFF GENERATION; STABLE-ISOTOPES; CLIMATE-CHANGE</t>
  </si>
  <si>
    <t>In response to increasing pressures on water resources, watershed services management programs are implemented throughout the tropics. These programs aim to promote land management activities that enhance the quantity and quality of water available to local communities. The success of these programs hinges on our ability to (a) understand the impacts of watershed interventions on ecohydrology; (b) model these impacts and design efficient management programs; and (c) develop strategies to overcome barriers to practical policy development, including resource limitations or the absence of baseline data. In this paper, we review opportunities in ecohydrological science that will help address these three challenges. The opportunities are grouped into measurement techniques, modelling approaches, and access to resources in our hyperconnected world. We then assess management implications of both the knowledge gaps and the new research developments related to the effect of land management. Overall, we stress the importance of policy-relevant knowledge for implementing efficient and equitable watershed services programs in the tropics.</t>
  </si>
  <si>
    <t>e1921</t>
  </si>
  <si>
    <t>10.1002/eco.1921</t>
  </si>
  <si>
    <t>Johns, DW; Marchant, TA; Fairhurst, GD; Speakman, JR; Clark, RG</t>
  </si>
  <si>
    <t>Biomarker of burden: Feather corticosterone reflects energetic expenditure and allostatic overload in captive waterfowl</t>
  </si>
  <si>
    <t>allostatic load; doubly labelled water; duckling; glucocorticoid hormones; load carrying; mallard; moult</t>
  </si>
  <si>
    <t>DOUBLY LABELED WATER; DUCKS ANAS-PLATYRHYNCHOS; LONG-LIVED BIRD; STABLE-ISOTOPES; HABITAT QUALITY; HEART-RATE; BASE-LINE; STRESS; GROWTH; GLUCOCORTICOIDS</t>
  </si>
  <si>
    <t>Allostatic load describes the interplay between energetic demand and availability and is highly context dependent, varying between seasons and life-history stages. When energy demands exceed physiological set points modulated by glucocorticoid hormones, individuals may experience allostatic overload and transition between stages in sub-optimal physiological states. Corticosterone, the major glucocorticoid hormone regulating energy expenditure in birds, is incorporated into growing feathers (CORTf), and it has been suggested that CORTf reflects long-term records of allostatic load during feather growth. However, relationships between allostatic load and CORTf have not been adequately evaluated. If such relationships exist, the use of CORTf to investigate cross-seasonal effects could provide novel insights into impacts of past allostatic load and/or overload events. We tested whether experimental increases in daily workload during two adjacent life-history stages would be reflected in CORTf levels, and examined if CORTf levels reflected either current energetic demand or allostatic load prior to feather growth. Daily workloads in female mallard Anas platyrhynchos ducklings were increased over a 6-week period using physical obstacles and/or carrying back-mounted weights. We measured daily energy expenditure, growth, body mass, and CORTf in growing ducklings. Then, we induced feather moult and reapplied combinations of workload treatments for an additional 6weeks to investigate whether effects of past energetic demands would be detected in future CORTf levels. Ducklings confronted with higher workloads during development had reduced body mass, growth rates and consequently higher daily energy expenditure and CORTf values compared to controls. When ducklings were fully developed, CORTf patterns in birds re-exposed to workload treatments reflected only current, rather than past, energetic demands. However, under allostatic overload conditions, past levels of CORTf were positively associated with CORTf in the subsequent moult. Our study confirms the previously untested assumption that CORTf reflects energetic demand during the period of feather growth in a precocial bird. We show that allostatic overload conditions early in life, which temporarily suppress growth, can be detected using CORTf, an event potentially missed in studies which rely solely on measures of body condition alone. We suggest that CORTf can provide a valuable biomarker of allostatic load and overload conditions during the period of feather growth, but highlight how context should be considered for studies using CORTf to investigate influences of carryover effects. Our study contributes to building a physiological foundation to inform interpretations of ecological patterns using CORTf.</t>
  </si>
  <si>
    <t>10.1111/1365-2435.12988</t>
  </si>
  <si>
    <t>Videvall, E; Song, SJ; Bensch, HM; Strandh, M; Engelbrecht, A; Serfontein, N; Hellgren, O; Olivier, A; Cloete, S; Knight, R; Cornwallis, CK</t>
  </si>
  <si>
    <t>Major shifts in gut microbiota during development and its relationship to growth in ostriches</t>
  </si>
  <si>
    <t>colonization; microbiome; ontogeny; Struthio camelus; succession</t>
  </si>
  <si>
    <t>INTESTINAL BACTERIAL COMMUNITY; STRUTHIO-CAMELUS CHICKS; HIGH-FAT DIET; AKKERMANSIA-MUCINIPHILA; ZINC BACITRACIN; DIVERSITY; INFLAMMATION; ANTIBIOTICS; HEALTH; MODE</t>
  </si>
  <si>
    <t>The development of gut microbiota during ontogeny is emerging as an important process influencing physiology, immunity and fitness in vertebrates. However, knowledge of how bacteria colonize the juvenile gut, how this is influenced by changes in the diversity of gut bacteria and to what extent this influences host fitness, particularly in nonmodel organisms, is lacking. Here we used 16S rRNA gene sequencing to describe the successional development of the faecal microbiome in ostriches (Struthio camelus, n = 66, repeatedly sampled) over the first 3 months of life and its relationship to growth. We found a gradual increase in microbial diversity with age that involved multiple colonization and extinction events and a major taxonomic shift in bacteria that coincided with the cessation of yolk absorption. Comparisons with the microbiota of adults (n = 5) revealed that the chicks became more similar in their microbial diversity and composition to adults as they aged. There was a five-fold difference in juvenile growth during development, and growth during the first week of age was strongly positively correlated with the abundance of the genus Bacteroides and negatively correlated with Akkermansia. After the first week, the abundances of six phylogenetically diverse families (Peptococcaceae, S24-7, Verrucomicrobiae, Anaeroplasmataceae, Streptococcaceae, Methanobacteriaceae) were associated with subsequent reductions in chick growth in an age-specific and transient manner. These results have broad implications for our understanding of the development of gut microbiota and its associations with animal growth.</t>
  </si>
  <si>
    <t>10.1111/mec.15087</t>
  </si>
  <si>
    <t>Zhou, D; Gong, H; Luan, Z; Hu, J; Wu, F</t>
  </si>
  <si>
    <t>Spatial pattern of water controlled wetland communities on the Sanjiang Floodplain, Northeast China</t>
  </si>
  <si>
    <t>hydro-ecology; landscape; natural reserve; spatial pattern; wetland plant</t>
  </si>
  <si>
    <t>VEGETATION; LANDSCAPE</t>
  </si>
  <si>
    <t>The study site is the Honghe National Nature Reserve, a Ramsar designated site on the Sanjiang Plain in Northeast China. We present results regarding the spatial pattern and structure of plant communities in these most important natural but continually diminishing freshwater wetlands of China to help promote both protection and restoration. By investigating three ecological levels (landscape, ecosystem and community), this paper quantifies the characteristics of spatial pattern with the aim to identify specific ecological correlations with different hydro-geomorphic features. Specifically, the research involves hierarchical mapping of vegetation types by use of remote sensed data, and the coupling of landscape indices with fluvial topographic zones that have been deduced by GIS from DEM. Statistics from historical survey data are also used to measure the degradation of marshes as well as the historical change of the hydrological regime. We found that dominant is the Calamagrostis angustifolia - Carex spp. community type, a wet meadow and marsh complex within the prevailing landscape mosaic of shrubland and meadow. The results suggest that the sites' hydro-geomorphic character has decisive influence on plant community structure and composition. There is only limited direct human interference in the sites and, as a consequence, the spatial pattern of vegetation distribution is natural. However, changes to the hydrological regime as the result of extensive irrigation activity in the surrounding area has led to rapid degradation of marsh wetlands within the sites, which threatens the ecological status in this storehouse of Natural Genes in the reserve.</t>
  </si>
  <si>
    <t>10.1556/ComEc.7.2006.2.9</t>
  </si>
  <si>
    <t>du Dot, TJ; Trites, AW; Arnould, JPY; Speakman, JR; Guinet, C</t>
  </si>
  <si>
    <t>Trade-offs between foraging efficiency and pup feeding rate of lactating northern fur seals in a declining population</t>
  </si>
  <si>
    <t>Foraging efficiency; Reproduction success; Northern fur seal; Pup growth; Diet</t>
  </si>
  <si>
    <t>DOUBLY LABELED WATER; POLLOCK THERAGRA-CHALCOGRAMMA; SOUTHERN ELEPHANT SEALS; PRINCE-WILLIAM-SOUND; EASTERN BERING-SEA; CALLORHINUS-URSINUS; ENERGY-EXPENDITURE; ARCTOCEPHALUS-GAZELLA; MIROUNGA-LEONINA; METABOLIC-RATE</t>
  </si>
  <si>
    <t>Foraging strategies and their resulting efficiency (energy gain to cost ratio) affect animals' survival and reproductive success and can be linked to population dynamics. However, they have rarely been studied quantitatively in free-ranging animals. We investigated foraging strategies and efficiencies of wild northern fur seals Callorhinus ursinus during their breeding season to understand potential links to the observed population decline in the Bering Sea. We equipped 20 lactating females with biologgers to determine at-sea foraging behaviours. We measured energy expenditure while foraging using the doubly-labelled water method, and energy gained using (1) the types and energy densities of prey consumed, and (2) the number of prey capture attempts (from acceleration data). Our results show that seals employed 2 foraging strategies: one group (40%) fed mostly in oceanic waters on small, high energy-density prey, while the other (60%) stayed over the shallow continental shelf feeding mostly on larger, lower quality fish. Females foraging in oceanic waters captured 3 times more prey, and had double the foraging efficiencies of females that foraged on-shelf in neritic waters. However, neritic seals made comparatively shorter trips, and likely fed their pups similar to 20 to 25% more frequently. The presence of these strategies which either favor foraging efficiency (energy) or frequency of nursing (time) might be maintained in the population because they have similar net fitness outcomes. However, neither strategy appears to simultaneously maximize time and energy allocated to nursing, with potential impacts on the survival of pups during their first year at sea.</t>
  </si>
  <si>
    <t>10.3354/meps12638</t>
  </si>
  <si>
    <t>Kakela, R; Kakela, A; Kahle, S; Becker, PH; Kelly, A; Furness, RW</t>
  </si>
  <si>
    <t>Fatty acid signatures in plasma of captive herring gulls as indicators of demersal or pelagic fish diet</t>
  </si>
  <si>
    <t>fatty acid signatures; calibration study; fishery discards; foraging ecology; seabirds; herring gull; Larus argentatus</t>
  </si>
  <si>
    <t>STABLE-ISOTOPES; GREAT SKUAS; CATHARACTA-SKUA; FOOD; LIPIDS; SEALS; FISHERIES; ADIPOSE; MUSCLE; AGE</t>
  </si>
  <si>
    <t>Current fishing practices provide scavenging seabirds with discarded demersal fish. In order to study the impact of fishery management measures and alterations in the availability of discards on seabird populations, accurate information on the birds' diet is essential. Studies of pellets and prey remains provide a biased picture and tend to be limited to seabird breeding seasons. Studying biochemical markers in bird tissues can complement other methods. In this study, captive herring gulls Larus argentatus were fed alternating diets of North Atlantic demersal and pelagic fish, and changes in the fatty acid signatures (FAS) of the birds' plasma were followed. The large differences in FAS of demersal and pelagic fish caused several clearly detectable differences in the plasma FAS of the gulls fed on these fish. A change from demersal to pelagic fish or vice versa could be detected in plasma FAS within 5 d of switching the diet, and transient changes in the gull's nutritional status did not disturb the use of the FAS. Relatively high levels of branched-chain 17:0, 18: 1n-7 and 20:4n-6 are indicative of a diet of demersal fish, and high levels of 14:0, 22:1n-11, 20:1n-9, 18:2n-6, 18:3n-3 and 18:4n-3 occur when gulls eat pelagic fish. These reference FAS can be used to estimate the importance of demersal and pelagic fish in the recent diet of scavenging seabirds.</t>
  </si>
  <si>
    <t>10.3354/meps293191</t>
  </si>
  <si>
    <t>Bore, EK; Apostel, C; Halicki, S; Kuzyakov, Y; Dippold, MA</t>
  </si>
  <si>
    <t>Soil microorganisms can overcome respiration inhibition by coupling intra- and extracellular metabolism: C-13 metabolic tracing reveals the mechanisms</t>
  </si>
  <si>
    <t>WEIGHT ORGANIC-SUBSTANCES; ELECTRON-TRANSFER; MICROBIAL ACTIVITY; HUMIC SUBSTANCES; HEAVY-METALS; SODIUM-AZIDE; FATTY-ACIDS; CARBON; PATHWAYS; BIOMASS</t>
  </si>
  <si>
    <t>CO2 release from soil is commonly used to estimate toxicity of various substances on microorganisms. However, the mechanisms underlying persistent CO2 release from soil exposed to toxicants inhibiting microbial respiration, for example, sodium azide (NaN3) or heavy metals (Cd, Hg, Cu), remain unclear. To unravel these mechanisms, NaN3-amended soil was incubated with position-specifically C-13-labeled glucose and C-13 was quantified in CO2, bulk soil, microbial biomass and phospholipid fatty acids (PLFAs). High C-13 recovery from C-1 in CO2 indicates that glucose was predominantly metabolized via the pentose phosphate pathway irrespective of inhibition. Although NaN3 prevented C-13 incorporation into PLFA and decreased total CO2 release, C-13 in CO2 increased by 12% compared with control soils due to an increased use of glucose for energy production. The allocation of glucose-derived carbon towards extracellular compounds, demonstrated by a fivefold higher C-13 recovery in bulk soil than in microbial biomass, suggests the synthesis of redox active substances for extracellular disposal of electrons to bypass inhibited electron transport chains within the cells. PLFA content doubled within 10 days of inhibition, demonstrating recovery of the microbial community. This growth was largely based on recycling of cost-intensive biomass compounds, for example, alkyl chains, from microbial necromass. The bypass of intracellular toxicity by extracellular electron transport permits the fast recovery of the microbial community. Such efficient strategies to overcome exposure to respiration-inhibiting toxicants may be exclusive to habitats containing redox-sensitive substances. Therefore, the toxic effects of respiration inhibitors on microorganisms are much less intensive in soils than in pure cultures.</t>
  </si>
  <si>
    <t>10.1038/ismej.2017.3</t>
  </si>
  <si>
    <t>Voigt, CC; Sorgel, K; Suba, J; Keiss, O; Petersons, G</t>
  </si>
  <si>
    <t>The insectivorous bat Pipistrellus nathusii uses a mixed-fuel strategy to power autumn migration</t>
  </si>
  <si>
    <t>chiroptera; energetics; migration; fuel choice; vertebrate flight</t>
  </si>
  <si>
    <t>LONG-DISTANCE MIGRATION; METABOLIC CONSTRAINTS; CARBON ISOTOPES; FATTY-ACIDS; BIRDS; BREATH; PHYSIOLOGY; (CO2)C-14; RECOVERY; MIGRANT</t>
  </si>
  <si>
    <t>In contrast to birds, bats are possibly limited in their capacity to use body fat as an energy source for long migrations. Here, we studied the fuel choice of migratory Pipistrellus nathusii (approximate weight: 8 g) by analysing the stable carbon isotope ratio (delta C-13(V-PDB)) of breath and potential energy sources. Breath delta C-13(V-PDB) was intermediate between delta C-13(V-PDB) of insect prey and adipocyte triacylglycerols, suggesting a mixed-fuel use of P. nathusii during autumn migration. To clarify the origin of oxidized fatty acids, we performed feeding experiments with captive P. nathusii. After an insect diet, bat breath was enriched in C-13 relative to the bulk and fat portion of insects, but not deviating from the non-fat portion of insects, suggesting that bats oxidized exogenous proteins and carbohydrates, but not exogenous fatty acids. A feeding experiment with C-13-labelled substrates confirmed these findings. In conclusion, migratory P. nathusii oxidized dietary proteins directly from insects captured en route in combination with endogenous fatty acids from adipocytes, and replenished their body reserves by routing dietary fatty acids to their body reserves.</t>
  </si>
  <si>
    <t>10.1098/rspb.2012.0902</t>
  </si>
  <si>
    <t>Gourdin, E; Huon, S; Evrard, O; Ribolzi, O; Bariac, T; Sengtaheuanghoung, O; Ayrault, S</t>
  </si>
  <si>
    <t>Sources and export of particle-borne organic matter during a monsoon flood in a catchment of northern Laos</t>
  </si>
  <si>
    <t>SOIL-EROSION; ISOTOPIC COMPOSITION; CARBON SEQUESTRATION; ATMOSPHERIC CARBON; SEDIMENT DYNAMICS; STABLE-ISOTOPES; MOUNTAIN RIVERS; STEEP SLOPES; LANYANG-HSI; IMPACT</t>
  </si>
  <si>
    <t>The yields of the tropical rivers of Southeast Asia supply large quantities of carbon to the ocean. The origin and dynamics of particulate organic matter were studied in the Houay Xon River catchment located in northern Laos during the first erosive flood of the rainy season in May 2012. This cultivated catchment is equipped with three successive gauging stations draining areas ranging between 0.2 and 11.6 km(2) on the main stem of the permanent stream, and two additional stations draining 0.6 ha hillslopes. In addition, the sequential monitoring of rainwater, overland flow and suspended organic matter compositions was conducted at the 1m(2) plot scale during a storm. The composition of particulate organic matter (total organic carbon and total nitrogen concentrations, delta C-13 and delta N-15) was determined for suspended sediment, soil surface (top 2 cm) and soil subsurface (gullies and riverbanks) samples collected in the catchment (n = 57, 65 and 11, respectively). Hydrograph separation of event water was achieved using water electric conductivity and delta O-18 measurements for rainfall, overland flow and river water base flow (n = 9, 30 and 57, respectively). The composition of particulate organic matter indicates that upstream suspended sediments mainly originated from cultivated soils labelled by their C-3 vegetation cover (upland rice, fallow vegetation and teak plantations). In contrast, channel banks characterized by C-4 vegetation (Napier grass) supplied significant quantities of sediment to the river during the flood rising stage at the upstream station as well as in downstream river sections. The highest runoff coefficient (11.7 %), sediment specific yield (433 kg ha(-1)) , total organic carbon specific yield (8.3 kg C ha(-1)) and overland flow contribution (78-100 %) were found downstream of reforested areas planted with teaks. Swamps located along the main stream acted as sediment filters and controlled the composition of suspended organic matter. Total organic carbon specific yields were particularly high because they occurred during the first erosive storm of the rainy season, just after the period of slash-and-burn operations in the catchment.</t>
  </si>
  <si>
    <t>10.5194/bg-12-1073-2015</t>
  </si>
  <si>
    <t>Kwon, H; Kim, J; Hong, J; Lim, JH</t>
  </si>
  <si>
    <t>Influence of the Asian monsoon on net ecosystem carbon exchange in two major ecosystems in Korea</t>
  </si>
  <si>
    <t>INTERANNUAL VARIABILITY; DIOXIDE EXCHANGE; EDDY COVARIANCE; TERRESTRIAL BIOSPHERE; DECIDUOUS FOREST; CO2; CLIMATE; BUDGET; PRECIPITATION; RESPIRATION</t>
  </si>
  <si>
    <t>Considering the feedback in radiation, temperature, and soil moisture with alterations in rainfall patterns, the influence of the changing monsoon on Net Ecosystem CO2 Exchange (NEE) can be critical to the estimation of carbon balance in Asia. In this paper, we examined CO2 fluxes measured by the eddy covariance method from 2004 to 2008 in two major ecosystems in the KoFlux sites in Korea, i.e., the Gwangneung Deciduous forest (GDK) and the Haenam Farmland (HFK). Our objectives were to identify the repeatability of the mid-season depression of NEE encountered at the two sites based on the single-year observation, and to further scrutinize its cause, effect, and interannual variability by using multi-year observations. In both GDK and HFK sites, the mid-season depression of NEE was reproduced each year but with different timing, magnitude, and mechanism. At the GDK site, a predominant factor causing the mid-season depression was a decreased solar radiation and the consequent reduction in Gross Primary Productivity (GPP) during the summer monsoon period. At the HFK site, however, the monsoonal effect was less pronounced and the apparent mid-season depression was mainly a result of the management practices such as cultivation of spring barley and rice transplantation. Other flux observation sites in East Asia also showed a decline in radiation but with a lesser degree during the monsoon season, resulting in less pronounced depression in NEE. In our study, the observed depressions in NEE caused both GDK and HFK sites to become a weaker carbon sink or even a source in the middle of the growing season. On average, the GDK site (with maximum leaf area index of similar to 5) was a weak carbon sink with NEE of -84 gC m(-2) y(-1). Despite about 20% larger GPP (of 1321 gC m(-2)y(-1)) in comparison with the GDK site, the HFK site (with maximum leaf area index of 3-4) was a weaker carbon sink with NEE of -58 gC m(-2) y(-1) because of greater ecosystem respiration (of 1263 gC m(-2) y(-1)). These NEE values were near the low end of the ranges reported in the literature for similar ecosystems in mid-latitudes. With the projected trends of the extended length of monsoon with more intensive rainfalls in East Asia, the observed delicate coupling between carbon and hydrological cycles may turn these key ecosystems into carbon neutral.</t>
  </si>
  <si>
    <t>10.5194/bg-7-1493-2010</t>
  </si>
  <si>
    <t>Deakin, Z; Hamer, KC; Sherley, RB; Bearhop, S; Bodey, TW; Clark, BL; Grecian, WJ; Gummery, M; Lane, J; Morgan, G; Morgan, L; Phillips, RA; Wakefield, ED; Votier, SC</t>
  </si>
  <si>
    <t>Sex differences in migration and demography of a wide-ranging seabird, the northern gannet</t>
  </si>
  <si>
    <t>Migratory; Seabird; Sex; Geolocator; Canary Current; Large Marine Ecosystem; Capture-mark-recapture</t>
  </si>
  <si>
    <t>POPULATION-DYNAMICS; FORAGING BEHAVIOR; STABLE-ISOTOPES; MORUS-BASSANUS; TRACKING; STRATEGIES; FISHERIES; SURVIVAL; VULNERABILITY; CONSEQUENCES</t>
  </si>
  <si>
    <t>Marine vertebrates show a diversity of migration strategies, including sex differences. This may lead to differential demography, but the consequences of such between-sex variation are little understood. Here, we studied the migration of known-sex northern gannets Morus bassanus - a partial migrant with females similar to 8% heavier than males. We used geolocators to determine wintering areas of 49 breeding adults (19 females and 30 males during 2010 to 2014) from 2 colonies in the northeast Atlantic (Bass Rock and Grassholm, UK). We also tested for sex-specific survival probabilities using capture-mark-recapture methods (n = 72 individuals Bass Rock, n = 229 individuals Grassholm; 2010-2018) and applied sex-specific population projection matrices (PPMs) to quantify population-level effects. Tracked gannets wintered in a range of large marine ecosystems (LMEs): Canary Current LME (CCLME; 69%), Celtic-Biscay Shelf LME (16%), Iberian Coastal LME (8%), North Sea LME (4 %) or Mediterranean LME (2 %). Migratory destination differed between the sexes: 90% of females vs. 57 % of males wintered in the CCLME. Survival was similar between the sexes at Bass Rock (mean +/- 95 % CI = 0.951 +/- 0.053 and 0.956 +/- 0.047 for females and males, respectively). At Grassholm, there was evidence of slight sex differences in breeder survival: females had lower annual survival (0.882 +/- 0.040) than males (0.946 +/- 0.026). At Bass Rock, PPMs with no sex effect best fitted the observed population increase (1994-2014). Sex-specific PPMs fitted the population estimates for Grassholm (1995-2015). Our results reveal that female gannets are more likely to travel further than males to winter in the CCLME. This difference is unlikely due to morphological differences, unlike in other bird species. However, the reason for slightly higher over-winter female mortality at Grassholm is unclear.</t>
  </si>
  <si>
    <t>10.3354/meps12986</t>
  </si>
  <si>
    <t>Montambault, JR; Wongbusarakum, S; Leberer, T; Joseph, E; Andrew, W; Castro, F; Nevitt, B; Golbuu, Y; Oldiais, NW; Groves, CR; Kostka, W; Houk, P</t>
  </si>
  <si>
    <t>Use of monitoring data to support conservation management and policy decisions in Micronesia</t>
  </si>
  <si>
    <t>adaptive management; communications; community-based conservation; ecosystem management; Oceania</t>
  </si>
  <si>
    <t>NORTHERN MARIANA ISLANDS; CORAL-REEF FISHERY; ADAPTIVE MANAGEMENT; RESOURCE-MANAGEMENT; POHNPEI; SCIENCE; KNOWLEDGE; IMPLEMENTATION; COMMONWEALTH; OCEANIA</t>
  </si>
  <si>
    <t>Adaptive management implies a continuous knowledge-based decision-making process in conservation. Yet, the coupling of scientific monitoring and management frameworks remains rare in practice because formal and informal communication pathways are lacking. We examined 4 cases in Micronesia where conservation practitioners are using new knowledge in the form of monitoring data to advance marine conservation. These cases were drawn from projects in Micronesia Challenge jurisdictions that received funding for coupled monitoring-to-management frameworks and encompassed all segments of adaptive management. Monitoring in Helen Reef, Republic of Palau, was catalyzed by coral bleaching and revealed evidence of overfishing that led to increased enforcement and outreach. In Nimpal Channel, Yap, Federated States of Micronesia (FSM), monitoring the recovery of marine food resources after customary restrictions were put in place led to new, more effective enforcement approaches. Monitoring in Laolao Bay, Saipan, Commonwealth of the Northern Mariana Islands, was catalyzed by observable sediment loads from poor land-use practices and resulted in actions that reduced land-based threats, particularly littering and illegal burning, and revealed additional threats from overfishing. Pohnpei (FSM) began monitoring after observed declines in grouper spawning aggregations. This data led to adjusting marine conservation area boundaries and implementing market-based size class restrictions. Two themes emerged from these cases. First, in each case monitoring was conducted in a manner relevant to the social and ecological systems and integrated into the decision-making process. Second, conservation practitioners and scientists in these cases integrated culturally appropriate stakeholder engagement throughout all phases of the adaptive management cycle. More broadly, our study suggests, when describing adaptive management, providing more details on how monitoring and management activities are linked at similar spatial scales and across similar time frames can enhance the application of knowledge.</t>
  </si>
  <si>
    <t>10.1111/cobi.12542</t>
  </si>
  <si>
    <t>Beaulieu, M; Sockman, KW</t>
  </si>
  <si>
    <t>One meadow for two sparrows: resource partitioning in a high elevation habitat</t>
  </si>
  <si>
    <t>Bird; Community structure; Montane environment; Resource partitioning; Seasonal changes</t>
  </si>
  <si>
    <t>STABLE-ISOTOPES; TEMPORAL VARIATION; COMPETITION; DELTA-C-13; MODELS; CARBON; BLOOD; DIET; SEX</t>
  </si>
  <si>
    <t>Resource partitioning is the basis of the coexistence of sympatric species and has therefore received much attention in ecological studies. However, how variation in environmental conditions (and particularly natural variation in resource availability) can influence resource partitioning in free-ranging animals is not well understood. In the present study, we addressed the hypothesis that natural changes in the availability of food resources affect food partitioning between sympatric species. To do so, we examined temporal changes in the plasma isotopic signature (delta N-15 and delta C-13) of syntopic Lincoln's sparrows Melospiza lincolnii and white-crowned sparrows Zonotrichia leucophrys, in parallel with seasonal changes in habitat maturity and food availability from spring to early summer. We found no apparent trophic segregation between Lincoln's and white-crowned sparrows when resources were scarce in spring. But, interestingly, as resource availability and the number of breeding birds increased, Lincoln's sparrows showed lower delta N-15 values than white-crowned sparrows, as they consumed more prey from lower trophic levels and less prey from higher trophic levels. This feeding divergence between sympatric species may be explained (1) by a change in foraging preferences and opportunities for Lincoln's sparrows and (2) by the abundance of competitors that increased faster than resources, thus promoting interspecific competition and trophic segregation. These results provide clear evidence that trophic segregation is dynamically tied to variation in environmental conditions, which are therefore fundamental to consider when examining resource partitioning between co-existing species.</t>
  </si>
  <si>
    <t>10.1007/s00442-012-2327-7</t>
  </si>
  <si>
    <t>Garcia, AM; Winemiller, KO; Hoeinghaus, DJ; Claudino, MC; Bastos, R; Correa, F; Huckembeck, S; Vieira, J; Loebmann, D; Abreu, P; Ducatti, C</t>
  </si>
  <si>
    <t>Hydrologic pulsing promotes spatial connectivity and food web subsidies in a subtropical coastal ecosystem</t>
  </si>
  <si>
    <t>Basal resource; Bayesian mixing model; Biomass assimilation; Estuary; Hydrologic connectivity; Production source; Salinity; Trophic ecology</t>
  </si>
  <si>
    <t>WATER FISH ASSEMBLAGE; LAGOON ESTUARY BRAZIL; FRESH-WATER; RESOURCE PULSES; STABLE-ISOTOPES; COMMUNITY DYNAMICS; TEMPORAL VARIATION; AQUATIC CONSUMERS; CORAL PROPAGULES; PACIFIC SALMON</t>
  </si>
  <si>
    <t>Resource pulsing is a widespread phenomenon, but its effects on ecosystem dynamics are often difficult to predict. Hydrological pulsing, in particular, is known to influence the structure and dynamics of fluvial and coastal ecosystems, but little information is available about its effects on trophic connectivity between wetlands and estuaries. We investigated the hypothesis that hydrologic pulsing drives 1-way trophic subsidies (e.g. suspended organic matter and freshwater fish) from wetland to estuary. Our study system is a coastal lagoon with an ephemeral mouth that, when closed, stores freshwater as a sustained flood pulse that is subsequently released when a connection with the sea is reestablished. We monitored isotopic composition of consumers and food sources over the course of an entire flood pulse to infer trophic linkages and spatial subsidies. Before the flood peak (April and May), freshwater and estuarine zones were largely dependent on local primary production sources (seston and C-3 plants vs. C-4 plants and microphytobenthos, respectively), essentially functioning as disconnected compartments. A sustained pulse of freshwater inflow (June to August) induced greater habitat connectivity and a net flow of biomass and energy from the freshwater zone into the estuarine zone. The opening of the lagoon outlet channel abruptly terminated the flood pulse and reduced freshwater subsidies to estuarine consumers, and both zones returned to dependence on autochthonous production. Our findings contribute to current concerns that artificial opening of sandbars in coastal lagoons alters natural ecological dynamics with significant effects on biodiversity and ecosystem processes.</t>
  </si>
  <si>
    <t>10.3354/meps12060</t>
  </si>
  <si>
    <t>Lin, HS; Liu, K; Wang, JJ; Lin, JH; Huang, YQ; He, XB; Li, Z; Zhang, SY; Mou, JF; Liu, YG; Song, PQ; Wang, Y; Xing, BP</t>
  </si>
  <si>
    <t>Spatial variability of macrobenthic production in the Bering Sea</t>
  </si>
  <si>
    <t>Secondary production; Macrobenthos; Total production; Community P; B; Bering Sea; Environmental factors</t>
  </si>
  <si>
    <t>SECONDARY PRODUCTION; MACROFAUNAL PRODUCTION; BENTHIC INVERTEBRATES; COMMUNITY STRUCTURE; BIOMASS RATIOS; CHUKCHI SEAS; SHELF; PATTERNS; PACIFIC; WATER</t>
  </si>
  <si>
    <t>Despite being located at higher latitudes with seasonal ice-cover, the Bering shelves and slope are still one of the most productive regions of the world. Existing reports regarding marine production of the Bering Sea are mainly confined to its high water column production and high biomass of macrobenthos. Compared with biomass, secondary production estimates are more functionally based and have assumed a fundamental role in the quantification of ecosystem dynamics. Based on Brey's empirical model (in: Brey, Population dynamics in benthic invertebrates. A virtual handbook, Alfred Wegener Institute for Polar and Marine Research, Germany, 2001), macrobenthic production across the majority of the Bering Sea was quantified during the 4th, 5th and 6th Chinese Arctic Scientific Expeditions. Mean total production (TP) and community P/B for the entire survey area were 220.6 +/- 341.5kJm(-2)year(-1) and 0.4 +/- 0.2year(-1), n=46, respectively. Higher TP occurred in the shallower shelves and slope with values exceeding 131.0kJm(-2)year(-1), whereas lower TP occurred in the deep basin with values of 1.0kJm(-2)year(-1). Comprehensive analysis revealed that the sediment, water flow, temperature and depth were the major factors affecting the macrobenthic production. Owing to the relatively high biological production in the upper water column and the tight pelagic-benthic coupling, higher production occurred in the shallow shelves and slope, particularly in the northern Bering Sea. In contrast, the high-nutrient, low-chlorophyll characteristic and deficient particulate organic carbon input led to low production in the deep basin. Similar to the conditions in the Arctic and Antarctic, the energy conversion rate of macrozoobenthos was relatively low for the Bering Sea.</t>
  </si>
  <si>
    <t>10.1007/s00300-018-2414-2</t>
  </si>
  <si>
    <t>Davis, LA; Roalson, EH; Cornell, KL; McClanahan, KD; Webster, MS</t>
  </si>
  <si>
    <t>Genetic divergence and migration patterns in a North American passerine bird: implications for evolution and conservation</t>
  </si>
  <si>
    <t>Dendroica; ESU; migration; mitochondrial DNA; phylogeography; population differentiation</t>
  </si>
  <si>
    <t>MITOCHONDRIAL CONTROL-REGION; STABLE-ISOTOPES; MONARCH BUTTERFLIES; MICROSATELLITE LOCI; NEOTROPICAL MIGRANT; RAPID EVOLUTION; WILLOW WARBLERS; CLIMATE-CHANGE; POPULATIONS; PHYLOGEOGRAPHY</t>
  </si>
  <si>
    <t>Like many other migratory birds, the black-throated blue warbler (Dendroica caerulescens) shows pronounced differences in migratory behaviour and other traits between populations: birds in the southern part of the breeding range have darker plumage and migrate to the eastern Caribbean during the winter, whereas those in the north have lighter plumage and migrate to the western Caribbean. We examined the phylogeography of this species, using samples collected from northern and southern populations, to determine whether differentiation between these populations dates to the Pleistocene or earlier, or whether differences in plumage and migratory behaviour have arisen more recently. We analysed variation at 369 bp of the mitochondrial control region domain I and also at seven nuclear microsatellites. Analyses revealed considerable genetic variation, but the vast majority of this variation was found within rather than between populations, and there was little differentiation between northern and southern populations. Phylogeographic analyses revealed a very shallow phylogenetic tree, a star-like haplotype network, and a unimodal mismatch distribution, all indicative of a recent range expansion from a single refugium. Coalescent modelling approaches also indicated a recent common ancestor for the entire group of birds analysed, no split between northern and southern populations, and high levels of gene flow. These results show that Pleistocene or earlier events have played little role in creating differences between northern and southern populations, suggesting that migratory and other differences between populations have arisen very recently. The implications of these results for the evolution of migration and defining taxonomic groups for conservation efforts are discussed.</t>
  </si>
  <si>
    <t>10.1111/j.1365-294X.2006.02914.x</t>
  </si>
  <si>
    <t>Wang, FQ; Wu, Y; Cui, Y; Chen, ZZ; Li, ZY; Zhang, J; Zheng, S</t>
  </si>
  <si>
    <t>delta C-13 and fatty acid composition of mesopelagic fishes in the South China Sea and their influence factors</t>
  </si>
  <si>
    <t>Mesopelagic fishes; lipids; delta C-13; fatty acids; temperature; South China Sea</t>
  </si>
  <si>
    <t>POTENTIAL DIETARY INFLUENCE; SCOTIA SEA; STABLE-ISOTOPES; FEEDING ECOLOGY; CARBON; PHYTOPLANKTON; COASTAL; LIPIDS; EXTRACTION; NUTRITION</t>
  </si>
  <si>
    <t>Study of the ecology of mesopelagic fishes is central for assessing the active biological pump in the ocean, especially in the mesopelagic layers. The use of delta C-13 and fatty acid analysis can help to analysis the ecology of mesopelagic fishes. Here, we analysed the fatty acid composition of mesopelagic fishes from the continental northern slope of the South China Sea (NSSCS) and compared with nearshore SCS fishes and mesopelagic fishes collected from the Southern Ocean. The mesopelagic fishes had unusually high lipids, which resulted in Delta delta C-13 values exceeding 1 parts per thousand, more than the enrichment factor in the food web. The mesopelagic fishes had higher C18:1n-9/C18:1n-7 and C20:1n-9/ C18:1n-7 ratios compared with other fishes in the SCS, which confirmed that plankton were their main dietary source. The mesopelagic fishes from SCS and Southern Ocean had different ratios of C20:5n-3/C22:6n-3 (EPA/DHA), suggesting geographical locations and diet sources had obvious influence on their fatty acid composition. The SCS mesopelagic fishes had higher C20:4n-6/C22:6n-3 (ARA/DHA) and C20:4n-6/C20:5n-3 (ARA/EPA) ratios than mesopelagic fishes in the Southern Ocean, indicating the influence of physical factors on fatty acid composition. Thus, future studies of the fatty acids in mesopelagic fishes should consider both dietary sources and physical environments.</t>
  </si>
  <si>
    <t>10.1080/02757540.2019.1651844</t>
  </si>
  <si>
    <t>Guo, YM; Liu, XJ; Liu, XH; Zhang, JH; Zhang, HY; Fan, JW; Khan, N; Ma, JL</t>
  </si>
  <si>
    <t>Quantitative assessment of the degree of harmony between humanity and nature for national parks in China: A case study of the Three-River-Source National Park</t>
  </si>
  <si>
    <t>harmony between humanity and nature; quantitative assessment; nature reserve; sustainable development; Three-River-Source National Park</t>
  </si>
  <si>
    <t>CONSTRUCTION; SUITABILITY; SYSTEM</t>
  </si>
  <si>
    <t>IntroductionNational parks, defined as the mainstay of the nature reserve system in China, pursue to achieve scientific protection and rational utilization of natural resources. However, eco-environmental and socioeconomic benefits are rarely considered together. Hereby, how to quantitatively express the relationship between humanity and nature in national parks needs further exploration. We selected the Three-River-Source National Park (TRSNP), China's largest national park by area and the world's highest altitude national park, as a representative case to construct an evaluation model for the degree of harmony between humanity and the nature of the national alpine ecological park. MethodsBased on the field survey data, the meteorological data, the remote sensing data, and the socioeconomic data, the study used the model inversion and the spatial analysis methods to quantitatively evaluate the degree of harmony consisting of 12 indexes from a fresh perspective of a combination of the ecological environment and social economy. Considering the TRSNP establishment in 2016 as the time node, we assessed and compared the degree of harmony between humanity and nature during the dynamic baseline period (2011-2015) and the evaluation period (2016-2020). ResultsThe results show that the degree of harmony between humanity and nature showed a gradual upward trend from the northwest to the southeast in the TRSNP. Compared with the dynamic baseline period, the eco-environmental and socioeconomic levels of the evaluation period were increased by 34.48 and 5.46%, respectively. Overall, the degree of harmony between humanity and nature visibly increased by 23.38%. DiscussionThis study has developed a novel comprehensive method for evaluating national parks at the regional scale for the win-win goal of both protection and development, and it provides a theoretical basis for effective planning and management policies for national parks.</t>
  </si>
  <si>
    <t>10.3389/fevo.2023.1121189</t>
  </si>
  <si>
    <t>Rudstam, LG; Holeck, KT; Bowen, KL; Watkins, JM; Weidel, BC; Luckey, FJ</t>
  </si>
  <si>
    <t>Lake Ontario zooplankton in 2003 and 2008: Community changes and vertical redistribution</t>
  </si>
  <si>
    <t>calanoids; cyclopoids; bosminids; daphniids; Bythotrephes</t>
  </si>
  <si>
    <t>LAURENTIAN GREAT-LAKES; LOWER FOOD-WEB; CLADOCERAN BYTHOTREPHES-LONGIMANUS; ALEWIFE ALOSA-PSEUDOHARENGUS; WATER SURVEILLANCE PROGRAM; SMELT OSMERUS-MORDAX; CERCOPAGIS-PENGOI; RAINBOW SMELT; PREDATORY CLADOCERAN; CRUSTACEAN ZOOPLANKTON</t>
  </si>
  <si>
    <t>Lake-wide zooplankton surveys are critical for documenting and understanding food web responses to ecosystem change. Surveys in 2003 and 2008 during the binational intensive field year in Lake Ontario found that offshore epilimnetic crustacean zooplankton declined by a factor of 12 (density) and factor of 5 (biomass) in the summer with smaller declines in the fall. These declines coincided with an increase in abundance of Bythotrephes and are likely the result of direct predation by, or behavioral responses to this invasive invertebrate predator. Whole water column zooplankton density also declined from 2003 to 2008 in the summer and fall (factor of 4), but biomass only declined in the fall (factor of 2). The decline in biomass was less than the decline in density because the average size of individual zooplankton increased. This was due to changes in the zooplankton community composition from a cyclopoid/bosminid dominated community in 2003 to a calanoid dominated community in 2008. The increase in calanoid copepods was primarily due to the larger species Limnocalanus macrurus and Leptodiaptomus sicilis. These cold water species were found in and below the thermocline associated with a deep chlorophyll layer. In 2008, most of the zooplankton biomass resided in or below the thermocline during the day. Increased importance of copepods in deeper, colder water may favor Cisco and Rainbow Smelt over Alewife because these species are better adapted to cold temperatures than Alewife.</t>
  </si>
  <si>
    <t>10.1080/14634988.2014.965121</t>
  </si>
  <si>
    <t>Gramigni, E; Calusi, S; Gelli, N; Giuntini, L; Massi, M; Delfino, G; Chelazzi, G; Baracchi, D; Frizzi, F; Santini, G</t>
  </si>
  <si>
    <t>Ants as bioaccumulators of metals from soils: Body content and tissue-specific distribution of metals in the ant Crematogaster scutellaris</t>
  </si>
  <si>
    <t>Ants; Metals; Crematogaster scutellaris; Micro-PIXE</t>
  </si>
  <si>
    <t>HEAVY-METALS; ACCUMULATION PATTERNS; STABLE-ISOTOPES; ION MICROBEAM; POLLUTION; FORMICA; LOCALIZATION; HYMENOPTERA; FLORENCE; CADMIUM</t>
  </si>
  <si>
    <t>Ants possess several features that make them good candidates as indicators of environmental contamination. Concentrations of six metals (Cu, Cd, Ni, Mn, Pb and Zn) were investigated in Crematogaster scutellaris, a myrmicine ant common throughout the Mediterranean basin. Concentrations of metals in ant bodies and soil samples from polluted and unpolluted sites were compared. Tissue-specific distribution of metals in a non-soluble form was examined using a novel technique that coupled histological imagery and micro-PIXE analysis. Zinc and cadmium accumulated in ants with respect to the soil. Copper body burdens were independent of soil concentration, while lower concentrations of nickel, manganese and lead were found in ants than in the soil, although ant body content was correlated with soil concentrations. Most of the metals were concentrated in the midgut, the Malpighian tubules and fat body, supporting the role of these organs as primary sites of metal storage and contaminant immobilization. (C) 2013 Elsevier Masson SAS. All rights reserved.</t>
  </si>
  <si>
    <t>10.1016/j.ejsobi.2013.05.006</t>
  </si>
  <si>
    <t>Qu, Q; Zhang, J; Hai, XY; Wu, JZ; Fan, JW; Wang, DF; Li, JW; Shangguan, ZP; Deng, L</t>
  </si>
  <si>
    <t>Long-term fencing alters the vertical distribution of soil d(13)C and SOC turnover rate: Revealed by MBC-d(13)C</t>
  </si>
  <si>
    <t>Carbon cycle; Grassland management; Land use change; Soil microorganism; Soil d???????C-13; Degeneration</t>
  </si>
  <si>
    <t>DELTA-C-13 DEPTH PROFILES; STABLE CARBON ISOTOPES; ORGANIC-MATTER; LAND-USE; STORAGE; SEQUESTRATION; DECOMPOSITION; DYNAMICS; PATTERNS; PLANT</t>
  </si>
  <si>
    <t>Grassland is the significant composition of the terrestrial carbon pool. Its belowground carbon turnover process is sensitive to land use changes and has a huge impact on atmospheric CO2 contents. However, the interpretation of the vertical distribution of delta C-13 values of soil organic carbon (SOC-delta C-13), the SOC turnover rate (beta value) and their changes in the soil profile remain uncertain after fencing (grazing exclusion). Grasslands that have been fenced for 39 years and grazed (as the control) on the Loess Plateau, China were selected to evaluate the vertical distribution of SOC-delta C-13 and beta values and their influencing factors across the 0-100 cm soil profile (0-10, 10-20, 20-40, 40-60, 60-80, 80-100 cm). The results showed that SOC gradually decreased but SOC-delta C-13 overall increased with soil depths. Fencing significantly decreased the SOC-delta C-13 in 10-80 cm depth. The SOC delta C-13 had a positive correlation with delta C-13 values of microbial biomass carbon (MBC-delta C-13), but negative correlations with root biomass. Besides, the beta values of 0-60 cm depth were higher in fencing grasslands (-2.70) than that in grazing grasslands (-11.38). Overall, carbon input, microbial fractionation and soil leaching contributed to the increasing trend of SOC-delta C-13 with soil depths, and fencing increased the SOC content in the profile but decreased the SOC turnover rate in 0-60 cm soils. The results provide direct evidence for the change of SOC-delta C-13 and a more comprehensive understanding of SOC-delta C-13 and SOC turnover dynamics with long-term fencing across the soil profile. The information on SOC dynamics and their feedback to long-term fencing can aid in developing reasonable grassland management measures.</t>
  </si>
  <si>
    <t>10.1016/j.agee.2022.108119</t>
  </si>
  <si>
    <t>Lee, KS; Lee, DS; Lim, SS; Kwak, JH; Jeon, BJ; Lee, SI; Lee, SM; Choi, WJ</t>
  </si>
  <si>
    <t>Nitrogen isotope ratios of dissolved organic nitrogen in wet precipitation in a metropolis surrounded by agricultural areas in southern Korea</t>
  </si>
  <si>
    <t>Ammonium; Dissolved organic nitrogen; Natural nitrogen isotope abundance; Nitrate; Nitrogen deposition</t>
  </si>
  <si>
    <t>AMINO-ACIDS; TREE-RINGS; PINUS-DENSIFLORA; STABLE-ISOTOPES; NATURAL N-15; DEPOSITION; CHEMISTRY; NITRATE; DELTA-N-15; INPUTS</t>
  </si>
  <si>
    <t>Despite the importance of dissolved organic N (DON) in wet precipitation, the N isotope ratio (delta N-15) of DON has rarely been reported when compared to those of inorganic N (NH4+ and NO3-). This study was conducted to investigate seasonal variation of delta N-15 of DON in comparison with the delta N-15 of NH4+ and NO3- during wet precipitation in a metropolis area that is surrounded by agricultural areas in southern Korea. For two years (2007 and 2008), all effective precipitation events (&gt;5 mm) were collected and the delta N-15 of NH4+, NO3-, DON, and total N were analyzed, and the volume-weighted monthly mean N deposition and delta N-15 were calculated. The contribution of DON to total N deposition (41.0 and 37.3% in 2007 and 2008, respectively) was compatible to that of NH4+ and two times higher than that of NO3-. The annual mean delta N-15 of DON (0.3 and 0.2 parts per thousand. in 2007 and 2008, respectively) was higher than that of NH4+ (-3.0 and -6.8 parts per thousand, respectively) but similar to that of NO3- (1.5 and 0.5 parts per thousand, respectively). The seasonal pattern of molar ratio of NH4+/NO3- in combination with delta N-15 of NH4+ and NO3- indicated that there were multiple diffuse sources of N deposition presented and seasonal shifting of main sources of N deposition occurred in the study site. These sources included fertilized agricultural fields in the spring and early summer, livestock excrements in the middle summer and fall, and coal-fired boilers in the winter. The intimate relationship between DON and NH4+ in terms of % portion in total N and their delta N-15 suggested that the source of DON was closely coupled with that of NH4+; e.g. fertilizer and livestock excretion. A direct measurement of N species emitted from fertilized agricultural field and livestock manure is necessary to confirm the source of DON. (C) 2012 Elsevier B.V. All rights reserved.</t>
  </si>
  <si>
    <t>10.1016/j.agee.2012.07.010</t>
  </si>
  <si>
    <t>Voss, M; Deutsch, B; Elmgren, R; Humborg, C; Kuuppo, P; Pastuszak, M; Rolff, C; Schulte, U</t>
  </si>
  <si>
    <t>Source identification of nitrate by means of isotopic tracers in the Baltic Sea catchments</t>
  </si>
  <si>
    <t>STABLE-ISOTOPES; MISSISSIPPI RIVER; ORGANIC-MATTER; NITROGEN; OXYGEN; FRACTIONATION; WATER; DENITRIFICATION; PHOSPHORUS; SIGNATURES</t>
  </si>
  <si>
    <t>Nitrate input to a river is largely controlled by land use in its catchment. We compared the information carried by the isotopic signatures of nitrate in 12 Baltic rivers, in relation to the vegetation cover, land use, and fertilization of agricultural land of their catchments. We found isotope values in nitrate ranging from -2 to 14 parts per thousand for delta(15) N and 8 to 25 parts per thousand for delta O-18. The annual variability of riverine nitrate isotope signatures is presented in detail for one Nordic, the Kemi-joki, and two southern rivers, the Vistula and Oder. Nordic rivers with relatively pristine vegetation in their catchments show not only low delta N-15 values and high delta O-18-NO3- but also lower annual variability than rivers draining densely populated land. Seasonal signals were found in all the rivers. We used load weighted nitrate isotope data and data from the three major N sources (farmland/sewage, atmospheric deposition and from runoff of pristine soils) to theoretically estimate the shares of nitrate from these sources. The results of an isotope mixing model (IMM-1) agree reasonably well with the same estimates for agricultural land derived from a Global Land Cover (GLC) data base, with a deviation varying from - 16% to +26%. The comparison with an emission model (EM) reveals relatively good agreements for intensively used catchments (- 18 to + 18% deviation). Rather unsatisfactory agreement was found between the IMM-1 and GLC calculations for pristine catchments (-36 to +50% deviation). Advantages and limitations of the tested model are discussed.</t>
  </si>
  <si>
    <t>10.5194/bg-3-663-2006</t>
  </si>
  <si>
    <t>Dalu, T; Galloway, AWE; Richoux, NB; Froneman, PW</t>
  </si>
  <si>
    <t>Effects of substrate on essential fatty acids produced by phytobenthos in an austral temperate river system</t>
  </si>
  <si>
    <t>essential fatty acids; phytobenthos; South Africa; substratum; nutrients</t>
  </si>
  <si>
    <t>FRESH-WATER MICROALGAE; TEMPORAL-CHANGES; MULTIVARIATE-ANALYSIS; NUTRITIONAL QUALITY; COMMUNITY STRUCTURE; STREAM PERIPHYTON; STABLE-ISOTOPES; ORGANIC-MATTER; CLIMATE-CHANGE; BENTHIC ALGAE</t>
  </si>
  <si>
    <t>Aquatic and riparian habitats increasingly are affected by anthropogenic stressors, but the effects of these stressors on the nutritional quality of primary producers are often unknown. We compared essential fatty acids (EFAs) in the phytobenthos (benthic algae) growing on different substrate types (bricks, clay tiles, rocks, macrophytes, and sediments) at 2 river sites subject to differing anthropogenic stressors (using nutrient concentration as a proxy) in a temperate southern hemisphere location. We hypothesized that the fatty acid (FA) content of phytobenthos changes in response to shifts in local nutrient availability but not substrate type. EFA content (18:26, 18:33, 20:46, 20:53, and 22:63) in the phytobenthos differed overall among substrates, sites, and seasons and was generally greater in summer than in autumn and winter. EFA content was significantly greater on artificial than natural substrates and was greater at the nutrient-enriched downstream site than at the upstream site. The response of EFA content at the downstream site suggests that land use affected the synthesis of EFAs by phytobenthos and, hence, food quality for aquatic consumers. These findings indicate a potential link between physical factors, such as substrate availability and land management, and the quality of basal food resources available to primary consumers in aquatic food webs.</t>
  </si>
  <si>
    <t>10.1086/688698</t>
  </si>
  <si>
    <t>Kakela, A; Crane, J; Votier, SC; Furness, RW; Kakela, R</t>
  </si>
  <si>
    <t>Fatty acid signatures as indicators of diet in great skuas Stercorarius skua, Shetland</t>
  </si>
  <si>
    <t>adipose tissue; fatty acid signatures; fishery discards; foraging ecology; great skua; plasma; seabirds; Shetland</t>
  </si>
  <si>
    <t>FOOD AVAILABILITY; CATHARACTA-SKUA; REPRODUCTIVE-PERFORMANCE; COMMERCIAL FISHERIES; STABLE-ISOTOPES; ADIPOSE-TISSUE; BODY CONDITION; HERRING-GULLS; SEABIRDS; FISH</t>
  </si>
  <si>
    <t>Fatty acid signatures (FAS) were determined in plasma and adipose tissue of great skuas Stercorarius skua from Shetland in order to test the applicability of this biomarker in estimating diets of wild scavenging seabirds. The plasma FAS were compared with those of captive herring gulls Larus argentatus, which were fed typical Northeast Atlantic demersal and pelagic fish. The individual fatty acids that showed the largest proportional changes in FAS due to changes of dietary fish in herring gulls also varied the most in wild great skuas, suggesting a dietary origin of these changes in FAS. Thus, great skuas that had recently been feeding largely on a demersal or terrestrial diet were distinguished from individuals feeding mainly on a pelagic diet. Pronounced variation in the plasma FAS of great skuas suggests either very flexible feeding behaviour or individual dietary specialisation, which concurs with previous studies based on pellets. Individuals that regurgitated pellets consisting only of demersal fish, bird or rabbit showed larger values of a specific polyunsaturated fatty acid ratio (20:4n-6/18:3n-3+18:4n-3+20:5n-3) than birds whose pellets also contained remains of pelagic fish. Although pellet data showed a clear dominance of demersal fish in the summer diet of the great skua, the large proportions of long-chain monounsaturated fatty acids (e.g. 20:1n-9 and 22:1n-11) in adipose tissue of the great skua suggest that a considerable part of fat accumulated outside the breeding season comes from fatty pelagic fish.</t>
  </si>
  <si>
    <t>10.3354/meps319297</t>
  </si>
  <si>
    <t>Wang, SW; Iverson, SJ; Springer, AM; Hatch, SA</t>
  </si>
  <si>
    <t>Spatial and temporal diet segregation in northern fulmars Fulmarus glacialis breeding in Alaska: insights from fatty acid signatures</t>
  </si>
  <si>
    <t>Fatty acids; Northern fulmar; Fulmarus glacialis; Alaska; Diet analysis</t>
  </si>
  <si>
    <t>STOMACH OIL; TROPHIC RELATIONSHIPS; STABLE-ISOTOPES; PUFFINUS-TENUIROSTRIS; FOOD-WEB; SEABIRDS; INDICATORS; TISSUE; LIPIDS; FISH</t>
  </si>
  <si>
    <t>Northern fulmars Fulmarus glacialis in the North Pacific Ocean are opportunistic, generalist predators, yet their diets are poorly described; thus, relationships of fulmars to supporting food webs, their utility as indicators of variability in forage fish abundances, and their sensitivity to ecosystem change are not known. We employed fatty acid (FA) signature analysis of adipose tissue from adults (n = 235) and chicks (n = 33) to compare spatial, temporal, and age-related variation in diets of fulmars breeding at 3 colonies in Alaska. FA signatures of adult fulmars differed between colonies within years, and between seasons at individual colonies. Seasonal and spatial differences in signatures were greater than interannual differences at all colonies. Differences in FA signatures reflect differences in diets, probably because the breeding colonies are located in distinct ecoregions which create unique habitats for prey assemblages, and because interannual variation in the physical environment affects the availability of forage species. Differences between FA signatures of adults and chicks in 2003 and 2004 suggest that adults fed chicks different prey than they consumed themselves. Alternatively, if adults relied on the same prey as those fed to chicks, the differences in signatures could have resulted from partial digestion of prey items by adults before chicks were fed, or direct metabolism of FAs by chicks for tissue synthesis before FAs could be deposited into adipose tissue.</t>
  </si>
  <si>
    <t>10.3354/meps07863</t>
  </si>
  <si>
    <t>Kakela, R; Kakela, A; Martinez-Abrain, A; Sarzo, B; Louzao, M; Gerique, C; Villuendas, E; Strandberg, U; Furness, RW; Oro, D</t>
  </si>
  <si>
    <t>Fatty acid signature analysis confirms foraging resources of a globally endangered Mediterranean seabird species: calibration test and application to the wild</t>
  </si>
  <si>
    <t>Adipose tissue; Fatty acid signatures; Feeding ecology; Seabird-fishery interactions; Larus; Puffinus; Shearwater; Plasma; Yellow-legged gull</t>
  </si>
  <si>
    <t>FULMARS FULMARUS-GLACIALIS; BALEARIC SHEARWATER; FISHERIES DISCARDS; ADIPOSE-TISSUES; STABLE-ISOTOPES; TOP PREDATORS; PELAGIC FISH; NORTH-SEA; DIET; FOOD</t>
  </si>
  <si>
    <t>Dietary studies of seabirds provide information on food webs and oceanographic variability. Studying fatty acid signatures (FAS), which reflect changes in the composition of the diet, has several advantages over traditional methods. In the context of the Mediterranean marine ecosystem, we studied tissue FAS in captive-fed and wild seabirds. Yellow-legged gulls Larus michahellis were experimentally fed either pelagic (sardine Sardina pilchardus) or demersal (spotted flounder Citharus linguatula) fish for 8 wk, and FAS in the birds' plasma and adipose tissue were studied. The FAS developed patterns characteristic of the sardine or flounder diet, showing the reliability of both types of samples, In addition, plasma samples of 20 endangered wild Balearic shearwaters Puffinus mauretanicas and their most likely prey items from the Mediterranean Sea were collected and analyzed for FAS. Based on FAS of Mediterranean fish, and the results from the feeding experiment, the diet of the endangered wild shearwaters was estimated. In terms of the composition of polyunsaturated fatty acids, the plasma FAS of the shearwaters resembled those of the captive gulls kept on a sardine diet, suggesting that pelagic feeding resources dominate shearwater diet. However, the high level of 20:1n-11, likely metabolized from 22:1n-11 by the birds themselves, suggested that the diet also contained a demersal component rich in 22:1n-11. Contrary to the situation in the open oceans, the levels of the C20 and C22 monounsaturated fatty acids are low in the Mediterranean food web and characteristic of most demersal species. Our results support the findings of previous field studies that the diet of the shearwaters is frequently supplemented by demersal fish from fishery discards.</t>
  </si>
  <si>
    <t>10.3354/meps08291</t>
  </si>
  <si>
    <t>Cornelis, JT; Delvaux, B; Georg, RB; Lucas, Y; Ranger, J; Opfergelt, S</t>
  </si>
  <si>
    <t>Tracing the origin of dissolved silicon transferred from various soil-plant systems towards rivers: a review</t>
  </si>
  <si>
    <t>BANANA MUSA SPP.; BIOGENIC SILICA; BIOGEOCHEMICAL CYCLE; AMORPHOUS SILICA; ISOTOPE FRACTIONATION; MINERAL-COMPOSITION; WEATHERING RATES; STABLE-ISOTOPES; CO2 CONSUMPTION; MAJOR ELEMENTS</t>
  </si>
  <si>
    <t>Silicon (Si) released as H4SiO4 by weathering of Si-containing solid phases is partly recycled through vegetation before its land-to-rivers transfer. By accumulating in terrestrial plants to a similar extent as some major macronutrients (0.1-10% Si dry weight), Si becomes largely mobile in the soil-plant system. Litter-fall leads to a substantial reactive biogenic silica pool in soil, which contributes to the release of dissolved Si (DSi) in soil solution. Understanding the biogeochemical cycle of silicon in surface environments and the DSi export from soils into rivers is crucial given that the marine primary bio-productivity depends on the availability of H4SiO4 for phytoplankton that requires Si. Continental fluxes of DSi seem to be deeply influenced by climate (temperature and runoff) as well as soil-vegetation systems. Therefore, continental areas can be characterized by various abilities to transfer DSi from soil-plant systems towards rivers. Here we pay special attention to those processes taking place in soil-plant systems and controlling the Si transfer towards rivers. We aim at identifying relevant geochemical tracers of Si pathways within the soil-plant system to obtain a better understanding of the origin of DSi exported towards rivers. In this review, we compare different soil-plant systems (weathering-unlimited and weathering-limited environments) and the variations of the geochemical tracers (Ge/Si ratios and delta Si-30) in DSi outputs. We recommend the use of biogeochemical tracers in combination with Si mass-balances and detailed physico-chemical characterization of soil-plant systems to allow better insight in the sources and fate of Si in these biogeochemical systems.</t>
  </si>
  <si>
    <t>10.5194/bg-8-89-2011</t>
  </si>
  <si>
    <t>Schwarz, D; Spitzer, SM; Thomas, AC; Kohnert, CM; Keates, TR; Acevedo-Gutierrez, A</t>
  </si>
  <si>
    <t>Large-scale molecular diet analysis in a generalist marine mammal reveals male preference for prey of conservation concern</t>
  </si>
  <si>
    <t>diet analysis; DNA metabarcoding; marine mammals; predator prey interactions; sex identification</t>
  </si>
  <si>
    <t>SEALS PHOCA-VITULINA; MALE HARBOR SEALS; SEXUAL SEGREGATION; WASHINGTON-STATE; FORAGING ACTIVITY; GENETIC-ANALYSIS; STABLE-ISOTOPES; BREEDING-SEASON; MATING SYSTEM; SALMON</t>
  </si>
  <si>
    <t>Sex-specific diet information is important in the determination of predator impacts on prey populations. Unfortunately, the diet of males and females can be difficult to describe, particularly when they are marine predators. We combined two molecular techniques to describe haul-out use and prey preferences of male and female harbor seals (Phoca vitulina) from Comox and Cowichan Bay (Canada) during 2012-2013. DNA metabarcoding quantified the diet proportions comprised of prey species in harbor seal scat, and qPCR determined the sex of the individual that deposited each scat. Using 287 female and 260 male samples, we compared the monthly sex ratio with GLMs and analyzed prey consumption relative to sex, season, site, and year with PERMANOVA. The sex ratio between monthly samples differed widely in both years (range=12%-79% males) and showed different patterns at each haul-out site. Male and female diet differed across both years and sites: Females consumed a high proportion of demersal fish species while males consumed more salmonid species. Diet composition was related to both sex and season (PERMANOVA: R-2=27%, p&lt;0.001; R-2=24%, p&lt;0.001, respectively) and their interaction (PERMANOVA: R-2=11%, p&lt;0.001). Diet differences between males and females were consistent across site and year, suggesting fundamental foraging differences, including that males may have a larger impact on salmonids than females. Our novel combination of techniques allowed for both prey taxonomic and spatiotemporal resolution unprecedented in marine predators.</t>
  </si>
  <si>
    <t>10.1002/ece3.4474</t>
  </si>
  <si>
    <t>Trudel, M; Rasmussen, JB</t>
  </si>
  <si>
    <t>Predicting mercury concentration in fish using mass balance models</t>
  </si>
  <si>
    <t>activity costs; bioenergetic model; cesium; contaminant; fish; food consumption rates; mass balance model; mercury; methylmercury; radiocesium</t>
  </si>
  <si>
    <t>TROUT SALVELINUS-FONTINALIS; PERCH PERCA-FLAVESCENS; FOOD-CHAIN STRUCTURE; YELLOW PERCH; LAKE TROUT; BIOENERGETICS MODEL; CONTAMINANT BIOACCUMULATION; TROPHIC POSITION; NORTHERN PIKE; OTTAWA RIVER</t>
  </si>
  <si>
    <t>Mass balance models have frequently been used with laboratory-derived bioenergetic models to examine the accumulation of mercury (Hg) in fish. The accumulation of Hg in fish has usually been successfully described by these models. However, this has generally been achieved by adjusting the parameters of these models until there was a close fit between observed and predicted values. In this study, we present a simple Hg mass balance model (MMBM) to predict Hg concentration in fish. This MMBM was applied with three methods of estimating food consumption rates to predict Hg concentration in three freshwater fish species. The MMBM accurately predicted the accumulation of Hg in the three fish species examined in this study when it was combined with food consumption rates that were determined with a radioisotopic method. The MMBM tended to underestimate Hg concentration in fish when it was combined with food consumption rates determined using laboratory-derived bioenergetic models, possibly because activity costs derived under laboratory conditions do not adequately represent activity costs of fish in the field. When feeding rates were estimated with a bioenergetic model implemented with site-specific estimates of activity costs, the MMBM accurately predicted the concentration of Hg in fish. Therefore, until activity costs can be accurately estimated in situ, predictions obtained with the MMBM implemented with a laboratory-derived bioenergetic model should be interpreted cautiously.</t>
  </si>
  <si>
    <t>10.1890/1051-0761(2001)011[0517:PMCIFU]2.0.CO;2</t>
  </si>
  <si>
    <t>Wen, X; Unger, V; Jurasinski, G; Koebsch, F; Horn, F; Rehder, G; Sachs, T; Zak, D; Lischeid, G; Knorr, KH; Bottcher, ME; Winkel, M; Bodelier, PLE; Liebner, S</t>
  </si>
  <si>
    <t>Predominance of methanogens over methanotrophs in rewetted fens characterized by high methane emissions</t>
  </si>
  <si>
    <t>MICROBIAL COMMUNITIES; ANAEROBIC OXIDATION; ARCHAEAL COMMUNITY; MINEROTROPHIC FEN; CH4 PRODUCTION; CARBON; PEATLANDS; DIVERSITY; BACTERIA; FLUXES</t>
  </si>
  <si>
    <t>The rewetting of drained peatlands alters peat geochemistry and often leads to sustained elevated methane emission. Although this methane is produced entirely by microbial activity, the distribution and abundance of methane-cycling microbes in rewetted peatlands, especially in fens, is rarely described. In this study, we compare the community composition and abundance of methane-cycling microbes in relation to peat porewater geochemistry in two rewetted fens in northeastern Germany, a coastal brackish fen and a freshwater riparian fen, with known high methane fluxes. We utilized 16S rRNA high-throughput sequencing and quantitative polymerase chain reaction (qPCR) on 16S rRNA, mcrA, and pmoA genes to determine microbial community composition and the abundance of total bacteria, methanogens, and methanotrophs. Electrical conductivity (EC) was more than 3 times higher in the coastal fen than in the riparian fen, averaging 5.3 and 1.5 mS cm(-1), respectively. Porewater concentrations of terminal electron acceptors (TEAs) varied within and among the fens. This was also reflected in similarly high intra- and inter-site variations of microbial community composition. Despite these differences in environmental conditions and electron acceptor availability, we found a low abundance of methanotrophs and a high abundance of methanogens, represented in particular by Methanosaetaceae, in both fens. This suggests that rapid (re) establishment of methanogens and slow (re) establishment of methanotrophs contributes to prolonged increased methane emissions following rewetting.</t>
  </si>
  <si>
    <t>10.5194/bg-15-6519-2018</t>
  </si>
  <si>
    <t>Van Grinsven, MJ; Shannon, JP; Davis, JC; Bolton, NW; Wagenbrenner, JW; Kolka, RK; Pypker, TG</t>
  </si>
  <si>
    <t>Source water contributions and hydrologic responses to simulated emerald ash borer infestations in depressional black ash wetlands</t>
  </si>
  <si>
    <t>black ash; emerald ash borer; forested wetlands; groundwater; invasive pest disturbance; natural tracers; wetland hydrology</t>
  </si>
  <si>
    <t>SAP FLOW; SURFACE-WATER; GROUNDWATER-FLOW; FORESTED WETLANDS; STABLE-ISOTOPES; MORTALITY; DYNAMICS; FLUX; PRECIPITATION; THROUGHFALL</t>
  </si>
  <si>
    <t>Forested wetlands dominated by black ash (Fraxinus nigra) are currently threatened by the rapid expansion of the exotic emerald ash borer (EAB; Agrilus planipennis, Coleoptera: Buprestidae) in North America, and very little is known about the hydrology and ecology of black ash wetlands. The ecohydrological response of forested wetlands following a canopy disturbance has the potential to affect critical ecosystem services, and the degree of this effect may largely depend on the wetland's hydrogeological setting. The main objectives of this study were to characterize the hydrologic connectivity of uninfested black ash wetlands and evaluate the water table response to a simulated EAB disturbance. We hypothesized that black ash wetlands in northern Michigan were (a) seasonally connected to, and derived the majority of their water from groundwater, and (b) wetland water tables would be elevated following a simulated EAB infestation due to decreased transpiration with the loss of black ash. The results indicate that the black ash wetland sites received most of their water from groundwater discharge. Significantly smaller site transpiration fluxes and significantly slower rates of drawdown were detected during the growing season in the girdled and ash-cut treatment sites, and these responses collectively produced significantly elevated wetland water tables when compared to control sites in the latter portions of the growing season. However, the wetlands' strong connection with groundwater sources likely buffered the magnitude of hydrological responses associated with the loss of black ash from the landscape.</t>
  </si>
  <si>
    <t>e1862</t>
  </si>
  <si>
    <t>10.1002/eco.1862</t>
  </si>
  <si>
    <t>Brunk, KM; West, EH; Peery, MZ; Pidgeon, A</t>
  </si>
  <si>
    <t>Failed despots and the equitable distribution of fitness in a subsidized species</t>
  </si>
  <si>
    <t>Cyanocitta stelleri; density dependence; fitness; habitat selection; human food subsidy; ideal despotic distribution; resource under-matching; Steller's jay</t>
  </si>
  <si>
    <t>IDEAL-FREE DISTRIBUTION; REPRODUCTIVE SUCCESS; BEHAVIORAL SYNDROMES; POPULATION-DYNAMICS; PERCEPTUAL RANGE; FLEDGING SUCCESS; STABLE-ISOTOPES; PROTECTED AREAS; FOOD; URBAN</t>
  </si>
  <si>
    <t>It turns out nice jays don't always finish last. While social dominance is typically expected to improve fitness, in areas with abundant human food subsidies, socially subordinate Steller's jays achieve similar fitness as dominant individuals. It is likely that when food is so abundant, dominant jays do not try to exclude subordinates from accessing it. This phenomenon demonstrates that the link between dominance and fitness may be altered in landscapes with abundant human food. Territorial species are often predicted to adhere to an ideal despotic distribution and under-match local food resources, meaning that individuals in high-quality habitat achieve higher fitness than those in low-quality habitat. However, conditions such as high density, territory compression, and frequent territorial disputes in high-quality habitat are expected to cause habitat quality to decline as population density increases and, instead, promote resource matching. We studied a highly human-subsidized and under-matched population of Steller's jays (Cyanocitta stelleri) to determine how under-matching is maintained despite high densities, compressed territories, and frequent agonistic behaviors, which should promote resource matching. We examined the distribution of fitness among individuals in high-quality, subsidized habitat, by categorizing jays into dominance classes and characterizing individual consumption of human food, body condition, fecundity, and core area size and spatial distribution. Individuals of all dominance classes consumed similar amounts of human food and had similar body condition and fecundity. However, the most dominant individuals maintained smaller core areas that had greater overlap with subsidized habitat than those of subordinates. Thus, we found that (1) jays attain high densities in subsidized areas because dominant individuals do not exclude subordinates from human food subsidies and (2) jay densities do not reach the level necessary to facilitate resource matching because dominant individuals monopolize space in subsidized areas. Our results suggest that human-modified landscapes may decouple dominance from fitness and that incomplete exclusion of subordinates may be a common mechanism underpinning high densities and creating source populations of synanthropic species in subsidized environments.</t>
  </si>
  <si>
    <t>10.1093/beheco/arac064</t>
  </si>
  <si>
    <t>Kim, E; Mason, RP; Bergeron, CM</t>
  </si>
  <si>
    <t>A modeling study on methylmercury bioaccumulation and its controlling factors</t>
  </si>
  <si>
    <t>Mercury; Methylmercury; Bioaccumulation model; Sediment resuspension; Mercury methylation; Methylmercury demethylation</t>
  </si>
  <si>
    <t>STABLE MERCURY ISOTOPES; CHESAPEAKE BAY; LAVACA BAY; FOOD-WEB; SEDIMENT RESUSPENSION; ORGANIC-MATTER; RIVER ESTUARY; ZOOPLANKTON; PLANKTON; IMPACT</t>
  </si>
  <si>
    <t>The objectives of this study were: (1) to develop a methylmercury (MeHg) bioaccumulation model using data from STORM (high bottom Shear realistic water column Turbulence Resuspension Mesocosms) experiments; and (2) to use the model as a diagnostic tool to examine an effect of sediment resuspension and other important factors on MeHg bioaccumulation. There were four mesocosm experiments (1-4) conducted both in summer and fall. Tidal resuspension (4 h on- and 2 h off-cycles) was simulated using the STORM facility at CBL, UMCES (Chesapeake Biological Laboratory, University of Maryland Center for Environmental Science). The model results showed that changes in clam biomass had a great effect on phytoplankton and zooplankton biomass, and consequently MeHg accumulation. In addition, it appeared that sediment resuspension played a role in transferring the enhanced sediment MeHg into organisms inhabiting both water column and sediment. (c) 2008 Elsevier B.V. All rights reserved.</t>
  </si>
  <si>
    <t>10.1016/j.ecolmodel.2008.07.008</t>
  </si>
  <si>
    <t>Guerra, AS; Bui, A; Klope, M; Orr, DA; Shaffer, SA; Young, HS</t>
  </si>
  <si>
    <t>Leaving more than footprints: Anthropogenic nutrient subsidies to a protected area</t>
  </si>
  <si>
    <t>anthropogenic subsidies; guano deposition; island; nutrient subsidies; seabird; urban ecology</t>
  </si>
  <si>
    <t>ISLANDS-NATIONAL-PARK; STABLE-ISOTOPES; MEDITERRANEAN ISLANDS; INTRODUCED PREDATORS; REPRODUCTIVE OUTPUT; CHANNEL-ISLANDS; WESTERN GULLS; NITROGEN; SEABIRDS; MARINE</t>
  </si>
  <si>
    <t>Mobile animals that traverse ecosystem boundaries can fundamentally reshape environments by providing critical nutrient and energy inputs to the ecosystems they inhabit. In particular, aggregations of seabirds often transform coastal and island ecosystems through large amounts of nutrient-rich guano deposition. Anthropogenically driven losses of these subsidies can occur through changes in abundance of mobile species, including seabirds, and have been shown to drive whole-scale ecosystem state change on islands. However, even though many species that forage on anthropogenic food sources are highly mobile and may thus play important roles in moving nutrients from urban systems to otherwise conserved ecosystems, the impacts of anthropogenic supplements on spatial subsidies have been largely ignored. Here we examine the effects of large nesting colonies of Western Gulls (Larus occidentalis), a generalist carnivore known to forage on human refuse, on the Channel Islands of California. Specifically, we explore how their foraging on human subsidies may change nutrient deposition patterns at their relatively remote and protected breeding islands. We equipped gulls with GPS loggers to assess the frequency of urban foraging, and we partnered this tracking data with bird density data to estimate the rate of wild and urban-derived guano deposition on two different islands. Consistent with research on other gull species, we found high (up to 40%) but island-specific rates of urban foraging, resulting between 66 and 93 kg ha(-1) of guano in these two sites during the breeding season, a level greater than half the amount of fertilizer applied annually in typical commercial agricultural settings and likely the primary source of nitrogen and phosphorus inputs to this system. Specifically, we estimate that 27 kg ha(-1) year(-1) of nutrient-rich guano is shuttled to these otherwise isolated islands from anthropogenic sources. This research highlights the large shadow (i.e., footprint) that human activity can cast on even remote ecosystems by driving significant nutrient enrichment through impacts on animal behavior and connectivity.</t>
  </si>
  <si>
    <t>e4371</t>
  </si>
  <si>
    <t>10.1002/ecs2.4371</t>
  </si>
  <si>
    <t>Winter, ER; Hindes, AM; Lane, S; Britton, JR</t>
  </si>
  <si>
    <t>Dual-isotope isoscapes for predicting the scale of fish movements in lowland rivers</t>
  </si>
  <si>
    <t>Abramis brama; acoustic telemetry; geographic assignment; isotopic landscape; Rutilus rutilus; stable isotope ecology</t>
  </si>
  <si>
    <t>ROACH RUTILUS-RUTILUS; BREAM ABRAMIS-BRAMA; STABLE-ISOTOPE; DIET SHIFT; GROWTH; TELEMETRY; TRACKING; ORIGINS; MODELS; SALMON</t>
  </si>
  <si>
    <t>Assessments of patterns of animal movements are important for understanding their spatial ecology. Geostatistical models of stable isotope (SI) landscapes (isoscapes) provide a complementary tool to telemetry for assessing and predicting animal movements, but are rarely applied to riverine species. Often single-isotope gradients in freshwater environments are insufficiently variable to provide high isoscape resolution at relatively fine spatial scales. This is potentially overcome using dual-isotope assignment procedures, and thus, the aim here was to apply single (delta C-13) and dual (delta C-13 and delta N-15) isoscapes to assigning riverine fish to origin and predicting their movements. Using the River Bure, England, as the study system, the foraging locations of a small-bodied lowland river fish (roach Rutilus rutilus) of low vagility were predicted using their SI data and those of a common prey item (amphipods). These foraging locations were then compared to their capture locations, with the distance between these being their predicted displacement distance. The results indicated significant enrichment of delta C-13 and delta N-15 with distance downstream in roach fin tissue and amphipods; roach bivariate isotopic niches were spatially variable, with no niche overlap between upstream and downstream river reaches. Furthermore, the dual-isoscape assignment procedure resulted in the lowest predicted displacement distances for roach, therefore enhancing model performance. The dual-isoscape approach was then applied to determining the predicted displacement distance of individual common bream Abramis brama, a larger, more vagile species, with these data then compared against the subsequent spatial extent of their movements recorded by acoustic telemetry. When using a high probability density threshold for isotope assignment, the predicted displacement distance of common bream was a significant predictor of the spatial extent of their subsequent movements recorded by acoustic telemetry, although it was less able to predict the direction of displacement. This first probabilistic assignment to origin for riverine species using a dual-isotope isoscape technique demonstrated that where the required spatial resolution of animal movements in freshwater is moderately broad (5-10 km), dual-isotope isoscapes can provide a reliable alternative or complementary method to telemetry.</t>
  </si>
  <si>
    <t>e03456</t>
  </si>
  <si>
    <t>10.1002/ecs2.3456</t>
  </si>
  <si>
    <t>Schriever, TA; Bogan, MT; Boersma, KS; Canedo-Arguelles, M; Jaeger, KL; Olden, JD; Lytle, DA</t>
  </si>
  <si>
    <t>Hydrology shapes taxonomic and functional structure of desert stream invertebrate communities</t>
  </si>
  <si>
    <t>ecological filter; species traits; temporary streams; disturbance; quantile regression; American Southwest</t>
  </si>
  <si>
    <t>ALTERED FLOW REGIMES; FOOD-CHAIN LENGTH; MACROINVERTEBRATE COMMUNITIES; BIOLOGICAL TRAITS; LIMITING FACTORS; SPECIES TRAITS; DIVERSITY; RIVER; ASSEMBLAGE; HABITAT</t>
  </si>
  <si>
    <t>Hydrology is a fundamental factor influencing ecosystem dynamics, life-history strategies, and diversity patterns in running-water habitats. However, it remains unclear how hydrology may structure the taxonomic and functional composition of communities, especially in systems with high spatiotemporal variability in flow. We examined invertebrate diversity from 7 desert streams in the Huachuca Mountains of southeastern Arizona, USA, that span a flow permanence continuum from highly intermittent to perennial. We examined the relative roles of flow permanence, habitat size, season, and microhabitat in determining taxonomic and functional structure (according to 7 species traits compiled for 234 taxa) of these communities. We predicted that both functional and taxonomic diversity would be positively related to flow permanence and negatively related to the duration and number of stream drying events. As predicted, increased flow permanence was associated with increased functional richness, functional evenness, and taxonomic richness. Conversely, drying events reduced functional diversity across all measured indices. We found a saturating relationship between functional richness and taxonomic richness, indicating functional redundancy in species-rich communities, which may promote resilience of ecosystem function to environmental variation. Our study adds further evidence that hydrology is a key determinant of aquatic invertebrate diversity, and that stream hydroperiod strongly influences both functional and taxonomic diversity in arid-land streams.</t>
  </si>
  <si>
    <t>10.1086/680518</t>
  </si>
  <si>
    <t>Budge, SM; Townsend, K; Ziegler, SE; Lall, SP</t>
  </si>
  <si>
    <t>Fatty acid isotopic composition in Atlantic pollock is not influenced by environmentally relevant dietary fat concentrations</t>
  </si>
  <si>
    <t>Compound-specific isotopic analysis; Trophic enrichment factor; Lipid</t>
  </si>
  <si>
    <t>ALGAE-PRODUCED CARBON; COD BOREOGADUS-SAIDA; STABLE-ISOTOPES; DISCRIMINATION FACTORS; FOOD-WEB; NITROGEN ISOTOPES; LIPID-COMPOSITION; GEORGES BANK; AMINO-ACIDS; FISH MUSCLE</t>
  </si>
  <si>
    <t>The application of fatty acid (FA) isotopic analysis has great potential in elucidating food web structure, but it has not experienced the same wide-spread use as amino acid isotopic analyses. The failure to adopt FA isotopic methods is almost certainly linked to a lack of reliable information on trophic fractionation of FA, particularly in higher predators. In this work, we attempt to address this shortfall, through comparison of FA &amp; delta;C-13 values in captive Atlantic pollock (Pollachius virens) liver and their known diets. Since catabolism is likely the main cause of fractionation and it may vary with dietary fat content, we investigated the impact of dietary fat concentration on isotopic discrimination in FA. We fed Atlantic pollock three formulated diets with similar FA isotopic compositions but different fat concentrations (5-9% of diet), representative of the range found in natural prey, for 20 weeks. At the conclusion of the study, &amp; delta;C-13 values of liver FA were very similar to the FA within the corresponding diets, with most discrimination factors &lt; 1. For all FA except 22:6n-3, dietary fat had no effect on discrimination factors. Only for 22:6n-3 did fish fed the highest fat diet have lower &amp; delta;C-13 values than the diet consumed. Thus, these FA-specific discrimination factors can be applied to evaluate diets in marine fish consuming natural diets and will serve as additional and valuable biomarkers in fish feeding ecology.</t>
  </si>
  <si>
    <t>10.1007/s00442-023-05403-z</t>
  </si>
  <si>
    <t>Doherty-Bone, TM; Dunn, AM; Jackson, FL; Brown, LE</t>
  </si>
  <si>
    <t>Multi-faceted impacts of native and invasive alien decapod species on freshwater biodiversity and ecosystem functioning</t>
  </si>
  <si>
    <t>Austropotamobius pallipes; crayfish; Eriocheir sinensis; mesocosm; Pacifastacus leniusculus</t>
  </si>
  <si>
    <t>CRAYFISH PACIFASTACUS-LENIUSCULUS; INTRODUCED SIGNAL CRAYFISH; CHINESE MITTEN CRAB; NOBLE CRAYFISH; MACROINVERTEBRATE ASSEMBLAGES; ECOLOGICAL IMPACTS; STABLE-ISOTOPES; STREAM; METABOLISM; PREDATORS</t>
  </si>
  <si>
    <t>Changes to species composition, such as biological invasions and extinctions, have the potential to alter ecosystems. Invaders often replace taxonomically similar species, resulting in potentially redundant impacts. For example, freshwater decapod crustaceans are pervasive invasive alien species but they often extirpate native decapods. This study addresses whether or not these compositional shifts lead to impacts on the structure of the macroinvertebrate community, key ecosystem functions such as decomposition rates and primary productivity, and freshwater properties such as turbidity. In a controlled outdoor mesocosm experiment that ran for 33 days, impacts on biodiversity, ecosystem functioning and properties were compared between a native, endangered crayfish (Austropotamobius pallipes) and two invasive alien decapods: the crayfish Pacifastacus leniusculus and crab Eriocheir sinensis. Equal densities of these decapod species were compared between mesocosms, with a replicated array of decapod free controls. Measurements included macroinvertebrate densities, decomposition of leaf litter, production of biofilms, plankton, macrophytes, gross primary productivity, turbidity, and dissolved nutrients. While taxonomic richness of non-decapod macroinvertebrates was marginally higher in the invasive alien treatments, differences in Shannon diversity were negligible, and beta-diversity was higher for the invasive alien crab. Gastropod density was reduced in the benthos of invasive alien treatments. This was associated with increased primary productivity of periphyton, particularly in the presence of P. leniusculus. Increased turbidity was, however, inversely correlated with periphyton primary productivity in the E. sinensis treatment. Nitrate concentration was significantly lower in invasive compared to native crayfish mesocosms, but similar to decapod free controls. This reflects the potential for the invasive crayfish to act as a nitrogen sink, mediated through both enhanced periphyton and reduced nitrogen recycling. Other processes, such as decomposition rates, sediment respiration, community respiration, and gross primary productivity, did not differ between treatments. This study demonstrates impacts of both native and invasive alien decapod species on certain aspects of benthic biodiversity and ecosystem processes, but with many of these parameters unaffected. This assumes equal densities of each species in its environment. The enhanced gastropod predation and associated trophic cascade by invasive decapods are likely explained through higher consumption rates, metabolism and activity. These per-capita impacts are likely to be exacerbated further in-situ due to typically higher densities of invasive compared to native crayfish.</t>
  </si>
  <si>
    <t>10.1111/fwb.13234</t>
  </si>
  <si>
    <t>Wang, L; Schjoerring, JK</t>
  </si>
  <si>
    <t>Seasonal variation in nitrogen pools and N-15/C-13 natural abundances in different tissues of grassland plants</t>
  </si>
  <si>
    <t>CARBON-ISOTOPE DISCRIMINATION; AMMONIA COMPENSATION POINT; OILSEED RAPE PLANTS; TEMPERATE GRASSLAND; LOLIUM-PERENNE; ATMOSPHERIC AMMONIA; STABLE-ISOTOPES; GLOBAL PATTERNS; SPRING GROWTH; WINTER GROWTH</t>
  </si>
  <si>
    <t>Seasonal changes in nitrogen (N) pools, carbon (C) content and natural abundance of C-13 and N-15 in different tissues of ryegrass plants were investigated in two intensively managed grassland fields in order to address their ammonia (NH3) exchange potential. Green leaves generally had the largest total N concentration followed by stems and inflorescences. Senescent leaves had the lowest N concentration, indicating N re-allocation. The seasonal pattern of the I value, i.e. the ratio between NH4+ and H+ concentrations, was similar for the various tissues of the ryegrass plants but the magnitude of I differed considerably among the different tissues. Green leaves and stems generally had substantially lower I values than senescent leaves and litter. Substantial peaks in I were observed during spring and summer in response to fertilization and grazing. These peaks were associated with high NH4+ rather than with low H+ concentrations. Peaks in I also appeared during the winter, coinciding with increasing delta N-15 values, indicating absorption of N derived from mineralization of soil organic matter. At the same time, delta C-13 values were declining, suggesting reduced photosynthesis and capacity for N assimilation. delta N-15 and delta C-13 values were more influenced by mean monthly temperature than by the accumulated monthly precipitation. In conclusion, ryegrass plants showed a clear seasonal pattern in N pools. Green leaves and stems of ryegrass plants generally seem to constitute a sink for NH3, while senescent leaves have a large potential for NH3 emission. However, management events such as fertilisation and grazing may create a high NH3 emission potential even in green plant parts. The obtained results provide input for future modelling of plant-atmosphere NH3 exchange.</t>
  </si>
  <si>
    <t>10.5194/bg-9-1583-2012</t>
  </si>
  <si>
    <t>Walker, LR; Sikes, DS; Degange, AR; Jewett, SC; Michaelson, G; Talbot, SL; Talbot, SS; Wang, B; Williams, JC</t>
  </si>
  <si>
    <t>Biological legacies: Direct early ecosystem recovery and food web reorganization after a volcanic eruption in Alaska</t>
  </si>
  <si>
    <t>Aleutian Islands; arthropods; biological legacy; food web; Kasatochi Island; primary succession; volcano</t>
  </si>
  <si>
    <t>LONG-TERM RECOVERY; KASATOCHI ISLAND; ALEUTIAN ISLANDS; VEGETATION; COMMUNITY; SUCCESSION; TERRESTRIAL; DISTURBANCE; ECOLOGY; LAND</t>
  </si>
  <si>
    <t>Attempts to understand how communities assemble following a disturbance are challenged by the difficulty of determining the relative importance of stochastic and deterministic processes. Biological legacies, which result from organisms that survive a disturbance, can favour deterministic processes in community assembly and improve predictions of successional trajectories. Recently disturbed ecosystems are often so rapidly colonized by propagules that the role of biological legacies is obscured. We studied biological legacies on a remote volcanic island in Alaska following a devastating eruption where the role of colonization from adjacent communities was minimized. The role of biological legacies in the near shore environment was not clear, because although some kelp survived, they were presumably overwhelmed by the many vagile propagules in a marine environment. The legacy concept was most applicable to terrestrial invertebrates and plants that survived in remnants of buried soil that were exposed by post-eruption erosion. If the legacy concept is extended to include ex situ survival by transient organisms, then it was also applicable to the island's thousands of seabirds, because the seabirds survived the eruption by leaving the island and have begun to return and rebuild their nests as local conditions improve. Our multi-trophic examination of biological legacies in a successional context suggests that the relative importance of biological legacies varies with the degree of destruction, the availability of colonizing propagules, the spatial and temporal scales under consideration, and species interactions. Understanding the role of biological legacies in community assembly following disturbances can help elucidate the relative importance of colonists versus survivors, the role of priority effects among the colonists, convergence versus divergence of successional trajectories, the influence of spatial heterogeneity, and the role of island biogeographical concepts.</t>
  </si>
  <si>
    <t>10.2980/20-3-3603</t>
  </si>
  <si>
    <t>Lamont, MM; Iverson, AR</t>
  </si>
  <si>
    <t>Shared habitat use by juveniles of three sea turtle species</t>
  </si>
  <si>
    <t>Gulf of Mexico; Loggerhead; Home range; Satellite tracking; Kemp's ridley; Chelonia</t>
  </si>
  <si>
    <t>IMMATURE GREEN TURTLES; CHELONIA-MYDAS; HOME-RANGE; LEPIDOCHELYS-KEMPII; SATELLITE TRACKING; LOGGERHEAD TURTLES; STABLE-ISOTOPES; MOVEMENT PATTERNS; TROPHIC ECOLOGY; FEEDING ECOLOGY</t>
  </si>
  <si>
    <t>The first step in understanding how sympatric species share habitat is defining spatial boundaries. While home range data for juvenile sea turtles exists, few studies have examined spatial overlap of multiple species in foraging habitat. Using satellite tracking technology, we define home ranges for juveniles of 3 sea turtle species (loggerhead, Kemp's ridley, and green; n = 21) captured at 2 adjacent foraging sites in the northern Gulf of Mexico. In these areas, green turtles are known to be primarily herbivorous, whereas Kemp's ridley turtles forage predominately on crabs, and loggerhead turtles on various hard-shelled benthic invertebrates. No differences in home range size or characteristics, such as water depth and distance to shore, were observed among species, although fine-scale foraging patches were not examined in this study. A high degree of overlap in habitat-use among all 3 species was documented in summer at both sites. Seasonal movements, triggered by colder winter temperatures, were documented and appeared to differ among species, with Kemp's ridley and loggerhead turtles leaving bays, and green turtles overwintering inside bays. By identifying shared habitat-use by juvenile sea turtles, we have created a foundation for further fine-scale studies on resource partitioning that will aid in habitat management and conservation of these threatened and endangered species.</t>
  </si>
  <si>
    <t>10.3354/meps12748</t>
  </si>
  <si>
    <t>Aranibar, JN; Anderson, IC; Epstein, HE; Feral, CJW; Swap, RJ; Ramontsho, J; Macko, SA</t>
  </si>
  <si>
    <t>Nitrogen isotope composition of soils, C-3 and C-4 plants along land use gradients in southern Africa</t>
  </si>
  <si>
    <t>grasses; grazing; mineralization; nitrification; savanna; trees</t>
  </si>
  <si>
    <t>NATURAL-ABUNDANCE; STABLE-ISOTOPES; PRECIPITATION GRADIENT; NORTHERN AUSTRALIA; MOISTURE GRADIENT; ARIDITY GRADIENT; POOL DILUTION; SAFARI 2000; CARBON; N-15</t>
  </si>
  <si>
    <t>This paper provides values for nitrogen isotopic abundances of southern African soils and plants along land use gradients of varying aridity. The delta N-15 values of soils and plants were generally higher in sites with greater land use intensity, except in the most and site where delta N-15 decreased with land use intensity. The enrichment in N-15 with land use intensity agrees with the expected effects of grazing and cultivation on N cycling processes, including increased volatilization of ammonium, exports of plant material, and decreased N-2 fixation by the destruction of cyanobacterial soil crusts. Gross mineralization and nitrification rates were more affected by local heterogeneity in the soils than by aridity or land use. In general, C-3 plants had significantly higher delta N-15 than C-4 plants from the same location, suggesting different N use by the two plant types. This study suggests that land use intensity affects N cycling processes that may result in different and opposite changes of ecosystem delta N-15, as those observed between the most arid, and the other semi and sites analyzed. In addition to the N-15 enrichment caused by the loss of gaseous and plant N-14, changes in tree and grass cover may affect soil delta N-15 by the differential uptake of soil N with different isotopic abundances. (c) 2007 Elsevier Ltd. All rights reserved.</t>
  </si>
  <si>
    <t>10.1016/j.jaridenv.2007.06.007</t>
  </si>
  <si>
    <t>Sztukowski, LA; Cotton, PA; Weimerskirch, H; Thompson, DR; Torres, LG; Sagar, PM; Knights, AM; Fayet, AL; Votier, SC</t>
  </si>
  <si>
    <t>Sex differences in individual foraging site fidelity of Campbell albatross</t>
  </si>
  <si>
    <t>Route fidelity; Foraging effort; GPS tracking; Repeatability; Sex effects</t>
  </si>
  <si>
    <t>BLACK-BROWED ALBATROSS; NEW-ZEALAND; WANDERING ALBATROSSES; DIOMEDEA-MELANOPHRYS; DIET SPECIALIZATION; STABLE-ISOTOPES; D-CHRYSOSTOMA; RESOURCE USE; SEGREGATION; BEHAVIOR</t>
  </si>
  <si>
    <t>Inter-individual variation in behavioural traits has important implications for evolutionary and ecological processes. Site fidelity, where individuals consistently use the same foraging site, is common among marine predators. Sex differences in foraging are also well studied in marine vertebrates, but the extent to which consistent inter-individual differences in foraging vary between the sexes is poorly known. Here we quantified the effects of sex on individual foraging site fidelity (IFSF), both within and between years, in chick-brooding Campbell albatross Thalassarche impavida. Using bird-borne global positioning system loggers, we calculated route fidelity (nearest-neighbour distance), repeatability of site fidelity (terminal latitude and longitude), and foraging effort (total distance travelled and trip duration) during 2 to 10 repeat trips. Overall, Campbell albatrosses showed a high degree of site fidelity. Birds travelled to similar sites not only within the same year, but also between 2 consecutive years, suggesting that the within-year consistency is not simply in response to short-term patches of food. Moreover, within the same year, we found differences in terms of IFSF between the sexes. Females that foraged closer to the colony in neritic and shelf waters were more likely to follow similar routes on repeated foraging trips and were more consistent in their foraging effort than males. Males that foraged further offshore in pelagic waters had more repeatable foraging longitudes than females. Our study provides further evidence of the importance of IFSF among marine vertebrates. However, it also reveals that the strength of such specialisations may vary with sex.</t>
  </si>
  <si>
    <t>10.3354/meps12684</t>
  </si>
  <si>
    <t>Martins, RF; Andrades, R; Nagaoka, SM; Martins, AS; Longo, LL; Ferreira, JS; Bastos, KV; Joyeux, JC; Santos, RG</t>
  </si>
  <si>
    <t>Niche partitioning between sea turtles in waters of a protected tropical island</t>
  </si>
  <si>
    <t>Chelonia mydas; Eretmochelys imbricata; Niche overlap; Noronha; Brazil</t>
  </si>
  <si>
    <t>DE-NORONHA ARCHIPELAGO; CHELONIA-MYDAS; GREEN TURTLES; HAWKSBILL TURTLES; ERETMOCHELYS IMBRICATA; TROPHIC ECOLOGY; STABLE-ISOTOPES; SITE FIDELITY; CORAL; DIET</t>
  </si>
  <si>
    <t>Juvenile sea turtles recruit in coastal areas where they act as habitat engineers modifying the coastal landscape through feeding. However, little is known about the coexistence of these mega-vertebrates and their potential competition for resources. In this work, diet, food selectivity, trophic niche width and niche overlap of juveniles of two sympatric sea turtle species (Eretmochelys imbricata and Chelonia mydas) were evaluated from gastric lavages and habitat surveys in a tropical island bay of the southwestern Atlantic. The main items selected by E. imbricata were the zoanthid Zoanthus sociatus, the sponge Chondrilla nucula and red algae while C. mydas showed strong selectivity for red algae, mainly Asparagopsis sp. Species diets differed significantly and niche overlap was low; E. imbricata's recorded niche was 2.5 times larger than that of C. mydas. We conclude that these two species do not compete for food in a well-preserved environment and that their feeding habits provide favorable conditions for local corals and other benthic groups to prosper by means of foraging on coral-competitors. (C) 2020 Elsevier B.V. All rights reserved.</t>
  </si>
  <si>
    <t>10.1016/j.rsma.2020.101439</t>
  </si>
  <si>
    <t>Huber, E; Bell, TL; Adams, MA</t>
  </si>
  <si>
    <t>Combustion influences on natural abundance nitrogen isotope ratio in soil and plants following a wildfire in a sub-alpine ecosystem</t>
  </si>
  <si>
    <t>Ash; Isotope; Volatilization; Ammonium; Post-fire regeneration</t>
  </si>
  <si>
    <t>PYROGENIC ORGANIC-MATTER; N-15 ABUNDANCE; STABLE-ISOTOPES; MICROBIAL BIOMASS; NUTRIENT DYNAMICS; NATIONAL-PARK; FOREST SOILS; FIRE REGIME; VEGETATION; DELTA-N-15</t>
  </si>
  <si>
    <t>This before-and-after-impact study uses the natural abundance N isotope ratio (delta N-15) to investigate the effects of a wildfire on sub-alpine ecosystem properties and processes. We measured the N-15 signatures of soil, charred organic material, ash and foliage in three sub-alpine plant communities (grassland, heathland and woodland) in south-eastern Australia. Surface bulk soil was temporarily enriched in N-15 immediately after wildfire compared to charred organic material and ash in all plant communities. We associated the enrichment of bulk soil with fractionation of N during combustion and volatilization of N, a process that also explains the sequential enrichment of N-15 of unburnt leaves &gt; ash &gt; charred organic material in relation to duration and intensity of heating. The rapid decline in N-15 of bulk soil to pre-fire values indicates that depleted ash, containing considerable amounts of total N, was readily incorporated into the soil. Foliar delta N-15 also increased with values peaking 1 year post-fire. Foliar enrichment was foremost coupled with the release of enriched NH4 (+) into the soil owing to isotopic discrimination during volatilization of soluble N and combustion of organic material. The mode of post-fire regeneration influenced foliar N-15 enrichment in two species indicating use of different sources of N following fire. The use of natural abundance of N-15 in soil, ash and foliage as a means of tracing transformation of N during wildfire has established the importance of combustion products as an important, albeit temporary source of inorganic N for plants regenerating after wildfire.</t>
  </si>
  <si>
    <t>10.1007/s00442-013-2665-0</t>
  </si>
  <si>
    <t>Johnson, HE; Lewis, DL; Breck, SW</t>
  </si>
  <si>
    <t>Individual and population fitness consequences associated with large carnivore use of residential development</t>
  </si>
  <si>
    <t>behavioral plasticity; black bear; ecological trap; human development; human-caused mortality; population growth; population sink; space-use; survival; Ursus americanus</t>
  </si>
  <si>
    <t>AMERICAN BLACK BEARS; BEHAVIORAL-RESPONSES; REPRODUCTIVE ECOLOGY; FOOD AVAILABILITY; URSUS-AMERICANUS; BODY-COMPOSITION; PROTECTED AREAS; LIFE-HISTORY; DIET; CONSERVATION</t>
  </si>
  <si>
    <t>Large carnivores are negotiating increasingly developed landscapes, but little is known about how such behavioral plasticity influences their demographic rates and population trends. Some investigators have suggested that the ability of carnivores to behaviorally adapt to human development will enable their persistence, and yet, others have suggested that such landscapes are likely to serve as population sinks or ecological traps. To understand how plasticity in black bear (Ursus americanus) use of residential development influences their population dynamics, we conducted a 6-yr study near Durango, Colorado, USA. Using space-use data on individual bears, we examined the influence of use of residential development on annual measures of bear body fat, cub productivity, cub survival, and adult female survival, after accounting for variation in natural food availability and individual attributes (e.g., age). We then used our field-based vital rate estimates to parameterize a matrix model that simulated asymptotic population growth for bears using residential development to different degrees. We found that bear use of residential development was highly variable within and across years, with bears increasing their foraging within development when natural foods were scarce. Increased bear use of development was associated with increased body fat and cub productivity, but reduced cub and adult survival. When these effects were simultaneously incorporated into a matrix model, we found that the population was projected to decline as bear use of development increased, given that the costs of reduced survival outweighed the benefits of enhanced productivity. Our results provide a mechanistic understanding of how black bear use of residential development exerts opposing effects on different bear fitness traits and a negative effect on population growth, with the magnitude of those effects mediated by variation in environmental conditions. They also highlight the importance of monitoring bear population dynamics, particularly as shifts in bear behavior are likely to drive increases in human-bear conflicts and the perception of growing bear populations. Finally, our work emphasizes the need to consider the demographic viability of large carnivore populations when promoting the coexistence of people and carnivores on shared landscapes.</t>
  </si>
  <si>
    <t>e03098</t>
  </si>
  <si>
    <t>10.1002/ecs2.3098</t>
  </si>
  <si>
    <t>Serrano, JM; Collignon, RM; Zou, YF; Millar, JG</t>
  </si>
  <si>
    <t>Identification of Sex Pheromones and Sex Pheromone Mimics for Two North American Click Beetle Species (Coleoptera: Elateridae) in the Genus Cardiophorus Esch.</t>
  </si>
  <si>
    <t>Elateridae; Pheromone mimic; Click beetle; (3R,6E)-3,7,11-Trimethyl-6,10-dodecadienoic acid methyl ester; Methyl (3R,6E)-2,3-dihydrofarnesoate; Fuscumol acetate</t>
  </si>
  <si>
    <t>OKINAWENSIS OHIRA COLEOPTERA; MELANOTUS-SAKISHIMENSIS OHIRA; MARK-RECAPTURE EXPERIMENTS; PACIFIC COAST WIREWORM; SUGARCANE WIREWORM; STABLE-ISOTOPES; AGRIOTES SPP.; ARABLE LAND; IKEI ISLAND; ATTRACTANT</t>
  </si>
  <si>
    <t>To date, all known or suspected pheromones of click beetles (Coleoptera: Elateridae) have been identified solely from species native to Europe and Asia; reports of identifications from North American species dating from the 1970s have since proven to be incorrect. While conducting bioassays of pheromones of a longhorned beetle (Coleoptera: Cerambycidae), we serendipitously discovered that males of Cardiophorus tenebrosus L. and Cardiophorus edwardsi Horn were specifically attracted to the cerambycid pheromone fuscumol acetate, (E)-6,10-dimethylundeca-5,9-dien-2-yl acetate, suggesting that this compound might also be a sex pheromone for the two Cardiophorus species. Further field bioassays and electrophysiological assays with the enantiomers of fuscumol acetate determined that males were specifically attracted by the (R)-enantiomer. However, subsequent analyses of extracts of volatiles from female C. tenebrosus and C. edwardsi showed that the females actually produced a different compound, which was identified as (3R,6E)-3,7,11-trimethyl-6,10-dodecadienoic acid methyl ester (methyl (3R,6E)-2,3-dihydrofarnesoate). In field trials, both the racemate and the (R)-enantiomer of the pheromone attracted similar numbers of male beetles, suggesting that the (S)-enantiomer was not interfering with responses to the insect-produced (R)-enantiomer. This report constitutes the first conclusive identification of sex pheromones for any North American click beetle species. Possible reasons for the strong and specific attraction of males to fuscumol acetate, which is markedly different in structure to the actual pheromone, are discussed.</t>
  </si>
  <si>
    <t>10.1007/s10886-018-0940-6</t>
  </si>
  <si>
    <t>Marshall, CD; Wang, J; Rocha-Olivares, A; Godinez-Reyes, C; Fisler, S; Narazaki, T; Sato, K; Sterba-Boatwright, BD</t>
  </si>
  <si>
    <t>Scaling of bite performance with head and carapace morphometrics in green turtles (Chelonia mydas)</t>
  </si>
  <si>
    <t>Bite force; Feeding Performance; Marine turtles; Morphometrics; Chelonia</t>
  </si>
  <si>
    <t>COASTAL FORAGING AREA; GORGONA-NATIONAL-PARK; GULF-OF-CALIFORNIA; FEEDING ECOLOGY; EAST PACIFIC; SEA-TURTLES; CRANIAL MORPHOLOGY; BAJA-CALIFORNIA; STABLE-ISOTOPES; FORCE</t>
  </si>
  <si>
    <t>Adult green turtles (Chelonia mydas) are unusual relative to other sea turtles in that they are predominately herbivorous. This herbivorous diet is reflected in the serrated morphology of their beak, bite performance and the relative morphometrics of their heads. Recent bite performance data in loggerhead turtles (Caretta caretta), which are known for their durophagous capability, have demonstrated that bite force is correlated with head morphometrics. The objective of this study was to characterize bite force in green turtles and correlate bite performance with head and carapace morphometrics. We predicted that maximum bite force in green turtles would be less in magnitude relative to loggerheads, but would be positively correlated with head morphometrics. Therefore, mass, straight carapace length, straight carapace width, greatest head width, height, and length were collected with bite force from free-ranging green turtles from Punta Abreojos, Baja California Sur, Mexico and Otsuchi, Japan. Subjects ranged from 10.9 to 48 kg, with straight carapace length and width ranged from 40.6 cm to 71.9 cm (mean = 563 +/- 8.5 cm) and from 33.5 cm to 55.9 cm (mean = 44.8 +/- 5.7 cm), respectively. A bite force apparatus was used to collect bite performance from subjects. The maximum bite force was 303 N. Mean head width, head height, and head length were 8.7 +/- 1.2, 8.2 +/- 1.1, and 11.5 +/- 1.5 cm, respectively. Bite force was lower in magnitude than reported for loggerhead turtles as predicted but still strong enough to process algal and plant matter, as well as crush many hard prey items. Simultaneous measurements of body and head size, and the use of non-linear reduced major axis regression, show that bite force scaled isometrically relative to body size and head size. Simple correlation showed that all logged transformed morphometrics were good predictors of logged bite performance, but an AICc-based weighted regression showed that body mass, followed by head width and head height, were better predictors of bite force than carapace size. (C) 2013 Elsevier B.V. All rights reserved.</t>
  </si>
  <si>
    <t>10.1016/j.jembe.2013.11.004</t>
  </si>
  <si>
    <t>Search Terms and Criteria in WOS - date of search is July 13 2023 at 1:45pm</t>
  </si>
  <si>
    <t>(ALL=(global change OR climate change OR eutrophication OR anthropogenic stressor OR habitat loss OR dam OR extreme weather OR pollution OR salinization OR fisheries OR agriculture OR drought OR exploitation OR harvest OR species invasion OR species introduction OR nutrient loading )) AND ALL=(trophic position OR trophic downgrading OR food chain length  OR stable isotopes OR habitat coupling OR diet subsidy OR diet shift OR resource coupling)</t>
  </si>
  <si>
    <t>Ecology Section</t>
  </si>
  <si>
    <t>Articles only</t>
  </si>
  <si>
    <t>Systematic or additional search</t>
  </si>
  <si>
    <t>Terrestrial/Aquatic</t>
  </si>
  <si>
    <t>Ecosystem</t>
  </si>
  <si>
    <t>Location</t>
  </si>
  <si>
    <t>Study Type</t>
  </si>
  <si>
    <t>FCL/Coupling</t>
  </si>
  <si>
    <t>Both or One Metric</t>
  </si>
  <si>
    <t>Mechanism of Shift</t>
  </si>
  <si>
    <t>Stressor Category</t>
  </si>
  <si>
    <t>Specific Stressor</t>
  </si>
  <si>
    <t>Measure</t>
  </si>
  <si>
    <t>Tissue Type</t>
  </si>
  <si>
    <t>Lipid Correction</t>
  </si>
  <si>
    <t>TDF</t>
  </si>
  <si>
    <t>Baselines</t>
  </si>
  <si>
    <t>Result (Direction)</t>
  </si>
  <si>
    <t>Result description</t>
  </si>
  <si>
    <t>Where result appears in paper</t>
  </si>
  <si>
    <t>Model</t>
  </si>
  <si>
    <t>P-value</t>
  </si>
  <si>
    <t>R-squared</t>
  </si>
  <si>
    <t>r</t>
  </si>
  <si>
    <t>Sample Size</t>
  </si>
  <si>
    <t>Slope</t>
  </si>
  <si>
    <t>SE</t>
  </si>
  <si>
    <t>CI</t>
  </si>
  <si>
    <t>Cohen's d calculation</t>
  </si>
  <si>
    <t>systematic</t>
  </si>
  <si>
    <t>Terrestrial</t>
  </si>
  <si>
    <t>Tundra</t>
  </si>
  <si>
    <t>Nordenskiöld Land, western Svalbard, in the Reindalen valley system</t>
  </si>
  <si>
    <t>Temporal (mark-recapture)</t>
  </si>
  <si>
    <t>Svalbard Reindeer</t>
  </si>
  <si>
    <t>Coupling</t>
  </si>
  <si>
    <t>One</t>
  </si>
  <si>
    <t>Density</t>
  </si>
  <si>
    <t>Climate change</t>
  </si>
  <si>
    <t>Temperature</t>
  </si>
  <si>
    <t>δ13C and δ15N isotopes; proportion carbon use of primary consumer</t>
  </si>
  <si>
    <t>No</t>
  </si>
  <si>
    <t>∆13C = 4.51±1.94‰ and ∆15N = 3.36±1.24‰</t>
  </si>
  <si>
    <t>Graminoids, mosses, forbs, S. polaris, D. octopetala</t>
  </si>
  <si>
    <t>Decrease</t>
  </si>
  <si>
    <t>The proportion of graminoids in diet of reindeer was 44% in 1995 and increased to 58% by 2012. The consumption of mosses showed a negative temporal trend, decreasing from 26% (95% CI: 16–38) in 1995 to 18% (95% CI: 11–24) in 2012. Regression analysis was run on data for the proportion of graminoids in reindeer diets across years which was provided in supplement.</t>
  </si>
  <si>
    <t>Figure 3b; Table S7</t>
  </si>
  <si>
    <t>Linear regression model; Bayesian mixing models</t>
  </si>
  <si>
    <t>232 individual blood samples</t>
  </si>
  <si>
    <t>blood</t>
  </si>
  <si>
    <t xml:space="preserve"> Year</t>
  </si>
  <si>
    <t>Aquatic</t>
  </si>
  <si>
    <t>Wetland</t>
  </si>
  <si>
    <t>Netherlands</t>
  </si>
  <si>
    <t>Spatial gradient</t>
  </si>
  <si>
    <t>Aquatic macroinvertebrate community</t>
  </si>
  <si>
    <t>FCL</t>
  </si>
  <si>
    <t>Omnivory</t>
  </si>
  <si>
    <t>Nutrient loading</t>
  </si>
  <si>
    <t>Eutrophication</t>
  </si>
  <si>
    <t>δ13C and δ15N isotopes; trophic position of secondary consumers</t>
  </si>
  <si>
    <t>Whole organism</t>
  </si>
  <si>
    <t>2.55‰</t>
  </si>
  <si>
    <t>Plant baselines from location</t>
  </si>
  <si>
    <t>The mean trophic position of the secondary consumers was 2.4, and decreased significantly from the nature reserve to the agricultural fields. Results shown here for</t>
  </si>
  <si>
    <t>Table 1</t>
  </si>
  <si>
    <t>Post 2002 Trophic Position Model; GLMM of trophic position as function of the distance along the ditch x secondary consumer specis</t>
  </si>
  <si>
    <t>8 taxa of secondary consumers</t>
  </si>
  <si>
    <t>−0.80</t>
  </si>
  <si>
    <t>Island</t>
  </si>
  <si>
    <t>Palmyra Atoll, Northern Line Islands</t>
  </si>
  <si>
    <t>active-hunting spider Heteropoda venatoria</t>
  </si>
  <si>
    <t>Productivity</t>
  </si>
  <si>
    <t>Whole organism; no abdomen</t>
  </si>
  <si>
    <t>3.4‰</t>
  </si>
  <si>
    <t>Marine wrack and terrestrial plants</t>
  </si>
  <si>
    <t>Increase</t>
  </si>
  <si>
    <t>Trophic position of spiders increased in high-productivity habitat compared to spiders from low-productivity habitat due to changes in the diet of intermediate predator species (as shown by DNA diet analysis). Beta-diversity of prey consumed by intermediate predators (other Araneae) was significantly different between habitats ( p-value = 0.01).</t>
  </si>
  <si>
    <t>Figure 1a</t>
  </si>
  <si>
    <t>Post 2002; linear mixed effects models</t>
  </si>
  <si>
    <t>&lt;0.001</t>
  </si>
  <si>
    <t>n = 88 individuals from high; 64 from low productivity habitats</t>
  </si>
  <si>
    <t>1.56 – 2.31</t>
  </si>
  <si>
    <t>Bestion, E; Soriano-Redondo, A; Cucherousset, J; Jacob, S; White, J; Zinger, L; Fourtune, L; Di Gesu, L; Teyssier, A; Cote, J</t>
  </si>
  <si>
    <t>Altered trophic interactions in warming climates: consequences for predator diet breadth and fitness</t>
  </si>
  <si>
    <t>Species interactions are central in predicting the impairment of biodiversity with climate change. Trophic interactions may be altered through climate-dependent changes in either predator food preferences or prey communities. Yet, climate change impacts on predator diet remain surprisingly poorly understood. We experimentally studied the consequences of 2°C warmer climatic conditions on the trophic niche of a generalist lizard predator. We used a system of semi-natural mesocosms housing a variety of invertebrate species and in which climatic conditions were manipulated. Lizards in warmer climatic conditions ate at a greater predatory to phytophagous invertebrate ratio and had smaller individual dietary breadths. These shifts mainly arose from direct impacts of climate on lizard diets rather than from changes in prey communities. Dietary changes were associated with negative changes in fitness-related traits (body condition, gut microbiota) and survival. We demonstrate that climate change alters trophic interactions through top-predator dietary shifts, which might disrupt eco-evolutionary dynamics.</t>
  </si>
  <si>
    <t>Mountain (Mesocosm)</t>
  </si>
  <si>
    <t>Station d'Ecologie Theorique et Experimentale</t>
  </si>
  <si>
    <t>Temporal: Mark-recapture Experiment</t>
  </si>
  <si>
    <t>Warming</t>
  </si>
  <si>
    <t>δ13C and δ15N isotopes; proportion of predatory inverts in lizard diet</t>
  </si>
  <si>
    <t>Tail tip</t>
  </si>
  <si>
    <t>0.7‰</t>
  </si>
  <si>
    <t>predatory invertebrates; phytophagous invertebrates</t>
  </si>
  <si>
    <t>Relative proportion of phytophagous invertebrates in the diets of common lizards decreased significantly with warming (+2 C), while proportion of predatory invertebrates increased signficantly with warming, leading to an increased TP in lizards (marginally signficant increase; p = 0.072)</t>
  </si>
  <si>
    <t>Two-source mixing models; linear mixed effects models</t>
  </si>
  <si>
    <t>328 individual lizards</t>
  </si>
  <si>
    <t>http://dx.doi.org/10.1098/rspb.2019.2227</t>
  </si>
  <si>
    <t>Olson, RJ; Duffy, LM; Kuhnert, PM; Galvan-Magana, F; Bocanegra-Castillo, N; Alatorre-Ramirez, V</t>
  </si>
  <si>
    <t>Decadal diet shift in yellowfin tuna Thunnus albacares suggests broad- scale food web changes in the eastern tropical Pacific Ocean</t>
  </si>
  <si>
    <t>Widespread climate-induced habitat compression and reductions in biological production are beginning to alter food webs in tropical and subtropical oceans, but the effects on midtrophic level micronekton communities that support commercially important pelagic fishes are unclear. The predation habits of yellowfin tuna Thunnus albacares, a wide-ranging generalist predator with high energy requirements, provide rare insights into the distribution and availability of prey communities in pelagic regions. We used a modified classification tree approach to analyze spatial, temporal, environmental, and biological covariates explaining the predation patterns of 3362 yellowfin sampled across the eastern tropical Pacific Ocean (ETP) during two 2 yr periods occurring a decade apart. Persistent zoogeographical assemblages of prey were important only in relatively small subtropical regions at the extreme northern and southern ranges of the purseseine fishery for tunas. Prey biomass patterns for the majority of the samples over most of the ETP (6 degrees S to 17 degrees N, coast to 150 degrees W) were best explained by a tree partition distinguishing samples by sampling period, 1992 to 1994 and 2003 to 2005. The classification tree revealed that a major diet shift had transpired in the heart of the ETP. Yellowfin predation had changed from primarily larger epipelagic fish prey in the 1990s to a diverse array of smaller mesopelagic species and a crustacean that apparently had expanded its range in the 2000s. Partial dependence plots from the tree model showed range expansions previously described for some prey and unknown for other prey. Diet analysis of selected marine predators offers a practical means of monitoring prey communities poorly sampled by conventional methods.</t>
  </si>
  <si>
    <t>Marine</t>
  </si>
  <si>
    <t>eastern tropical Pacific Ocean</t>
  </si>
  <si>
    <t>Temporal: 10 years apart</t>
  </si>
  <si>
    <t>Yellowfin tuna (Thunnus albacares)</t>
  </si>
  <si>
    <t>Ocean primary productivity</t>
  </si>
  <si>
    <t>Stomach contents: average proportional composition by weight and by number of each prey type of all yellowfin (excluding those with empty stomachs). Prey size changes in tuna stomachs was the metric used to determine direction of shift</t>
  </si>
  <si>
    <t>NA</t>
  </si>
  <si>
    <t>Yellowfin predation had changed from primarily
larger epipelagic fish prey in the 1990s to a diverse array of smaller mesopelagic species and a
crustacean that apparently had expanded its range in the 2000s. As a result, predator-prey size ratios increased signficantly from stomachs from the 1990s to those from the 2000s</t>
  </si>
  <si>
    <t>Figure 4; Table 2; predator-prey size relationships section in results</t>
  </si>
  <si>
    <t>Kolmogorov-Smirnov test and classification tree analysis</t>
  </si>
  <si>
    <t>3362 indivdiual tuna stomach samples</t>
  </si>
  <si>
    <t>http://dx.doi.org/10.3354/meps10609</t>
  </si>
  <si>
    <t>Carlyle, CG; Roth, JD; Yurkowski, DJ; Kohlbach, D; Young, BG; Riget, FF; Dietz, R; Ferguson, SH</t>
  </si>
  <si>
    <t>Spatial variation in carbon source use and trophic position of ringed seals across a latitudinal gradient of sea ice</t>
  </si>
  <si>
    <t>ECOLOGICAL INDICATORS</t>
  </si>
  <si>
    <t>additional</t>
  </si>
  <si>
    <t xml:space="preserve">Anthropogenic climate change is causing changes to the Arctic sea-ice system with implications for the magnitude and timing of Arctic pelagic and ice-associated (sympagic) primary production that influences food web interactions. Ringed seals (Pusa hispida) are generalist predators that, as a species experience vastly different icescapes from low to high-Arctic latitudes. Quantifying spatial variation in their diet can help us understand how changes in sea-ice dynamics affect trophic interactions in Arctic marine food webs. However, multiple complementary analytical tools to examine variation in carbon source use and trophic dynamics in the diet of ringed seals have not yet been applied across their latitudinal range in the Arctic. We conducted stable isotope analysis (δ13C and δ15N) and measured highly branched isoprenoid diatom lipid biomarkers of ringed seals from the low, intermediate, and high Arctic (from 61.1°N to 77.5°N) to investigate spatial variation in their carbon source use and trophic position in relation to sea-ice dynamics. Both δ13C and highly branched isoprenoids indicated that ringed seals from higher latitudes had more sympagic carbon in their diet (liver δ13C: −18.3 ± 0.2 ‰, HBI: 89.9 ± 2.08 %) than ringed seals at lower latitudes (liver δ13C: −21.1 ± 0.1 ‰, HBI: 22.0 ± 2.73 %). Ringed seal trophic position increased from the low (3.78 ± 0.02) to high (4.76 ± 0.03) Arctic, suggesting increased fish consumption or a different trophic structure coinciding with the latitudinal change in carbon source. Ringed seals demonstrated a clear shift from low to high Arctic in the relative contribution of phytoplanktonic vs sympagic primary production. These patterns are likely linked to the vastly different icescapes in these environments and demonstrate that shifts in primary producer composition and Arctic food webs can be identified in ringed seal diets. Information on these prey and energy shifts over large spatial scales also provides insights into potential future changes to Arctic ecosystem function with continued sea-ice decline.
</t>
  </si>
  <si>
    <t>low, intermediate, and high Arctic (from 61.1°N to 77.5°N)</t>
  </si>
  <si>
    <t>Ringed seals (Pusa hispida)</t>
  </si>
  <si>
    <t>Both</t>
  </si>
  <si>
    <t>Sea ice extent</t>
  </si>
  <si>
    <t>δ13C and δ15N isotopes; trophic position of ringed seals</t>
  </si>
  <si>
    <t>Liver</t>
  </si>
  <si>
    <t>For δ13C and δ15N, all tissues were lipid extracted</t>
  </si>
  <si>
    <t>3.1 ‰ for phocid liver</t>
  </si>
  <si>
    <t>Arctic Cod (baselines were calculated for Arctic Cod</t>
  </si>
  <si>
    <t>Location was a significant predictor of ringed seal trophic position. Specifically, ringed seal trophic
position was higher in the high-Arctic compared to thethe low-Arctic, suggesting latitudinal variation in trophic structure</t>
  </si>
  <si>
    <t>Figure 4a; Table 1</t>
  </si>
  <si>
    <t>One-source mixing model (Post 2002); linear mixed models (LMMs) to investigate spatial differences
in ringed seal δ13C, δ15N, and trophic position by tissue</t>
  </si>
  <si>
    <t>&lt;0.0001</t>
  </si>
  <si>
    <t>107 liver tissue samples</t>
  </si>
  <si>
    <t>https://doi.org/10.1016/j.ecolind.2022.109746</t>
  </si>
  <si>
    <t>δ13C and δ15N isotopes; proportion of sympagic carbon in ringed seal tissue using isoprenoid diatom lipid biomarkers (HBIs)</t>
  </si>
  <si>
    <t>Location was a significant predictor of sympagic carbon (%). Specifically, ringed seal sympagic carbon reliance was higher in the high-Arctic compared to thethe low-Arctic, suggesting latitudinal variation in trophic structure</t>
  </si>
  <si>
    <t>Figure 3; Table 1</t>
  </si>
  <si>
    <t>estimated proportion of sea-ice derived carbon as a percentage of total
marine carbon in ringed seal livers (Brown et al., 2018); linear mixed models (LMMs) to investigate spatial differences
in ringed seal δ13C, δ15N, and trophic position by tissue</t>
  </si>
  <si>
    <t>Cape Churchill Peninsula, Churchill Manitoba</t>
  </si>
  <si>
    <t>Temporal: 40 years apart</t>
  </si>
  <si>
    <t>Polar bears (Ursus maritimus)</t>
  </si>
  <si>
    <t>Spring ice breakup</t>
  </si>
  <si>
    <t>Scat analysis</t>
  </si>
  <si>
    <t>The frequencies of major food categories (animals, vegetation, garbage) differed significantly between the historical and current data (G = 25.54, df = 2, P &lt; 0.0001). Specifically, there was a higher proportion of animal remains in the scats in the 2006 study (p̂ = 27.32, CI = 25.13–29.18) compared to Russell's 1969 study (p̂ = 23.48, CI = 20.00–27.16). This was largely attributed to the increased availability of Caribou in the diets of polar bears. The increased proportion of diet composed of animals is the result cited here for the effect size calculation.</t>
  </si>
  <si>
    <t>Figure 2</t>
  </si>
  <si>
    <t>A 2 × 3 log-likelihood chi-square was used test to evaluate whether there was a difference in the proportions of animals, vegetation, or garbage consumed by polar bears between the late 1960s and present. Authors then compared the proportions and 95% confidence limits to determine which category was responsible for the observed differences.</t>
  </si>
  <si>
    <t>2006: 539 scat piles; 1968: 212</t>
  </si>
  <si>
    <t>d (animals) = (p̂current - p̂historic) / sqrt((p̂pooled * (1 - p̂pooled)) * ((1/nCurrent) + (1/nHistoric)))</t>
  </si>
  <si>
    <t>Ponds</t>
  </si>
  <si>
    <t>Artificial
outdoor ponds, located in southern England</t>
  </si>
  <si>
    <t>Experiment</t>
  </si>
  <si>
    <t>Roach (R. rutilus)</t>
  </si>
  <si>
    <t>Species introduction</t>
  </si>
  <si>
    <t>Species invasion</t>
  </si>
  <si>
    <t>δ13C and δ15N isotopes; trophic position of roach</t>
  </si>
  <si>
    <t>Muscle</t>
  </si>
  <si>
    <t>No, C:N was low</t>
  </si>
  <si>
    <t>Benthic invertebrates</t>
  </si>
  <si>
    <t>The linear mixed models comparing Ccorr and TP of roach between the Control and Treatment ponds revealed significant differences in both parameters. TP decreased in presence of pumpkinseed.</t>
  </si>
  <si>
    <t>Figure 4; Results section</t>
  </si>
  <si>
    <t>Post 2002; Differences in TPs by species were
determined using estimated marginal means and
multiple comparison post hoc analyses</t>
  </si>
  <si>
    <t>&lt;0.01</t>
  </si>
  <si>
    <t>P: 14; A: 20</t>
  </si>
  <si>
    <t>Presence: mean= 2.77 ± 0.21; Absence: mean = 3.44 ± 0.09</t>
  </si>
  <si>
    <t>d = (M1 - M2) / Spooled
where M1 and M2 are the means of the two groups, and Spooled is the pooled standard deviation, calculated as:
Spooled = sqrt(((n1-1) * S1^2 + (n2-1) * S2^2) / (n1 + n2 - 2))
where S1 and S2 are the standard deviations of the two groups, and n1 and n2 are the sample sizes of the two groups.
For the TP of R. rutilus, we have:
M1 = 2.77
M2 = 3.44
S1 = 0.21
S2 = 0.09
n1 = 14
n2 = 20
Spooled = sqrt(((14-1)*0.21^2 + (20-1)*0.09^2) / (14+20-2)) = 0.167
d = (2.77 - 3.44) / 0.167 = -3.994</t>
  </si>
  <si>
    <t>http://dx.doi.org/10.1007/s10530-016-1261-8</t>
  </si>
  <si>
    <t>Accessibility</t>
  </si>
  <si>
    <t>δ13C and δ15N isotopes; carbon use of roach</t>
  </si>
  <si>
    <t>No change</t>
  </si>
  <si>
    <t>The linear mixed models comparing Ccorr and TP of roach between the Control and Treatment ponds revealed significant differences for TP only, Ccorr did not change signficantly in presence of pumpkinseed.</t>
  </si>
  <si>
    <t>P: 14; A: 21</t>
  </si>
  <si>
    <t>Presence: mean= 1.90 ± 1.62; 
Absence: mean = 0.72 ± 0.75;</t>
  </si>
  <si>
    <t xml:space="preserve">For the Ccorr of R. rutilus, we have:
M1 = 1.90
M2 = 0.72
S1 = 1.62
S2 = 0.75
n1 = 14
n2 = 20
Spooled = sqrt(((14-1)*1.62^2 + (20-1)*0.75^2) / (14+20-2)) = 1.220
d = (1.90 - 0.72) / 1.220 = 1.204
</t>
  </si>
  <si>
    <t>G. gobio</t>
  </si>
  <si>
    <t>The linear mixed models comparing Ccorr and TP of G. Gobio between the Control and Treatment ponds revealed significant differences in both parameters. TP decreased in presence of pumpkinseed.</t>
  </si>
  <si>
    <t>P:37; A:31</t>
  </si>
  <si>
    <t>Presence: mean= 2.56 ± 0.21;
Absence: mean = 3.21 ± 0.09</t>
  </si>
  <si>
    <t>For the TP of G. gobio, we have:
M1 = 2.56
M2 = 3.21
S1 = 0.21
S2 = 0.09
n1 = 37
n2 = 31
Spooled = sqrt(((37-1)*0.21^2 + (31-1)*0.09^2) / (37+31-2)) = 0.167
d = (2.56 - 3.21) / 0.167 = -3.892</t>
  </si>
  <si>
    <t>The linear mixed models comparing Ccorr and TP of G. gobio between the Control and Treatment ponds revealed significant differences in both parameters. Ccorr increased in presence of pumpkinseed.</t>
  </si>
  <si>
    <t>P:37; A:32</t>
  </si>
  <si>
    <t>Presence: mean= 5.61 ± 1.46;
Absence: mean = 2.40 ± 0.66</t>
  </si>
  <si>
    <t>For the Ccorr of G. gobio, we have:
M1 = 5.61
M2 = 2.40
S1 = 1.46
S2 = 0.66
n1 = 37
n2 = 31
Spooled = sqrt(((37-1)*1.46^2 + (31-1)*0.66^2) / (37+31-2)) = 1.222
d = (5.61 - 2.40) / 1.222 = 2.710</t>
  </si>
  <si>
    <t>Lakes</t>
  </si>
  <si>
    <t>Central Sweden</t>
  </si>
  <si>
    <t>Yellow perch (perca</t>
  </si>
  <si>
    <t>Brownification</t>
  </si>
  <si>
    <t>Muscle tissue from perch was not corrected
for lipid content due to its low average C:N
ratio</t>
  </si>
  <si>
    <t>0.47‰</t>
  </si>
  <si>
    <t>Snails and mussels</t>
  </si>
  <si>
    <t>Trophic position increased with increasing concentrations
of total phosphorus (r = 0.85, P = 0.007)
but was not affected by other lake characteristics
(-0.46 &lt; r &lt; 0.44, P &gt; 0.25).</t>
  </si>
  <si>
    <t>Regression</t>
  </si>
  <si>
    <t>&gt;0.25</t>
  </si>
  <si>
    <t>(-0.46 &lt; r &lt; 0.44)</t>
  </si>
  <si>
    <t>8 lakes; 
up to 30 littoral and 37 pelagic perch</t>
  </si>
  <si>
    <t xml:space="preserve">Results: Variation in trophic niche </t>
  </si>
  <si>
    <t>Littoral reliance decreased with increasing DOC concentrations in study lakes and increased
with the availability of littoral habitat (ALA:
r = 0.73, P = 0.041) but was not affected by any
other lake characteristics (av. depth: r = 0.39,
P = 0.35; shoreline index: r = 0.25, P = 0.56; tot-P:
r = -0.43, P = 0.28; lake area: r = -0.60, P = 0.12).</t>
  </si>
  <si>
    <t xml:space="preserve">Figure 3d; Results: Variation in trophic niche </t>
  </si>
  <si>
    <t>Stream</t>
  </si>
  <si>
    <t>Lake Erie Watershed</t>
  </si>
  <si>
    <t>Creek chub</t>
  </si>
  <si>
    <t>Land-use</t>
  </si>
  <si>
    <t>Agriculture</t>
  </si>
  <si>
    <t>δ13C and δ15N isotopes; trophic position of creek chub</t>
  </si>
  <si>
    <t>Muscle tissue from creek chub was not corrected
for lipid content due to its low average C:N
ratio</t>
  </si>
  <si>
    <t>algae as the aquatic baseline and leaf litter detritus as the terrestrial baseline</t>
  </si>
  <si>
    <t>Creek chub assimilated occupied lower trophic positions, potentially owing to greater consumption of algae, as local agricultural increased. This result was not influenced by regional agricultural land use, suggesting that even at sites with a high percentage of watershed agriculture, regional land use impacts could be mitigated with riparian buffers that increase leaf in-fall and terrestrial insects in stream food webs</t>
  </si>
  <si>
    <t>Figure 2c</t>
  </si>
  <si>
    <t>Linear regression model; two-source mixing model (Post 2002)</t>
  </si>
  <si>
    <t>172 creek chub</t>
  </si>
  <si>
    <t> −0.87</t>
  </si>
  <si>
    <t>δ13C and δ15N isotopes; terrestrial carbon reliance of creek chub</t>
  </si>
  <si>
    <t>0‰</t>
  </si>
  <si>
    <t>Creek chub assimilated less terrestrial energy as local agricultural increased. This result was not influenced by regional agricultural land use, suggesting that even at sites with a high percentage of watershed agriculture, regional land use impacts could be mitigated with riparian buffers that increase leaf in-fall and terrestrial insects in stream food webs</t>
  </si>
  <si>
    <t>Figure 2a</t>
  </si>
  <si>
    <t>Linear regression model; 2-source mixing model (Post, 2002)</t>
  </si>
  <si>
    <t>−4.19</t>
  </si>
  <si>
    <t>Floodplain</t>
  </si>
  <si>
    <t>Gingham River, Gwydir River and Mehi River</t>
  </si>
  <si>
    <t>Temporal</t>
  </si>
  <si>
    <t>Spangled perch (Leiopotherapon unicolor)</t>
  </si>
  <si>
    <t>Drought</t>
  </si>
  <si>
    <t>δ13C and δ15N isotopes; trophic position of spangled perch</t>
  </si>
  <si>
    <t>Yes; Post et al. (2007)</t>
  </si>
  <si>
    <t>SOM</t>
  </si>
  <si>
    <t>The variable “year”, which was classified as a wet or dry period, had a significant effect on trophic position. Based on the assumption that L. unicolor is the top predator in the lower Gwydir aquatic ecosystem (no rivals were sampled), food-chain length increased from an average of 2.9 under dry conditions to 3.7 under wet conditions associated with negative phase of ENSO.</t>
  </si>
  <si>
    <t>Figure 4</t>
  </si>
  <si>
    <t>linear mixed model (LMM), post 2002</t>
  </si>
  <si>
    <t>p&lt;0.001</t>
  </si>
  <si>
    <t>http://dx.doi.org/10.1111/fwb.12963</t>
  </si>
  <si>
    <t>Low Canadian Arctic</t>
  </si>
  <si>
    <t>Temporal (two time periods compared) with a spatial gradient</t>
  </si>
  <si>
    <t>thick-billed murre Uria lomvia</t>
  </si>
  <si>
    <t>Stomach contents: the proportion
of fish in overall diet and subgroup abundance</t>
  </si>
  <si>
    <t>In the low Arctic, the amount of Arctic cod (depends on sea-ice, which authors show has declined over timein this region) declined in the murre diet between 1980s- 2009 while capelin has increased. Overall, there was a shift from historical to new observations in the proportion of fish in murre diets such that the proportion of invertebrates has increased and the proportion of fish has decreased through time (fish versus invertebrate results are used for measures in following columns)</t>
  </si>
  <si>
    <t>Figure 3.</t>
  </si>
  <si>
    <t>Generalized linear mixed model (GLMM) where fish proportion of total prey consumed was modeled with time period (historic vs. new data) as the explanatory variable</t>
  </si>
  <si>
    <t>historic: 197; new: 91</t>
  </si>
  <si>
    <t>historic: mean
0.40 ± 0.18; new: mean 0.055 ± 0.045</t>
  </si>
  <si>
    <t xml:space="preserve">First, we need to calculate the pooled standard deviation (SDp) using the following formula:
SDp = sqrt(((n1-1) * SD1^2 + (n2-1) * SD2^2) / (n1 + n2 - 2))
where SD1 and SD2 are the standard deviations of the two samples, n1 and n2 are the sample sizes, which are 197 and 91 in this case, respectively.
Using the formula, we get:
SDp = sqrt(((197-1) * 0.18^2 + (91-1) * 0.045^2) / (197 + 91 - 2)) = 0.115
Next, we can calculate Cohen's d using the formula:
d = (M1 - M2) / SDp
where M1 and M2 are the means of the two samples.
Using the formula, we get:
d = (0.055 - 0.40) / 0.115 = -2.955
</t>
  </si>
  <si>
    <t>Central California (Monterey Bay)</t>
  </si>
  <si>
    <t>Temporal - historic (1895–1911) and modern (1998–2002)</t>
  </si>
  <si>
    <t xml:space="preserve">Marbled Murrelets
</t>
  </si>
  <si>
    <t>Harvest</t>
  </si>
  <si>
    <t>Fishing down the food web</t>
  </si>
  <si>
    <t>δ13C and δ15N isotopes; trophic position of sea birds</t>
  </si>
  <si>
    <t>Feather</t>
  </si>
  <si>
    <t>All samples lipid extracted</t>
  </si>
  <si>
    <t>3.7‰</t>
  </si>
  <si>
    <t>NA - Monterey Bay zooplankton δ15N values have not shown isotopic changes over the past 50 years, spanning both warm and cold PDO cycles (Rau et al. 2003).</t>
  </si>
  <si>
    <t>Diets of modern murrelets declined significantly in both δ15N and δ13C compared with diets of historic murrelets. The historic samples represent values pre-intensive fishing and authors attribute decline in murrelet TP to fishing down the food web. Authors found that there was a substantial decrease (-42%) in high TP prey in murrelets diets while there was a concominant increase in low TP prey in murrelets diets (+26%). Baselines were not used in the IsoError mixing model; however authors cite paper that shows consistent baseline values for N and C in zooplankton within the study region.</t>
  </si>
  <si>
    <t>IsoError dual-isotope, three-source mixing model (Phillips et al., 2001). Multivariate general linear models were used to test for era (pre- or post-1911), season (pre- or postbreeding), and annual temperature state (warm or cool) effects on δ15N and δ13C</t>
  </si>
  <si>
    <t>historic: 136; modern: 201</t>
  </si>
  <si>
    <t>River/Lake</t>
  </si>
  <si>
    <t>Cumberland Sound, Nunavut, Canada</t>
  </si>
  <si>
    <t>Temporal: 1998 to 2011</t>
  </si>
  <si>
    <t>Arctic Char</t>
  </si>
  <si>
    <t>Insertion</t>
  </si>
  <si>
    <t>Capelin poleward shift</t>
  </si>
  <si>
    <t>Stomach contents: Index of Relative Importance (IRI) (Liao et al. 2001); 15N &amp; 13C stable isotope --&gt; corroborates stomach content analysis results</t>
  </si>
  <si>
    <t>None</t>
  </si>
  <si>
    <t>In 2002, 2003, and 2004, amphipod crustaceans made up the highest proportion of the weight of Arctic Char diets from both sites (Kipisa; Isuituq), and were the dominant prey item according to all three importance indices. Capelin were absent from the stomachs in 2002, 2003, or 2004, but were the most important diet component (by % weight) in 2011, constituting the largest contribution to stomach contents for both Kipisa and Isuituq. In 2011, Capelin were the dominant prey item for Arctic Char from Kipisa according to the IRI, whereas amphipods were still relatively important in the diets of Isuituq Arctic Char. Tukey’s HSD test showed a significant difference between 2004 and 2011 for both study sites (p &lt; 0.05), but not between 2003 and 2011 for Arctic Char from Kipisa, and not between 2002 and 2011 for Arctic Char from Isuituq.</t>
  </si>
  <si>
    <t>Figure 2; Figure 3; Figure 4</t>
  </si>
  <si>
    <t>IRI= %O x(%N + %W, where O = frequency of occurance; N = % by numbers; W = % by weight</t>
  </si>
  <si>
    <t>185 prey-containing stomachs collected from the two study sites (Kipisa; Isuituq)</t>
  </si>
  <si>
    <t>Southern England</t>
  </si>
  <si>
    <t>Spatial compasion</t>
  </si>
  <si>
    <t>Crypinid Species</t>
  </si>
  <si>
    <t>Recreational angling</t>
  </si>
  <si>
    <t>δ13C and δ15N isotopes; corrected carbon use of 4 top predator cyprinid species relative to putative macroinvertebrate prey</t>
  </si>
  <si>
    <t>Scales</t>
  </si>
  <si>
    <t>Gammaridae, Chironomidae</t>
  </si>
  <si>
    <t>The angling baits were generally δ13C enriched compared with the natural macroinvertebrate putative prey resources of the subsidised fisheries and some baits were also depleted in δ15N. The GLMM testing the effects of subsidy presence/absence revealed that the subsidy significantly affected δ13Ccorr (mean subsidised vs non-subsidised δ13Ccorr: 7.28 ± 2.58 vs. 0.59 ± 0.71‰; p &lt; 0.01), with fish length also having a significant effect, but not species and habitat type.</t>
  </si>
  <si>
    <t>Table 1; Figure 3</t>
  </si>
  <si>
    <t>Olson et al. 2009 TP model (similar to Post 2002)</t>
  </si>
  <si>
    <t>mean_subsidised - mean_non-subsidised = 7.28 - 0.59 = 6.69
s_pooled = sqrt((s_subsidised^2 + s_non-subsidised^2) / 2)
s_subsidised = 2.58
s_non-subsidised = 0.71
s_pooled = sqrt((2.58^2 + 0.71^2) / 2) = 2.27
Calculate Cohen's d:
d = 6.69 / 2.27 = 2.95</t>
  </si>
  <si>
    <t>δ13C and δ15N isotopes; trophic position of 4 top predator cyprinid species</t>
  </si>
  <si>
    <t>The angling baits were generally δ13C enriched compared with the natural macroinvertebrate putative prey resources of the subsidised fisheries and some baits were also depleted in δ15N. The bait subsidy in lakes with angling had a significant effect on TP (mean subsidised vs non-subsidised TP: 2.14 ± 0.50 vs. 3.13 ± 0.28; p &lt; 0.01), with fish species also significant in the model, but not fish length or habitat type. .</t>
  </si>
  <si>
    <t>mean_subsidised - mean_non-subsidised = 2.14 - 3.13 = -0.99
s_pooled = sqrt((s_subsidised^2 + s_non-subsidised^2) / 2)
s_subsidised = 0.50
s_non-subsidised = 0.28
s_pooled = sqrt((0.50^2 + 0.28^2) / 2) = 0.39
Calculate Cohen's d:
d = -0.99 / 0.39 = -2.54</t>
  </si>
  <si>
    <t>McMurdo Sound, Ross Sea, Antarctica</t>
  </si>
  <si>
    <t>Spatial - locations with varying sea-ice extent</t>
  </si>
  <si>
    <t>T. bernacchii</t>
  </si>
  <si>
    <t>Sea-ice loss</t>
  </si>
  <si>
    <t>δ13C and δ15N isotopes; trophic position of sea ice fish</t>
  </si>
  <si>
    <t>2.3 ‰ (SE: 0.28)</t>
  </si>
  <si>
    <t>SIMCO (sea ice microbial community) and SPOM (suspended particulate organic matter)</t>
  </si>
  <si>
    <t>The Sound is covered by seasonal sea ice during the winter months, with the northern portion being annually clear of ice by October or November due to the Cape Bird currents. Pair-wise tests demonstrated a general trend for sites with more persistent sea ice cover to utilise a higher proportion of SIMCO and occupy a higher mean trophic level relative to sites that experience longer periods of open water</t>
  </si>
  <si>
    <t>Figure 3a</t>
  </si>
  <si>
    <t>Post 2002; linear models fitted using standard least squares personality in the Fit Model platform in JMP</t>
  </si>
  <si>
    <t>0.4‰ (SE: 0.17)</t>
  </si>
  <si>
    <t>T. pennellii</t>
  </si>
  <si>
    <t>Figure 3b</t>
  </si>
  <si>
    <t>P. borchgrevinki</t>
  </si>
  <si>
    <t>General linear models demonstrated no significant differences among sites for mean trophic level or proportion of diet derived from SIMCO for P. borchgrevinki (trophic level: F2,40 = 0.51, p = 0.603; % SIMCO: F2,40 = 1.95, p = 0.155) (Fig. 3c).</t>
  </si>
  <si>
    <t>Figure 3c</t>
  </si>
  <si>
    <t>Correa, C; Bravo, AP; Hendry, AP</t>
  </si>
  <si>
    <t>Reciprocal trophic niche shifts in native and invasive fish: salmonids and galaxiids in Patagonian lakes</t>
  </si>
  <si>
    <t>1. Rainbow (Oncorhynchus mykiss) and brown trout (Salmo trutta) are widespread and invasive salmonids with important lethal effects as predators, although indirect effects are also possible. We used stable isotope analyses (d15N, d13C) to explore how the density of invasive trout in 25 Patagonian lakes alters the trophic niche (TN) of a widespread native fish, Galaxias platei (Galaxiidae). We also explored how the density of the galaxiid influences the TN of invasive trout. 2. We quantified two aspects of the TN: (i) the proportion of littoral carbon (PL) and (ii) trophic height (TH) (i.e. the height at which the fish feeds in the food web). We related these measures of TN in a given species to the density of other species (as estimated by catch-per-unit-effort). 3. As G. platei body size increased, their PL increased (increasing littoral feeding) in several lakes. However, none of the fish species investigated showed changes in PL with increasing density of the other fish species. TH increased with body size in all three species. In addition, the TH of large G. platei declined with increasing trout density and, reciprocally, the TH of large S. trutta decreased with decreasing G. platei density. 4. The reciprocal effects of native and the invasive fish on TH were as large as a shift of one trophic level. This pattern is consistent with an exhaustion of galaxiid prey for both piscivorous G. platei and S. trutta in lakes with high trout density. 5. These finding support the suggested management strategy of culling trout from overpopulated lakes, which should simultaneously protect native fish and enhance a lucrative sport fishery for large trout.</t>
  </si>
  <si>
    <t>Aysén region in western Patagonia, Chile</t>
  </si>
  <si>
    <t>Spatial - invaded versus non-invaded</t>
  </si>
  <si>
    <t>Galaxiid fish (G. platei)</t>
  </si>
  <si>
    <t>δ13C and δ15N isotopes; trophic position of fish</t>
  </si>
  <si>
    <t>Small G. platei (c. 1 g) had relatively similar TH across the entire gradient of trout CPUE. In contrast, large G. platei (c. 150 g) fed approximately one trophic level higher in lakes where trout were not detected than in lakes with abundant trout. Accordingly, the effect of G. platei mass on TP (i.e. slope) was negatively correlated with trout CPUE (LRT v2 = 6.781, d.f. = 1, P = 0.009). Results listed here are for the SLOPE of the weight-TP relationship across a gradient of trout CPUE, which is slightly different than a purely TP-trout CPUE relationship and perhaps shouldn't be included in final results.</t>
  </si>
  <si>
    <t>Post 2002 two-source mixing model</t>
  </si>
  <si>
    <t>13 lakes</t>
  </si>
  <si>
    <t>0.2219 to 0.9215</t>
  </si>
  <si>
    <t>http://dx.doi.org/10.1111/j.1365-2427.2012.02837.x</t>
  </si>
  <si>
    <t>Canterbury Plains (Eastern region of New Zeland's South Island)</t>
  </si>
  <si>
    <t>Spatial - sites with differing levels
of sedimentation and nutrient concentrations</t>
  </si>
  <si>
    <t>Salmonids and anguiliids</t>
  </si>
  <si>
    <t>Sedimentation</t>
  </si>
  <si>
    <t>1.91 ± 0.74‰</t>
  </si>
  <si>
    <t>Algae/macroalgae, organic matter and terrestrial leaves</t>
  </si>
  <si>
    <t>The TP of fish increased along the sedimentation gradient, approximately rising from 3.8 to 4.4. Sedimentation was associated with the loss of grazers and shredders at the base of the food web, which may have caused stream fish to feed more on higher trophic levels. In particular, reduced abundances of the leptophlebiid mayfly (Deleatidium spp.) likely forced fish to consume alternative prey that included mesopredators.</t>
  </si>
  <si>
    <t>Figure 5d; Table 2</t>
  </si>
  <si>
    <t>‘OneBaseline’ model in the Bayesian mixing- 
model R package ‘tRophicPosition’ (Quezada-Romegialli et al., 
2018). This approach includes isotopic</t>
  </si>
  <si>
    <t>Marginal: 0.399; Conditional: 0.726</t>
  </si>
  <si>
    <t>0.082 to 0.237</t>
  </si>
  <si>
    <t>δ13C and δ15N isotopes; contribution of allochthonous carbon to stream fish</t>
  </si>
  <si>
    <t>1.51 ± 0.47‰</t>
  </si>
  <si>
    <t>The contribution of allochthonous carbon to stream fish also increased along the sedimentation gradient, with an approximate shift from 40% to 60%</t>
  </si>
  <si>
    <t>Figure 5c; Table 2</t>
  </si>
  <si>
    <t>median % contribution of allochthonous carbon 
(α) to predator groups using the ‘TwoBaselinesFull’ model in 
‘tRophicPosition’. Results from the ‘simmr’ mixing-model analyses 
were used to classify prey taxa into two baseline groups: autochthonous 
(‘grazers’) and allochthonous (‘collectors’ and ‘shredders’).</t>
  </si>
  <si>
    <t>&lt;0.05</t>
  </si>
  <si>
    <t>Marginal: 0.321; Conditional: 0.716</t>
  </si>
  <si>
    <t>0.082 to 0.444</t>
  </si>
  <si>
    <t>Rivers</t>
  </si>
  <si>
    <t>No, samples all had C:N ratio &lt;4</t>
  </si>
  <si>
    <t>TP = [(δ15Nfish – δ15Nbaseline)/3.4] + 2; Cabana and Rasmussen 2996</t>
  </si>
  <si>
    <t>Aquatic invertebrates</t>
  </si>
  <si>
    <t xml:space="preserve">δ13C and δ15N isotopes; trophic position of all members of fish community </t>
  </si>
  <si>
    <t>Vltava and Elbe in the Czech Republic, central Europe</t>
  </si>
  <si>
    <t>Spatial</t>
  </si>
  <si>
    <t>TP of species was positively associated with N-NH4+, and negatively with COD.</t>
  </si>
  <si>
    <t>Li'an Bay and Tanmen, Hainan Island,  China</t>
  </si>
  <si>
    <t>Fish community</t>
  </si>
  <si>
    <t>Post 2002</t>
  </si>
  <si>
    <t>For all the consumers analyzed, the trophic levels in LA were significantly higher than that in TM (U test U = 141, P = 0), with the average value in LA and TM was 2.6 ± 0.5 and 3.4 ± 0.6, respectively. The highest trophic position of the fish and invertebrates in LA was occupied by Whitebait Hypoatherina woodwardi (Atherinidae; TL = 3.8) and M. rumphii (TL = 3.3), respectively, while those in TM were correspondingly occupied by Fan-bellied leatherjacket Monacanthus chinensis (Monacanthidae; TL = 4.6) and T. spinimana (TL = 4.5), respectively. Furthermore, the food chain length (maximum TL-minimum TL) of all consumers was slightly higher in TM (2.9) than in LA (2.5).</t>
  </si>
  <si>
    <t>Cage culture aquaculture</t>
  </si>
  <si>
    <t>For herbivores/grazers, detritivores, filter feeders and omnivores, the mean TEFs are 0.4‰ ± 1.3‰ for δ13C and 2.2‰ ± 0.3‰ for δ15N (Park et al. 2017, Carvalho et al. 2020). For carnivores/predators, the mean TEFs are 0.96‰ ± 0.26‰ for δ13C and 3.3‰ ± 0.26‰ for δ15N (Park et al. 2017, Wang et al. 2021).</t>
  </si>
  <si>
    <t>Filter feeders</t>
  </si>
  <si>
    <t>RED TINT: article did not agree with work flow but still showed underlying principle food web structural shift under global change</t>
  </si>
  <si>
    <t>Beaufort Sea north of the Yukon and Northwest Territories, Canada, as well as in the Amundsen Gulf</t>
  </si>
  <si>
    <t>δ13C and δ15N isotopes; trophic position of polar bears</t>
  </si>
  <si>
    <t>Hair/fur</t>
  </si>
  <si>
    <t>from L’Hérault et al. (2018)
(Δ15N = 2.41 ± 0.20‰, Δ13C = 2.59 ± 0.42‰, n = 3)</t>
  </si>
  <si>
    <t>ringed seal, bearded seal, bowhead whale, beluga whale muscle tissue</t>
  </si>
  <si>
    <t>Bayesian mixing model (MixSIAR)</t>
  </si>
  <si>
    <t>Availability</t>
  </si>
  <si>
    <t>freeze-up date of sea ice</t>
  </si>
  <si>
    <t>Temporal (2003-2011)</t>
  </si>
  <si>
    <t xml:space="preserve">Later sea ice freeze-up dates were correlated with decreased delta 13C values. Later freeze-ups may result in bears remaining longer in the south over the continental shelf where
ringed seal density is higher (Stirling et al. 1977, Frost et al. 2004). Ringed seals have low δ13C compared to other prey species (Cherry et al. 2011), and coastal areas are depleted in 13C (Dunton et al. 2012), while offshore regions are 13C-enriched. The increase in the proportion of ringed seals in the diet of polar bears through time may be due to changes in sea ice freeze ups. </t>
  </si>
  <si>
    <t>Figure 3</t>
  </si>
  <si>
    <t>d = t/sqrt(n)</t>
  </si>
  <si>
    <t>Test statistic</t>
  </si>
  <si>
    <t>t = -4.575</t>
  </si>
  <si>
    <t>QUBS, Kingston, Ontario,
Canada</t>
  </si>
  <si>
    <t xml:space="preserve">Spatial gradient </t>
  </si>
  <si>
    <t>hydroperiod (days from ice-off to drying)</t>
  </si>
  <si>
    <t>Pond community: larval amphibians
and invertebrates</t>
  </si>
  <si>
    <t>δ13C and δ15N isotopes; maximum trophic position</t>
  </si>
  <si>
    <t>algae, macrophytes, detritus, and clams</t>
  </si>
  <si>
    <t>Consumers were lipid corrected (Post et al., 2007)</t>
  </si>
  <si>
    <t>2.3‰ from McCutchan et al. 2003</t>
  </si>
  <si>
    <t>Food chains were shorter in
ponds with shorter hydroperiods, supporting the dynamic constraints hypothesis (GLM, R2 = 0.23, df
= 15, p = 0.05; maxTP = 1.02 +1.03log10[hydroperiod]).
Therefore, the predicted FCL would increase by 1.0 trophic level for every log-unit increase in
hydroperiod.</t>
  </si>
  <si>
    <t>Post TP model (2002); GLM</t>
  </si>
  <si>
    <t>Figure 1</t>
  </si>
  <si>
    <t>n = 9 ponds</t>
  </si>
  <si>
    <t>n = 297 individuals</t>
  </si>
  <si>
    <t>Intercept</t>
  </si>
  <si>
    <t>1.03(log10)</t>
  </si>
  <si>
    <t>Grassland</t>
  </si>
  <si>
    <t>W.K. Kellogg Biological Station in southwest Michigan</t>
  </si>
  <si>
    <t>Arthropod community</t>
  </si>
  <si>
    <t>δ13C and δ15N isotopes; trophic position of top predator</t>
  </si>
  <si>
    <t>C3 and C4 plants</t>
  </si>
  <si>
    <t>Table 1; Figure S1</t>
  </si>
  <si>
    <t>Post 2002 Trophic Position Model</t>
  </si>
  <si>
    <t>Estimated food chain lengths in switchgrass fields within each experiment averaged 10 ± 16% longer than those in corn, and prairie food chains averaged 20 ± 10% longer (10 ± 6% longer than those in switchgrass). Native perrenial plots (switchgrass and prarie) did not differ signficiantly but had significantly longer food chains than corn fields ()</t>
  </si>
  <si>
    <t xml:space="preserve">Step 1: Calculate the mean and pooled standard deviation for Corn and Switchgrass/Prairie combined.
For Corn:
Mean_Corn = 2.99
SD_Corn = 0.1
n_Corn = 3 (number of data points for Corn)
For Switchgrass/Prairie combined:
Mean_Switchgrass_Prairie = (Mean_Switchgrass + Mean_Prairie) / 2
Mean_Switchgrass = 2.89
Mean_Prairie = 3.39
Mean_Switchgrass_Prairie = (2.89 + 3.39) / 2 = 3.14
SD_Switchgrass_Prairie = (SD_Switchgrass^2 + SD_Prairie^2) / 2
SD_Switchgrass = 0.17
SD_Prairie = 0.51
SD_Switchgrass_Prairie = (0.17^2 + 0.51^2) / 2 ≈ 0.131
Step 2: Calculate the pooled standard deviation: 
pooled SD= sqrt[(3−1)×(0.1^2)+(3-1)x(0.131^2)/(3+3-2)]
Step 3: Calculate Cohen's d:
d = (2.99 −3.14)/ 0.118 ≈ − 1.27 
​
 </t>
  </si>
  <si>
    <t>Multiple</t>
  </si>
  <si>
    <t>Multi-stressor</t>
  </si>
  <si>
    <t>Species introduction, eutrophication, land-use, water level management</t>
  </si>
  <si>
    <t>3.4 ± 0.98 %</t>
  </si>
  <si>
    <t>filter feeders and benthic collector, grazers, and shredders</t>
  </si>
  <si>
    <t>δ13C and δ15N isotopes; trophic position of fish with highest model TP in a given lake</t>
  </si>
  <si>
    <t>Figure 4; Table 4</t>
  </si>
  <si>
    <t xml:space="preserve">Maximum TP had a significant negative relationship with
increasing invasive species impact and the multistressor PCO1. Authors found that TPmax had a greater response to multiple stressors than when assessed against individual stressors. This likely reflect the subtly different combinations and strengths of individual stressors and how they interact. </t>
  </si>
  <si>
    <t>d = 2r / sqrt(1-r^2)</t>
  </si>
  <si>
    <t>Effect Size (d)</t>
  </si>
  <si>
    <t>Western Arctic Bowhead Whales</t>
  </si>
  <si>
    <t>Chukchi Sea eastward to the Amundsen Gulf (Alaska)</t>
  </si>
  <si>
    <t>Temporal (1955-1988)</t>
  </si>
  <si>
    <t>zooplankton</t>
  </si>
  <si>
    <t>δ18O and δ2H isotopes; habitat signature in baleens of whales</t>
  </si>
  <si>
    <t>Baleen</t>
  </si>
  <si>
    <t>Figure 7</t>
  </si>
  <si>
    <t>Regression and autocorrelation analysis</t>
  </si>
  <si>
    <t>17 years (2-3 whale individuals per year)</t>
  </si>
  <si>
    <t xml:space="preserve">Concomitant with increasing SIC there is an increase in mean delta 2H in baleens in winter with a simultaneous decrease or no change observed in delta 2H during
summer (a greater difference between the two seasons with increasing SIC). For d18O, there was little difference between means of the two seasons, as both remain
relatively constant with changing SIC. The authors used a variety of statistical tests to determine wheher the difference in delta 2H with SIC in the years 1971-1988 and found that overall a statistcially signifcant relationship was present between SIC and seasonal difference in delta 2H. </t>
  </si>
  <si>
    <t xml:space="preserve"> Southern Wisconsin</t>
  </si>
  <si>
    <t>Ant species (Aphaenogaster rudis, Formica argentea, Formica montana, Lasius neoniger, Myrmica AF-smi, and Myrmica fracticornis)</t>
  </si>
  <si>
    <t xml:space="preserve">Crop harvesting </t>
  </si>
  <si>
    <t>Sea-ice concentration</t>
  </si>
  <si>
    <t>δ13C and δ15N isotopes; trophic position of individual ants</t>
  </si>
  <si>
    <t>terrestrial plants</t>
  </si>
  <si>
    <t xml:space="preserve"> 3.0‰ </t>
  </si>
  <si>
    <t>F = 5.4</t>
  </si>
  <si>
    <t>The formula for Cohen's d is:
d  = Mean difference/  Pooled standard error 
Where the Mean difference is the difference between the two groups' means (harvest mean - control mean), and the Pooled standard error is the square root of the weighted average of the variances (standard errors) of the two groups.​
To get the overall effect size, we can take the average of these Cohen's d values for each species:
Overall effect size ≈ (-0.95 + 0.40 - 0.91 - 3.07 - 2.08 - 5.00) / 6 ≈ -1.40
The overall effect size for the effect of "harvest" on ant Trophic Position is approximately -1.40, which indicates a large negative effect of harvest on ant Trophic Position.</t>
  </si>
  <si>
    <t>Post 2002 one source Trophic Position Model</t>
  </si>
  <si>
    <t xml:space="preserve">Harvest treatment affected trophic position and range. In particular, ants within the harvest treatment fed at lower trophic positions and had wider trophic ranges  compared with ants in the control treatment . There was no significant interaction between ant species and harvest for trophic position or trophic range, suggesting that the relative trophic structure within the ant communities were maintained with harvest. Harvest effects on trophic structure could be mediated through prey resources. Because these ant species are generalist omnivores, lower trophic positions of ants in harvest sites could suggest that ants are adopting a more “herbivorous” diet composed of more plant-based food sources such as nectar and seeds or even herbivores rather than other predators. </t>
  </si>
  <si>
    <t>Giant water bug (K. deyrolli)</t>
  </si>
  <si>
    <t>Hyogo, central Japan - A field survey was conducted in two rural areas (Areas A and B) that were 1,600 m apart from each other. The physical features of the habitat networks differed between the two study areas: in Area A, there was a ≥10-cm difference in water level between the rice fields and the irrigation canals, whereas in Area B, the difference was &lt;10 cm</t>
  </si>
  <si>
    <t>Leg tarsus</t>
  </si>
  <si>
    <t>δ13C and δ15N isotopes; trophic position of water bug</t>
  </si>
  <si>
    <t>Irrigation</t>
  </si>
  <si>
    <t>POM and periphyton</t>
  </si>
  <si>
    <t>2.4‰</t>
  </si>
  <si>
    <t>GLM for TP; Post 2002 two source mixing model</t>
  </si>
  <si>
    <t>z = 4.28</t>
  </si>
  <si>
    <t>Newly emerged adults - physical barrier: 15 females and 15 males; habitat corridor: 16 females and 11 males</t>
  </si>
  <si>
    <t>The trophic position of the top predator K. deyrolli significantly decreased in rice-field ecosystems in which habitat networks were physically disrupted due to improved irrigation systems. Physical barriers to habitat networks affected animal community composition, particularly fish abundances, by preventing their access, which consequently affected the composition of K. deyrolli diets. Results in table are for NEWLY EMERGED ADULT lifestage only</t>
  </si>
  <si>
    <t>Figure 3; Table S7</t>
  </si>
  <si>
    <t>Pearl River Basin China</t>
  </si>
  <si>
    <t xml:space="preserve"> 3.4‰ </t>
  </si>
  <si>
    <t>Benthic snails</t>
  </si>
  <si>
    <t>Piscivorous mandarinfish</t>
  </si>
  <si>
    <t>δ13C and δ15N isotopes; trophic position of mandarinfish</t>
  </si>
  <si>
    <t>t = -3.31</t>
  </si>
  <si>
    <t>120 fish per river</t>
  </si>
  <si>
    <t>Compared with the reference river, the invasive
Nile tilapia forced other fish to reduce the consumption
of small fish and fish eggs, and increasingly rely on
zooplankton and aquatic insect resources in the tropical
river.</t>
  </si>
  <si>
    <t>Invasion of Nile Tilapia</t>
  </si>
  <si>
    <t>Common lizard (Zootoca vivipara)</t>
  </si>
  <si>
    <t>Organism</t>
  </si>
  <si>
    <t>TPconsumer = TPbaseline + (δ15Nconsumer − δ15Nbaseline/ TDF)</t>
  </si>
  <si>
    <t>Ringed seals</t>
  </si>
  <si>
    <t>Canadian Arctic</t>
  </si>
  <si>
    <t>F = 3.95</t>
  </si>
  <si>
    <t>Trophic position = ((δ15Nconsumer– δ15Nbaseline)/3.4) + Tpbaseline</t>
  </si>
  <si>
    <t>ANOVA; Post 2002 two source Trophic Position Model</t>
  </si>
  <si>
    <t>mayflies and stoneflies</t>
  </si>
  <si>
    <t>All organisms lipid corrected (Post et al., 2007)</t>
  </si>
  <si>
    <t>δ13C and δ15N isotopes; FCL estimated as the trophic position of the apical predator in each stream</t>
  </si>
  <si>
    <t>Yale Myers Forest, Conneticut</t>
  </si>
  <si>
    <t xml:space="preserve">Fish community </t>
  </si>
  <si>
    <t>TPmax was held by either black-nosed dace, green sunfish, largemouth bass, or white sucker in each reach of the streams sampled. There was no significant effect of stream treatment (diverted vs. undiverted, ANOVA, F1,4 = 3.95, P = 0.12). The identity of the apical predator varied among streams, but was generally the same within a stream, with the exception of one undiverted stream. In all cases the maximum trophic position was held by a fish, either the black-nosed dace, green sunfish, largemouth bass, or white sucker.</t>
  </si>
  <si>
    <t>3 treatment streams, 3 control streams (upper and lower reach in each)</t>
  </si>
  <si>
    <t>Water diversion</t>
  </si>
  <si>
    <t>TPmax = TPbaseline + (δ15Ntop predator − δ15Nbaseline/ TDF)</t>
  </si>
  <si>
    <t>Northern Iberian Peninsula</t>
  </si>
  <si>
    <t>Water diversion AND nutrient loading</t>
  </si>
  <si>
    <t>Water diversion AND urbanization</t>
  </si>
  <si>
    <t>δ13C and δ15N isotopes; FCL estimated as the trophic position of the apical predator in each river</t>
  </si>
  <si>
    <t>4 rivers - each with one control reach and one 'treatment' reach</t>
  </si>
  <si>
    <t>0.1 ± 2.2‰ for δ13C (Brauns et al. 2018)</t>
  </si>
  <si>
    <t>2.6 ± 2.0‰ for δ15N (Brauns et al. 2018)</t>
  </si>
  <si>
    <t>autochtonous primary producers (algae), fine detritus, and alder leaves</t>
  </si>
  <si>
    <t>autochtonous primary producers ((biofilm, filamentous green algae,
bryophytes and macrophytes), fine detritus, and alder leaves</t>
  </si>
  <si>
    <t xml:space="preserve">No change </t>
  </si>
  <si>
    <t>Figure 5</t>
  </si>
  <si>
    <t>F1,35 = 2.35</t>
  </si>
  <si>
    <t xml:space="preserve">Authors found similar maximum food chain length (FCL) in diverted and control reaches. In addition, the same fish species were found in both reaches, except for Kadagua that only shared 3 out of the 7 species present in the river (Table S3). All further results based on Table S3. </t>
  </si>
  <si>
    <t>For the 'control' group:
- Urumea: Mean = 1.33, SD = 0.11
- Leitzaran: Mean = 1.57, SD = 0.05
- Kagadua: Mean = 2.221, SD = 0.04
- Deba: Mean = 2.35, SD = 0.10
For the 'diverted' group:
- Urumea: Mean = 1.49, SD = 0.04
- Leitzaran: Mean = 1.55, SD = 0.11
- Kagadua: Mean = 2.10, SD = 0.06
- Deba: Mean = 2.85, SD = 0.08
Step 2: Calculate the pooled standard deviation.
For each site:
- Urumea: n1 = 4, n2 = 5
- Leitzaran: n1 = 5, n2 = 5
- Kagadua: n1 = 5, n2 = 5
- Deba: n1 = 5, n2 = 5
Pooled SD = sqrt(((n1 - 1) * SD1^2 + (n2 - 1) * SD2^2) / (n1 + n2 - 2))
For Urumea:
Pooled SD = sqrt(((4 - 1) * 0.11^2 + (5 - 1) * 0.04^2) / (4 + 5 - 2))
          = sqrt((0.0363 + 0.0016) / 7)
          = sqrt(0.0379 / 7)
          = sqrt(0.0054)
          ≈ 0.0735
For Leitzaran:
Pooled SD = sqrt(((5 - 1) * 0.05^2 + (5 - 1) * 0.11^2) / (5 + 5 - 2))
          = sqrt((0.0016 + 0.0484) / 8)
          = sqrt(0.05 / 8)
          ≈ 0.0894
For Kagadua:
Pooled SD = sqrt(((5 - 1) * 0.04^2 + (5 - 1) * 0.06^2) / (5 + 5 - 2))
          = sqrt((0.0024 + 0.0136) / 8)
          = sqrt(0.016 / 8)
          ≈ 0.0632
For Deba:
Pooled SD = sqrt(((5 - 1) * 0.10^2 + (5 - 1) * 0.08^2) / (5 + 5 - 2))
          = sqrt((0.036 + 0.0512) / 8)
          = sqrt(0.0872 / 8)
          ≈ 0.1319
Step 3: Calculate Cohen's d effect size for each site.
Cohen's d = (Mean_diverted - Mean_control) / Pooled SD
For Urumea:
Cohen's d = (1.49 - 1.33) / 0.0735
         ≈ 2.177
For Leitzaran:
Cohen's d = (1.55 - 1.57) / 0.0894
         ≈ -0.224
For Kagadua:
Cohen's d = (2.10 - 2.221) / 0.0632
         ≈ -1.912
For Deba:
Cohen's d = (2.85 - 2.35) / 0.1319
         ≈ 4.04
Step 4: Calculate the weighted average of Cohen's d across all sites.
To calculate the weighted average of Cohen's d, we need to consider the sample size of each site as the weight.
Weighted Average Cohen's d = Σ (Cohen's d * (n1 + n2)) / Σ (n1 + n2)
For Urumea:
Weighted Value = 2.177 * (4 + 5)
For Leitzaran:
Weighted Value = -0.224 * (5 + 5)
For Kagadua:
Weighted Value = -1.912 * (5 + 5)
For Deba:
Weighted Value = 4.04 * (5 + 5)
Now, calculate the sum of the weighted values and the sum of the sample sizes:
Sum of weighted values = (2.177 * 9) + (-0.224 * 10) + (-1.912 * 10) + (4.04 * 10) ≈ 16.986
Sum of sample sizes = 9 + 10 + 10 + 10 = 39
Weighted Average Cohen's d = Sum of weighted values / Sum of sample sizes
                          = 16.986 / 39
                          ≈ 0.435
So, the overall Cohen's d effect size for the effect of water divergence on maximum Trophic Position is approximately 0.435.</t>
  </si>
  <si>
    <t>MixSIAR</t>
  </si>
  <si>
    <t>For Autochthonous resource contribution:
Overall Mean Control = (0.94 + 0.86 + 0.51 + 0.84) / 4 ≈ 0.8125
Overall Mean Diverted = (0.73 + 0.53 + 0.69 + 0.68) / 4 ≈ 0.6575                                                        
Pooled SD = sqrt(((4 - 1) * 0.016 + (4 - 1) * 0.0784) / (4 + 4 - 2)) ≈ 0.1598
Cohen's d ≈ (0.6575 - 0.8125) / 0.1598 ≈ -0.9726</t>
  </si>
  <si>
    <t>log liklihood:-10,598.7</t>
  </si>
  <si>
    <t xml:space="preserve">Figure 3; Table 3 </t>
  </si>
  <si>
    <t xml:space="preserve">Coarse detritus (alder) contribution showed a slight decrease in diverted reaches, which was mainly driven by the pairwise difference between reaches of one of the rivers (Figure 3a). Similarly, the overall contribution of autochthonous resources also decreased on diverted reaches . Contrarily, fine detritus contribution increased on diverted sites. </t>
  </si>
  <si>
    <t xml:space="preserve">Hudson Bay Lowlands; Kawartha and Haliburton Lakes  </t>
  </si>
  <si>
    <t xml:space="preserve">Climate change </t>
  </si>
  <si>
    <t xml:space="preserve">Warming </t>
  </si>
  <si>
    <t>δ13C and δ15N isotopes; FCL estimated as the trophic position of the apical predator (lake trout)</t>
  </si>
  <si>
    <t>Zooplankton and benthic invertebrates</t>
  </si>
  <si>
    <t>29 South African streams</t>
  </si>
  <si>
    <t>Fin clip</t>
  </si>
  <si>
    <t>Mayflies</t>
  </si>
  <si>
    <t>2.9 ± 0.3‰</t>
  </si>
  <si>
    <t>δ13C and δ15N isotopes; Trophic position of the apical predator in the community</t>
  </si>
  <si>
    <t>tRophicPosition package in R</t>
  </si>
  <si>
    <t>F = 4.26; Log Liklihood 20.1</t>
  </si>
  <si>
    <t>Figure 3b; Table 2</t>
  </si>
  <si>
    <t>29 streams</t>
  </si>
  <si>
    <t>Food chain length decreased with temperature, suggesting that this decline in trophic richness was caused by the loss of predators. This is further supported by patterns in beta diversity, which showed that species turnover increased with increasing temperature differences between sites. This suggests a loss of the predatory functional feeding group in a warmer world, rather than decline in species richness. In other words, populations or species which occupy lower trophic levels are replacing those in more predatory roles, without a loss of taxonomic diversity.</t>
  </si>
  <si>
    <t>Addition</t>
  </si>
  <si>
    <t>Taihu Lake, China</t>
  </si>
  <si>
    <t>Fish community, piscivorous fish</t>
  </si>
  <si>
    <t>Fish benthivory and trophic position varied substantially
among species (Fig. 3). There were significant differences
in mean benthivory and trophic position in the effects of
alternative regimes at the community level (Fig. 4). Significant differences in benthivory were found in the trophic
guilds of benthivores and piscivores, though not in planktivores, indicative of a lesser response of planktivory to
regime shifts. Benthivores and planktivores did not show
a significant difference in trophic position among regimes,
while the trophic position of piscivores was significantly
lower in the turbid regimes (Fig. 4)</t>
  </si>
  <si>
    <t xml:space="preserve">Spatiotemporal </t>
  </si>
  <si>
    <t>δ13C and δ15N isotopes; benthivory of pscivores</t>
  </si>
  <si>
    <t>benthivory = (δ13Cfish − δ13Cmussel)/(δ13Csnail − δ13Cmussel)</t>
  </si>
  <si>
    <t>trophic position = δ15Nfish − [δ15Nmussel × (1 − benthivory) + δ15Nsnail × benthivory]/3.4 + 2.0</t>
  </si>
  <si>
    <t>Fish benthivory and trophic position varied substantially among species (Fig. 3). There were significant differences in mean benthivory and trophic position in the effects of
alternative regimes at the community level (Fig. 4). Significant differences in benthivory were found in the trophic guilds of benthivores and piscivores, though not in planktivores, indicative of a lesser response of planktivory to regime shifts. Benthivores and planktivores did not show a significant difference in trophic position among regimes, while the trophic position of piscivores was significantly lower in the turbid regimes (Fig. 4)</t>
  </si>
  <si>
    <t>The Santa Barbara Coastal Long Term Ecological Research (SBC LTER) site</t>
  </si>
  <si>
    <t>Whole community</t>
  </si>
  <si>
    <t>Storm frequency</t>
  </si>
  <si>
    <t>Linkages within a food chain</t>
  </si>
  <si>
    <t>Addition/Insertion/Omnivory</t>
  </si>
  <si>
    <t xml:space="preserve">Authors used SEM model simulations, and a removal experiment to show that increasing the frequency of strong kelp-removing storms to at least one every year has the potential to simplify food webs in southern California kelp forests. The authors found that a single storm will result in some species loss at higher trophic levels, but that intraguild predation will also be reduced leading to less reticulate food webs at higher trophic levels. Higher trophic levels did not disappear after initial kelp loss, but rather diversity within these higher trophic levels declined. As storms continued year after year, food webs began to collapse and the richness of species, whether grouped by trophic level or functional attributes, declined (Table 2). Overall, the SEM results and simulations show that the system should become simpler and more homogeneous with repeated strorms but results from their kelp removal experiment showed that trophic height did not change. </t>
  </si>
  <si>
    <t>Table 2; Table 2</t>
  </si>
  <si>
    <t xml:space="preserve">SEM </t>
  </si>
  <si>
    <t>&gt;0.05</t>
  </si>
  <si>
    <t>The Usumacinta River Basin - Mesoamerica</t>
  </si>
  <si>
    <t>δ13C and δ15N isotopes; TP of apical predator in the community</t>
  </si>
  <si>
    <t>Macroinvertebrates and plankton</t>
  </si>
  <si>
    <t>3.4 (±0.98 SD)</t>
  </si>
  <si>
    <t>0.39 (±1.3 SD)</t>
  </si>
  <si>
    <t>G. sexradiata</t>
  </si>
  <si>
    <t>d = [M(La Pasion) – M(San Pedro)/ SD(pooled)] x [sqrt((N(La Pasion) + N(San Pedro))/ (N(La Pasion) x N(San Pedro))]
Given the values you provided:
M(La Pasion) = 11.7 
M(San Pedro) =12.47
SD(pooled) = 1.178 
N(La Pasion) = 30 
N(San Pedro)= 18
Now you can calculate Cohen's d with the adjusted formula:
d = [(11.7 - 12.47)/1.178] x [sqrt((30+18)/(30x18)] = -0.651</t>
  </si>
  <si>
    <t>San Pedro: 18; La Pasion: 30</t>
  </si>
  <si>
    <t>d = [M(La Pasion) – M(San Pedro) / SD(pooled)] x [sqrt((N(La Pasion) + N(San Pedro)) / (N(La Pasion) x N(San Pedro)))]
Given the values you provided for delta 13C of G. sexradiata:
Mean for La Pasion (M(La Pasion)) = -28.71
Mean for San Pedro (M(San Pedro)) = -31.95
Sample size for La Pasion (N(La Pasion)) = 30
Sample size for San Pedro (N(San Pedro)) = 18
To calculate the pooled standard deviation (SD(pooled)):
SD(pooled) = sqrt((SD(La Pasion)^2 + SD(San Pedro)^2) / 2)
SD(La Pasion) = 2.17
SD(San Pedro) = 1.4
SD(pooled) = sqrt((2.17^2 + 1.4^2) / 2) ≈ 1.835
Now, you can calculate Cohen's d with the adjusted formula:
d = [(-28.71 - (-31.95)) / 1.835] x [sqrt((30 + 18) / (30 x 18))] ≈ 1.031</t>
  </si>
  <si>
    <t>tRophicPosition package in R (Posterior trophic position)</t>
  </si>
  <si>
    <t>tRophicPosition package in R (Posterior alpha)</t>
  </si>
  <si>
    <t xml:space="preserve">In the high impact river (LPR), Pterygoplichthys was captured at every survey site and had greater CPUE than native fish, except for G. sexradiata (Table 1). In low impact river (SPR), Pterygoplichthys was rare, with a relative frequency of 0.4 and negligible CPUE compared with those of native species. Authors found that estimated posterior alpha of the apical predator in both river systems (G. sexradiata) was higher in La Pasion river sites (high impact) than in San Pedro river sites (low impact), which indicates a greater reliance on water column derived carbon (i.e., increased resource coupling) in the presence of the invasive Pterygoplichthys fish. Authors attribute this shift to increased competition for benthic derived carbon (macroinverts) and a diet shift in the native top predator. </t>
  </si>
  <si>
    <t>In the high impact river (LPR), Pterygoplichthys was captured at every survey site and had greater CPUE than native fish, except for G. sexradiata (Table 1). In low impact river (SPR), Pterygoplichthys was rare, with a relative frequency of 0.4 and negligible CPUE compared with those of native species. Authors found that estimated trophic position of the apical predator in both river systems (G. sexradiata) was higher in La Pasion river sites (high impact) than in San Pedro river sites (low impact).  Authors attribute this shift to a change in diet towards higher trophic organisms from the water column habitat compartment as opposed to lower trophic organisms in the benthic compartment</t>
  </si>
  <si>
    <t>San Pedro: 18; La Pasion: 31</t>
  </si>
  <si>
    <t>Figure 4; Table S3</t>
  </si>
  <si>
    <t>Spatiotemporal (1998-2015)</t>
  </si>
  <si>
    <t>Eggs</t>
  </si>
  <si>
    <t>3.21‰</t>
  </si>
  <si>
    <t>Calanus hyperboreus</t>
  </si>
  <si>
    <t xml:space="preserve">The average trophic position of both thick‐billed murres and northern fulmars was positively influenced by average sea‐ice concentration across long term study (1998-2015). Although no trends in sea-ice were observed over time, correlation between annual TP and sea-ice concentration showed that trophic position of murres and fulmars increased with higher concentration of ice (F3,18 = 8.80, p = 0.002). </t>
  </si>
  <si>
    <t>Figure 6b</t>
  </si>
  <si>
    <t>F = 0.99</t>
  </si>
  <si>
    <t>TBMU = 10; NOFU = 12</t>
  </si>
  <si>
    <t xml:space="preserve">Thick-billed murre and northern fulmars </t>
  </si>
  <si>
    <t>TPconsumer = TPbase + (15Nconsumer −_x001E_15Nbase)/ TDF</t>
  </si>
  <si>
    <t>δ13C and δ15N isotopes;  the annual mean trophic position each year calculated from northern fulmar (NOFU) and thick‐billed murre (TBMU) eggs collected at Prince Leopold Island, NU, between 1998 and 2015</t>
  </si>
  <si>
    <t>Prince Leopold Island, NU</t>
  </si>
  <si>
    <t>Flesh-footed Shearwaters (Puffinus carneipes)</t>
  </si>
  <si>
    <t xml:space="preserve">Western and South Australia </t>
  </si>
  <si>
    <t>Temporal (1936-2011)</t>
  </si>
  <si>
    <t>Climate Change</t>
  </si>
  <si>
    <t>δ13C and δ15N isotopes;  trophic position of sea birds during three different time periods</t>
  </si>
  <si>
    <t xml:space="preserve">Authors did not use baselines because it is impossible to retrospectively acquire baseline samples from the 1930s. However they found that the 15N signature of shearwater sea birds declined approximately 3.4‰ over 75 years, a value greater than any sea bird study to date and is argued to be a larger shift than expected changes in baseline signatures alone. This decline is consistent with increasing El Nino events as well as increased temperatures under climate change. Authors also found a significant shift in the SEAb of shearwaters, indicating greater diet generalism that has potentially contributed to the decline in trophic position. </t>
  </si>
  <si>
    <t>Weighted regression estimate = -0.014</t>
  </si>
  <si>
    <t>standardized effect size = weighted estimate/unconditional standard erorr</t>
  </si>
  <si>
    <t>119 samples (9 from early; 33 from mid; 77 from late time period)</t>
  </si>
  <si>
    <t>Stability of Altered Forest Ecosystems (SAFE) Project in Sabah,
Malaysian Borneo.</t>
  </si>
  <si>
    <t>Tropical Forest</t>
  </si>
  <si>
    <t>Insectivorous bats</t>
  </si>
  <si>
    <t>Forest degredation</t>
  </si>
  <si>
    <t xml:space="preserve">Wing membrane </t>
  </si>
  <si>
    <t>There was also a
significant increase in mean trophic position with decrease in canopy
height (LME, F1,21 = 13.67, p = 0.001, n = 26)</t>
  </si>
  <si>
    <t>F =13.67</t>
  </si>
  <si>
    <t>δ13C and δ15N isotopes;  log mean trophic position of insectivorous bats</t>
  </si>
  <si>
    <t>Post 2002 TP model( Trophic Position = 1 + _x001F_bat wing δ15N − C3 plant δ15N_x001E_∕3.4)</t>
  </si>
  <si>
    <t>C3 terrestrial plants</t>
  </si>
  <si>
    <t>Effect Size = Slope Coefficient / Standard Error
Effect Size = -0.009 / 0.002 = -4.5</t>
  </si>
  <si>
    <t xml:space="preserve">Figure 1b (figure caption has statistical details for effect size calculation) </t>
  </si>
  <si>
    <t xml:space="preserve">Effect Size=  Estimate/Standard Error
Here are the calculated effect sizes for each species:
Pacific Herring:
Effect Size: 0.009 / 0.052 ≈ 0.173
English Sole:
Effect Size: 0.031 / 0.040 = 0.775
Walleye Pollock:
Effect Size: 0.002 / 0.052 ≈ 0.038
Pacific Hake:
Effect Size: -0.061 / 0.075 ≈ -0.813
Copper Rockfish:
Effect Size: 0.172 / 0.048 ≈ 3.583
Average Effect Size= (0.173 + 0.775 + 0.038 − 0.813 + 3.583)/5 ≈ 0.5516
</t>
  </si>
  <si>
    <t xml:space="preserve">Pacific Herring: 0.842
English Sole:0.443
Walleye Pollock:0.975
Pacific Hake:0.416
Copper Rockfish:0.001
</t>
  </si>
  <si>
    <t>Bradley et al. 2015 TP model for CSIA-AA: Trophic position = {[(δ15NGLU − δ15NPHE)− (3.6‰)] / 5.7‰} + 1</t>
  </si>
  <si>
    <t>we initially expected that
their trophic positions might decline with time, mirroring the decline in Pacific herring and other forage
fishes (Greene et al. 2015, Essington et al. 2021). Our
data suggest that the trophic position of Pacific hake
and walleye pollock did not change across time. We
surmise that, unlike copper rockfish, these fishes are
highly mobile and thus able to acquire sufficient prey
through movement. Whereas copper rockfish are
demersal fish with high site fidelity, Pacific hake and
walleye pollock are pelagic, have low site fidelity,
and are continuous swimmers (Matthews et al. 1986).
The mobility of Pacific hake and walleye pollock
enables these fish to travel further to capture more of
the same prey type when it becomes less abundant,
and increases prey diversity, which may occupy
the same trophic position. We can infer higher levels
of diet plasticity in Pacific hake than copper rockfish,
as the range in trophic positions of Pacific hake
was greater than the range of trophic positions that
we observed for copper rockfish. Therefore, Pacific
hake and walleye pollock might be more successful
at tracking and consuming various forage fish re -
gardless of their declining abundance. Accordingly,
their trophic position might show greater range
but not significantly change across time, as prey
switching even within the same TL might be more
common and/or changes in prey quality might be
less apparent.</t>
  </si>
  <si>
    <t>Southern right whales</t>
  </si>
  <si>
    <t>Southwest  Atlantic (South Africa)</t>
  </si>
  <si>
    <t>Temporal (1990s vs 2010s)</t>
  </si>
  <si>
    <t>δ13C and δ15N values for South African SRW skin samples</t>
  </si>
  <si>
    <t>Skin</t>
  </si>
  <si>
    <t>Zooplankton</t>
  </si>
  <si>
    <t>1.28 ±  0.38‰ for δ13C values and 2.82 ±  0.3‰ for δ15N</t>
  </si>
  <si>
    <t>Figure 6</t>
  </si>
  <si>
    <t>1990s: n =44; 2010s: n = 78</t>
  </si>
  <si>
    <t xml:space="preserve">Mixing models estimated that euphausiids from South Georgia contribute 43% (median, with 95% Bayesian credible intervals: 25%–59%, see Table S8) to the diet of SRWs sampled in the 1990 decade (Figure 6). Smaller di-etary contributions to the 1990 decade were estimated with copepods and euphausiids from Far South (FS) contributing 16% (5%–27%) and euphausiids from Marion Island contributing 14% (1%–27%; Figure 6). Dietary contributions estimated for SRWs sampled in the 2010 decade by the mixing model were complex, with the presence of three bimodal posterior distributions representing two distinct potential outcomes (Figure 6). Specifically, the diets of the SRWs sampled in the 2010 decade either comprised primarily of euphausiids from Marion Island (78%, 0–91%) or both copepods and euphausiids from the PF (7%, 0%–34%) and STC (4%, 0%–63%). All remaining sources used in model M1 had potential contributions of &lt;10%. The mixing models presented  reveal that a northward shift in the foraging of South African SRWs has likely occurred recently. The  findings  of  Tormosov  et  al.  (1998),  which  show  that  SRWs mostly feed on krill when south of 50°S, and copepods when north of 40⁰S, suggest that the northward shift in foraging presented  is likely accompanied by an increasing proportion of copepods in the diet of SRWs. Results are related to effct size of MI_E </t>
  </si>
  <si>
    <t>for 1990 decade: n = 44
for 2010 decade: n = 78
for 1990: 
FS_C_E proportion = 16% (5-27%)
MI_E proportion = 14% (1-27%)
STC_C_E = 6% (0-12%)
PF_C_E = 10%(0-22%)
PF_C = NA
PF_E = NA 
SS_C_E = 6% (0-15%)
SG_E = 43% (25-59%)
SA_C_E = 6% (1-11%)
for 2010s: 
FS_C_E proportion = 2% (0-5%)
MI_E proportion = 78% (0-91%)
STC_C_E = 7% (0-34%)
PF_C_E = 4%(0-63%)
PF_C = NA
PF_E = NA 
SS_C_E = 1% (0-6%)
SG_E = 3% (0-9%)
SA_C_E = 3% (0-10%)                                                                                                                                                                                                                                                                                                                                                                                             Effect Size Calculations:                                                                                                                                                                                                                                                                                                                                                                                                                                                                                                                                                                                                                                                                                                                                                                                                                                                                                                                                                               For FS_C_E proportion:
d_{FS_C_E} = (16% - 2%) / sqrt((5.5% ^ 2 + 2.5% ^ 2) / 2) ≈ 1.16
For MI_E proportion:
d_{MI_E} = (14% - 78%) / sqrt((6.5% ^ 2 + 45.5% ^ 2) / 2) ≈ -2.55
For STC_C_E proportion:
d_{STC_C_E} = (6% - 7%) / sqrt((3% ^ 2 + 17% ^ 2) / 2) ≈ -0.13
For PF_C_E proportion:
d_{PF_C_E} = (10% - 4%) / sqrt((5.5% ^ 2 + 31.5% ^ 2) / 2) ≈ 0.36
For SS_C_E proportion:
d_{SS_C_E} = (6% - 1%) / sqrt((3.75% ^ 2 + 3% ^ 2) / 2) ≈ 1.06
For SG_E proportion:
d_{SG_E} = (43% - 3%) / sqrt((8.5% ^ 2 + 4.5% ^ 2) / 2) ≈ 4.21
For SA_C_E proportion:
d_{SA_C_E} = (6% - 3%) / sqrt((2.5% ^ 2 + 5% ^ 2) / 2) ≈ 0.98</t>
  </si>
  <si>
    <t>Variance of d</t>
  </si>
  <si>
    <t>Parana River Basin, South America</t>
  </si>
  <si>
    <t xml:space="preserve">3.4‰ </t>
  </si>
  <si>
    <t>Riparian plants, and aquatic inverts (zooplankton, bivalves and snails)</t>
  </si>
  <si>
    <t>Damming</t>
  </si>
  <si>
    <t>δ13C and δ15N values for apex predator</t>
  </si>
  <si>
    <t xml:space="preserve">Post 2002 TP model( Trophic Position = 1 + _x001F_bat wing δ15N − C3 plant δ15N_x001E_∕3.4); Food-chain length was compared among classes within each category independently using analysis of variance (ANOVA). Categories with significant effects in independent tests were included in a multiple regression analysis to determine the relative variance in food-chain length explained by each category. </t>
  </si>
  <si>
    <t>Minnesota, USA</t>
  </si>
  <si>
    <t>Invasive species (zebra mussels)</t>
  </si>
  <si>
    <t>trophic position= λ + (δ15Nsecondary consumer − [δ15Nlittoral base × α + δ15Npelagic base × (1 − α)])/ΔN</t>
  </si>
  <si>
    <t xml:space="preserve">α = (δ13Cpelagic base − δ13Csecondary consumer + Δtsc)/(δ13Cpelagic base − δ13Clittoral base)                                                                                                                                                                                                                                 </t>
  </si>
  <si>
    <t>Zooplankton and littoral macroinvertebrates</t>
  </si>
  <si>
    <t xml:space="preserve">River impoundment resulted in longer food chains in the upstream reservoir environment, and greater variation in food-chain length in river segments immediately below impoundments than observed for either natural low-gradient or high-gradient rivers. Food-chain length  differed among aquatic ecosystem types in independent analyses (F3,6=7.02, p=0.022, Fig. 2). Post-hoc comparisons among ecosystem types found reservoir food-chains to be significantly longer than those of high-gradient rivers (p=0.017), and marginally significantly longer than those of low-gradient rivers (p=0.092). Within-habitat variation in food-chain length was greater for river stretches below reservoirs than the other ecosystem types (Table 1, Fig. 2). </t>
  </si>
  <si>
    <t>Figure 6a</t>
  </si>
  <si>
    <t>Figure 3e</t>
  </si>
  <si>
    <t>Northern Pike</t>
  </si>
  <si>
    <t xml:space="preserve">Mixing model estimates of proportion of littoral C in fish diets were similar to results for BC δ13C in invertebrate secondary consumers in that 10 of 11 species of fish had a higher reliance on littoral C in Lake Carlos compared to Lake Ida. Black crappie (Pomoxis nigromaculatus, Centrarchidae), bluegill, bluntnose minnow, largemouth bass (Micropterus salmoides, Centrarchidae), northern pike (Esox lucius, Esocidae), pumpkinseed (Lepomis gibbosus, Centrarchidae), smallmouth bass (Micropterus dolomieu, Centrarchidae), walleye and yellow bullhead (Ameiurus natalus, Ictaluridae) all had higher proportions of littoral C in their diets in Lake Carlos compared to Lake Ida, while fish length did not influence proportion of littoral C in any of these species. </t>
  </si>
  <si>
    <t>Northern pike was the apex predator and held the trophic position in lake Ida and lake Carlos</t>
  </si>
  <si>
    <t>Scioto and Olentangy Rivers, Ohio (OH), USA</t>
  </si>
  <si>
    <t>Forest</t>
  </si>
  <si>
    <t>Southern Ontario, Canada</t>
  </si>
  <si>
    <t>Temporal (130 yrs)</t>
  </si>
  <si>
    <t>Eastern whip-poor-wills (Antrostomus vociferus)</t>
  </si>
  <si>
    <t>Biston betularia, a widespread herbivorous moth; Phyllophaga anxia, a herbivorous beetle;  and Colymbetes sculptilis a small species of predacious diving beetle</t>
  </si>
  <si>
    <t>Feathers and claws</t>
  </si>
  <si>
    <t>δ15N values of insectivorous whip-poor-wills</t>
  </si>
  <si>
    <t xml:space="preserve">Figure 3a&amp;b </t>
  </si>
  <si>
    <t>Using museum tissues, authors found a decline of 1.4–2.8‰ in d15N values of whip-poor-will tissues over the past 130 years. This result, coupled with the comparative stability of d15N values in insect tissues, is consistent with contemporary whip-poorwill
populations feeding lower in the food web than in the past. This pattern was observed in both adult and juveniles and was slightly stronger on the breeding grounds than on the wintering grounds. Authors suggest that birds may  feed on lower trophic level lepidopteran prey when the availability of higher trophic level prey is reduced in the presence of habitat loss</t>
  </si>
  <si>
    <t>Deforestation</t>
  </si>
  <si>
    <t xml:space="preserve">Mixed effects models </t>
  </si>
  <si>
    <t>The TP of C. carassius was significantly lower in allopatry than when in sympatry with Cy. carpio (p &lt; 0.01). This shift was, however, not apparent when they were sympatric with C. auratus (p = 0.53; Table 3; Figure 1).</t>
  </si>
  <si>
    <t>Given data for C. carassius:
Allopatric C. carassius: Mean TP = 4.65, SD = 0.05
Sympatric with C. auratus: Mean TP = 4.69, SD = 0.06
Calculate the pooled standard deviation (SD) for sympatry with C. auratus:
Pooled, C. auratus:
= (0.052 * (18 - 1) + 0.062 * (12 - 1)) / ((18 - 1) + (12 - 1))
= (0.002025 * 17 + 0.0036 * 11) / (17 + 11)
= (0.034425 + 0.0396) / 28
= 0.074025 / 28
≈ 0.0956
Calculate Cohen's d for C. auratus:
C. auratus:
= (4.69 - 4.65) / 0.0956
≈ 0.4184
Cohen's d for Sympatry with Cy. carpio:
Given data for C. carassius:
Allopatric C. carassius: Mean TP = 4.65, SD = 0.05
Sympatric with Cy. carpio: Mean TP = 5.07, SD = 0.06
Calculate the pooled standard deviation (SD) for sympatry with Cy. carpio:
Pooled, Cy. carpio:
= (0.052 * (18 - 1) + 0.062 * (11 - 1)) / ((18 - 1) + (11 - 1))
= (0.002025 * 17 + 0.0036 * 10) / (17 + 10)
= (0.034425 + 0.036) / 27
= 0.070425 / 27
≈ 0.0931
Calculate Cohen's d for Cy. carpio:
Cy. carpio:
= (5.07 - 4.65) / 0.0931
≈ 4.51                                                                                                                                                                                                                                                                                                                                                                            For Sympatry with C. auratus: Cohen's d ≈ 0.4184
For Sympatry with Cy. carpio: Cohen's d ≈ 4.51
Now, calculate the average effect size:
Averaged = (0.4184 + 4.51) / 2
Averaged = (4.9284) / 2
Averaged ≈ 2.4642</t>
  </si>
  <si>
    <t>North west Europe</t>
  </si>
  <si>
    <t>Crucian carp (Carassius carassius)</t>
  </si>
  <si>
    <t>Invasive species (carp)</t>
  </si>
  <si>
    <t>δ15N values of C. carassius</t>
  </si>
  <si>
    <t xml:space="preserve">Macroinvertebrates </t>
  </si>
  <si>
    <t>Table 2; Table 3; Figure 1</t>
  </si>
  <si>
    <t>Pairwise comparisons (with Bonferroni adjustment for multiple comparisons) tested the significance of the difference between the allopatric treatment and the sympatric treatments</t>
  </si>
  <si>
    <t>Mixed effects models; TP = [(d15N - d15Nbase)/3.4] + 2</t>
  </si>
  <si>
    <t>Yakima River Basin, Washington, USA</t>
  </si>
  <si>
    <t>Ontario, Canada</t>
  </si>
  <si>
    <t>Lake herring, C. artedi</t>
  </si>
  <si>
    <t>TP = prop species j in diet x trophic position of species j + 1</t>
  </si>
  <si>
    <t>TP of all zooplankton taxa weighted
by their proportional contribution to annual average
biomass estimates</t>
  </si>
  <si>
    <t>TP of all zooplankton taxa weighted by their proportional contribution to annual average biomass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</si>
</sst>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amily val="2"/>
    </font>
    <font>
      <u/>
      <sz val="10"/>
      <color theme="10"/>
      <name val="Arial"/>
      <family val="2"/>
      <scheme val="minor"/>
    </font>
    <font>
      <sz val="8"/>
      <name val="Arial"/>
      <family val="2"/>
      <scheme val="minor"/>
    </font>
    <font>
      <sz val="11"/>
      <color theme="1"/>
      <name val="Arial Nova Light"/>
      <family val="2"/>
    </font>
    <font>
      <sz val="11"/>
      <color rgb="FF000000"/>
      <name val="Arial Nova Light"/>
      <family val="2"/>
    </font>
    <font>
      <u/>
      <sz val="11"/>
      <color theme="10"/>
      <name val="Arial Nova Light"/>
      <family val="2"/>
    </font>
    <font>
      <u/>
      <sz val="11"/>
      <color rgb="FF0000FF"/>
      <name val="Arial Nova Light"/>
      <family val="2"/>
    </font>
    <font>
      <b/>
      <sz val="11"/>
      <color theme="1"/>
      <name val="Arial Nova Light"/>
      <family val="2"/>
    </font>
    <font>
      <b/>
      <sz val="11"/>
      <color rgb="FF000000"/>
      <name val="Arial Nova Light"/>
      <family val="2"/>
    </font>
    <font>
      <sz val="11"/>
      <name val="Arial Nova Light"/>
      <family val="2"/>
    </font>
    <font>
      <u/>
      <sz val="11"/>
      <name val="Arial Nova Light"/>
      <family val="2"/>
    </font>
    <font>
      <sz val="11"/>
      <color rgb="FF000000"/>
      <name val="Arial Nova"/>
    </font>
  </fonts>
  <fills count="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xf numFmtId="0" fontId="5" fillId="0" borderId="0" xfId="0" applyFont="1" applyAlignment="1">
      <alignment vertical="top" wrapText="1"/>
    </xf>
    <xf numFmtId="0" fontId="5" fillId="0" borderId="0" xfId="0" applyFont="1" applyAlignment="1">
      <alignment horizontal="right" vertical="top" wrapText="1"/>
    </xf>
    <xf numFmtId="0" fontId="8" fillId="0" borderId="0" xfId="0" applyFont="1" applyAlignment="1">
      <alignment vertical="top" wrapText="1"/>
    </xf>
    <xf numFmtId="0" fontId="4" fillId="0" borderId="0" xfId="0" applyFont="1" applyAlignment="1">
      <alignment vertical="top" wrapText="1"/>
    </xf>
    <xf numFmtId="0" fontId="6" fillId="0" borderId="0" xfId="1" applyFont="1" applyAlignment="1">
      <alignment vertical="top" wrapText="1"/>
    </xf>
    <xf numFmtId="0" fontId="7" fillId="0" borderId="0" xfId="0" applyFont="1" applyAlignment="1">
      <alignment vertical="top" wrapText="1"/>
    </xf>
    <xf numFmtId="0" fontId="9" fillId="0" borderId="0" xfId="0" applyFont="1" applyAlignment="1">
      <alignment vertical="top" wrapText="1"/>
    </xf>
    <xf numFmtId="0" fontId="2" fillId="0" borderId="0" xfId="1" applyAlignment="1">
      <alignment vertical="top" wrapText="1"/>
    </xf>
    <xf numFmtId="10" fontId="5" fillId="0" borderId="0" xfId="0" applyNumberFormat="1" applyFont="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7" fillId="2" borderId="0" xfId="0" applyFont="1" applyFill="1" applyAlignment="1">
      <alignment vertical="top" wrapText="1"/>
    </xf>
    <xf numFmtId="0" fontId="6" fillId="2" borderId="0" xfId="1" applyFont="1" applyFill="1" applyAlignment="1">
      <alignment vertical="top" wrapText="1"/>
    </xf>
    <xf numFmtId="0" fontId="9" fillId="3" borderId="0" xfId="0" applyFont="1" applyFill="1" applyAlignment="1">
      <alignment vertical="top" wrapText="1"/>
    </xf>
    <xf numFmtId="0" fontId="4" fillId="3" borderId="0" xfId="0" applyFont="1" applyFill="1" applyAlignment="1">
      <alignment vertical="top" wrapText="1"/>
    </xf>
    <xf numFmtId="0" fontId="5" fillId="3" borderId="0" xfId="0" applyFont="1" applyFill="1" applyAlignment="1">
      <alignment vertical="top" wrapText="1"/>
    </xf>
    <xf numFmtId="0" fontId="7" fillId="3" borderId="0" xfId="0" applyFont="1" applyFill="1" applyAlignment="1">
      <alignment vertical="top" wrapText="1"/>
    </xf>
    <xf numFmtId="0" fontId="2" fillId="0" borderId="0" xfId="1" applyFill="1" applyAlignment="1">
      <alignment vertical="top" wrapText="1"/>
    </xf>
    <xf numFmtId="0" fontId="4" fillId="4" borderId="0" xfId="0" applyFont="1" applyFill="1" applyAlignment="1">
      <alignment vertical="top" wrapText="1"/>
    </xf>
    <xf numFmtId="0" fontId="5" fillId="4" borderId="0" xfId="0" applyFont="1" applyFill="1" applyAlignment="1">
      <alignment vertical="top" wrapText="1"/>
    </xf>
    <xf numFmtId="0" fontId="7" fillId="4"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wrapText="1"/>
    </xf>
    <xf numFmtId="0" fontId="12"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x.doi.org/10.3354/meps10609" TargetMode="External"/><Relationship Id="rId1" Type="http://schemas.openxmlformats.org/officeDocument/2006/relationships/hyperlink" Target="http://dx.doi.org/10.1098/rspb.2019.22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084"/>
  <sheetViews>
    <sheetView workbookViewId="0">
      <pane xSplit="1" ySplit="1" topLeftCell="C2" activePane="bottomRight" state="frozen"/>
      <selection pane="topRight" activeCell="B1" sqref="B1"/>
      <selection pane="bottomLeft" activeCell="A2" sqref="A2"/>
      <selection pane="bottomRight" activeCell="F71" sqref="F71"/>
    </sheetView>
  </sheetViews>
  <sheetFormatPr baseColWidth="10" defaultColWidth="12.6640625" defaultRowHeight="45" customHeight="1" x14ac:dyDescent="0.15"/>
  <cols>
    <col min="1" max="1" width="19" style="2" customWidth="1"/>
    <col min="2" max="2" width="8" style="2" customWidth="1"/>
    <col min="3" max="3" width="13.83203125" style="2" customWidth="1"/>
    <col min="4" max="4" width="18.1640625" style="2" customWidth="1"/>
    <col min="5" max="5" width="14.1640625" style="2" bestFit="1" customWidth="1"/>
    <col min="6" max="6" width="51.6640625" style="2" customWidth="1"/>
    <col min="7" max="7" width="12.1640625" style="2" customWidth="1"/>
    <col min="8" max="8" width="13.1640625" style="2" customWidth="1"/>
    <col min="9" max="9" width="11.5" style="2" customWidth="1"/>
    <col min="10" max="10" width="15" style="2" customWidth="1"/>
    <col min="11" max="11" width="12.1640625" style="2" customWidth="1"/>
    <col min="12" max="12" width="10.5" style="2" customWidth="1"/>
    <col min="13" max="13" width="8.83203125" style="2" customWidth="1"/>
    <col min="14" max="14" width="16.1640625" style="2" customWidth="1"/>
    <col min="15" max="15" width="15.83203125" style="2" customWidth="1"/>
    <col min="16" max="16" width="13.83203125" style="2" customWidth="1"/>
    <col min="17" max="17" width="10.5" style="2" customWidth="1"/>
    <col min="18" max="18" width="10.1640625" style="2" customWidth="1"/>
    <col min="19" max="22" width="12.6640625" style="2"/>
    <col min="23" max="23" width="32" style="2" customWidth="1"/>
    <col min="24" max="27" width="12.6640625" style="2"/>
    <col min="28" max="29" width="13.5" style="2" bestFit="1" customWidth="1"/>
    <col min="30" max="30" width="13.5" style="2" customWidth="1"/>
    <col min="31" max="37" width="12.6640625" style="2"/>
    <col min="38" max="48" width="8" style="2" customWidth="1"/>
    <col min="49" max="16384" width="12.6640625" style="2"/>
  </cols>
  <sheetData>
    <row r="1" spans="1:48" s="8" customFormat="1" ht="45" customHeight="1" x14ac:dyDescent="0.15">
      <c r="A1" s="4" t="s">
        <v>0</v>
      </c>
      <c r="B1" s="4" t="s">
        <v>18474</v>
      </c>
      <c r="C1" s="4" t="s">
        <v>1</v>
      </c>
      <c r="D1" s="4" t="s">
        <v>2</v>
      </c>
      <c r="E1" s="4" t="s">
        <v>18426</v>
      </c>
      <c r="F1" s="4" t="s">
        <v>5</v>
      </c>
      <c r="G1" s="4" t="s">
        <v>18427</v>
      </c>
      <c r="H1" s="4" t="s">
        <v>18428</v>
      </c>
      <c r="I1" s="4" t="s">
        <v>18429</v>
      </c>
      <c r="J1" s="4" t="s">
        <v>18430</v>
      </c>
      <c r="K1" s="4" t="s">
        <v>18855</v>
      </c>
      <c r="L1" s="4" t="s">
        <v>18431</v>
      </c>
      <c r="M1" s="4" t="s">
        <v>18432</v>
      </c>
      <c r="N1" s="4" t="s">
        <v>18433</v>
      </c>
      <c r="O1" s="4" t="s">
        <v>18434</v>
      </c>
      <c r="P1" s="4" t="s">
        <v>18435</v>
      </c>
      <c r="Q1" s="4" t="s">
        <v>18436</v>
      </c>
      <c r="R1" s="8" t="s">
        <v>18437</v>
      </c>
      <c r="S1" s="8" t="s">
        <v>18438</v>
      </c>
      <c r="T1" s="8" t="s">
        <v>18439</v>
      </c>
      <c r="U1" s="8" t="s">
        <v>18440</v>
      </c>
      <c r="V1" s="8" t="s">
        <v>18441</v>
      </c>
      <c r="W1" s="8" t="s">
        <v>18442</v>
      </c>
      <c r="X1" s="8" t="s">
        <v>18443</v>
      </c>
      <c r="Y1" s="8" t="s">
        <v>18444</v>
      </c>
      <c r="Z1" s="8" t="s">
        <v>18445</v>
      </c>
      <c r="AA1" s="8" t="s">
        <v>18446</v>
      </c>
      <c r="AB1" s="8" t="s">
        <v>18447</v>
      </c>
      <c r="AC1" s="8" t="s">
        <v>18811</v>
      </c>
      <c r="AD1" s="8" t="s">
        <v>18986</v>
      </c>
      <c r="AE1" s="8" t="s">
        <v>18776</v>
      </c>
      <c r="AF1" s="8" t="s">
        <v>18448</v>
      </c>
      <c r="AG1" s="8" t="s">
        <v>18449</v>
      </c>
      <c r="AH1" s="8" t="s">
        <v>18791</v>
      </c>
      <c r="AI1" s="8" t="s">
        <v>18450</v>
      </c>
      <c r="AJ1" s="8" t="s">
        <v>18451</v>
      </c>
      <c r="AK1" s="8" t="s">
        <v>18452</v>
      </c>
      <c r="AL1" s="4" t="s">
        <v>14</v>
      </c>
      <c r="AM1" s="4" t="s">
        <v>6</v>
      </c>
      <c r="AN1" s="4" t="s">
        <v>7</v>
      </c>
      <c r="AO1" s="4" t="s">
        <v>8</v>
      </c>
      <c r="AP1" s="4" t="s">
        <v>9</v>
      </c>
      <c r="AQ1" s="4" t="s">
        <v>10</v>
      </c>
      <c r="AR1" s="4" t="s">
        <v>11</v>
      </c>
      <c r="AS1" s="4" t="s">
        <v>12</v>
      </c>
      <c r="AT1" s="4" t="s">
        <v>3</v>
      </c>
      <c r="AU1" s="4" t="s">
        <v>4</v>
      </c>
      <c r="AV1" s="4" t="s">
        <v>13</v>
      </c>
    </row>
    <row r="2" spans="1:48" ht="45" customHeight="1" x14ac:dyDescent="0.15">
      <c r="A2" s="5" t="s">
        <v>18507</v>
      </c>
      <c r="B2" s="5">
        <v>2019</v>
      </c>
      <c r="C2" s="5" t="s">
        <v>18508</v>
      </c>
      <c r="D2" s="5" t="s">
        <v>296</v>
      </c>
      <c r="E2" s="5" t="s">
        <v>18453</v>
      </c>
      <c r="F2" s="5" t="s">
        <v>18509</v>
      </c>
      <c r="G2" s="5" t="s">
        <v>18454</v>
      </c>
      <c r="H2" s="5" t="s">
        <v>18510</v>
      </c>
      <c r="I2" s="5" t="s">
        <v>18511</v>
      </c>
      <c r="J2" s="5" t="s">
        <v>18512</v>
      </c>
      <c r="K2" s="5" t="s">
        <v>18854</v>
      </c>
      <c r="L2" s="5" t="s">
        <v>18480</v>
      </c>
      <c r="M2" s="5" t="s">
        <v>18460</v>
      </c>
      <c r="N2" s="5" t="s">
        <v>18481</v>
      </c>
      <c r="O2" s="5" t="s">
        <v>18462</v>
      </c>
      <c r="P2" s="5" t="s">
        <v>18513</v>
      </c>
      <c r="Q2" s="5" t="s">
        <v>18514</v>
      </c>
      <c r="R2" s="2" t="s">
        <v>18515</v>
      </c>
      <c r="S2" s="2" t="s">
        <v>18465</v>
      </c>
      <c r="T2" s="2" t="s">
        <v>18516</v>
      </c>
      <c r="U2" s="2" t="s">
        <v>18517</v>
      </c>
      <c r="V2" s="2" t="s">
        <v>18500</v>
      </c>
      <c r="W2" s="2" t="s">
        <v>18518</v>
      </c>
      <c r="X2" s="2" t="s">
        <v>18489</v>
      </c>
      <c r="Y2" s="2" t="s">
        <v>18519</v>
      </c>
      <c r="Z2" s="2">
        <v>4.5999999999999999E-2</v>
      </c>
      <c r="AA2" s="2">
        <v>0.31</v>
      </c>
      <c r="AB2" s="2">
        <f>SQRT(AA2)</f>
        <v>0.55677643628300222</v>
      </c>
      <c r="AC2" s="2">
        <f>2*AB2/SQRT(1-(AB2^2))</f>
        <v>1.3405601251996728</v>
      </c>
      <c r="AF2" s="2" t="s">
        <v>18520</v>
      </c>
      <c r="AG2" s="2">
        <v>0.06</v>
      </c>
      <c r="AI2" s="2">
        <v>0.03</v>
      </c>
      <c r="AL2" s="6" t="s">
        <v>18521</v>
      </c>
      <c r="AM2" s="5"/>
      <c r="AN2" s="5"/>
      <c r="AO2" s="5"/>
      <c r="AP2" s="5"/>
      <c r="AQ2" s="5"/>
      <c r="AR2" s="5"/>
      <c r="AS2" s="5"/>
      <c r="AT2" s="5"/>
      <c r="AU2" s="5"/>
      <c r="AV2" s="5"/>
    </row>
    <row r="3" spans="1:48" s="12" customFormat="1" ht="45" customHeight="1" x14ac:dyDescent="0.15">
      <c r="A3" s="11" t="s">
        <v>18522</v>
      </c>
      <c r="B3" s="11">
        <v>2014</v>
      </c>
      <c r="C3" s="11" t="s">
        <v>18523</v>
      </c>
      <c r="D3" s="11" t="s">
        <v>49</v>
      </c>
      <c r="E3" s="11" t="s">
        <v>18453</v>
      </c>
      <c r="F3" s="11" t="s">
        <v>18524</v>
      </c>
      <c r="G3" s="11" t="s">
        <v>18475</v>
      </c>
      <c r="H3" s="11" t="s">
        <v>18525</v>
      </c>
      <c r="I3" s="11" t="s">
        <v>18526</v>
      </c>
      <c r="J3" s="11" t="s">
        <v>18527</v>
      </c>
      <c r="K3" s="11" t="s">
        <v>18528</v>
      </c>
      <c r="L3" s="11" t="s">
        <v>18480</v>
      </c>
      <c r="M3" s="11" t="s">
        <v>18460</v>
      </c>
      <c r="N3" s="11" t="s">
        <v>18481</v>
      </c>
      <c r="O3" s="11" t="s">
        <v>18462</v>
      </c>
      <c r="P3" s="11" t="s">
        <v>18529</v>
      </c>
      <c r="Q3" s="11" t="s">
        <v>18530</v>
      </c>
      <c r="R3" s="12" t="s">
        <v>18531</v>
      </c>
      <c r="S3" s="12" t="s">
        <v>18531</v>
      </c>
      <c r="T3" s="12" t="s">
        <v>18531</v>
      </c>
      <c r="U3" s="12" t="s">
        <v>18531</v>
      </c>
      <c r="V3" s="12" t="s">
        <v>18468</v>
      </c>
      <c r="W3" s="12" t="s">
        <v>18532</v>
      </c>
      <c r="X3" s="12" t="s">
        <v>18533</v>
      </c>
      <c r="Y3" s="12" t="s">
        <v>18534</v>
      </c>
      <c r="Z3" s="12" t="s">
        <v>18504</v>
      </c>
      <c r="AF3" s="12" t="s">
        <v>18535</v>
      </c>
      <c r="AL3" s="14" t="s">
        <v>18536</v>
      </c>
      <c r="AM3" s="11"/>
      <c r="AN3" s="11"/>
      <c r="AO3" s="11"/>
      <c r="AP3" s="11"/>
      <c r="AQ3" s="11"/>
      <c r="AR3" s="11"/>
      <c r="AS3" s="11"/>
      <c r="AT3" s="11"/>
      <c r="AU3" s="11"/>
      <c r="AV3" s="11"/>
    </row>
    <row r="4" spans="1:48" ht="45" customHeight="1" x14ac:dyDescent="0.15">
      <c r="A4" s="5" t="s">
        <v>743</v>
      </c>
      <c r="B4" s="5">
        <v>2022</v>
      </c>
      <c r="C4" s="5" t="s">
        <v>744</v>
      </c>
      <c r="D4" s="5" t="s">
        <v>33</v>
      </c>
      <c r="E4" s="5" t="s">
        <v>18453</v>
      </c>
      <c r="F4" s="5" t="s">
        <v>747</v>
      </c>
      <c r="G4" s="5" t="s">
        <v>18454</v>
      </c>
      <c r="H4" s="5" t="s">
        <v>18455</v>
      </c>
      <c r="I4" s="5" t="s">
        <v>18456</v>
      </c>
      <c r="J4" s="5" t="s">
        <v>18457</v>
      </c>
      <c r="K4" s="5" t="s">
        <v>18458</v>
      </c>
      <c r="L4" s="5" t="s">
        <v>18459</v>
      </c>
      <c r="M4" s="5" t="s">
        <v>18460</v>
      </c>
      <c r="N4" s="5" t="s">
        <v>18461</v>
      </c>
      <c r="O4" s="5" t="s">
        <v>18462</v>
      </c>
      <c r="P4" s="5" t="s">
        <v>18463</v>
      </c>
      <c r="Q4" s="5" t="s">
        <v>18464</v>
      </c>
      <c r="R4" s="2" t="s">
        <v>18473</v>
      </c>
      <c r="S4" s="2" t="s">
        <v>18465</v>
      </c>
      <c r="T4" s="2" t="s">
        <v>18466</v>
      </c>
      <c r="U4" s="2" t="s">
        <v>18467</v>
      </c>
      <c r="V4" s="2" t="s">
        <v>18468</v>
      </c>
      <c r="W4" s="2" t="s">
        <v>18469</v>
      </c>
      <c r="X4" s="2" t="s">
        <v>18470</v>
      </c>
      <c r="Y4" s="2" t="s">
        <v>18471</v>
      </c>
      <c r="Z4" s="2">
        <v>5.5999999999999995E-4</v>
      </c>
      <c r="AA4" s="2">
        <v>0.55510000000000004</v>
      </c>
      <c r="AB4" s="2">
        <f>-SQRT(AA4)</f>
        <v>-0.74505033387013531</v>
      </c>
      <c r="AC4" s="2">
        <f>2*AB4/SQRT(1-(AB4^2))</f>
        <v>-2.2340063665851337</v>
      </c>
      <c r="AF4" s="2" t="s">
        <v>18472</v>
      </c>
      <c r="AG4" s="2">
        <v>5.9329999999999999E-3</v>
      </c>
      <c r="AI4" s="2">
        <v>1.3359999999999999E-3</v>
      </c>
      <c r="AL4" s="7" t="str">
        <f>HYPERLINK("http://dx.doi.org/10.1111/gcb.16420","http://dx.doi.org/10.1111/gcb.16420")</f>
        <v>http://dx.doi.org/10.1111/gcb.16420</v>
      </c>
      <c r="AM4" s="5">
        <v>1</v>
      </c>
      <c r="AN4" s="5">
        <v>1</v>
      </c>
      <c r="AO4" s="5">
        <v>28</v>
      </c>
      <c r="AP4" s="5">
        <v>23</v>
      </c>
      <c r="AQ4" s="5">
        <v>7009</v>
      </c>
      <c r="AR4" s="5">
        <v>7022</v>
      </c>
      <c r="AS4" s="5" t="s">
        <v>16</v>
      </c>
      <c r="AT4" s="5" t="s">
        <v>745</v>
      </c>
      <c r="AU4" s="5" t="s">
        <v>746</v>
      </c>
      <c r="AV4" s="5" t="s">
        <v>748</v>
      </c>
    </row>
    <row r="5" spans="1:48" ht="45" customHeight="1" x14ac:dyDescent="0.15">
      <c r="A5" s="5" t="s">
        <v>25</v>
      </c>
      <c r="B5" s="5">
        <v>2021</v>
      </c>
      <c r="C5" s="5" t="s">
        <v>26</v>
      </c>
      <c r="D5" s="5" t="s">
        <v>27</v>
      </c>
      <c r="E5" s="5" t="s">
        <v>18453</v>
      </c>
      <c r="F5" s="5" t="s">
        <v>30</v>
      </c>
      <c r="G5" s="5" t="s">
        <v>18475</v>
      </c>
      <c r="H5" s="5" t="s">
        <v>18476</v>
      </c>
      <c r="I5" s="5" t="s">
        <v>18477</v>
      </c>
      <c r="J5" s="5" t="s">
        <v>18478</v>
      </c>
      <c r="K5" s="5" t="s">
        <v>18479</v>
      </c>
      <c r="L5" s="5" t="s">
        <v>18480</v>
      </c>
      <c r="M5" s="5" t="s">
        <v>18460</v>
      </c>
      <c r="N5" s="5" t="s">
        <v>18481</v>
      </c>
      <c r="O5" s="5" t="s">
        <v>18482</v>
      </c>
      <c r="P5" s="5" t="s">
        <v>18483</v>
      </c>
      <c r="Q5" s="5" t="s">
        <v>18484</v>
      </c>
      <c r="R5" s="2" t="s">
        <v>18485</v>
      </c>
      <c r="S5" s="2" t="s">
        <v>18465</v>
      </c>
      <c r="T5" s="2" t="s">
        <v>18486</v>
      </c>
      <c r="U5" s="2" t="s">
        <v>18487</v>
      </c>
      <c r="V5" s="2" t="s">
        <v>18468</v>
      </c>
      <c r="W5" s="2" t="s">
        <v>18488</v>
      </c>
      <c r="X5" s="2" t="s">
        <v>18489</v>
      </c>
      <c r="Y5" s="2" t="s">
        <v>18490</v>
      </c>
      <c r="Z5" s="2">
        <v>5.0000000000000001E-4</v>
      </c>
      <c r="AA5" s="2">
        <v>0.64</v>
      </c>
      <c r="AB5" s="2">
        <f>-SQRT(AA5)</f>
        <v>-0.8</v>
      </c>
      <c r="AC5" s="2">
        <f>2*AB5/SQRT(1-(AB5^2))</f>
        <v>-2.6666666666666674</v>
      </c>
      <c r="AF5" s="2" t="s">
        <v>18491</v>
      </c>
      <c r="AG5" s="2" t="s">
        <v>18492</v>
      </c>
      <c r="AI5" s="2">
        <v>0.21</v>
      </c>
      <c r="AL5" s="7" t="str">
        <f>HYPERLINK("http://dx.doi.org/10.1002/ecy.3275","http://dx.doi.org/10.1002/ecy.3275")</f>
        <v>http://dx.doi.org/10.1002/ecy.3275</v>
      </c>
      <c r="AM5" s="5">
        <v>22</v>
      </c>
      <c r="AN5" s="5">
        <v>22</v>
      </c>
      <c r="AO5" s="5">
        <v>102</v>
      </c>
      <c r="AP5" s="5">
        <v>3</v>
      </c>
      <c r="AQ5" s="5" t="s">
        <v>16</v>
      </c>
      <c r="AR5" s="5" t="s">
        <v>16</v>
      </c>
      <c r="AS5" s="5" t="s">
        <v>31</v>
      </c>
      <c r="AT5" s="5" t="s">
        <v>28</v>
      </c>
      <c r="AU5" s="5" t="s">
        <v>29</v>
      </c>
      <c r="AV5" s="5" t="s">
        <v>32</v>
      </c>
    </row>
    <row r="6" spans="1:48" ht="45" customHeight="1" x14ac:dyDescent="0.15">
      <c r="A6" s="5" t="s">
        <v>18537</v>
      </c>
      <c r="B6" s="5">
        <v>2022</v>
      </c>
      <c r="C6" s="5" t="s">
        <v>18538</v>
      </c>
      <c r="D6" s="5" t="s">
        <v>18539</v>
      </c>
      <c r="E6" s="5" t="s">
        <v>18540</v>
      </c>
      <c r="F6" s="5" t="s">
        <v>18541</v>
      </c>
      <c r="G6" s="5" t="s">
        <v>18475</v>
      </c>
      <c r="H6" s="5" t="s">
        <v>18525</v>
      </c>
      <c r="I6" s="5" t="s">
        <v>18542</v>
      </c>
      <c r="J6" s="5" t="s">
        <v>18478</v>
      </c>
      <c r="K6" s="5" t="s">
        <v>18543</v>
      </c>
      <c r="L6" s="5" t="s">
        <v>18480</v>
      </c>
      <c r="M6" s="5" t="s">
        <v>18544</v>
      </c>
      <c r="N6" s="5" t="s">
        <v>18481</v>
      </c>
      <c r="O6" s="5" t="s">
        <v>18462</v>
      </c>
      <c r="P6" s="5" t="s">
        <v>18545</v>
      </c>
      <c r="Q6" s="5" t="s">
        <v>18546</v>
      </c>
      <c r="R6" s="2" t="s">
        <v>18547</v>
      </c>
      <c r="S6" s="2" t="s">
        <v>18548</v>
      </c>
      <c r="T6" s="2" t="s">
        <v>18549</v>
      </c>
      <c r="U6" s="2" t="s">
        <v>18550</v>
      </c>
      <c r="V6" s="2" t="s">
        <v>18468</v>
      </c>
      <c r="W6" s="2" t="s">
        <v>18551</v>
      </c>
      <c r="X6" s="2" t="s">
        <v>18552</v>
      </c>
      <c r="Y6" s="2" t="s">
        <v>18553</v>
      </c>
      <c r="Z6" s="2" t="s">
        <v>18554</v>
      </c>
      <c r="AA6" s="2">
        <v>0.74</v>
      </c>
      <c r="AB6" s="2">
        <f>-SQRT(AA6)</f>
        <v>-0.86023252670426265</v>
      </c>
      <c r="AC6" s="2">
        <f>2*AB6/SQRT(1-(AB6^2))</f>
        <v>-3.3741095691478935</v>
      </c>
      <c r="AF6" s="2" t="s">
        <v>18555</v>
      </c>
      <c r="AL6" s="7" t="s">
        <v>18556</v>
      </c>
      <c r="AM6" s="5"/>
      <c r="AN6" s="5"/>
      <c r="AO6" s="5"/>
      <c r="AP6" s="5"/>
      <c r="AQ6" s="5"/>
      <c r="AR6" s="5"/>
      <c r="AS6" s="5"/>
      <c r="AT6" s="5"/>
      <c r="AU6" s="5"/>
      <c r="AV6" s="5"/>
    </row>
    <row r="7" spans="1:48" ht="45" customHeight="1" x14ac:dyDescent="0.15">
      <c r="A7" s="2" t="s">
        <v>18537</v>
      </c>
      <c r="B7" s="2">
        <v>2022</v>
      </c>
      <c r="C7" s="2" t="s">
        <v>18538</v>
      </c>
      <c r="D7" s="2" t="s">
        <v>18539</v>
      </c>
      <c r="E7" s="2" t="s">
        <v>18540</v>
      </c>
      <c r="F7" s="2" t="s">
        <v>18541</v>
      </c>
      <c r="G7" s="2" t="s">
        <v>18475</v>
      </c>
      <c r="H7" s="2" t="s">
        <v>18525</v>
      </c>
      <c r="I7" s="2" t="s">
        <v>18542</v>
      </c>
      <c r="J7" s="2" t="s">
        <v>18478</v>
      </c>
      <c r="K7" s="2" t="s">
        <v>18543</v>
      </c>
      <c r="L7" s="2" t="s">
        <v>18459</v>
      </c>
      <c r="M7" s="2" t="s">
        <v>18544</v>
      </c>
      <c r="N7" s="2" t="s">
        <v>18461</v>
      </c>
      <c r="O7" s="2" t="s">
        <v>18462</v>
      </c>
      <c r="P7" s="2" t="s">
        <v>18545</v>
      </c>
      <c r="Q7" s="2" t="s">
        <v>18557</v>
      </c>
      <c r="R7" s="2" t="s">
        <v>18547</v>
      </c>
      <c r="S7" s="2" t="s">
        <v>18548</v>
      </c>
      <c r="T7" s="2" t="s">
        <v>18549</v>
      </c>
      <c r="U7" s="2" t="s">
        <v>18550</v>
      </c>
      <c r="V7" s="2" t="s">
        <v>18468</v>
      </c>
      <c r="W7" s="2" t="s">
        <v>18558</v>
      </c>
      <c r="X7" s="2" t="s">
        <v>18559</v>
      </c>
      <c r="Y7" s="2" t="s">
        <v>18560</v>
      </c>
      <c r="Z7" s="2" t="s">
        <v>18554</v>
      </c>
      <c r="AA7" s="2">
        <v>0.77</v>
      </c>
      <c r="AB7" s="2">
        <f>-SQRT(AA7)</f>
        <v>-0.87749643873921224</v>
      </c>
      <c r="AC7" s="2">
        <f>2*AB7/SQRT(1-(AB7^2))</f>
        <v>-3.6594131152175331</v>
      </c>
      <c r="AF7" s="2" t="s">
        <v>18555</v>
      </c>
      <c r="AL7" s="2" t="s">
        <v>18556</v>
      </c>
    </row>
    <row r="8" spans="1:48" ht="45" customHeight="1" x14ac:dyDescent="0.15">
      <c r="A8" s="2" t="s">
        <v>309</v>
      </c>
      <c r="B8" s="3">
        <v>2017</v>
      </c>
      <c r="C8" s="2" t="s">
        <v>310</v>
      </c>
      <c r="D8" s="2" t="s">
        <v>190</v>
      </c>
      <c r="E8" s="2" t="s">
        <v>18453</v>
      </c>
      <c r="F8" s="2" t="s">
        <v>311</v>
      </c>
      <c r="G8" s="2" t="s">
        <v>18475</v>
      </c>
      <c r="H8" s="2" t="s">
        <v>18571</v>
      </c>
      <c r="I8" s="2" t="s">
        <v>18572</v>
      </c>
      <c r="J8" s="2" t="s">
        <v>18573</v>
      </c>
      <c r="K8" s="2" t="s">
        <v>18574</v>
      </c>
      <c r="L8" s="2" t="s">
        <v>18480</v>
      </c>
      <c r="M8" s="2" t="s">
        <v>18544</v>
      </c>
      <c r="N8" s="2" t="s">
        <v>18481</v>
      </c>
      <c r="O8" s="2" t="s">
        <v>18575</v>
      </c>
      <c r="P8" s="2" t="s">
        <v>18576</v>
      </c>
      <c r="Q8" s="2" t="s">
        <v>18577</v>
      </c>
      <c r="R8" s="2" t="s">
        <v>18578</v>
      </c>
      <c r="S8" s="2" t="s">
        <v>18579</v>
      </c>
      <c r="T8" s="2" t="s">
        <v>18498</v>
      </c>
      <c r="U8" s="2" t="s">
        <v>18580</v>
      </c>
      <c r="V8" s="2" t="s">
        <v>18468</v>
      </c>
      <c r="W8" s="2" t="s">
        <v>18581</v>
      </c>
      <c r="X8" s="2" t="s">
        <v>18582</v>
      </c>
      <c r="Y8" s="2" t="s">
        <v>18583</v>
      </c>
      <c r="Z8" s="2" t="s">
        <v>18584</v>
      </c>
      <c r="AA8" s="3"/>
      <c r="AC8" s="2">
        <v>-3.9940000000000002</v>
      </c>
      <c r="AF8" s="2" t="s">
        <v>18585</v>
      </c>
      <c r="AI8" s="2" t="s">
        <v>18586</v>
      </c>
      <c r="AK8" s="2" t="s">
        <v>18587</v>
      </c>
      <c r="AL8" s="2" t="s">
        <v>18588</v>
      </c>
      <c r="AM8" s="5"/>
      <c r="AN8" s="5"/>
      <c r="AO8" s="5"/>
      <c r="AP8" s="5"/>
      <c r="AQ8" s="5"/>
      <c r="AR8" s="5"/>
      <c r="AS8" s="5"/>
      <c r="AT8" s="5"/>
      <c r="AU8" s="5"/>
      <c r="AV8" s="5"/>
    </row>
    <row r="9" spans="1:48" ht="45" customHeight="1" x14ac:dyDescent="0.15">
      <c r="A9" s="2" t="s">
        <v>309</v>
      </c>
      <c r="B9" s="3">
        <v>2017</v>
      </c>
      <c r="C9" s="2" t="s">
        <v>310</v>
      </c>
      <c r="D9" s="2" t="s">
        <v>190</v>
      </c>
      <c r="E9" s="2" t="s">
        <v>18453</v>
      </c>
      <c r="F9" s="2" t="s">
        <v>311</v>
      </c>
      <c r="G9" s="2" t="s">
        <v>18475</v>
      </c>
      <c r="H9" s="2" t="s">
        <v>18571</v>
      </c>
      <c r="I9" s="2" t="s">
        <v>18572</v>
      </c>
      <c r="J9" s="2" t="s">
        <v>18573</v>
      </c>
      <c r="K9" s="2" t="s">
        <v>18574</v>
      </c>
      <c r="L9" s="2" t="s">
        <v>18459</v>
      </c>
      <c r="M9" s="2" t="s">
        <v>18544</v>
      </c>
      <c r="N9" s="2" t="s">
        <v>18589</v>
      </c>
      <c r="O9" s="2" t="s">
        <v>18575</v>
      </c>
      <c r="P9" s="2" t="s">
        <v>18576</v>
      </c>
      <c r="Q9" s="2" t="s">
        <v>18590</v>
      </c>
      <c r="R9" s="2" t="s">
        <v>18578</v>
      </c>
      <c r="S9" s="2" t="s">
        <v>18579</v>
      </c>
      <c r="T9" s="2" t="s">
        <v>18498</v>
      </c>
      <c r="U9" s="2" t="s">
        <v>18580</v>
      </c>
      <c r="V9" s="2" t="s">
        <v>18591</v>
      </c>
      <c r="W9" s="2" t="s">
        <v>18592</v>
      </c>
      <c r="X9" s="2" t="s">
        <v>18582</v>
      </c>
      <c r="Y9" s="2" t="s">
        <v>18583</v>
      </c>
      <c r="Z9" s="2">
        <v>0.36</v>
      </c>
      <c r="AA9" s="3"/>
      <c r="AC9" s="2">
        <v>1.204</v>
      </c>
      <c r="AF9" s="2" t="s">
        <v>18593</v>
      </c>
      <c r="AI9" s="2" t="s">
        <v>18594</v>
      </c>
      <c r="AK9" s="2" t="s">
        <v>18595</v>
      </c>
      <c r="AL9" s="2" t="s">
        <v>18588</v>
      </c>
      <c r="AM9" s="5"/>
      <c r="AN9" s="5"/>
      <c r="AO9" s="5"/>
      <c r="AP9" s="5"/>
      <c r="AQ9" s="5"/>
      <c r="AR9" s="5"/>
      <c r="AS9" s="5"/>
      <c r="AT9" s="5"/>
      <c r="AU9" s="5"/>
      <c r="AV9" s="5"/>
    </row>
    <row r="10" spans="1:48" ht="45" customHeight="1" x14ac:dyDescent="0.15">
      <c r="A10" s="2" t="s">
        <v>309</v>
      </c>
      <c r="B10" s="3">
        <v>2017</v>
      </c>
      <c r="C10" s="2" t="s">
        <v>310</v>
      </c>
      <c r="D10" s="2" t="s">
        <v>190</v>
      </c>
      <c r="E10" s="2" t="s">
        <v>18453</v>
      </c>
      <c r="F10" s="2" t="s">
        <v>311</v>
      </c>
      <c r="G10" s="2" t="s">
        <v>18475</v>
      </c>
      <c r="H10" s="2" t="s">
        <v>18571</v>
      </c>
      <c r="I10" s="2" t="s">
        <v>18572</v>
      </c>
      <c r="J10" s="2" t="s">
        <v>18573</v>
      </c>
      <c r="K10" s="2" t="s">
        <v>18596</v>
      </c>
      <c r="L10" s="2" t="s">
        <v>18480</v>
      </c>
      <c r="M10" s="2" t="s">
        <v>18544</v>
      </c>
      <c r="N10" s="2" t="s">
        <v>18481</v>
      </c>
      <c r="O10" s="2" t="s">
        <v>18575</v>
      </c>
      <c r="P10" s="2" t="s">
        <v>18576</v>
      </c>
      <c r="Q10" s="2" t="s">
        <v>18577</v>
      </c>
      <c r="R10" s="2" t="s">
        <v>18578</v>
      </c>
      <c r="S10" s="2" t="s">
        <v>18579</v>
      </c>
      <c r="T10" s="2" t="s">
        <v>18498</v>
      </c>
      <c r="U10" s="2" t="s">
        <v>18580</v>
      </c>
      <c r="V10" s="2" t="s">
        <v>18468</v>
      </c>
      <c r="W10" s="2" t="s">
        <v>18597</v>
      </c>
      <c r="X10" s="2" t="s">
        <v>18582</v>
      </c>
      <c r="Y10" s="2" t="s">
        <v>18583</v>
      </c>
      <c r="Z10" s="2" t="s">
        <v>18584</v>
      </c>
      <c r="AA10" s="3"/>
      <c r="AC10" s="2">
        <v>-3.8919999999999999</v>
      </c>
      <c r="AF10" s="2" t="s">
        <v>18598</v>
      </c>
      <c r="AI10" s="2" t="s">
        <v>18599</v>
      </c>
      <c r="AK10" s="2" t="s">
        <v>18600</v>
      </c>
      <c r="AL10" s="2" t="s">
        <v>18588</v>
      </c>
      <c r="AM10" s="5"/>
      <c r="AN10" s="5"/>
      <c r="AO10" s="5"/>
      <c r="AP10" s="5"/>
      <c r="AQ10" s="5"/>
      <c r="AR10" s="5"/>
      <c r="AS10" s="5"/>
      <c r="AT10" s="5"/>
      <c r="AU10" s="5"/>
      <c r="AV10" s="5"/>
    </row>
    <row r="11" spans="1:48" ht="45" customHeight="1" x14ac:dyDescent="0.15">
      <c r="A11" s="2" t="s">
        <v>309</v>
      </c>
      <c r="B11" s="3">
        <v>2017</v>
      </c>
      <c r="C11" s="2" t="s">
        <v>310</v>
      </c>
      <c r="D11" s="2" t="s">
        <v>190</v>
      </c>
      <c r="E11" s="2" t="s">
        <v>18453</v>
      </c>
      <c r="F11" s="2" t="s">
        <v>311</v>
      </c>
      <c r="G11" s="2" t="s">
        <v>18475</v>
      </c>
      <c r="H11" s="2" t="s">
        <v>18571</v>
      </c>
      <c r="I11" s="2" t="s">
        <v>18572</v>
      </c>
      <c r="J11" s="2" t="s">
        <v>18573</v>
      </c>
      <c r="K11" s="2" t="s">
        <v>18596</v>
      </c>
      <c r="L11" s="2" t="s">
        <v>18459</v>
      </c>
      <c r="M11" s="2" t="s">
        <v>18544</v>
      </c>
      <c r="N11" s="2" t="s">
        <v>18589</v>
      </c>
      <c r="O11" s="2" t="s">
        <v>18575</v>
      </c>
      <c r="P11" s="2" t="s">
        <v>18576</v>
      </c>
      <c r="Q11" s="2" t="s">
        <v>18590</v>
      </c>
      <c r="R11" s="2" t="s">
        <v>18578</v>
      </c>
      <c r="S11" s="2" t="s">
        <v>18579</v>
      </c>
      <c r="T11" s="2" t="s">
        <v>18498</v>
      </c>
      <c r="U11" s="2" t="s">
        <v>18580</v>
      </c>
      <c r="V11" s="2" t="s">
        <v>18500</v>
      </c>
      <c r="W11" s="2" t="s">
        <v>18601</v>
      </c>
      <c r="X11" s="2" t="s">
        <v>18582</v>
      </c>
      <c r="Y11" s="2" t="s">
        <v>18583</v>
      </c>
      <c r="Z11" s="2" t="s">
        <v>18584</v>
      </c>
      <c r="AA11" s="3"/>
      <c r="AC11" s="2">
        <v>2.71</v>
      </c>
      <c r="AF11" s="2" t="s">
        <v>18602</v>
      </c>
      <c r="AI11" s="2" t="s">
        <v>18603</v>
      </c>
      <c r="AK11" s="2" t="s">
        <v>18604</v>
      </c>
      <c r="AL11" s="2" t="s">
        <v>18588</v>
      </c>
      <c r="AM11" s="5"/>
      <c r="AN11" s="5"/>
      <c r="AO11" s="5"/>
      <c r="AP11" s="5"/>
      <c r="AQ11" s="5"/>
      <c r="AR11" s="5"/>
      <c r="AS11" s="5"/>
      <c r="AT11" s="5"/>
      <c r="AU11" s="5"/>
      <c r="AV11" s="5"/>
    </row>
    <row r="12" spans="1:48" ht="45" customHeight="1" x14ac:dyDescent="0.15">
      <c r="A12" s="2" t="s">
        <v>19</v>
      </c>
      <c r="B12" s="3">
        <v>2017</v>
      </c>
      <c r="C12" s="2" t="s">
        <v>20</v>
      </c>
      <c r="D12" s="2" t="s">
        <v>17</v>
      </c>
      <c r="E12" s="2" t="s">
        <v>18453</v>
      </c>
      <c r="F12" s="2" t="s">
        <v>23</v>
      </c>
      <c r="G12" s="2" t="s">
        <v>18475</v>
      </c>
      <c r="H12" s="2" t="s">
        <v>18639</v>
      </c>
      <c r="I12" s="2" t="s">
        <v>18640</v>
      </c>
      <c r="J12" s="2" t="s">
        <v>18641</v>
      </c>
      <c r="K12" s="2" t="s">
        <v>18642</v>
      </c>
      <c r="L12" s="2" t="s">
        <v>18480</v>
      </c>
      <c r="M12" s="2" t="s">
        <v>18460</v>
      </c>
      <c r="N12" s="2" t="s">
        <v>18481</v>
      </c>
      <c r="O12" s="2" t="s">
        <v>18462</v>
      </c>
      <c r="P12" s="2" t="s">
        <v>18643</v>
      </c>
      <c r="Q12" s="2" t="s">
        <v>18644</v>
      </c>
      <c r="R12" s="2" t="s">
        <v>18578</v>
      </c>
      <c r="S12" s="2" t="s">
        <v>18645</v>
      </c>
      <c r="T12" s="2" t="s">
        <v>18498</v>
      </c>
      <c r="U12" s="2" t="s">
        <v>18646</v>
      </c>
      <c r="V12" s="2" t="s">
        <v>18468</v>
      </c>
      <c r="W12" s="2" t="s">
        <v>18647</v>
      </c>
      <c r="X12" s="2" t="s">
        <v>18648</v>
      </c>
      <c r="Y12" s="2" t="s">
        <v>18649</v>
      </c>
      <c r="Z12" s="2" t="s">
        <v>18650</v>
      </c>
      <c r="AA12" s="3">
        <v>0.59</v>
      </c>
      <c r="AB12" s="2">
        <f>-SQRT(AA12)</f>
        <v>-0.76811457478686085</v>
      </c>
      <c r="AC12" s="2">
        <f>2*AB12/SQRT(1-(AB12^2))</f>
        <v>-2.3991868541186223</v>
      </c>
      <c r="AL12" s="2" t="s">
        <v>18651</v>
      </c>
      <c r="AM12" s="5"/>
      <c r="AN12" s="5"/>
      <c r="AO12" s="5"/>
      <c r="AP12" s="5"/>
      <c r="AQ12" s="5"/>
      <c r="AR12" s="5"/>
      <c r="AS12" s="5"/>
      <c r="AT12" s="5"/>
      <c r="AU12" s="5"/>
      <c r="AV12" s="5"/>
    </row>
    <row r="13" spans="1:48" ht="45" customHeight="1" x14ac:dyDescent="0.15">
      <c r="A13" s="2" t="s">
        <v>18717</v>
      </c>
      <c r="B13" s="3">
        <v>2012</v>
      </c>
      <c r="C13" s="2" t="s">
        <v>18718</v>
      </c>
      <c r="D13" s="2" t="s">
        <v>17</v>
      </c>
      <c r="E13" s="2" t="s">
        <v>18453</v>
      </c>
      <c r="F13" s="2" t="s">
        <v>18719</v>
      </c>
      <c r="G13" s="2" t="s">
        <v>18475</v>
      </c>
      <c r="H13" s="2" t="s">
        <v>18605</v>
      </c>
      <c r="I13" s="2" t="s">
        <v>18720</v>
      </c>
      <c r="J13" s="2" t="s">
        <v>18721</v>
      </c>
      <c r="K13" s="2" t="s">
        <v>18722</v>
      </c>
      <c r="L13" s="2" t="s">
        <v>18480</v>
      </c>
      <c r="M13" s="2" t="s">
        <v>18460</v>
      </c>
      <c r="N13" s="2" t="s">
        <v>18481</v>
      </c>
      <c r="O13" s="2" t="s">
        <v>18576</v>
      </c>
      <c r="P13" s="2" t="s">
        <v>18575</v>
      </c>
      <c r="Q13" s="2" t="s">
        <v>18723</v>
      </c>
      <c r="R13" s="2" t="s">
        <v>18578</v>
      </c>
      <c r="S13" s="2" t="s">
        <v>18465</v>
      </c>
      <c r="T13" s="2" t="s">
        <v>18498</v>
      </c>
      <c r="U13" s="2" t="s">
        <v>18611</v>
      </c>
      <c r="V13" s="2" t="s">
        <v>18468</v>
      </c>
      <c r="W13" s="2" t="s">
        <v>18724</v>
      </c>
      <c r="X13" s="2" t="s">
        <v>18713</v>
      </c>
      <c r="Y13" s="2" t="s">
        <v>18725</v>
      </c>
      <c r="Z13" s="2">
        <v>8.9999999999999993E-3</v>
      </c>
      <c r="AA13" s="3"/>
      <c r="AB13" s="2">
        <v>-0.72219999999999995</v>
      </c>
      <c r="AC13" s="2">
        <f>2*AB13/SQRT(1-(AB13^2))</f>
        <v>-2.0882359429052948</v>
      </c>
      <c r="AF13" s="2" t="s">
        <v>18726</v>
      </c>
      <c r="AJ13" s="2" t="s">
        <v>18727</v>
      </c>
      <c r="AL13" s="2" t="s">
        <v>18728</v>
      </c>
      <c r="AM13" s="5"/>
      <c r="AN13" s="5"/>
      <c r="AO13" s="5"/>
      <c r="AP13" s="5"/>
      <c r="AQ13" s="5"/>
      <c r="AR13" s="5"/>
      <c r="AS13" s="5"/>
      <c r="AT13" s="5"/>
      <c r="AU13" s="5"/>
      <c r="AV13" s="5"/>
    </row>
    <row r="14" spans="1:48" ht="45" customHeight="1" x14ac:dyDescent="0.15">
      <c r="A14" s="5" t="s">
        <v>3332</v>
      </c>
      <c r="B14" s="5">
        <v>2012</v>
      </c>
      <c r="C14" s="5" t="s">
        <v>3333</v>
      </c>
      <c r="D14" s="5" t="s">
        <v>49</v>
      </c>
      <c r="E14" s="5" t="s">
        <v>18453</v>
      </c>
      <c r="F14" s="5" t="s">
        <v>3336</v>
      </c>
      <c r="G14" s="5" t="s">
        <v>18475</v>
      </c>
      <c r="H14" s="5" t="s">
        <v>18525</v>
      </c>
      <c r="I14" s="5" t="s">
        <v>18652</v>
      </c>
      <c r="J14" s="5" t="s">
        <v>18653</v>
      </c>
      <c r="K14" s="5" t="s">
        <v>18654</v>
      </c>
      <c r="L14" s="5" t="s">
        <v>18480</v>
      </c>
      <c r="M14" s="5" t="s">
        <v>18460</v>
      </c>
      <c r="N14" s="5" t="s">
        <v>18481</v>
      </c>
      <c r="O14" s="5" t="s">
        <v>18462</v>
      </c>
      <c r="P14" s="5" t="s">
        <v>18545</v>
      </c>
      <c r="Q14" s="5" t="s">
        <v>18655</v>
      </c>
      <c r="R14" s="2" t="s">
        <v>18531</v>
      </c>
      <c r="S14" s="2" t="s">
        <v>18531</v>
      </c>
      <c r="T14" s="2" t="s">
        <v>18531</v>
      </c>
      <c r="U14" s="2" t="s">
        <v>18531</v>
      </c>
      <c r="V14" s="2" t="s">
        <v>18531</v>
      </c>
      <c r="W14" s="2" t="s">
        <v>18656</v>
      </c>
      <c r="X14" s="2" t="s">
        <v>18657</v>
      </c>
      <c r="Y14" s="2" t="s">
        <v>18658</v>
      </c>
      <c r="Z14" s="2">
        <v>3.5999999999999997E-2</v>
      </c>
      <c r="AC14" s="2">
        <f>-2.955</f>
        <v>-2.9550000000000001</v>
      </c>
      <c r="AF14" s="2" t="s">
        <v>18659</v>
      </c>
      <c r="AI14" s="2" t="s">
        <v>18660</v>
      </c>
      <c r="AK14" s="2" t="s">
        <v>18661</v>
      </c>
      <c r="AL14" s="7" t="str">
        <f>HYPERLINK("http://dx.doi.org/10.3354/meps09299","http://dx.doi.org/10.3354/meps09299")</f>
        <v>http://dx.doi.org/10.3354/meps09299</v>
      </c>
      <c r="AM14" s="5">
        <v>79</v>
      </c>
      <c r="AN14" s="5">
        <v>80</v>
      </c>
      <c r="AO14" s="5">
        <v>454</v>
      </c>
      <c r="AP14" s="5" t="s">
        <v>16</v>
      </c>
      <c r="AQ14" s="5">
        <v>171</v>
      </c>
      <c r="AR14" s="5" t="s">
        <v>260</v>
      </c>
      <c r="AS14" s="5" t="s">
        <v>16</v>
      </c>
      <c r="AT14" s="5" t="s">
        <v>3334</v>
      </c>
      <c r="AU14" s="5" t="s">
        <v>3335</v>
      </c>
      <c r="AV14" s="5" t="s">
        <v>3337</v>
      </c>
    </row>
    <row r="15" spans="1:48" ht="45" customHeight="1" x14ac:dyDescent="0.15">
      <c r="A15" s="5" t="s">
        <v>6826</v>
      </c>
      <c r="B15" s="5">
        <v>2022</v>
      </c>
      <c r="C15" s="5" t="s">
        <v>6827</v>
      </c>
      <c r="D15" s="5" t="s">
        <v>57</v>
      </c>
      <c r="E15" s="5" t="s">
        <v>18453</v>
      </c>
      <c r="F15" s="5" t="s">
        <v>6830</v>
      </c>
      <c r="G15" s="2" t="s">
        <v>18475</v>
      </c>
      <c r="H15" s="2" t="s">
        <v>18493</v>
      </c>
      <c r="I15" s="2" t="s">
        <v>18494</v>
      </c>
      <c r="J15" s="2" t="s">
        <v>18478</v>
      </c>
      <c r="K15" s="2" t="s">
        <v>18495</v>
      </c>
      <c r="L15" s="2" t="s">
        <v>18480</v>
      </c>
      <c r="M15" s="2" t="s">
        <v>18460</v>
      </c>
      <c r="N15" s="2" t="s">
        <v>18481</v>
      </c>
      <c r="O15" s="2" t="s">
        <v>18482</v>
      </c>
      <c r="P15" s="2" t="s">
        <v>18496</v>
      </c>
      <c r="Q15" s="2" t="s">
        <v>18484</v>
      </c>
      <c r="R15" s="2" t="s">
        <v>18497</v>
      </c>
      <c r="S15" s="2" t="s">
        <v>18465</v>
      </c>
      <c r="T15" s="2" t="s">
        <v>18498</v>
      </c>
      <c r="U15" s="2" t="s">
        <v>18499</v>
      </c>
      <c r="V15" s="2" t="s">
        <v>18500</v>
      </c>
      <c r="W15" s="2" t="s">
        <v>18501</v>
      </c>
      <c r="X15" s="2" t="s">
        <v>18502</v>
      </c>
      <c r="Y15" s="2" t="s">
        <v>18503</v>
      </c>
      <c r="Z15" s="2" t="s">
        <v>18504</v>
      </c>
      <c r="AA15" s="2">
        <v>0.85</v>
      </c>
      <c r="AB15" s="2">
        <f>SQRT(AA15)</f>
        <v>0.92195444572928875</v>
      </c>
      <c r="AC15" s="2">
        <f>2*AB15/SQRT(1-(AB15^2))</f>
        <v>4.7609522856952342</v>
      </c>
      <c r="AF15" s="2" t="s">
        <v>18505</v>
      </c>
      <c r="AG15" s="2">
        <v>1.93</v>
      </c>
      <c r="AJ15" s="2" t="s">
        <v>18506</v>
      </c>
      <c r="AL15" s="7" t="str">
        <f>HYPERLINK("http://dx.doi.org/10.1098/rsbl.2022.0364","http://dx.doi.org/10.1098/rsbl.2022.0364")</f>
        <v>http://dx.doi.org/10.1098/rsbl.2022.0364</v>
      </c>
      <c r="AM15" s="5">
        <v>0</v>
      </c>
      <c r="AN15" s="5">
        <v>0</v>
      </c>
      <c r="AO15" s="5">
        <v>18</v>
      </c>
      <c r="AP15" s="5">
        <v>10</v>
      </c>
      <c r="AQ15" s="5" t="s">
        <v>16</v>
      </c>
      <c r="AR15" s="5" t="s">
        <v>16</v>
      </c>
      <c r="AS15" s="5">
        <v>20220364</v>
      </c>
      <c r="AT15" s="5" t="s">
        <v>6828</v>
      </c>
      <c r="AU15" s="5" t="s">
        <v>6829</v>
      </c>
      <c r="AV15" s="5" t="s">
        <v>6831</v>
      </c>
    </row>
    <row r="16" spans="1:48" ht="45" customHeight="1" x14ac:dyDescent="0.15">
      <c r="A16" s="5" t="s">
        <v>2376</v>
      </c>
      <c r="B16" s="5">
        <v>2006</v>
      </c>
      <c r="C16" s="5" t="s">
        <v>2377</v>
      </c>
      <c r="D16" s="5" t="s">
        <v>252</v>
      </c>
      <c r="E16" s="5" t="s">
        <v>18453</v>
      </c>
      <c r="F16" s="5" t="s">
        <v>2380</v>
      </c>
      <c r="G16" s="2" t="s">
        <v>18475</v>
      </c>
      <c r="H16" s="2" t="s">
        <v>18525</v>
      </c>
      <c r="I16" s="2" t="s">
        <v>18662</v>
      </c>
      <c r="J16" s="2" t="s">
        <v>18663</v>
      </c>
      <c r="K16" s="2" t="s">
        <v>18664</v>
      </c>
      <c r="L16" s="2" t="s">
        <v>18480</v>
      </c>
      <c r="M16" s="2" t="s">
        <v>18460</v>
      </c>
      <c r="N16" s="2" t="s">
        <v>18481</v>
      </c>
      <c r="O16" s="2" t="s">
        <v>18665</v>
      </c>
      <c r="P16" s="2" t="s">
        <v>18666</v>
      </c>
      <c r="Q16" s="2" t="s">
        <v>18667</v>
      </c>
      <c r="R16" s="2" t="s">
        <v>18668</v>
      </c>
      <c r="S16" s="2" t="s">
        <v>18669</v>
      </c>
      <c r="T16" s="2" t="s">
        <v>18670</v>
      </c>
      <c r="U16" s="2" t="s">
        <v>18671</v>
      </c>
      <c r="V16" s="2" t="s">
        <v>18468</v>
      </c>
      <c r="W16" s="2" t="s">
        <v>18672</v>
      </c>
      <c r="X16" s="2" t="s">
        <v>18657</v>
      </c>
      <c r="Y16" s="2" t="s">
        <v>18673</v>
      </c>
      <c r="Z16" s="2" t="s">
        <v>18504</v>
      </c>
      <c r="AA16" s="2">
        <v>0.19</v>
      </c>
      <c r="AB16" s="2">
        <f>-SQRT(AA16)</f>
        <v>-0.43588989435406733</v>
      </c>
      <c r="AC16" s="2">
        <f>2*AB16/SQRT(1-(AB16^2))</f>
        <v>-0.96864420967570519</v>
      </c>
      <c r="AF16" s="2" t="s">
        <v>18674</v>
      </c>
      <c r="AL16" s="7" t="str">
        <f>HYPERLINK("http://dx.doi.org/10.1111/j.1523-1739.2006.00379.x","http://dx.doi.org/10.1111/j.1523-1739.2006.00379.x")</f>
        <v>http://dx.doi.org/10.1111/j.1523-1739.2006.00379.x</v>
      </c>
      <c r="AM16" s="5">
        <v>99</v>
      </c>
      <c r="AN16" s="5">
        <v>111</v>
      </c>
      <c r="AO16" s="5">
        <v>20</v>
      </c>
      <c r="AP16" s="5">
        <v>2</v>
      </c>
      <c r="AQ16" s="5">
        <v>470</v>
      </c>
      <c r="AR16" s="5">
        <v>479</v>
      </c>
      <c r="AS16" s="5" t="s">
        <v>16</v>
      </c>
      <c r="AT16" s="5" t="s">
        <v>2378</v>
      </c>
      <c r="AU16" s="5" t="s">
        <v>2379</v>
      </c>
      <c r="AV16" s="5" t="s">
        <v>2381</v>
      </c>
    </row>
    <row r="17" spans="1:48" ht="45" customHeight="1" x14ac:dyDescent="0.15">
      <c r="A17" s="5" t="s">
        <v>2262</v>
      </c>
      <c r="B17" s="5">
        <v>2013</v>
      </c>
      <c r="C17" s="5" t="s">
        <v>2263</v>
      </c>
      <c r="D17" s="5" t="s">
        <v>15</v>
      </c>
      <c r="E17" s="5" t="s">
        <v>18453</v>
      </c>
      <c r="F17" s="5" t="s">
        <v>2266</v>
      </c>
      <c r="G17" s="2" t="s">
        <v>18454</v>
      </c>
      <c r="H17" s="2" t="s">
        <v>18455</v>
      </c>
      <c r="I17" s="2" t="s">
        <v>18561</v>
      </c>
      <c r="J17" s="2" t="s">
        <v>18562</v>
      </c>
      <c r="K17" s="2" t="s">
        <v>18563</v>
      </c>
      <c r="L17" s="2" t="s">
        <v>18480</v>
      </c>
      <c r="M17" s="2" t="s">
        <v>18460</v>
      </c>
      <c r="N17" s="2" t="s">
        <v>18481</v>
      </c>
      <c r="O17" s="2" t="s">
        <v>18462</v>
      </c>
      <c r="P17" s="2" t="s">
        <v>18564</v>
      </c>
      <c r="Q17" s="2" t="s">
        <v>18565</v>
      </c>
      <c r="R17" s="2" t="s">
        <v>18531</v>
      </c>
      <c r="S17" s="2" t="s">
        <v>18531</v>
      </c>
      <c r="T17" s="2" t="s">
        <v>18531</v>
      </c>
      <c r="U17" s="2" t="s">
        <v>18531</v>
      </c>
      <c r="V17" s="2" t="s">
        <v>18500</v>
      </c>
      <c r="W17" s="2" t="s">
        <v>18566</v>
      </c>
      <c r="X17" s="2" t="s">
        <v>18567</v>
      </c>
      <c r="Y17" s="2" t="s">
        <v>18568</v>
      </c>
      <c r="Z17" s="2" t="s">
        <v>18554</v>
      </c>
      <c r="AC17" s="2">
        <v>2.17</v>
      </c>
      <c r="AF17" s="2" t="s">
        <v>18569</v>
      </c>
      <c r="AK17" s="2" t="s">
        <v>18570</v>
      </c>
      <c r="AL17" s="7" t="str">
        <f>HYPERLINK("http://dx.doi.org/10.1002/ece3.740","http://dx.doi.org/10.1002/ece3.740")</f>
        <v>http://dx.doi.org/10.1002/ece3.740</v>
      </c>
      <c r="AM17" s="5">
        <v>69</v>
      </c>
      <c r="AN17" s="5">
        <v>72</v>
      </c>
      <c r="AO17" s="5">
        <v>3</v>
      </c>
      <c r="AP17" s="5">
        <v>10</v>
      </c>
      <c r="AQ17" s="5">
        <v>3509</v>
      </c>
      <c r="AR17" s="5">
        <v>3523</v>
      </c>
      <c r="AS17" s="5" t="s">
        <v>16</v>
      </c>
      <c r="AT17" s="5" t="s">
        <v>2264</v>
      </c>
      <c r="AU17" s="5" t="s">
        <v>2265</v>
      </c>
      <c r="AV17" s="5" t="s">
        <v>2267</v>
      </c>
    </row>
    <row r="18" spans="1:48" s="12" customFormat="1" ht="45" customHeight="1" x14ac:dyDescent="0.15">
      <c r="A18" s="11" t="s">
        <v>1321</v>
      </c>
      <c r="B18" s="11">
        <v>2022</v>
      </c>
      <c r="C18" s="11" t="s">
        <v>1322</v>
      </c>
      <c r="D18" s="11" t="s">
        <v>160</v>
      </c>
      <c r="E18" s="11" t="s">
        <v>18453</v>
      </c>
      <c r="F18" s="11" t="s">
        <v>1325</v>
      </c>
      <c r="G18" s="12" t="s">
        <v>18475</v>
      </c>
      <c r="H18" s="12" t="s">
        <v>18605</v>
      </c>
      <c r="I18" s="12" t="s">
        <v>18687</v>
      </c>
      <c r="J18" s="12" t="s">
        <v>18688</v>
      </c>
      <c r="K18" s="12" t="s">
        <v>18689</v>
      </c>
      <c r="L18" s="12" t="s">
        <v>18480</v>
      </c>
      <c r="M18" s="12" t="s">
        <v>18544</v>
      </c>
      <c r="N18" s="12" t="s">
        <v>18481</v>
      </c>
      <c r="O18" s="12" t="s">
        <v>18665</v>
      </c>
      <c r="P18" s="12" t="s">
        <v>18690</v>
      </c>
      <c r="Q18" s="12" t="s">
        <v>18698</v>
      </c>
      <c r="R18" s="12" t="s">
        <v>18692</v>
      </c>
      <c r="S18" s="12" t="s">
        <v>18579</v>
      </c>
      <c r="T18" s="12" t="s">
        <v>18498</v>
      </c>
      <c r="U18" s="12" t="s">
        <v>18693</v>
      </c>
      <c r="V18" s="12" t="s">
        <v>18468</v>
      </c>
      <c r="W18" s="12" t="s">
        <v>18699</v>
      </c>
      <c r="X18" s="12" t="s">
        <v>18695</v>
      </c>
      <c r="Y18" s="12" t="s">
        <v>18696</v>
      </c>
      <c r="Z18" s="12" t="s">
        <v>18584</v>
      </c>
      <c r="AC18" s="12">
        <v>-2.54</v>
      </c>
      <c r="AK18" s="12" t="s">
        <v>18700</v>
      </c>
      <c r="AL18" s="13"/>
      <c r="AM18" s="11"/>
      <c r="AN18" s="11"/>
      <c r="AO18" s="11"/>
      <c r="AP18" s="11"/>
      <c r="AQ18" s="11"/>
      <c r="AR18" s="11"/>
      <c r="AS18" s="11"/>
      <c r="AT18" s="11"/>
      <c r="AU18" s="11"/>
      <c r="AV18" s="11"/>
    </row>
    <row r="19" spans="1:48" s="12" customFormat="1" ht="45" customHeight="1" x14ac:dyDescent="0.15">
      <c r="A19" s="11" t="s">
        <v>1321</v>
      </c>
      <c r="B19" s="11">
        <v>2022</v>
      </c>
      <c r="C19" s="11" t="s">
        <v>1322</v>
      </c>
      <c r="D19" s="11" t="s">
        <v>160</v>
      </c>
      <c r="E19" s="11" t="s">
        <v>18453</v>
      </c>
      <c r="F19" s="11" t="s">
        <v>1325</v>
      </c>
      <c r="G19" s="12" t="s">
        <v>18475</v>
      </c>
      <c r="H19" s="12" t="s">
        <v>18605</v>
      </c>
      <c r="I19" s="12" t="s">
        <v>18687</v>
      </c>
      <c r="J19" s="12" t="s">
        <v>18688</v>
      </c>
      <c r="K19" s="12" t="s">
        <v>18689</v>
      </c>
      <c r="L19" s="12" t="s">
        <v>18459</v>
      </c>
      <c r="M19" s="12" t="s">
        <v>18544</v>
      </c>
      <c r="N19" s="12" t="s">
        <v>18589</v>
      </c>
      <c r="O19" s="12" t="s">
        <v>18665</v>
      </c>
      <c r="P19" s="12" t="s">
        <v>18690</v>
      </c>
      <c r="Q19" s="12" t="s">
        <v>18691</v>
      </c>
      <c r="R19" s="12" t="s">
        <v>18692</v>
      </c>
      <c r="S19" s="12" t="s">
        <v>18579</v>
      </c>
      <c r="T19" s="12" t="s">
        <v>18634</v>
      </c>
      <c r="U19" s="12" t="s">
        <v>18693</v>
      </c>
      <c r="V19" s="12" t="s">
        <v>18500</v>
      </c>
      <c r="W19" s="12" t="s">
        <v>18694</v>
      </c>
      <c r="X19" s="12" t="s">
        <v>18695</v>
      </c>
      <c r="Y19" s="12" t="s">
        <v>18696</v>
      </c>
      <c r="Z19" s="12" t="s">
        <v>18584</v>
      </c>
      <c r="AC19" s="12">
        <v>2.95</v>
      </c>
      <c r="AK19" s="12" t="s">
        <v>18697</v>
      </c>
      <c r="AL19" s="13" t="str">
        <f>HYPERLINK("http://dx.doi.org/10.1111/1365-2664.14237","http://dx.doi.org/10.1111/1365-2664.14237")</f>
        <v>http://dx.doi.org/10.1111/1365-2664.14237</v>
      </c>
      <c r="AM19" s="11">
        <v>0</v>
      </c>
      <c r="AN19" s="11">
        <v>0</v>
      </c>
      <c r="AO19" s="11">
        <v>59</v>
      </c>
      <c r="AP19" s="11">
        <v>9</v>
      </c>
      <c r="AQ19" s="11">
        <v>2373</v>
      </c>
      <c r="AR19" s="11">
        <v>2385</v>
      </c>
      <c r="AS19" s="11" t="s">
        <v>16</v>
      </c>
      <c r="AT19" s="11" t="s">
        <v>1323</v>
      </c>
      <c r="AU19" s="11" t="s">
        <v>1324</v>
      </c>
      <c r="AV19" s="11" t="s">
        <v>1326</v>
      </c>
    </row>
    <row r="20" spans="1:48" ht="45" customHeight="1" x14ac:dyDescent="0.15">
      <c r="A20" s="5" t="s">
        <v>117</v>
      </c>
      <c r="B20" s="5">
        <v>2022</v>
      </c>
      <c r="C20" s="5" t="s">
        <v>118</v>
      </c>
      <c r="D20" s="5" t="s">
        <v>57</v>
      </c>
      <c r="E20" s="5" t="s">
        <v>18453</v>
      </c>
      <c r="F20" s="5" t="s">
        <v>121</v>
      </c>
      <c r="G20" s="2" t="s">
        <v>18475</v>
      </c>
      <c r="H20" s="2" t="s">
        <v>18620</v>
      </c>
      <c r="I20" s="2" t="s">
        <v>18621</v>
      </c>
      <c r="J20" s="2" t="s">
        <v>18478</v>
      </c>
      <c r="K20" s="2" t="s">
        <v>18622</v>
      </c>
      <c r="L20" s="2" t="s">
        <v>18480</v>
      </c>
      <c r="M20" s="2" t="s">
        <v>18544</v>
      </c>
      <c r="N20" s="2" t="s">
        <v>18481</v>
      </c>
      <c r="O20" s="2" t="s">
        <v>18623</v>
      </c>
      <c r="P20" s="2" t="s">
        <v>18624</v>
      </c>
      <c r="Q20" s="2" t="s">
        <v>18625</v>
      </c>
      <c r="R20" s="2" t="s">
        <v>18578</v>
      </c>
      <c r="S20" s="2" t="s">
        <v>18626</v>
      </c>
      <c r="T20" s="2" t="s">
        <v>18498</v>
      </c>
      <c r="U20" s="2" t="s">
        <v>18627</v>
      </c>
      <c r="V20" s="2" t="s">
        <v>18468</v>
      </c>
      <c r="W20" s="2" t="s">
        <v>18628</v>
      </c>
      <c r="X20" s="2" t="s">
        <v>18629</v>
      </c>
      <c r="Y20" s="2" t="s">
        <v>18630</v>
      </c>
      <c r="Z20" s="2">
        <v>0.02</v>
      </c>
      <c r="AA20" s="2">
        <v>0.26</v>
      </c>
      <c r="AB20" s="2">
        <f>-SQRT(AA20)</f>
        <v>-0.50990195135927852</v>
      </c>
      <c r="AC20" s="2">
        <f>2*AB20/SQRT(1-(AB20^2))</f>
        <v>-1.1854979567276385</v>
      </c>
      <c r="AF20" s="2" t="s">
        <v>18631</v>
      </c>
      <c r="AG20" s="2" t="s">
        <v>18632</v>
      </c>
      <c r="AI20" s="2">
        <v>0.38</v>
      </c>
      <c r="AL20" s="7" t="str">
        <f>HYPERLINK("http://dx.doi.org/10.1098/rsbl.2021.0598","http://dx.doi.org/10.1098/rsbl.2021.0598")</f>
        <v>http://dx.doi.org/10.1098/rsbl.2021.0598</v>
      </c>
      <c r="AM20" s="5">
        <v>2</v>
      </c>
      <c r="AN20" s="5">
        <v>2</v>
      </c>
      <c r="AO20" s="5">
        <v>18</v>
      </c>
      <c r="AP20" s="5">
        <v>3</v>
      </c>
      <c r="AQ20" s="5" t="s">
        <v>16</v>
      </c>
      <c r="AR20" s="5" t="s">
        <v>16</v>
      </c>
      <c r="AS20" s="5">
        <v>20210598</v>
      </c>
      <c r="AT20" s="5" t="s">
        <v>119</v>
      </c>
      <c r="AU20" s="5" t="s">
        <v>120</v>
      </c>
      <c r="AV20" s="5" t="s">
        <v>122</v>
      </c>
    </row>
    <row r="21" spans="1:48" ht="45" customHeight="1" x14ac:dyDescent="0.15">
      <c r="A21" s="5" t="s">
        <v>117</v>
      </c>
      <c r="B21" s="5">
        <v>2022</v>
      </c>
      <c r="C21" s="5" t="s">
        <v>118</v>
      </c>
      <c r="D21" s="5" t="s">
        <v>57</v>
      </c>
      <c r="E21" s="5" t="s">
        <v>18453</v>
      </c>
      <c r="F21" s="5" t="s">
        <v>121</v>
      </c>
      <c r="G21" s="2" t="s">
        <v>18475</v>
      </c>
      <c r="H21" s="2" t="s">
        <v>18620</v>
      </c>
      <c r="I21" s="2" t="s">
        <v>18621</v>
      </c>
      <c r="J21" s="2" t="s">
        <v>18478</v>
      </c>
      <c r="K21" s="2" t="s">
        <v>18622</v>
      </c>
      <c r="L21" s="2" t="s">
        <v>18459</v>
      </c>
      <c r="M21" s="2" t="s">
        <v>18544</v>
      </c>
      <c r="N21" s="2" t="s">
        <v>18461</v>
      </c>
      <c r="O21" s="2" t="s">
        <v>18623</v>
      </c>
      <c r="P21" s="2" t="s">
        <v>18624</v>
      </c>
      <c r="Q21" s="2" t="s">
        <v>18633</v>
      </c>
      <c r="R21" s="2" t="s">
        <v>18578</v>
      </c>
      <c r="S21" s="2" t="s">
        <v>18626</v>
      </c>
      <c r="T21" s="2" t="s">
        <v>18634</v>
      </c>
      <c r="U21" s="2" t="s">
        <v>18627</v>
      </c>
      <c r="V21" s="2" t="s">
        <v>18500</v>
      </c>
      <c r="W21" s="2" t="s">
        <v>18635</v>
      </c>
      <c r="X21" s="2" t="s">
        <v>18636</v>
      </c>
      <c r="Y21" s="2" t="s">
        <v>18637</v>
      </c>
      <c r="Z21" s="2">
        <v>0.04</v>
      </c>
      <c r="AA21" s="2">
        <v>0.22</v>
      </c>
      <c r="AB21" s="2">
        <f>SQRT(AA21)</f>
        <v>0.46904157598234297</v>
      </c>
      <c r="AC21" s="2">
        <f>2*AB21/SQRT(1-(AB21^2))</f>
        <v>1.0621700090875887</v>
      </c>
      <c r="AF21" s="2" t="s">
        <v>18631</v>
      </c>
      <c r="AG21" s="2" t="s">
        <v>18638</v>
      </c>
      <c r="AI21" s="2">
        <v>1.66</v>
      </c>
      <c r="AL21" s="7" t="str">
        <f>HYPERLINK("http://dx.doi.org/10.1098/rsbl.2021.0598","http://dx.doi.org/10.1098/rsbl.2021.0598")</f>
        <v>http://dx.doi.org/10.1098/rsbl.2021.0598</v>
      </c>
      <c r="AM21" s="5">
        <v>2</v>
      </c>
      <c r="AN21" s="5">
        <v>2</v>
      </c>
      <c r="AO21" s="5">
        <v>18</v>
      </c>
      <c r="AP21" s="5">
        <v>3</v>
      </c>
      <c r="AQ21" s="5" t="s">
        <v>16</v>
      </c>
      <c r="AR21" s="5" t="s">
        <v>16</v>
      </c>
      <c r="AS21" s="5">
        <v>20210598</v>
      </c>
      <c r="AT21" s="5" t="s">
        <v>119</v>
      </c>
      <c r="AU21" s="5" t="s">
        <v>120</v>
      </c>
      <c r="AV21" s="5" t="s">
        <v>122</v>
      </c>
    </row>
    <row r="22" spans="1:48" s="12" customFormat="1" ht="45" customHeight="1" x14ac:dyDescent="0.15">
      <c r="A22" s="12" t="s">
        <v>103</v>
      </c>
      <c r="B22" s="12">
        <v>2017</v>
      </c>
      <c r="C22" s="12" t="s">
        <v>104</v>
      </c>
      <c r="D22" s="12" t="s">
        <v>49</v>
      </c>
      <c r="E22" s="12" t="s">
        <v>18453</v>
      </c>
      <c r="F22" s="12" t="s">
        <v>107</v>
      </c>
      <c r="G22" s="12" t="s">
        <v>18475</v>
      </c>
      <c r="H22" s="12" t="s">
        <v>18525</v>
      </c>
      <c r="I22" s="12" t="s">
        <v>18701</v>
      </c>
      <c r="J22" s="12" t="s">
        <v>18702</v>
      </c>
      <c r="K22" s="12" t="s">
        <v>18703</v>
      </c>
      <c r="L22" s="12" t="s">
        <v>18480</v>
      </c>
      <c r="M22" s="12" t="s">
        <v>18544</v>
      </c>
      <c r="N22" s="12" t="s">
        <v>18461</v>
      </c>
      <c r="O22" s="12" t="s">
        <v>18462</v>
      </c>
      <c r="P22" s="12" t="s">
        <v>18704</v>
      </c>
      <c r="Q22" s="12" t="s">
        <v>18705</v>
      </c>
      <c r="R22" s="12" t="s">
        <v>18578</v>
      </c>
      <c r="S22" s="12" t="s">
        <v>18579</v>
      </c>
      <c r="T22" s="12" t="s">
        <v>18706</v>
      </c>
      <c r="U22" s="12" t="s">
        <v>18707</v>
      </c>
      <c r="V22" s="12" t="s">
        <v>18468</v>
      </c>
      <c r="W22" s="12" t="s">
        <v>18708</v>
      </c>
      <c r="X22" s="12" t="s">
        <v>18709</v>
      </c>
      <c r="Y22" s="12" t="s">
        <v>18710</v>
      </c>
      <c r="Z22" s="12" t="s">
        <v>18504</v>
      </c>
      <c r="AF22" s="12">
        <v>99</v>
      </c>
      <c r="AL22" s="12" t="str">
        <f t="shared" ref="AL22:AL27" si="0">HYPERLINK("http://dx.doi.org/10.3354/meps12031","http://dx.doi.org/10.3354/meps12031")</f>
        <v>http://dx.doi.org/10.3354/meps12031</v>
      </c>
      <c r="AM22" s="12">
        <v>16</v>
      </c>
      <c r="AN22" s="12">
        <v>16</v>
      </c>
      <c r="AO22" s="12">
        <v>564</v>
      </c>
      <c r="AP22" s="12" t="s">
        <v>16</v>
      </c>
      <c r="AQ22" s="12">
        <v>87</v>
      </c>
      <c r="AR22" s="12">
        <v>98</v>
      </c>
      <c r="AS22" s="12" t="s">
        <v>16</v>
      </c>
      <c r="AT22" s="12" t="s">
        <v>105</v>
      </c>
      <c r="AU22" s="12" t="s">
        <v>106</v>
      </c>
      <c r="AV22" s="12" t="s">
        <v>108</v>
      </c>
    </row>
    <row r="23" spans="1:48" s="12" customFormat="1" ht="45" customHeight="1" x14ac:dyDescent="0.15">
      <c r="A23" s="12" t="s">
        <v>103</v>
      </c>
      <c r="B23" s="12">
        <v>2017</v>
      </c>
      <c r="C23" s="12" t="s">
        <v>104</v>
      </c>
      <c r="D23" s="12" t="s">
        <v>49</v>
      </c>
      <c r="E23" s="12" t="s">
        <v>18453</v>
      </c>
      <c r="F23" s="12" t="s">
        <v>107</v>
      </c>
      <c r="G23" s="12" t="s">
        <v>18475</v>
      </c>
      <c r="H23" s="12" t="s">
        <v>18525</v>
      </c>
      <c r="I23" s="12" t="s">
        <v>18701</v>
      </c>
      <c r="J23" s="12" t="s">
        <v>18702</v>
      </c>
      <c r="K23" s="12" t="s">
        <v>18703</v>
      </c>
      <c r="L23" s="12" t="s">
        <v>18459</v>
      </c>
      <c r="M23" s="12" t="s">
        <v>18544</v>
      </c>
      <c r="N23" s="12" t="s">
        <v>18461</v>
      </c>
      <c r="O23" s="12" t="s">
        <v>18462</v>
      </c>
      <c r="P23" s="12" t="s">
        <v>18704</v>
      </c>
      <c r="Q23" s="12" t="s">
        <v>18705</v>
      </c>
      <c r="R23" s="12" t="s">
        <v>18578</v>
      </c>
      <c r="S23" s="12" t="s">
        <v>18579</v>
      </c>
      <c r="T23" s="12" t="s">
        <v>18711</v>
      </c>
      <c r="U23" s="12" t="s">
        <v>18707</v>
      </c>
      <c r="V23" s="12" t="s">
        <v>18500</v>
      </c>
      <c r="W23" s="12" t="s">
        <v>18708</v>
      </c>
      <c r="X23" s="12" t="s">
        <v>18709</v>
      </c>
      <c r="Y23" s="12" t="s">
        <v>18710</v>
      </c>
      <c r="Z23" s="12" t="s">
        <v>18504</v>
      </c>
      <c r="AF23" s="12">
        <v>99</v>
      </c>
      <c r="AL23" s="12" t="str">
        <f t="shared" si="0"/>
        <v>http://dx.doi.org/10.3354/meps12031</v>
      </c>
      <c r="AM23" s="12">
        <v>16</v>
      </c>
      <c r="AN23" s="12">
        <v>16</v>
      </c>
      <c r="AO23" s="12">
        <v>564</v>
      </c>
      <c r="AP23" s="12" t="s">
        <v>16</v>
      </c>
      <c r="AQ23" s="12">
        <v>87</v>
      </c>
      <c r="AR23" s="12">
        <v>98</v>
      </c>
      <c r="AS23" s="12" t="s">
        <v>16</v>
      </c>
      <c r="AT23" s="12" t="s">
        <v>105</v>
      </c>
      <c r="AU23" s="12" t="s">
        <v>106</v>
      </c>
      <c r="AV23" s="12" t="s">
        <v>108</v>
      </c>
    </row>
    <row r="24" spans="1:48" s="12" customFormat="1" ht="45" customHeight="1" x14ac:dyDescent="0.15">
      <c r="A24" s="12" t="s">
        <v>103</v>
      </c>
      <c r="B24" s="12">
        <v>2017</v>
      </c>
      <c r="C24" s="12" t="s">
        <v>104</v>
      </c>
      <c r="D24" s="12" t="s">
        <v>49</v>
      </c>
      <c r="E24" s="12" t="s">
        <v>18453</v>
      </c>
      <c r="F24" s="12" t="s">
        <v>107</v>
      </c>
      <c r="G24" s="12" t="s">
        <v>18475</v>
      </c>
      <c r="H24" s="12" t="s">
        <v>18525</v>
      </c>
      <c r="I24" s="12" t="s">
        <v>18701</v>
      </c>
      <c r="J24" s="12" t="s">
        <v>18702</v>
      </c>
      <c r="K24" s="12" t="s">
        <v>18712</v>
      </c>
      <c r="L24" s="12" t="s">
        <v>18480</v>
      </c>
      <c r="M24" s="12" t="s">
        <v>18544</v>
      </c>
      <c r="N24" s="12" t="s">
        <v>18461</v>
      </c>
      <c r="O24" s="12" t="s">
        <v>18462</v>
      </c>
      <c r="P24" s="12" t="s">
        <v>18704</v>
      </c>
      <c r="Q24" s="12" t="s">
        <v>18705</v>
      </c>
      <c r="R24" s="12" t="s">
        <v>18578</v>
      </c>
      <c r="S24" s="12" t="s">
        <v>18579</v>
      </c>
      <c r="T24" s="12" t="s">
        <v>18706</v>
      </c>
      <c r="U24" s="12" t="s">
        <v>18707</v>
      </c>
      <c r="V24" s="12" t="s">
        <v>18468</v>
      </c>
      <c r="W24" s="12" t="s">
        <v>18708</v>
      </c>
      <c r="X24" s="12" t="s">
        <v>18713</v>
      </c>
      <c r="Y24" s="12" t="s">
        <v>18710</v>
      </c>
      <c r="Z24" s="12" t="s">
        <v>18504</v>
      </c>
      <c r="AF24" s="12">
        <v>39</v>
      </c>
      <c r="AL24" s="12" t="str">
        <f t="shared" si="0"/>
        <v>http://dx.doi.org/10.3354/meps12031</v>
      </c>
      <c r="AM24" s="12">
        <v>16</v>
      </c>
      <c r="AN24" s="12">
        <v>16</v>
      </c>
      <c r="AO24" s="12">
        <v>564</v>
      </c>
      <c r="AP24" s="12" t="s">
        <v>16</v>
      </c>
      <c r="AQ24" s="12">
        <v>87</v>
      </c>
      <c r="AR24" s="12">
        <v>98</v>
      </c>
      <c r="AS24" s="12" t="s">
        <v>16</v>
      </c>
      <c r="AT24" s="12" t="s">
        <v>105</v>
      </c>
      <c r="AU24" s="12" t="s">
        <v>106</v>
      </c>
      <c r="AV24" s="12" t="s">
        <v>108</v>
      </c>
    </row>
    <row r="25" spans="1:48" s="12" customFormat="1" ht="45" customHeight="1" x14ac:dyDescent="0.15">
      <c r="A25" s="12" t="s">
        <v>103</v>
      </c>
      <c r="B25" s="12">
        <v>2017</v>
      </c>
      <c r="C25" s="12" t="s">
        <v>104</v>
      </c>
      <c r="D25" s="12" t="s">
        <v>49</v>
      </c>
      <c r="E25" s="12" t="s">
        <v>18453</v>
      </c>
      <c r="F25" s="12" t="s">
        <v>107</v>
      </c>
      <c r="G25" s="12" t="s">
        <v>18475</v>
      </c>
      <c r="H25" s="12" t="s">
        <v>18525</v>
      </c>
      <c r="I25" s="12" t="s">
        <v>18701</v>
      </c>
      <c r="J25" s="12" t="s">
        <v>18702</v>
      </c>
      <c r="K25" s="12" t="s">
        <v>18712</v>
      </c>
      <c r="L25" s="12" t="s">
        <v>18459</v>
      </c>
      <c r="M25" s="12" t="s">
        <v>18544</v>
      </c>
      <c r="N25" s="12" t="s">
        <v>18461</v>
      </c>
      <c r="O25" s="12" t="s">
        <v>18462</v>
      </c>
      <c r="P25" s="12" t="s">
        <v>18704</v>
      </c>
      <c r="Q25" s="12" t="s">
        <v>18705</v>
      </c>
      <c r="R25" s="12" t="s">
        <v>18578</v>
      </c>
      <c r="S25" s="12" t="s">
        <v>18579</v>
      </c>
      <c r="T25" s="12" t="s">
        <v>18711</v>
      </c>
      <c r="U25" s="12" t="s">
        <v>18707</v>
      </c>
      <c r="V25" s="12" t="s">
        <v>18500</v>
      </c>
      <c r="W25" s="12" t="s">
        <v>18708</v>
      </c>
      <c r="X25" s="12" t="s">
        <v>18713</v>
      </c>
      <c r="Y25" s="12" t="s">
        <v>18710</v>
      </c>
      <c r="Z25" s="12" t="s">
        <v>18504</v>
      </c>
      <c r="AF25" s="12">
        <v>39</v>
      </c>
      <c r="AL25" s="12" t="str">
        <f t="shared" si="0"/>
        <v>http://dx.doi.org/10.3354/meps12031</v>
      </c>
      <c r="AM25" s="12">
        <v>16</v>
      </c>
      <c r="AN25" s="12">
        <v>16</v>
      </c>
      <c r="AO25" s="12">
        <v>564</v>
      </c>
      <c r="AP25" s="12" t="s">
        <v>16</v>
      </c>
      <c r="AQ25" s="12">
        <v>87</v>
      </c>
      <c r="AR25" s="12">
        <v>98</v>
      </c>
      <c r="AS25" s="12" t="s">
        <v>16</v>
      </c>
      <c r="AT25" s="12" t="s">
        <v>105</v>
      </c>
      <c r="AU25" s="12" t="s">
        <v>106</v>
      </c>
      <c r="AV25" s="12" t="s">
        <v>108</v>
      </c>
    </row>
    <row r="26" spans="1:48" s="12" customFormat="1" ht="45" customHeight="1" x14ac:dyDescent="0.15">
      <c r="A26" s="12" t="s">
        <v>103</v>
      </c>
      <c r="B26" s="12">
        <v>2017</v>
      </c>
      <c r="C26" s="12" t="s">
        <v>104</v>
      </c>
      <c r="D26" s="12" t="s">
        <v>49</v>
      </c>
      <c r="E26" s="12" t="s">
        <v>18453</v>
      </c>
      <c r="F26" s="12" t="s">
        <v>107</v>
      </c>
      <c r="G26" s="12" t="s">
        <v>18475</v>
      </c>
      <c r="H26" s="12" t="s">
        <v>18525</v>
      </c>
      <c r="I26" s="12" t="s">
        <v>18701</v>
      </c>
      <c r="J26" s="12" t="s">
        <v>18702</v>
      </c>
      <c r="K26" s="12" t="s">
        <v>18714</v>
      </c>
      <c r="L26" s="12" t="s">
        <v>18480</v>
      </c>
      <c r="M26" s="12" t="s">
        <v>18544</v>
      </c>
      <c r="N26" s="12" t="s">
        <v>18461</v>
      </c>
      <c r="O26" s="12" t="s">
        <v>18462</v>
      </c>
      <c r="P26" s="12" t="s">
        <v>18704</v>
      </c>
      <c r="Q26" s="12" t="s">
        <v>18705</v>
      </c>
      <c r="R26" s="12" t="s">
        <v>18578</v>
      </c>
      <c r="S26" s="12" t="s">
        <v>18579</v>
      </c>
      <c r="T26" s="12" t="s">
        <v>18706</v>
      </c>
      <c r="U26" s="12" t="s">
        <v>18707</v>
      </c>
      <c r="V26" s="12" t="s">
        <v>18591</v>
      </c>
      <c r="W26" s="12" t="s">
        <v>18715</v>
      </c>
      <c r="X26" s="12" t="s">
        <v>18716</v>
      </c>
      <c r="Y26" s="12" t="s">
        <v>18710</v>
      </c>
      <c r="Z26" s="12">
        <v>0.60299999999999998</v>
      </c>
      <c r="AF26" s="12">
        <v>43</v>
      </c>
      <c r="AL26" s="12" t="str">
        <f t="shared" si="0"/>
        <v>http://dx.doi.org/10.3354/meps12031</v>
      </c>
      <c r="AM26" s="12">
        <v>16</v>
      </c>
      <c r="AN26" s="12">
        <v>16</v>
      </c>
      <c r="AO26" s="12">
        <v>564</v>
      </c>
      <c r="AP26" s="12" t="s">
        <v>16</v>
      </c>
      <c r="AQ26" s="12">
        <v>87</v>
      </c>
      <c r="AR26" s="12">
        <v>98</v>
      </c>
      <c r="AS26" s="12" t="s">
        <v>16</v>
      </c>
      <c r="AT26" s="12" t="s">
        <v>105</v>
      </c>
      <c r="AU26" s="12" t="s">
        <v>106</v>
      </c>
      <c r="AV26" s="12" t="s">
        <v>108</v>
      </c>
    </row>
    <row r="27" spans="1:48" s="12" customFormat="1" ht="45" customHeight="1" x14ac:dyDescent="0.15">
      <c r="A27" s="12" t="s">
        <v>103</v>
      </c>
      <c r="B27" s="12">
        <v>2017</v>
      </c>
      <c r="C27" s="12" t="s">
        <v>104</v>
      </c>
      <c r="D27" s="12" t="s">
        <v>49</v>
      </c>
      <c r="E27" s="12" t="s">
        <v>18453</v>
      </c>
      <c r="F27" s="12" t="s">
        <v>107</v>
      </c>
      <c r="G27" s="12" t="s">
        <v>18475</v>
      </c>
      <c r="H27" s="12" t="s">
        <v>18525</v>
      </c>
      <c r="I27" s="12" t="s">
        <v>18701</v>
      </c>
      <c r="J27" s="12" t="s">
        <v>18702</v>
      </c>
      <c r="K27" s="12" t="s">
        <v>18714</v>
      </c>
      <c r="L27" s="12" t="s">
        <v>18459</v>
      </c>
      <c r="M27" s="12" t="s">
        <v>18544</v>
      </c>
      <c r="N27" s="12" t="s">
        <v>18461</v>
      </c>
      <c r="O27" s="12" t="s">
        <v>18462</v>
      </c>
      <c r="P27" s="12" t="s">
        <v>18704</v>
      </c>
      <c r="Q27" s="12" t="s">
        <v>18705</v>
      </c>
      <c r="R27" s="12" t="s">
        <v>18578</v>
      </c>
      <c r="S27" s="12" t="s">
        <v>18579</v>
      </c>
      <c r="T27" s="12" t="s">
        <v>18711</v>
      </c>
      <c r="U27" s="12" t="s">
        <v>18707</v>
      </c>
      <c r="V27" s="12" t="s">
        <v>18591</v>
      </c>
      <c r="W27" s="12" t="s">
        <v>18715</v>
      </c>
      <c r="X27" s="12" t="s">
        <v>18716</v>
      </c>
      <c r="Y27" s="12" t="s">
        <v>18710</v>
      </c>
      <c r="Z27" s="12">
        <v>0.155</v>
      </c>
      <c r="AF27" s="12">
        <v>43</v>
      </c>
      <c r="AL27" s="12" t="str">
        <f t="shared" si="0"/>
        <v>http://dx.doi.org/10.3354/meps12031</v>
      </c>
      <c r="AM27" s="12">
        <v>16</v>
      </c>
      <c r="AN27" s="12">
        <v>16</v>
      </c>
      <c r="AO27" s="12">
        <v>564</v>
      </c>
      <c r="AP27" s="12" t="s">
        <v>16</v>
      </c>
      <c r="AQ27" s="12">
        <v>87</v>
      </c>
      <c r="AR27" s="12">
        <v>98</v>
      </c>
      <c r="AS27" s="12" t="s">
        <v>16</v>
      </c>
      <c r="AT27" s="12" t="s">
        <v>105</v>
      </c>
      <c r="AU27" s="12" t="s">
        <v>106</v>
      </c>
      <c r="AV27" s="12" t="s">
        <v>108</v>
      </c>
    </row>
    <row r="28" spans="1:48" ht="45" customHeight="1" x14ac:dyDescent="0.15">
      <c r="A28" s="5" t="s">
        <v>75</v>
      </c>
      <c r="B28" s="5">
        <v>2020</v>
      </c>
      <c r="C28" s="5" t="s">
        <v>76</v>
      </c>
      <c r="D28" s="5" t="s">
        <v>77</v>
      </c>
      <c r="E28" s="5" t="s">
        <v>18453</v>
      </c>
      <c r="F28" s="5" t="s">
        <v>80</v>
      </c>
      <c r="G28" s="2" t="s">
        <v>18475</v>
      </c>
      <c r="H28" s="2" t="s">
        <v>18620</v>
      </c>
      <c r="I28" s="2" t="s">
        <v>18729</v>
      </c>
      <c r="J28" s="2" t="s">
        <v>18730</v>
      </c>
      <c r="K28" s="2" t="s">
        <v>18731</v>
      </c>
      <c r="L28" s="2" t="s">
        <v>18480</v>
      </c>
      <c r="M28" s="2" t="s">
        <v>18544</v>
      </c>
      <c r="N28" s="2" t="s">
        <v>18481</v>
      </c>
      <c r="O28" s="2" t="s">
        <v>18623</v>
      </c>
      <c r="P28" s="2" t="s">
        <v>18732</v>
      </c>
      <c r="Q28" s="2" t="s">
        <v>18723</v>
      </c>
      <c r="R28" s="2" t="s">
        <v>18578</v>
      </c>
      <c r="S28" s="2" t="s">
        <v>18465</v>
      </c>
      <c r="T28" s="2" t="s">
        <v>18733</v>
      </c>
      <c r="U28" s="2" t="s">
        <v>18734</v>
      </c>
      <c r="V28" s="2" t="s">
        <v>18500</v>
      </c>
      <c r="W28" s="2" t="s">
        <v>18735</v>
      </c>
      <c r="X28" s="2" t="s">
        <v>18736</v>
      </c>
      <c r="Y28" s="2" t="s">
        <v>18737</v>
      </c>
      <c r="Z28" s="2" t="s">
        <v>18504</v>
      </c>
      <c r="AA28" s="2" t="s">
        <v>18738</v>
      </c>
      <c r="AG28" s="2">
        <v>0.16</v>
      </c>
      <c r="AJ28" s="2" t="s">
        <v>18739</v>
      </c>
      <c r="AL28" s="7" t="str">
        <f>HYPERLINK("http://dx.doi.org/10.1111/1365-2656.13142","http://dx.doi.org/10.1111/1365-2656.13142")</f>
        <v>http://dx.doi.org/10.1111/1365-2656.13142</v>
      </c>
      <c r="AM28" s="5">
        <v>25</v>
      </c>
      <c r="AN28" s="5">
        <v>26</v>
      </c>
      <c r="AO28" s="5">
        <v>89</v>
      </c>
      <c r="AP28" s="5">
        <v>3</v>
      </c>
      <c r="AQ28" s="5">
        <v>730</v>
      </c>
      <c r="AR28" s="5">
        <v>744</v>
      </c>
      <c r="AS28" s="5" t="s">
        <v>16</v>
      </c>
      <c r="AT28" s="5" t="s">
        <v>78</v>
      </c>
      <c r="AU28" s="5" t="s">
        <v>79</v>
      </c>
      <c r="AV28" s="5" t="s">
        <v>81</v>
      </c>
    </row>
    <row r="29" spans="1:48" ht="45" customHeight="1" x14ac:dyDescent="0.15">
      <c r="A29" s="5" t="s">
        <v>75</v>
      </c>
      <c r="B29" s="5">
        <v>2020</v>
      </c>
      <c r="C29" s="5" t="s">
        <v>76</v>
      </c>
      <c r="D29" s="5" t="s">
        <v>77</v>
      </c>
      <c r="E29" s="5" t="s">
        <v>18453</v>
      </c>
      <c r="F29" s="5" t="s">
        <v>80</v>
      </c>
      <c r="G29" s="2" t="s">
        <v>18475</v>
      </c>
      <c r="H29" s="2" t="s">
        <v>18620</v>
      </c>
      <c r="I29" s="2" t="s">
        <v>18729</v>
      </c>
      <c r="J29" s="2" t="s">
        <v>18730</v>
      </c>
      <c r="K29" s="2" t="s">
        <v>18731</v>
      </c>
      <c r="L29" s="2" t="s">
        <v>18459</v>
      </c>
      <c r="M29" s="2" t="s">
        <v>18544</v>
      </c>
      <c r="N29" s="2" t="s">
        <v>18461</v>
      </c>
      <c r="O29" s="2" t="s">
        <v>18623</v>
      </c>
      <c r="P29" s="2" t="s">
        <v>18732</v>
      </c>
      <c r="Q29" s="2" t="s">
        <v>18740</v>
      </c>
      <c r="R29" s="2" t="s">
        <v>18578</v>
      </c>
      <c r="S29" s="2" t="s">
        <v>18465</v>
      </c>
      <c r="T29" s="2" t="s">
        <v>18741</v>
      </c>
      <c r="U29" s="2" t="s">
        <v>18734</v>
      </c>
      <c r="V29" s="2" t="s">
        <v>18468</v>
      </c>
      <c r="W29" s="2" t="s">
        <v>18742</v>
      </c>
      <c r="X29" s="2" t="s">
        <v>18743</v>
      </c>
      <c r="Y29" s="2" t="s">
        <v>18744</v>
      </c>
      <c r="Z29" s="2" t="s">
        <v>18745</v>
      </c>
      <c r="AA29" s="2" t="s">
        <v>18746</v>
      </c>
      <c r="AG29" s="2">
        <v>0.26300000000000001</v>
      </c>
      <c r="AJ29" s="2" t="s">
        <v>18747</v>
      </c>
      <c r="AL29" s="7" t="str">
        <f>HYPERLINK("http://dx.doi.org/10.1111/1365-2656.13142","http://dx.doi.org/10.1111/1365-2656.13142")</f>
        <v>http://dx.doi.org/10.1111/1365-2656.13142</v>
      </c>
      <c r="AM29" s="5">
        <v>25</v>
      </c>
      <c r="AN29" s="5">
        <v>26</v>
      </c>
      <c r="AO29" s="5">
        <v>89</v>
      </c>
      <c r="AP29" s="5">
        <v>3</v>
      </c>
      <c r="AQ29" s="5">
        <v>730</v>
      </c>
      <c r="AR29" s="5">
        <v>744</v>
      </c>
      <c r="AS29" s="5" t="s">
        <v>16</v>
      </c>
      <c r="AT29" s="5" t="s">
        <v>78</v>
      </c>
      <c r="AU29" s="5" t="s">
        <v>79</v>
      </c>
      <c r="AV29" s="5" t="s">
        <v>81</v>
      </c>
    </row>
    <row r="30" spans="1:48" ht="45" customHeight="1" x14ac:dyDescent="0.15">
      <c r="A30" s="5" t="s">
        <v>60</v>
      </c>
      <c r="B30" s="5">
        <v>2016</v>
      </c>
      <c r="C30" s="5" t="s">
        <v>61</v>
      </c>
      <c r="D30" s="5" t="s">
        <v>62</v>
      </c>
      <c r="E30" s="5" t="s">
        <v>18453</v>
      </c>
      <c r="F30" s="5" t="s">
        <v>65</v>
      </c>
      <c r="G30" s="2" t="s">
        <v>18475</v>
      </c>
      <c r="H30" s="2" t="s">
        <v>18605</v>
      </c>
      <c r="I30" s="2" t="s">
        <v>18606</v>
      </c>
      <c r="J30" s="2" t="s">
        <v>18478</v>
      </c>
      <c r="K30" s="2" t="s">
        <v>18607</v>
      </c>
      <c r="L30" s="2" t="s">
        <v>18459</v>
      </c>
      <c r="M30" s="2" t="s">
        <v>18544</v>
      </c>
      <c r="N30" s="2" t="s">
        <v>18589</v>
      </c>
      <c r="O30" s="2" t="s">
        <v>18462</v>
      </c>
      <c r="P30" s="2" t="s">
        <v>18608</v>
      </c>
      <c r="Q30" s="2" t="s">
        <v>18590</v>
      </c>
      <c r="R30" s="2" t="s">
        <v>18578</v>
      </c>
      <c r="S30" s="2" t="s">
        <v>18609</v>
      </c>
      <c r="T30" s="2" t="s">
        <v>18610</v>
      </c>
      <c r="U30" s="2" t="s">
        <v>18611</v>
      </c>
      <c r="V30" s="2" t="s">
        <v>18468</v>
      </c>
      <c r="W30" s="2" t="s">
        <v>18618</v>
      </c>
      <c r="X30" s="2" t="s">
        <v>18619</v>
      </c>
      <c r="Y30" s="2" t="s">
        <v>18613</v>
      </c>
      <c r="Z30" s="2">
        <v>2.7E-2</v>
      </c>
      <c r="AB30" s="2">
        <v>-0.76</v>
      </c>
      <c r="AC30" s="2">
        <f>2*AB30/SQRT(1-(AB30^2))</f>
        <v>-2.338738328607322</v>
      </c>
      <c r="AF30" s="2" t="s">
        <v>18616</v>
      </c>
      <c r="AL30" s="7"/>
      <c r="AM30" s="5"/>
      <c r="AN30" s="5"/>
      <c r="AO30" s="5"/>
      <c r="AP30" s="5"/>
      <c r="AQ30" s="5"/>
      <c r="AR30" s="5"/>
      <c r="AS30" s="5"/>
      <c r="AT30" s="5"/>
      <c r="AU30" s="5"/>
      <c r="AV30" s="5"/>
    </row>
    <row r="31" spans="1:48" ht="45" customHeight="1" x14ac:dyDescent="0.15">
      <c r="A31" s="5" t="s">
        <v>60</v>
      </c>
      <c r="B31" s="5">
        <v>2016</v>
      </c>
      <c r="C31" s="5" t="s">
        <v>61</v>
      </c>
      <c r="D31" s="5" t="s">
        <v>62</v>
      </c>
      <c r="E31" s="5" t="s">
        <v>18453</v>
      </c>
      <c r="F31" s="5" t="s">
        <v>65</v>
      </c>
      <c r="G31" s="2" t="s">
        <v>18475</v>
      </c>
      <c r="H31" s="2" t="s">
        <v>18605</v>
      </c>
      <c r="I31" s="2" t="s">
        <v>18606</v>
      </c>
      <c r="J31" s="2" t="s">
        <v>18478</v>
      </c>
      <c r="K31" s="2" t="s">
        <v>18607</v>
      </c>
      <c r="L31" s="2" t="s">
        <v>18480</v>
      </c>
      <c r="M31" s="2" t="s">
        <v>18544</v>
      </c>
      <c r="N31" s="2" t="s">
        <v>18589</v>
      </c>
      <c r="O31" s="2" t="s">
        <v>18462</v>
      </c>
      <c r="P31" s="2" t="s">
        <v>18608</v>
      </c>
      <c r="Q31" s="2" t="s">
        <v>18590</v>
      </c>
      <c r="R31" s="2" t="s">
        <v>18578</v>
      </c>
      <c r="S31" s="2" t="s">
        <v>18609</v>
      </c>
      <c r="T31" s="2" t="s">
        <v>18610</v>
      </c>
      <c r="U31" s="2" t="s">
        <v>18611</v>
      </c>
      <c r="V31" s="2" t="s">
        <v>18468</v>
      </c>
      <c r="W31" s="2" t="s">
        <v>18612</v>
      </c>
      <c r="X31" s="2" t="s">
        <v>18617</v>
      </c>
      <c r="Y31" s="2" t="s">
        <v>18613</v>
      </c>
      <c r="Z31" s="2" t="s">
        <v>18614</v>
      </c>
      <c r="AB31" s="2" t="s">
        <v>18615</v>
      </c>
      <c r="AF31" s="2" t="s">
        <v>18616</v>
      </c>
      <c r="AL31" s="7" t="str">
        <f>HYPERLINK("http://dx.doi.org/10.1007/s10021-016-9978-x","http://dx.doi.org/10.1007/s10021-016-9978-x")</f>
        <v>http://dx.doi.org/10.1007/s10021-016-9978-x</v>
      </c>
      <c r="AM31" s="5">
        <v>22</v>
      </c>
      <c r="AN31" s="5">
        <v>24</v>
      </c>
      <c r="AO31" s="5">
        <v>19</v>
      </c>
      <c r="AP31" s="5">
        <v>6</v>
      </c>
      <c r="AQ31" s="5">
        <v>955</v>
      </c>
      <c r="AR31" s="5">
        <v>967</v>
      </c>
      <c r="AS31" s="5" t="s">
        <v>16</v>
      </c>
      <c r="AT31" s="5" t="s">
        <v>63</v>
      </c>
      <c r="AU31" s="5" t="s">
        <v>64</v>
      </c>
      <c r="AV31" s="5" t="s">
        <v>66</v>
      </c>
    </row>
    <row r="32" spans="1:48" ht="45" customHeight="1" x14ac:dyDescent="0.15">
      <c r="A32" s="5" t="s">
        <v>2055</v>
      </c>
      <c r="B32" s="5">
        <v>2021</v>
      </c>
      <c r="C32" s="5" t="s">
        <v>2056</v>
      </c>
      <c r="D32" s="5" t="s">
        <v>2057</v>
      </c>
      <c r="E32" s="5" t="s">
        <v>18453</v>
      </c>
      <c r="F32" s="5" t="s">
        <v>2060</v>
      </c>
      <c r="G32" s="2" t="s">
        <v>18475</v>
      </c>
      <c r="H32" s="2" t="s">
        <v>18675</v>
      </c>
      <c r="I32" s="2" t="s">
        <v>18676</v>
      </c>
      <c r="J32" s="2" t="s">
        <v>18677</v>
      </c>
      <c r="K32" s="2" t="s">
        <v>18678</v>
      </c>
      <c r="L32" s="2" t="s">
        <v>18480</v>
      </c>
      <c r="M32" s="2" t="s">
        <v>18460</v>
      </c>
      <c r="N32" s="2" t="s">
        <v>18679</v>
      </c>
      <c r="O32" s="2" t="s">
        <v>18575</v>
      </c>
      <c r="P32" s="2" t="s">
        <v>18680</v>
      </c>
      <c r="Q32" s="2" t="s">
        <v>18681</v>
      </c>
      <c r="R32" s="2" t="s">
        <v>18578</v>
      </c>
      <c r="S32" s="2" t="s">
        <v>18465</v>
      </c>
      <c r="T32" s="2" t="s">
        <v>18531</v>
      </c>
      <c r="U32" s="2" t="s">
        <v>18682</v>
      </c>
      <c r="V32" s="2" t="s">
        <v>18500</v>
      </c>
      <c r="W32" s="2" t="s">
        <v>18683</v>
      </c>
      <c r="X32" s="2" t="s">
        <v>18684</v>
      </c>
      <c r="Y32" s="2" t="s">
        <v>18685</v>
      </c>
      <c r="Z32" s="2" t="s">
        <v>18531</v>
      </c>
      <c r="AA32" s="2" t="s">
        <v>18531</v>
      </c>
      <c r="AB32" s="2" t="s">
        <v>18531</v>
      </c>
      <c r="AC32" s="2" t="s">
        <v>18531</v>
      </c>
      <c r="AF32" s="2" t="s">
        <v>18686</v>
      </c>
      <c r="AG32" s="2" t="s">
        <v>18531</v>
      </c>
      <c r="AI32" s="2" t="s">
        <v>18531</v>
      </c>
      <c r="AJ32" s="2" t="s">
        <v>18531</v>
      </c>
      <c r="AK32" s="2" t="s">
        <v>18531</v>
      </c>
      <c r="AL32" s="7" t="str">
        <f>HYPERLINK("http://dx.doi.org/10.1139/as-2020-0001","http://dx.doi.org/10.1139/as-2020-0001")</f>
        <v>http://dx.doi.org/10.1139/as-2020-0001</v>
      </c>
      <c r="AM32" s="5">
        <v>7</v>
      </c>
      <c r="AN32" s="5">
        <v>7</v>
      </c>
      <c r="AO32" s="5">
        <v>7</v>
      </c>
      <c r="AP32" s="5">
        <v>2</v>
      </c>
      <c r="AQ32" s="5">
        <v>413</v>
      </c>
      <c r="AR32" s="5">
        <v>435</v>
      </c>
      <c r="AS32" s="5" t="s">
        <v>16</v>
      </c>
      <c r="AT32" s="5" t="s">
        <v>2058</v>
      </c>
      <c r="AU32" s="5" t="s">
        <v>2059</v>
      </c>
      <c r="AV32" s="5" t="s">
        <v>2061</v>
      </c>
    </row>
    <row r="33" spans="1:48" ht="45" customHeight="1" x14ac:dyDescent="0.15">
      <c r="A33" s="5" t="s">
        <v>19</v>
      </c>
      <c r="B33" s="5">
        <v>2017</v>
      </c>
      <c r="C33" s="5" t="s">
        <v>20</v>
      </c>
      <c r="D33" s="5" t="s">
        <v>17</v>
      </c>
      <c r="E33" s="5" t="s">
        <v>18453</v>
      </c>
      <c r="F33" s="5" t="s">
        <v>23</v>
      </c>
      <c r="G33" s="5" t="s">
        <v>18475</v>
      </c>
      <c r="H33" s="5" t="s">
        <v>18639</v>
      </c>
      <c r="I33" s="5" t="s">
        <v>18640</v>
      </c>
      <c r="J33" s="5" t="s">
        <v>18641</v>
      </c>
      <c r="K33" s="5" t="s">
        <v>18642</v>
      </c>
      <c r="L33" s="5" t="s">
        <v>18480</v>
      </c>
      <c r="M33" s="5" t="s">
        <v>18460</v>
      </c>
      <c r="N33" s="5" t="s">
        <v>18481</v>
      </c>
      <c r="O33" s="5" t="s">
        <v>18462</v>
      </c>
      <c r="P33" s="5" t="s">
        <v>18643</v>
      </c>
      <c r="Q33" s="5" t="s">
        <v>18644</v>
      </c>
      <c r="R33" s="2" t="s">
        <v>18578</v>
      </c>
      <c r="S33" s="2" t="s">
        <v>18645</v>
      </c>
      <c r="T33" s="2" t="s">
        <v>18498</v>
      </c>
      <c r="U33" s="2" t="s">
        <v>18646</v>
      </c>
      <c r="V33" s="2" t="s">
        <v>18468</v>
      </c>
      <c r="W33" s="2" t="s">
        <v>18647</v>
      </c>
      <c r="X33" s="2" t="s">
        <v>18648</v>
      </c>
      <c r="Y33" s="2" t="s">
        <v>18649</v>
      </c>
      <c r="Z33" s="2" t="s">
        <v>18650</v>
      </c>
      <c r="AA33" s="2">
        <v>0.59</v>
      </c>
      <c r="AB33" s="2">
        <f>-SQRT(AA33)</f>
        <v>-0.76811457478686085</v>
      </c>
      <c r="AC33" s="2">
        <f>2*AB33/SQRT(1-(AB33^2))</f>
        <v>-2.3991868541186223</v>
      </c>
      <c r="AL33" s="7" t="str">
        <f>HYPERLINK("http://dx.doi.org/10.1111/fwb.12963","http://dx.doi.org/10.1111/fwb.12963")</f>
        <v>http://dx.doi.org/10.1111/fwb.12963</v>
      </c>
      <c r="AM33" s="5">
        <v>9</v>
      </c>
      <c r="AN33" s="5">
        <v>9</v>
      </c>
      <c r="AO33" s="5">
        <v>62</v>
      </c>
      <c r="AP33" s="5">
        <v>9</v>
      </c>
      <c r="AQ33" s="5">
        <v>1528</v>
      </c>
      <c r="AR33" s="5">
        <v>1538</v>
      </c>
      <c r="AS33" s="5" t="s">
        <v>16</v>
      </c>
      <c r="AT33" s="5" t="s">
        <v>21</v>
      </c>
      <c r="AU33" s="5" t="s">
        <v>22</v>
      </c>
      <c r="AV33" s="5" t="s">
        <v>24</v>
      </c>
    </row>
    <row r="34" spans="1:48" s="12" customFormat="1" ht="45" customHeight="1" x14ac:dyDescent="0.15">
      <c r="A34" s="11" t="s">
        <v>34</v>
      </c>
      <c r="B34" s="11">
        <v>2012</v>
      </c>
      <c r="C34" s="11" t="s">
        <v>35</v>
      </c>
      <c r="D34" s="11" t="s">
        <v>33</v>
      </c>
      <c r="E34" s="11" t="s">
        <v>18453</v>
      </c>
      <c r="F34" s="11" t="s">
        <v>38</v>
      </c>
      <c r="G34" s="11"/>
      <c r="H34" s="11"/>
      <c r="I34" s="11"/>
      <c r="J34" s="11"/>
      <c r="K34" s="11"/>
      <c r="L34" s="11"/>
      <c r="M34" s="11"/>
      <c r="N34" s="11"/>
      <c r="O34" s="11"/>
      <c r="P34" s="11"/>
      <c r="Q34" s="11"/>
      <c r="AL34" s="13" t="str">
        <f>HYPERLINK("http://dx.doi.org/10.1111/j.1365-2486.2012.02725.x","http://dx.doi.org/10.1111/j.1365-2486.2012.02725.x")</f>
        <v>http://dx.doi.org/10.1111/j.1365-2486.2012.02725.x</v>
      </c>
      <c r="AM34" s="11">
        <v>67</v>
      </c>
      <c r="AN34" s="11">
        <v>71</v>
      </c>
      <c r="AO34" s="11">
        <v>18</v>
      </c>
      <c r="AP34" s="11">
        <v>8</v>
      </c>
      <c r="AQ34" s="11">
        <v>2448</v>
      </c>
      <c r="AR34" s="11">
        <v>2457</v>
      </c>
      <c r="AS34" s="11" t="s">
        <v>16</v>
      </c>
      <c r="AT34" s="11" t="s">
        <v>36</v>
      </c>
      <c r="AU34" s="11" t="s">
        <v>37</v>
      </c>
      <c r="AV34" s="11" t="s">
        <v>39</v>
      </c>
    </row>
    <row r="35" spans="1:48" s="12" customFormat="1" ht="45" customHeight="1" x14ac:dyDescent="0.15">
      <c r="A35" s="11" t="s">
        <v>42</v>
      </c>
      <c r="B35" s="11">
        <v>2023</v>
      </c>
      <c r="C35" s="11" t="s">
        <v>43</v>
      </c>
      <c r="D35" s="11" t="s">
        <v>44</v>
      </c>
      <c r="E35" s="11" t="s">
        <v>18453</v>
      </c>
      <c r="F35" s="11" t="s">
        <v>47</v>
      </c>
      <c r="G35" s="11" t="s">
        <v>18475</v>
      </c>
      <c r="H35" s="11" t="s">
        <v>18748</v>
      </c>
      <c r="I35" s="11" t="s">
        <v>18753</v>
      </c>
      <c r="J35" s="11" t="s">
        <v>18754</v>
      </c>
      <c r="K35" s="11"/>
      <c r="L35" s="11"/>
      <c r="M35" s="11"/>
      <c r="N35" s="11"/>
      <c r="O35" s="11"/>
      <c r="P35" s="11"/>
      <c r="Q35" s="11" t="s">
        <v>18752</v>
      </c>
      <c r="R35" s="12" t="s">
        <v>18578</v>
      </c>
      <c r="S35" s="12" t="s">
        <v>18749</v>
      </c>
      <c r="U35" s="12" t="s">
        <v>18751</v>
      </c>
      <c r="W35" s="12" t="s">
        <v>18755</v>
      </c>
      <c r="Y35" s="12" t="s">
        <v>18750</v>
      </c>
      <c r="AL35" s="13" t="str">
        <f>HYPERLINK("http://dx.doi.org/10.3389/fevo.2022.1076451","http://dx.doi.org/10.3389/fevo.2022.1076451")</f>
        <v>http://dx.doi.org/10.3389/fevo.2022.1076451</v>
      </c>
      <c r="AM35" s="11">
        <v>0</v>
      </c>
      <c r="AN35" s="11">
        <v>0</v>
      </c>
      <c r="AO35" s="11">
        <v>10</v>
      </c>
      <c r="AP35" s="11" t="s">
        <v>16</v>
      </c>
      <c r="AQ35" s="11" t="s">
        <v>16</v>
      </c>
      <c r="AR35" s="11" t="s">
        <v>16</v>
      </c>
      <c r="AS35" s="11">
        <v>1076451</v>
      </c>
      <c r="AT35" s="11" t="s">
        <v>45</v>
      </c>
      <c r="AU35" s="11" t="s">
        <v>46</v>
      </c>
      <c r="AV35" s="11" t="s">
        <v>48</v>
      </c>
    </row>
    <row r="36" spans="1:48" s="12" customFormat="1" ht="45" customHeight="1" x14ac:dyDescent="0.15">
      <c r="A36" s="11" t="s">
        <v>50</v>
      </c>
      <c r="B36" s="11">
        <v>2021</v>
      </c>
      <c r="C36" s="11" t="s">
        <v>51</v>
      </c>
      <c r="D36" s="11" t="s">
        <v>18</v>
      </c>
      <c r="E36" s="11" t="s">
        <v>18453</v>
      </c>
      <c r="F36" s="11" t="s">
        <v>54</v>
      </c>
      <c r="G36" s="11" t="s">
        <v>18475</v>
      </c>
      <c r="H36" s="11" t="s">
        <v>18525</v>
      </c>
      <c r="I36" s="11" t="s">
        <v>18756</v>
      </c>
      <c r="J36" s="11" t="s">
        <v>18754</v>
      </c>
      <c r="K36" s="11" t="s">
        <v>18757</v>
      </c>
      <c r="L36" s="11" t="s">
        <v>18480</v>
      </c>
      <c r="M36" s="11" t="s">
        <v>18544</v>
      </c>
      <c r="N36" s="11" t="s">
        <v>18461</v>
      </c>
      <c r="O36" s="11" t="s">
        <v>18482</v>
      </c>
      <c r="P36" s="11" t="s">
        <v>18760</v>
      </c>
      <c r="Q36" s="11" t="s">
        <v>18752</v>
      </c>
      <c r="R36" s="12" t="s">
        <v>18578</v>
      </c>
      <c r="S36" s="12" t="s">
        <v>18465</v>
      </c>
      <c r="T36" s="12" t="s">
        <v>18761</v>
      </c>
      <c r="U36" s="12" t="s">
        <v>18762</v>
      </c>
      <c r="V36" s="12" t="s">
        <v>18468</v>
      </c>
      <c r="W36" s="12" t="s">
        <v>18759</v>
      </c>
      <c r="Y36" s="12" t="s">
        <v>18758</v>
      </c>
      <c r="AL36" s="13" t="str">
        <f>HYPERLINK("http://dx.doi.org/10.1002/ecs2.3626","http://dx.doi.org/10.1002/ecs2.3626")</f>
        <v>http://dx.doi.org/10.1002/ecs2.3626</v>
      </c>
      <c r="AM36" s="11">
        <v>3</v>
      </c>
      <c r="AN36" s="11">
        <v>3</v>
      </c>
      <c r="AO36" s="11">
        <v>12</v>
      </c>
      <c r="AP36" s="11">
        <v>6</v>
      </c>
      <c r="AQ36" s="11" t="s">
        <v>16</v>
      </c>
      <c r="AR36" s="11" t="s">
        <v>16</v>
      </c>
      <c r="AS36" s="11" t="s">
        <v>55</v>
      </c>
      <c r="AT36" s="11" t="s">
        <v>52</v>
      </c>
      <c r="AU36" s="11" t="s">
        <v>53</v>
      </c>
      <c r="AV36" s="11" t="s">
        <v>56</v>
      </c>
    </row>
    <row r="37" spans="1:48" s="12" customFormat="1" ht="45" customHeight="1" x14ac:dyDescent="0.15">
      <c r="A37" s="11" t="s">
        <v>69</v>
      </c>
      <c r="B37" s="11">
        <v>2004</v>
      </c>
      <c r="C37" s="11" t="s">
        <v>70</v>
      </c>
      <c r="D37" s="11" t="s">
        <v>49</v>
      </c>
      <c r="E37" s="11" t="s">
        <v>18453</v>
      </c>
      <c r="F37" s="11" t="s">
        <v>73</v>
      </c>
      <c r="G37" s="11"/>
      <c r="H37" s="11"/>
      <c r="I37" s="11"/>
      <c r="J37" s="11"/>
      <c r="K37" s="11"/>
      <c r="L37" s="11"/>
      <c r="M37" s="11"/>
      <c r="N37" s="11"/>
      <c r="O37" s="11"/>
      <c r="P37" s="11"/>
      <c r="Q37" s="11"/>
      <c r="AL37" s="13" t="str">
        <f>HYPERLINK("http://dx.doi.org/10.3354/meps277275","http://dx.doi.org/10.3354/meps277275")</f>
        <v>http://dx.doi.org/10.3354/meps277275</v>
      </c>
      <c r="AM37" s="11">
        <v>97</v>
      </c>
      <c r="AN37" s="11">
        <v>101</v>
      </c>
      <c r="AO37" s="11">
        <v>277</v>
      </c>
      <c r="AP37" s="11" t="s">
        <v>16</v>
      </c>
      <c r="AQ37" s="11">
        <v>275</v>
      </c>
      <c r="AR37" s="11">
        <v>283</v>
      </c>
      <c r="AS37" s="11" t="s">
        <v>16</v>
      </c>
      <c r="AT37" s="11" t="s">
        <v>71</v>
      </c>
      <c r="AU37" s="11" t="s">
        <v>72</v>
      </c>
      <c r="AV37" s="11" t="s">
        <v>74</v>
      </c>
    </row>
    <row r="38" spans="1:48" ht="45" customHeight="1" x14ac:dyDescent="0.15">
      <c r="A38" s="5" t="s">
        <v>84</v>
      </c>
      <c r="B38" s="5">
        <v>2019</v>
      </c>
      <c r="C38" s="5" t="s">
        <v>85</v>
      </c>
      <c r="D38" s="5" t="s">
        <v>49</v>
      </c>
      <c r="E38" s="5" t="s">
        <v>18453</v>
      </c>
      <c r="F38" s="5" t="s">
        <v>88</v>
      </c>
      <c r="G38" s="5" t="s">
        <v>18454</v>
      </c>
      <c r="H38" s="5" t="s">
        <v>18455</v>
      </c>
      <c r="I38" s="5" t="s">
        <v>18764</v>
      </c>
      <c r="J38" s="5" t="s">
        <v>18772</v>
      </c>
      <c r="K38" s="5" t="s">
        <v>18563</v>
      </c>
      <c r="L38" s="5" t="s">
        <v>18459</v>
      </c>
      <c r="M38" s="5" t="s">
        <v>18460</v>
      </c>
      <c r="N38" s="5" t="s">
        <v>18770</v>
      </c>
      <c r="O38" s="5" t="s">
        <v>18462</v>
      </c>
      <c r="P38" s="5" t="s">
        <v>18771</v>
      </c>
      <c r="Q38" s="5" t="s">
        <v>18765</v>
      </c>
      <c r="R38" s="2" t="s">
        <v>18766</v>
      </c>
      <c r="S38" s="2" t="s">
        <v>18669</v>
      </c>
      <c r="T38" s="2" t="s">
        <v>18767</v>
      </c>
      <c r="U38" s="2" t="s">
        <v>18768</v>
      </c>
      <c r="V38" s="2" t="s">
        <v>18468</v>
      </c>
      <c r="W38" s="2" t="s">
        <v>18773</v>
      </c>
      <c r="X38" s="2" t="s">
        <v>18774</v>
      </c>
      <c r="Y38" s="2" t="s">
        <v>18769</v>
      </c>
      <c r="Z38" s="2" t="s">
        <v>18504</v>
      </c>
      <c r="AC38" s="25">
        <f>-4.575/SQRT(297)</f>
        <v>-0.2654684253324392</v>
      </c>
      <c r="AD38"/>
      <c r="AE38" s="2" t="s">
        <v>18777</v>
      </c>
      <c r="AF38" s="2" t="s">
        <v>18790</v>
      </c>
      <c r="AG38" s="2">
        <v>-1.7000000000000001E-2</v>
      </c>
      <c r="AI38" s="2">
        <v>4.0000000000000001E-3</v>
      </c>
      <c r="AK38" s="2" t="s">
        <v>18775</v>
      </c>
      <c r="AL38" s="9" t="str">
        <f>HYPERLINK("http://dx.doi.org/10.3354/meps13136","http://dx.doi.org/10.3354/meps13136")</f>
        <v>http://dx.doi.org/10.3354/meps13136</v>
      </c>
      <c r="AM38" s="5">
        <v>4</v>
      </c>
      <c r="AN38" s="5">
        <v>4</v>
      </c>
      <c r="AO38" s="5">
        <v>630</v>
      </c>
      <c r="AP38" s="5" t="s">
        <v>16</v>
      </c>
      <c r="AQ38" s="5">
        <v>215</v>
      </c>
      <c r="AR38" s="5">
        <v>225</v>
      </c>
      <c r="AS38" s="5" t="s">
        <v>16</v>
      </c>
      <c r="AT38" s="5" t="s">
        <v>86</v>
      </c>
      <c r="AU38" s="5" t="s">
        <v>87</v>
      </c>
      <c r="AV38" s="5" t="s">
        <v>89</v>
      </c>
    </row>
    <row r="39" spans="1:48" ht="45" customHeight="1" x14ac:dyDescent="0.15">
      <c r="A39" s="5" t="s">
        <v>90</v>
      </c>
      <c r="B39" s="5">
        <v>2013</v>
      </c>
      <c r="C39" s="5" t="s">
        <v>91</v>
      </c>
      <c r="D39" s="5" t="s">
        <v>92</v>
      </c>
      <c r="E39" s="5" t="s">
        <v>18453</v>
      </c>
      <c r="F39" s="5" t="s">
        <v>95</v>
      </c>
      <c r="G39" s="5" t="s">
        <v>18475</v>
      </c>
      <c r="H39" s="5" t="s">
        <v>18571</v>
      </c>
      <c r="I39" s="5" t="s">
        <v>18778</v>
      </c>
      <c r="J39" s="5" t="s">
        <v>18779</v>
      </c>
      <c r="K39" s="5" t="s">
        <v>18781</v>
      </c>
      <c r="L39" s="5" t="s">
        <v>18480</v>
      </c>
      <c r="M39" s="5" t="s">
        <v>18460</v>
      </c>
      <c r="N39" s="5" t="s">
        <v>18679</v>
      </c>
      <c r="O39" s="5" t="s">
        <v>18462</v>
      </c>
      <c r="P39" s="5" t="s">
        <v>18780</v>
      </c>
      <c r="Q39" s="5" t="s">
        <v>18782</v>
      </c>
      <c r="R39" s="2" t="s">
        <v>18485</v>
      </c>
      <c r="S39" s="2" t="s">
        <v>18784</v>
      </c>
      <c r="T39" s="10" t="s">
        <v>18785</v>
      </c>
      <c r="U39" s="2" t="s">
        <v>18783</v>
      </c>
      <c r="V39" s="2" t="s">
        <v>18468</v>
      </c>
      <c r="W39" s="2" t="s">
        <v>18786</v>
      </c>
      <c r="X39" s="2" t="s">
        <v>18788</v>
      </c>
      <c r="Y39" s="2" t="s">
        <v>18787</v>
      </c>
      <c r="Z39" s="2">
        <v>0.05</v>
      </c>
      <c r="AA39" s="2">
        <v>0.23</v>
      </c>
      <c r="AB39" s="2">
        <f>-SQRT(AA39)</f>
        <v>-0.47958315233127197</v>
      </c>
      <c r="AC39" s="25">
        <f>2*AB39/SQRT(1-(AB39^2))</f>
        <v>-1.0930714500000422</v>
      </c>
      <c r="AD39"/>
      <c r="AF39" s="2" t="s">
        <v>18789</v>
      </c>
      <c r="AG39" s="2" t="s">
        <v>18792</v>
      </c>
      <c r="AH39" s="2">
        <v>1.02</v>
      </c>
      <c r="AK39" s="2" t="s">
        <v>18801</v>
      </c>
      <c r="AL39" s="7" t="str">
        <f>HYPERLINK("http://dx.doi.org/10.1899/13-008.1","http://dx.doi.org/10.1899/13-008.1")</f>
        <v>http://dx.doi.org/10.1899/13-008.1</v>
      </c>
      <c r="AM39" s="5">
        <v>25</v>
      </c>
      <c r="AN39" s="5">
        <v>26</v>
      </c>
      <c r="AO39" s="5">
        <v>32</v>
      </c>
      <c r="AP39" s="5">
        <v>3</v>
      </c>
      <c r="AQ39" s="5">
        <v>964</v>
      </c>
      <c r="AR39" s="5">
        <v>975</v>
      </c>
      <c r="AS39" s="5" t="s">
        <v>16</v>
      </c>
      <c r="AT39" s="5" t="s">
        <v>93</v>
      </c>
      <c r="AU39" s="5" t="s">
        <v>94</v>
      </c>
      <c r="AV39" s="5" t="s">
        <v>96</v>
      </c>
    </row>
    <row r="40" spans="1:48" ht="45" customHeight="1" x14ac:dyDescent="0.15">
      <c r="A40" s="5" t="s">
        <v>97</v>
      </c>
      <c r="B40" s="5">
        <v>2021</v>
      </c>
      <c r="C40" s="5" t="s">
        <v>98</v>
      </c>
      <c r="D40" s="5" t="s">
        <v>77</v>
      </c>
      <c r="E40" s="5" t="s">
        <v>18453</v>
      </c>
      <c r="F40" s="5" t="s">
        <v>101</v>
      </c>
      <c r="G40" s="5" t="s">
        <v>18454</v>
      </c>
      <c r="H40" s="5" t="s">
        <v>18793</v>
      </c>
      <c r="I40" s="5" t="s">
        <v>18794</v>
      </c>
      <c r="J40" s="5" t="s">
        <v>18478</v>
      </c>
      <c r="K40" s="5" t="s">
        <v>18795</v>
      </c>
      <c r="L40" s="5" t="s">
        <v>18480</v>
      </c>
      <c r="M40" s="5" t="s">
        <v>18544</v>
      </c>
      <c r="N40" s="5" t="s">
        <v>18481</v>
      </c>
      <c r="O40" s="5" t="s">
        <v>18623</v>
      </c>
      <c r="P40" s="5" t="s">
        <v>18624</v>
      </c>
      <c r="Q40" s="5" t="s">
        <v>18796</v>
      </c>
      <c r="R40" s="2" t="s">
        <v>18485</v>
      </c>
      <c r="S40" s="2" t="s">
        <v>18465</v>
      </c>
      <c r="T40" s="2" t="s">
        <v>18498</v>
      </c>
      <c r="U40" s="2" t="s">
        <v>18797</v>
      </c>
      <c r="V40" s="2" t="s">
        <v>18468</v>
      </c>
      <c r="W40" s="2" t="s">
        <v>18800</v>
      </c>
      <c r="X40" s="2" t="s">
        <v>18798</v>
      </c>
      <c r="Y40" s="2" t="s">
        <v>18799</v>
      </c>
      <c r="Z40" s="2">
        <v>7.9699999999999993E-2</v>
      </c>
      <c r="AC40" s="2">
        <v>-1.27</v>
      </c>
      <c r="AK40" s="2" t="s">
        <v>18801</v>
      </c>
      <c r="AL40" s="7" t="str">
        <f>HYPERLINK("http://dx.doi.org/10.1111/1365-2656.13407","http://dx.doi.org/10.1111/1365-2656.13407")</f>
        <v>http://dx.doi.org/10.1111/1365-2656.13407</v>
      </c>
      <c r="AM40" s="5">
        <v>6</v>
      </c>
      <c r="AN40" s="5">
        <v>6</v>
      </c>
      <c r="AO40" s="5">
        <v>90</v>
      </c>
      <c r="AP40" s="5">
        <v>3</v>
      </c>
      <c r="AQ40" s="5">
        <v>738</v>
      </c>
      <c r="AR40" s="5">
        <v>750</v>
      </c>
      <c r="AS40" s="5" t="s">
        <v>16</v>
      </c>
      <c r="AT40" s="5" t="s">
        <v>99</v>
      </c>
      <c r="AU40" s="5" t="s">
        <v>100</v>
      </c>
      <c r="AV40" s="5" t="s">
        <v>102</v>
      </c>
    </row>
    <row r="41" spans="1:48" ht="45" customHeight="1" x14ac:dyDescent="0.15">
      <c r="A41" s="5" t="s">
        <v>109</v>
      </c>
      <c r="B41" s="5">
        <v>2020</v>
      </c>
      <c r="C41" s="5" t="s">
        <v>110</v>
      </c>
      <c r="D41" s="5" t="s">
        <v>111</v>
      </c>
      <c r="E41" s="5" t="s">
        <v>18453</v>
      </c>
      <c r="F41" s="5" t="s">
        <v>114</v>
      </c>
      <c r="G41" s="5" t="s">
        <v>18475</v>
      </c>
      <c r="H41" s="5" t="s">
        <v>18605</v>
      </c>
      <c r="I41" s="5"/>
      <c r="J41" s="5" t="s">
        <v>18478</v>
      </c>
      <c r="K41" s="5" t="s">
        <v>18757</v>
      </c>
      <c r="L41" s="5" t="s">
        <v>18480</v>
      </c>
      <c r="M41" s="5" t="s">
        <v>18460</v>
      </c>
      <c r="N41" s="5" t="s">
        <v>18802</v>
      </c>
      <c r="O41" s="5" t="s">
        <v>18803</v>
      </c>
      <c r="P41" s="5" t="s">
        <v>18804</v>
      </c>
      <c r="Q41" s="5" t="s">
        <v>18807</v>
      </c>
      <c r="R41" s="2" t="s">
        <v>18578</v>
      </c>
      <c r="S41" s="2" t="s">
        <v>18784</v>
      </c>
      <c r="T41" s="2" t="s">
        <v>18805</v>
      </c>
      <c r="U41" s="2" t="s">
        <v>18806</v>
      </c>
      <c r="V41" s="2" t="s">
        <v>18468</v>
      </c>
      <c r="W41" s="2" t="s">
        <v>18809</v>
      </c>
      <c r="X41" s="2" t="s">
        <v>18808</v>
      </c>
      <c r="Y41" s="2" t="s">
        <v>18799</v>
      </c>
      <c r="Z41" s="2">
        <v>4.7999999999999996E-3</v>
      </c>
      <c r="AB41" s="2">
        <v>-0.94</v>
      </c>
      <c r="AC41" s="2">
        <f>2*AB41/SQRT(1-(AB41^2))</f>
        <v>-5.5103775885491606</v>
      </c>
      <c r="AK41" s="2" t="s">
        <v>18810</v>
      </c>
      <c r="AL41" s="7" t="str">
        <f>HYPERLINK("http://dx.doi.org/10.1007/s10452-020-09750-4","http://dx.doi.org/10.1007/s10452-020-09750-4")</f>
        <v>http://dx.doi.org/10.1007/s10452-020-09750-4</v>
      </c>
      <c r="AM41" s="5">
        <v>6</v>
      </c>
      <c r="AN41" s="5">
        <v>7</v>
      </c>
      <c r="AO41" s="5">
        <v>54</v>
      </c>
      <c r="AP41" s="5">
        <v>1</v>
      </c>
      <c r="AQ41" s="5">
        <v>401</v>
      </c>
      <c r="AR41" s="5">
        <v>419</v>
      </c>
      <c r="AS41" s="5" t="s">
        <v>16</v>
      </c>
      <c r="AT41" s="5" t="s">
        <v>112</v>
      </c>
      <c r="AU41" s="5" t="s">
        <v>113</v>
      </c>
      <c r="AV41" s="5" t="s">
        <v>115</v>
      </c>
    </row>
    <row r="42" spans="1:48" ht="45" customHeight="1" x14ac:dyDescent="0.15">
      <c r="A42" s="5" t="s">
        <v>125</v>
      </c>
      <c r="B42" s="5">
        <v>2015</v>
      </c>
      <c r="C42" s="5" t="s">
        <v>126</v>
      </c>
      <c r="D42" s="5" t="s">
        <v>127</v>
      </c>
      <c r="E42" s="5" t="s">
        <v>18453</v>
      </c>
      <c r="F42" s="5" t="s">
        <v>130</v>
      </c>
      <c r="G42" s="5" t="s">
        <v>18475</v>
      </c>
      <c r="H42" s="5" t="s">
        <v>18525</v>
      </c>
      <c r="I42" s="5" t="s">
        <v>18813</v>
      </c>
      <c r="J42" s="5" t="s">
        <v>18814</v>
      </c>
      <c r="K42" s="5" t="s">
        <v>18812</v>
      </c>
      <c r="L42" s="5" t="s">
        <v>18459</v>
      </c>
      <c r="M42" s="5" t="s">
        <v>18460</v>
      </c>
      <c r="N42" s="5" t="s">
        <v>18589</v>
      </c>
      <c r="O42" s="5" t="s">
        <v>18462</v>
      </c>
      <c r="P42" s="5" t="s">
        <v>18825</v>
      </c>
      <c r="Q42" s="5" t="s">
        <v>18816</v>
      </c>
      <c r="R42" s="2" t="s">
        <v>18817</v>
      </c>
      <c r="S42" s="2" t="s">
        <v>18465</v>
      </c>
      <c r="T42" s="2" t="s">
        <v>18531</v>
      </c>
      <c r="U42" s="2" t="s">
        <v>18815</v>
      </c>
      <c r="V42" s="2" t="s">
        <v>18468</v>
      </c>
      <c r="W42" s="2" t="s">
        <v>18821</v>
      </c>
      <c r="X42" s="2" t="s">
        <v>18818</v>
      </c>
      <c r="Y42" s="2" t="s">
        <v>18819</v>
      </c>
      <c r="Z42" s="2" t="s">
        <v>18745</v>
      </c>
      <c r="AB42" s="2">
        <v>-0.53600000000000003</v>
      </c>
      <c r="AC42" s="2">
        <f>2*AB42/SQRT(1-(AB42^2))</f>
        <v>-1.2698142229946634</v>
      </c>
      <c r="AF42" s="2" t="s">
        <v>18820</v>
      </c>
      <c r="AK42" s="2" t="s">
        <v>18810</v>
      </c>
      <c r="AL42" s="7" t="str">
        <f>HYPERLINK("http://dx.doi.org/10.1016/j.polar.2015.03.002","http://dx.doi.org/10.1016/j.polar.2015.03.002")</f>
        <v>http://dx.doi.org/10.1016/j.polar.2015.03.002</v>
      </c>
      <c r="AM42" s="5">
        <v>11</v>
      </c>
      <c r="AN42" s="5">
        <v>11</v>
      </c>
      <c r="AO42" s="5">
        <v>9</v>
      </c>
      <c r="AP42" s="5">
        <v>2</v>
      </c>
      <c r="AQ42" s="5">
        <v>235</v>
      </c>
      <c r="AR42" s="5">
        <v>248</v>
      </c>
      <c r="AS42" s="5" t="s">
        <v>16</v>
      </c>
      <c r="AT42" s="5" t="s">
        <v>128</v>
      </c>
      <c r="AU42" s="5" t="s">
        <v>129</v>
      </c>
      <c r="AV42" s="5" t="s">
        <v>131</v>
      </c>
    </row>
    <row r="43" spans="1:48" ht="45" customHeight="1" x14ac:dyDescent="0.15">
      <c r="A43" s="5" t="s">
        <v>132</v>
      </c>
      <c r="B43" s="5">
        <v>2019</v>
      </c>
      <c r="C43" s="5" t="s">
        <v>133</v>
      </c>
      <c r="D43" s="5" t="s">
        <v>15</v>
      </c>
      <c r="E43" s="5" t="s">
        <v>18453</v>
      </c>
      <c r="F43" s="5" t="s">
        <v>136</v>
      </c>
      <c r="G43" s="5" t="s">
        <v>18454</v>
      </c>
      <c r="H43" s="5" t="s">
        <v>18793</v>
      </c>
      <c r="I43" s="5" t="s">
        <v>18822</v>
      </c>
      <c r="J43" s="5" t="s">
        <v>18478</v>
      </c>
      <c r="K43" s="5" t="s">
        <v>18823</v>
      </c>
      <c r="L43" s="5" t="s">
        <v>18480</v>
      </c>
      <c r="M43" s="5" t="s">
        <v>18460</v>
      </c>
      <c r="N43" s="5" t="s">
        <v>18481</v>
      </c>
      <c r="O43" s="5" t="s">
        <v>18623</v>
      </c>
      <c r="P43" s="5" t="s">
        <v>18824</v>
      </c>
      <c r="Q43" s="5" t="s">
        <v>18826</v>
      </c>
      <c r="R43" s="2" t="s">
        <v>18485</v>
      </c>
      <c r="S43" s="2" t="s">
        <v>18465</v>
      </c>
      <c r="T43" s="2" t="s">
        <v>18828</v>
      </c>
      <c r="U43" s="2" t="s">
        <v>18827</v>
      </c>
      <c r="V43" s="2" t="s">
        <v>18468</v>
      </c>
      <c r="W43" s="2" t="s">
        <v>18832</v>
      </c>
      <c r="X43" s="2" t="s">
        <v>18629</v>
      </c>
      <c r="Y43" s="2" t="s">
        <v>18831</v>
      </c>
      <c r="Z43" s="2">
        <v>0.02</v>
      </c>
      <c r="AC43" s="2">
        <v>-1.4</v>
      </c>
      <c r="AE43" s="2" t="s">
        <v>18829</v>
      </c>
      <c r="AK43" s="2" t="s">
        <v>18830</v>
      </c>
      <c r="AL43" s="7" t="str">
        <f>HYPERLINK("http://dx.doi.org/10.1002/ece3.5523","http://dx.doi.org/10.1002/ece3.5523")</f>
        <v>http://dx.doi.org/10.1002/ece3.5523</v>
      </c>
      <c r="AM43" s="5">
        <v>4</v>
      </c>
      <c r="AN43" s="5">
        <v>4</v>
      </c>
      <c r="AO43" s="5">
        <v>9</v>
      </c>
      <c r="AP43" s="5">
        <v>17</v>
      </c>
      <c r="AQ43" s="5">
        <v>9815</v>
      </c>
      <c r="AR43" s="5">
        <v>9826</v>
      </c>
      <c r="AS43" s="5" t="s">
        <v>16</v>
      </c>
      <c r="AT43" s="5" t="s">
        <v>134</v>
      </c>
      <c r="AU43" s="5" t="s">
        <v>135</v>
      </c>
      <c r="AV43" s="5" t="s">
        <v>137</v>
      </c>
    </row>
    <row r="44" spans="1:48" ht="45" customHeight="1" x14ac:dyDescent="0.15">
      <c r="A44" s="5" t="s">
        <v>139</v>
      </c>
      <c r="B44" s="5">
        <v>2019</v>
      </c>
      <c r="C44" s="5" t="s">
        <v>140</v>
      </c>
      <c r="D44" s="5" t="s">
        <v>17</v>
      </c>
      <c r="E44" s="5" t="s">
        <v>18453</v>
      </c>
      <c r="F44" s="5" t="s">
        <v>143</v>
      </c>
      <c r="G44" s="5" t="s">
        <v>18475</v>
      </c>
      <c r="H44" s="5" t="s">
        <v>18476</v>
      </c>
      <c r="I44" s="5" t="s">
        <v>18834</v>
      </c>
      <c r="J44" s="5" t="s">
        <v>18779</v>
      </c>
      <c r="K44" s="5" t="s">
        <v>18833</v>
      </c>
      <c r="L44" s="5" t="s">
        <v>18480</v>
      </c>
      <c r="M44" s="5" t="s">
        <v>18544</v>
      </c>
      <c r="N44" s="5" t="s">
        <v>18770</v>
      </c>
      <c r="O44" s="5" t="s">
        <v>18623</v>
      </c>
      <c r="P44" s="5" t="s">
        <v>18837</v>
      </c>
      <c r="Q44" s="5" t="s">
        <v>18836</v>
      </c>
      <c r="R44" s="2" t="s">
        <v>18835</v>
      </c>
      <c r="S44" s="2" t="s">
        <v>18669</v>
      </c>
      <c r="T44" s="2" t="s">
        <v>18839</v>
      </c>
      <c r="U44" s="2" t="s">
        <v>18838</v>
      </c>
      <c r="V44" s="2" t="s">
        <v>18468</v>
      </c>
      <c r="W44" s="2" t="s">
        <v>18843</v>
      </c>
      <c r="X44" s="2" t="s">
        <v>18844</v>
      </c>
      <c r="Y44" s="2" t="s">
        <v>18840</v>
      </c>
      <c r="Z44" s="2" t="s">
        <v>18554</v>
      </c>
      <c r="AA44" s="2">
        <v>0.25</v>
      </c>
      <c r="AB44" s="2">
        <f>SQRT(AA44)</f>
        <v>0.5</v>
      </c>
      <c r="AC44" s="2">
        <f>2*AB44/SQRT(1-(AB44^2))</f>
        <v>1.1547005383792517</v>
      </c>
      <c r="AE44" s="2" t="s">
        <v>18841</v>
      </c>
      <c r="AF44" s="2" t="s">
        <v>18842</v>
      </c>
      <c r="AK44" s="2" t="s">
        <v>18810</v>
      </c>
      <c r="AL44" s="7" t="str">
        <f>HYPERLINK("http://dx.doi.org/10.1111/fwb.13365","http://dx.doi.org/10.1111/fwb.13365")</f>
        <v>http://dx.doi.org/10.1111/fwb.13365</v>
      </c>
      <c r="AM44" s="5">
        <v>5</v>
      </c>
      <c r="AN44" s="5">
        <v>5</v>
      </c>
      <c r="AO44" s="5">
        <v>64</v>
      </c>
      <c r="AP44" s="5">
        <v>10</v>
      </c>
      <c r="AQ44" s="5">
        <v>1737</v>
      </c>
      <c r="AR44" s="5">
        <v>1746</v>
      </c>
      <c r="AS44" s="5" t="s">
        <v>16</v>
      </c>
      <c r="AT44" s="5" t="s">
        <v>141</v>
      </c>
      <c r="AU44" s="5" t="s">
        <v>142</v>
      </c>
      <c r="AV44" s="5" t="s">
        <v>144</v>
      </c>
    </row>
    <row r="45" spans="1:48" s="12" customFormat="1" ht="45" customHeight="1" x14ac:dyDescent="0.15">
      <c r="A45" s="11" t="s">
        <v>146</v>
      </c>
      <c r="B45" s="11">
        <v>2022</v>
      </c>
      <c r="C45" s="11" t="s">
        <v>147</v>
      </c>
      <c r="D45" s="11" t="s">
        <v>116</v>
      </c>
      <c r="E45" s="11" t="s">
        <v>18453</v>
      </c>
      <c r="F45" s="11" t="s">
        <v>150</v>
      </c>
      <c r="G45" s="11"/>
      <c r="H45" s="11"/>
      <c r="I45" s="11"/>
      <c r="J45" s="11"/>
      <c r="K45" s="11"/>
      <c r="L45" s="11"/>
      <c r="M45" s="11"/>
      <c r="N45" s="11"/>
      <c r="O45" s="11"/>
      <c r="P45" s="11"/>
      <c r="Q45" s="11"/>
      <c r="AL45" s="13" t="str">
        <f>HYPERLINK("http://dx.doi.org/10.1007/s10641-021-01199-0","http://dx.doi.org/10.1007/s10641-021-01199-0")</f>
        <v>http://dx.doi.org/10.1007/s10641-021-01199-0</v>
      </c>
      <c r="AM45" s="11">
        <v>1</v>
      </c>
      <c r="AN45" s="11">
        <v>1</v>
      </c>
      <c r="AO45" s="11">
        <v>105</v>
      </c>
      <c r="AP45" s="11">
        <v>1</v>
      </c>
      <c r="AQ45" s="11">
        <v>119</v>
      </c>
      <c r="AR45" s="11">
        <v>137</v>
      </c>
      <c r="AS45" s="11" t="s">
        <v>16</v>
      </c>
      <c r="AT45" s="11" t="s">
        <v>148</v>
      </c>
      <c r="AU45" s="11" t="s">
        <v>149</v>
      </c>
      <c r="AV45" s="11" t="s">
        <v>151</v>
      </c>
    </row>
    <row r="46" spans="1:48" ht="45" customHeight="1" x14ac:dyDescent="0.15">
      <c r="A46" s="5" t="s">
        <v>152</v>
      </c>
      <c r="B46" s="5">
        <v>2023</v>
      </c>
      <c r="C46" s="5" t="s">
        <v>153</v>
      </c>
      <c r="D46" s="5" t="s">
        <v>154</v>
      </c>
      <c r="E46" s="5" t="s">
        <v>18453</v>
      </c>
      <c r="F46" s="5" t="s">
        <v>157</v>
      </c>
      <c r="G46" s="5" t="s">
        <v>18475</v>
      </c>
      <c r="H46" s="5" t="s">
        <v>18748</v>
      </c>
      <c r="I46" s="5" t="s">
        <v>18845</v>
      </c>
      <c r="J46" s="5" t="s">
        <v>18478</v>
      </c>
      <c r="K46" s="5" t="s">
        <v>18848</v>
      </c>
      <c r="L46" s="5" t="s">
        <v>18480</v>
      </c>
      <c r="M46" s="5" t="s">
        <v>18460</v>
      </c>
      <c r="N46" s="5" t="s">
        <v>18481</v>
      </c>
      <c r="O46" s="5" t="s">
        <v>18575</v>
      </c>
      <c r="P46" s="5" t="s">
        <v>18853</v>
      </c>
      <c r="Q46" s="5" t="s">
        <v>18849</v>
      </c>
      <c r="R46" s="2" t="s">
        <v>18578</v>
      </c>
      <c r="S46" s="2" t="s">
        <v>18465</v>
      </c>
      <c r="T46" s="2" t="s">
        <v>18846</v>
      </c>
      <c r="U46" s="2" t="s">
        <v>18847</v>
      </c>
      <c r="V46" s="2" t="s">
        <v>18468</v>
      </c>
      <c r="W46" s="2" t="s">
        <v>18852</v>
      </c>
      <c r="X46" s="2" t="s">
        <v>18648</v>
      </c>
      <c r="Y46" s="2" t="s">
        <v>18860</v>
      </c>
      <c r="Z46" s="2">
        <v>8.0000000000000002E-3</v>
      </c>
      <c r="AB46" s="25"/>
      <c r="AC46" s="25">
        <f xml:space="preserve"> -3.31/ SQRT(120)</f>
        <v>-0.30216027755701663</v>
      </c>
      <c r="AD46" s="25"/>
      <c r="AE46" s="2" t="s">
        <v>18850</v>
      </c>
      <c r="AF46" s="2" t="s">
        <v>18851</v>
      </c>
      <c r="AK46" s="2" t="s">
        <v>18775</v>
      </c>
      <c r="AL46" s="7" t="str">
        <f>HYPERLINK("http://dx.doi.org/10.1186/s13717-023-00430-3","http://dx.doi.org/10.1186/s13717-023-00430-3")</f>
        <v>http://dx.doi.org/10.1186/s13717-023-00430-3</v>
      </c>
      <c r="AM46" s="5">
        <v>0</v>
      </c>
      <c r="AN46" s="5">
        <v>0</v>
      </c>
      <c r="AO46" s="5">
        <v>12</v>
      </c>
      <c r="AP46" s="5">
        <v>1</v>
      </c>
      <c r="AQ46" s="5" t="s">
        <v>16</v>
      </c>
      <c r="AR46" s="5" t="s">
        <v>16</v>
      </c>
      <c r="AS46" s="5">
        <v>22</v>
      </c>
      <c r="AT46" s="5" t="s">
        <v>155</v>
      </c>
      <c r="AU46" s="5" t="s">
        <v>156</v>
      </c>
      <c r="AV46" s="5" t="s">
        <v>158</v>
      </c>
    </row>
    <row r="47" spans="1:48" s="12" customFormat="1" ht="45" customHeight="1" x14ac:dyDescent="0.15">
      <c r="A47" s="11" t="s">
        <v>164</v>
      </c>
      <c r="B47" s="11">
        <v>2020</v>
      </c>
      <c r="C47" s="11" t="s">
        <v>165</v>
      </c>
      <c r="D47" s="11" t="s">
        <v>15</v>
      </c>
      <c r="E47" s="11" t="s">
        <v>18453</v>
      </c>
      <c r="F47" s="11" t="s">
        <v>168</v>
      </c>
      <c r="G47" s="11"/>
      <c r="H47" s="11"/>
      <c r="I47" s="11"/>
      <c r="J47" s="11"/>
      <c r="K47" s="11"/>
      <c r="L47" s="11"/>
      <c r="M47" s="11"/>
      <c r="N47" s="11"/>
      <c r="O47" s="11"/>
      <c r="P47" s="11"/>
      <c r="Q47" s="11"/>
      <c r="AL47" s="13" t="str">
        <f>HYPERLINK("http://dx.doi.org/10.1002/ece3.6186","http://dx.doi.org/10.1002/ece3.6186")</f>
        <v>http://dx.doi.org/10.1002/ece3.6186</v>
      </c>
      <c r="AM47" s="11">
        <v>9</v>
      </c>
      <c r="AN47" s="11">
        <v>9</v>
      </c>
      <c r="AO47" s="11">
        <v>10</v>
      </c>
      <c r="AP47" s="11">
        <v>10</v>
      </c>
      <c r="AQ47" s="11">
        <v>4178</v>
      </c>
      <c r="AR47" s="11">
        <v>4192</v>
      </c>
      <c r="AS47" s="11" t="s">
        <v>16</v>
      </c>
      <c r="AT47" s="11" t="s">
        <v>166</v>
      </c>
      <c r="AU47" s="11" t="s">
        <v>167</v>
      </c>
      <c r="AV47" s="11" t="s">
        <v>169</v>
      </c>
    </row>
    <row r="48" spans="1:48" s="12" customFormat="1" ht="45" customHeight="1" x14ac:dyDescent="0.15">
      <c r="A48" s="11" t="s">
        <v>170</v>
      </c>
      <c r="B48" s="11">
        <v>2016</v>
      </c>
      <c r="C48" s="11" t="s">
        <v>171</v>
      </c>
      <c r="D48" s="11" t="s">
        <v>172</v>
      </c>
      <c r="E48" s="11" t="s">
        <v>18453</v>
      </c>
      <c r="F48" s="11" t="s">
        <v>175</v>
      </c>
      <c r="G48" s="11" t="s">
        <v>18475</v>
      </c>
      <c r="H48" s="11" t="s">
        <v>18525</v>
      </c>
      <c r="I48" s="11" t="s">
        <v>18858</v>
      </c>
      <c r="J48" s="11" t="s">
        <v>18478</v>
      </c>
      <c r="K48" s="11" t="s">
        <v>18857</v>
      </c>
      <c r="L48" s="11" t="s">
        <v>18480</v>
      </c>
      <c r="M48" s="11" t="s">
        <v>18460</v>
      </c>
      <c r="N48" s="11" t="s">
        <v>18481</v>
      </c>
      <c r="O48" s="11"/>
      <c r="P48" s="11"/>
      <c r="Q48" s="11"/>
      <c r="Y48" s="12" t="s">
        <v>18856</v>
      </c>
      <c r="AL48" s="13" t="str">
        <f>HYPERLINK("http://dx.doi.org/10.1007/s00442-015-3384-5","http://dx.doi.org/10.1007/s00442-015-3384-5")</f>
        <v>http://dx.doi.org/10.1007/s00442-015-3384-5</v>
      </c>
      <c r="AM48" s="11">
        <v>50</v>
      </c>
      <c r="AN48" s="11">
        <v>52</v>
      </c>
      <c r="AO48" s="11">
        <v>180</v>
      </c>
      <c r="AP48" s="11">
        <v>3</v>
      </c>
      <c r="AQ48" s="11">
        <v>631</v>
      </c>
      <c r="AR48" s="11">
        <v>644</v>
      </c>
      <c r="AS48" s="11" t="s">
        <v>16</v>
      </c>
      <c r="AT48" s="11" t="s">
        <v>173</v>
      </c>
      <c r="AU48" s="11" t="s">
        <v>174</v>
      </c>
      <c r="AV48" s="11" t="s">
        <v>176</v>
      </c>
    </row>
    <row r="49" spans="1:48" ht="45" customHeight="1" x14ac:dyDescent="0.15">
      <c r="A49" s="5" t="s">
        <v>177</v>
      </c>
      <c r="B49" s="5">
        <v>2008</v>
      </c>
      <c r="C49" s="5" t="s">
        <v>178</v>
      </c>
      <c r="D49" s="5" t="s">
        <v>27</v>
      </c>
      <c r="E49" s="5" t="s">
        <v>18453</v>
      </c>
      <c r="F49" s="5" t="s">
        <v>181</v>
      </c>
      <c r="G49" s="5" t="s">
        <v>18475</v>
      </c>
      <c r="H49" s="5" t="s">
        <v>18620</v>
      </c>
      <c r="I49" s="5" t="s">
        <v>18865</v>
      </c>
      <c r="J49" s="5" t="s">
        <v>18573</v>
      </c>
      <c r="K49" s="5" t="s">
        <v>18866</v>
      </c>
      <c r="L49" s="5" t="s">
        <v>18480</v>
      </c>
      <c r="M49" s="5" t="s">
        <v>18460</v>
      </c>
      <c r="N49" s="5" t="s">
        <v>18531</v>
      </c>
      <c r="O49" s="5" t="s">
        <v>18869</v>
      </c>
      <c r="P49" s="5" t="s">
        <v>18869</v>
      </c>
      <c r="Q49" s="5" t="s">
        <v>18864</v>
      </c>
      <c r="R49" s="2" t="s">
        <v>18485</v>
      </c>
      <c r="S49" s="2" t="s">
        <v>18863</v>
      </c>
      <c r="T49" s="2" t="s">
        <v>18846</v>
      </c>
      <c r="U49" s="2" t="s">
        <v>18862</v>
      </c>
      <c r="V49" s="2" t="s">
        <v>18591</v>
      </c>
      <c r="W49" s="2" t="s">
        <v>18867</v>
      </c>
      <c r="X49" s="2" t="s">
        <v>18788</v>
      </c>
      <c r="Y49" s="2" t="s">
        <v>18861</v>
      </c>
      <c r="Z49" s="2">
        <v>0.12</v>
      </c>
      <c r="AE49" s="2" t="s">
        <v>18859</v>
      </c>
      <c r="AF49" s="2" t="s">
        <v>18868</v>
      </c>
      <c r="AL49" s="7" t="str">
        <f>HYPERLINK("http://dx.doi.org/10.1890/08-0273.1","http://dx.doi.org/10.1890/08-0273.1")</f>
        <v>http://dx.doi.org/10.1890/08-0273.1</v>
      </c>
      <c r="AM49" s="5">
        <v>66</v>
      </c>
      <c r="AN49" s="5">
        <v>69</v>
      </c>
      <c r="AO49" s="5">
        <v>89</v>
      </c>
      <c r="AP49" s="5">
        <v>12</v>
      </c>
      <c r="AQ49" s="5">
        <v>3261</v>
      </c>
      <c r="AR49" s="5">
        <v>3267</v>
      </c>
      <c r="AS49" s="5" t="s">
        <v>16</v>
      </c>
      <c r="AT49" s="5" t="s">
        <v>179</v>
      </c>
      <c r="AU49" s="5" t="s">
        <v>180</v>
      </c>
      <c r="AV49" s="5" t="s">
        <v>182</v>
      </c>
    </row>
    <row r="50" spans="1:48" ht="45" customHeight="1" x14ac:dyDescent="0.15">
      <c r="A50" s="5" t="s">
        <v>183</v>
      </c>
      <c r="B50" s="5">
        <v>2022</v>
      </c>
      <c r="C50" s="5" t="s">
        <v>184</v>
      </c>
      <c r="D50" s="5" t="s">
        <v>33</v>
      </c>
      <c r="E50" s="5" t="s">
        <v>18453</v>
      </c>
      <c r="F50" s="5" t="s">
        <v>187</v>
      </c>
      <c r="G50" s="5" t="s">
        <v>18475</v>
      </c>
      <c r="H50" s="5" t="s">
        <v>18748</v>
      </c>
      <c r="I50" s="5" t="s">
        <v>18871</v>
      </c>
      <c r="J50" s="5" t="s">
        <v>18478</v>
      </c>
      <c r="K50" s="5" t="s">
        <v>18866</v>
      </c>
      <c r="L50" s="5" t="s">
        <v>18480</v>
      </c>
      <c r="M50" s="5" t="s">
        <v>18544</v>
      </c>
      <c r="N50" s="5" t="s">
        <v>18531</v>
      </c>
      <c r="O50" s="5" t="s">
        <v>18872</v>
      </c>
      <c r="P50" s="5" t="s">
        <v>18873</v>
      </c>
      <c r="Q50" s="5" t="s">
        <v>18874</v>
      </c>
      <c r="R50" s="2" t="s">
        <v>18578</v>
      </c>
      <c r="S50" s="2" t="s">
        <v>18465</v>
      </c>
      <c r="T50" s="2" t="s">
        <v>18877</v>
      </c>
      <c r="U50" s="2" t="s">
        <v>18878</v>
      </c>
      <c r="V50" s="2" t="s">
        <v>18880</v>
      </c>
      <c r="W50" s="2" t="s">
        <v>18883</v>
      </c>
      <c r="X50" s="2" t="s">
        <v>18881</v>
      </c>
      <c r="Y50" s="2" t="s">
        <v>18870</v>
      </c>
      <c r="Z50" s="2">
        <v>0.13400000000000001</v>
      </c>
      <c r="AC50" s="2">
        <v>0.435</v>
      </c>
      <c r="AE50" s="2" t="s">
        <v>18882</v>
      </c>
      <c r="AF50" s="2" t="s">
        <v>18875</v>
      </c>
      <c r="AK50" s="2" t="s">
        <v>18884</v>
      </c>
      <c r="AL50" s="7" t="str">
        <f>HYPERLINK("http://dx.doi.org/10.1111/gcb.16026","http://dx.doi.org/10.1111/gcb.16026")</f>
        <v>http://dx.doi.org/10.1111/gcb.16026</v>
      </c>
      <c r="AM50" s="5">
        <v>6</v>
      </c>
      <c r="AN50" s="5">
        <v>6</v>
      </c>
      <c r="AO50" s="5">
        <v>28</v>
      </c>
      <c r="AP50" s="5">
        <v>3</v>
      </c>
      <c r="AQ50" s="5">
        <v>859</v>
      </c>
      <c r="AR50" s="5">
        <v>876</v>
      </c>
      <c r="AS50" s="5" t="s">
        <v>16</v>
      </c>
      <c r="AT50" s="5" t="s">
        <v>185</v>
      </c>
      <c r="AU50" s="5" t="s">
        <v>186</v>
      </c>
      <c r="AV50" s="5" t="s">
        <v>188</v>
      </c>
    </row>
    <row r="51" spans="1:48" ht="45" customHeight="1" x14ac:dyDescent="0.15">
      <c r="A51" s="5" t="s">
        <v>183</v>
      </c>
      <c r="B51" s="5">
        <v>2022</v>
      </c>
      <c r="C51" s="5" t="s">
        <v>184</v>
      </c>
      <c r="D51" s="5" t="s">
        <v>33</v>
      </c>
      <c r="E51" s="5" t="s">
        <v>18453</v>
      </c>
      <c r="F51" s="5" t="s">
        <v>187</v>
      </c>
      <c r="G51" s="5" t="s">
        <v>18475</v>
      </c>
      <c r="H51" s="5" t="s">
        <v>18748</v>
      </c>
      <c r="I51" s="5" t="s">
        <v>18871</v>
      </c>
      <c r="J51" s="5" t="s">
        <v>18478</v>
      </c>
      <c r="K51" s="5" t="s">
        <v>18866</v>
      </c>
      <c r="L51" s="5" t="s">
        <v>18459</v>
      </c>
      <c r="M51" s="5" t="s">
        <v>18544</v>
      </c>
      <c r="N51" s="5" t="s">
        <v>18461</v>
      </c>
      <c r="O51" s="5" t="s">
        <v>18872</v>
      </c>
      <c r="P51" s="5" t="s">
        <v>18873</v>
      </c>
      <c r="Q51" s="5" t="s">
        <v>18874</v>
      </c>
      <c r="R51" s="2" t="s">
        <v>18578</v>
      </c>
      <c r="S51" s="2" t="s">
        <v>18465</v>
      </c>
      <c r="T51" s="2" t="s">
        <v>18876</v>
      </c>
      <c r="U51" s="2" t="s">
        <v>18879</v>
      </c>
      <c r="V51" s="2" t="s">
        <v>18500</v>
      </c>
      <c r="W51" s="2" t="s">
        <v>18889</v>
      </c>
      <c r="X51" s="2" t="s">
        <v>18888</v>
      </c>
      <c r="Y51" s="2" t="s">
        <v>18885</v>
      </c>
      <c r="Z51" s="2" t="s">
        <v>18531</v>
      </c>
      <c r="AC51" s="15">
        <v>0.97260000000000002</v>
      </c>
      <c r="AD51" s="15"/>
      <c r="AE51" s="2" t="s">
        <v>18887</v>
      </c>
      <c r="AK51" s="2" t="s">
        <v>18886</v>
      </c>
      <c r="AL51" s="7" t="str">
        <f>HYPERLINK("http://dx.doi.org/10.1111/gcb.16026","http://dx.doi.org/10.1111/gcb.16026")</f>
        <v>http://dx.doi.org/10.1111/gcb.16026</v>
      </c>
      <c r="AM51" s="5">
        <v>6</v>
      </c>
      <c r="AN51" s="5">
        <v>6</v>
      </c>
      <c r="AO51" s="5">
        <v>28</v>
      </c>
      <c r="AP51" s="5">
        <v>3</v>
      </c>
      <c r="AQ51" s="5">
        <v>859</v>
      </c>
      <c r="AR51" s="5">
        <v>876</v>
      </c>
      <c r="AS51" s="5" t="s">
        <v>16</v>
      </c>
      <c r="AT51" s="5" t="s">
        <v>185</v>
      </c>
      <c r="AU51" s="5" t="s">
        <v>186</v>
      </c>
      <c r="AV51" s="5" t="s">
        <v>188</v>
      </c>
    </row>
    <row r="52" spans="1:48" s="12" customFormat="1" ht="45" customHeight="1" x14ac:dyDescent="0.15">
      <c r="A52" s="11" t="s">
        <v>191</v>
      </c>
      <c r="B52" s="11">
        <v>2021</v>
      </c>
      <c r="C52" s="11" t="s">
        <v>192</v>
      </c>
      <c r="D52" s="11" t="s">
        <v>33</v>
      </c>
      <c r="E52" s="11" t="s">
        <v>18453</v>
      </c>
      <c r="F52" s="11" t="s">
        <v>195</v>
      </c>
      <c r="G52" s="11"/>
      <c r="H52" s="11"/>
      <c r="I52" s="11"/>
      <c r="J52" s="11"/>
      <c r="K52" s="11"/>
      <c r="L52" s="11"/>
      <c r="M52" s="11"/>
      <c r="N52" s="11"/>
      <c r="O52" s="11"/>
      <c r="P52" s="11"/>
      <c r="Q52" s="11"/>
      <c r="AL52" s="13" t="str">
        <f>HYPERLINK("http://dx.doi.org/10.1111/gcb.15656","http://dx.doi.org/10.1111/gcb.15656")</f>
        <v>http://dx.doi.org/10.1111/gcb.15656</v>
      </c>
      <c r="AM52" s="11">
        <v>16</v>
      </c>
      <c r="AN52" s="11">
        <v>16</v>
      </c>
      <c r="AO52" s="11">
        <v>27</v>
      </c>
      <c r="AP52" s="11">
        <v>15</v>
      </c>
      <c r="AQ52" s="11">
        <v>3505</v>
      </c>
      <c r="AR52" s="11">
        <v>3518</v>
      </c>
      <c r="AS52" s="11" t="s">
        <v>16</v>
      </c>
      <c r="AT52" s="11" t="s">
        <v>193</v>
      </c>
      <c r="AU52" s="11" t="s">
        <v>194</v>
      </c>
      <c r="AV52" s="11" t="s">
        <v>196</v>
      </c>
    </row>
    <row r="53" spans="1:48" s="12" customFormat="1" ht="45" customHeight="1" x14ac:dyDescent="0.15">
      <c r="A53" s="11" t="s">
        <v>197</v>
      </c>
      <c r="B53" s="11">
        <v>2017</v>
      </c>
      <c r="C53" s="11" t="s">
        <v>198</v>
      </c>
      <c r="D53" s="11" t="s">
        <v>199</v>
      </c>
      <c r="E53" s="11" t="s">
        <v>18453</v>
      </c>
      <c r="F53" s="11" t="s">
        <v>202</v>
      </c>
      <c r="G53" s="11"/>
      <c r="H53" s="11"/>
      <c r="I53" s="11"/>
      <c r="J53" s="11"/>
      <c r="K53" s="11"/>
      <c r="L53" s="11"/>
      <c r="M53" s="11"/>
      <c r="N53" s="11"/>
      <c r="O53" s="11"/>
      <c r="P53" s="11"/>
      <c r="Q53" s="11"/>
      <c r="AL53" s="13" t="str">
        <f>HYPERLINK("http://dx.doi.org/10.1016/j.ejsobi.2017.08.008","http://dx.doi.org/10.1016/j.ejsobi.2017.08.008")</f>
        <v>http://dx.doi.org/10.1016/j.ejsobi.2017.08.008</v>
      </c>
      <c r="AM53" s="11">
        <v>8</v>
      </c>
      <c r="AN53" s="11">
        <v>8</v>
      </c>
      <c r="AO53" s="11">
        <v>82</v>
      </c>
      <c r="AP53" s="11" t="s">
        <v>16</v>
      </c>
      <c r="AQ53" s="11">
        <v>98</v>
      </c>
      <c r="AR53" s="11">
        <v>107</v>
      </c>
      <c r="AS53" s="11" t="s">
        <v>16</v>
      </c>
      <c r="AT53" s="11" t="s">
        <v>200</v>
      </c>
      <c r="AU53" s="11" t="s">
        <v>201</v>
      </c>
      <c r="AV53" s="11" t="s">
        <v>203</v>
      </c>
    </row>
    <row r="54" spans="1:48" s="12" customFormat="1" ht="45" customHeight="1" x14ac:dyDescent="0.15">
      <c r="A54" s="11" t="s">
        <v>204</v>
      </c>
      <c r="B54" s="11">
        <v>2010</v>
      </c>
      <c r="C54" s="11" t="s">
        <v>205</v>
      </c>
      <c r="D54" s="11" t="s">
        <v>160</v>
      </c>
      <c r="E54" s="11" t="s">
        <v>18453</v>
      </c>
      <c r="F54" s="11" t="s">
        <v>208</v>
      </c>
      <c r="G54" s="11"/>
      <c r="H54" s="11"/>
      <c r="I54" s="11"/>
      <c r="J54" s="11"/>
      <c r="K54" s="11"/>
      <c r="L54" s="11"/>
      <c r="M54" s="11"/>
      <c r="N54" s="11"/>
      <c r="O54" s="11"/>
      <c r="P54" s="11"/>
      <c r="Q54" s="11"/>
      <c r="AL54" s="13" t="str">
        <f>HYPERLINK("http://dx.doi.org/10.1111/j.1365-2664.2010.01790.x","http://dx.doi.org/10.1111/j.1365-2664.2010.01790.x")</f>
        <v>http://dx.doi.org/10.1111/j.1365-2664.2010.01790.x</v>
      </c>
      <c r="AM54" s="11">
        <v>211</v>
      </c>
      <c r="AN54" s="11">
        <v>217</v>
      </c>
      <c r="AO54" s="11">
        <v>47</v>
      </c>
      <c r="AP54" s="11">
        <v>2</v>
      </c>
      <c r="AQ54" s="11">
        <v>487</v>
      </c>
      <c r="AR54" s="11">
        <v>497</v>
      </c>
      <c r="AS54" s="11" t="s">
        <v>16</v>
      </c>
      <c r="AT54" s="11" t="s">
        <v>206</v>
      </c>
      <c r="AU54" s="11" t="s">
        <v>207</v>
      </c>
      <c r="AV54" s="11" t="s">
        <v>209</v>
      </c>
    </row>
    <row r="55" spans="1:48" s="17" customFormat="1" ht="45" customHeight="1" x14ac:dyDescent="0.15">
      <c r="A55" s="16" t="s">
        <v>210</v>
      </c>
      <c r="B55" s="16">
        <v>2015</v>
      </c>
      <c r="C55" s="16" t="s">
        <v>211</v>
      </c>
      <c r="D55" s="16" t="s">
        <v>212</v>
      </c>
      <c r="E55" s="16" t="s">
        <v>18453</v>
      </c>
      <c r="F55" s="16" t="s">
        <v>215</v>
      </c>
      <c r="G55" s="16" t="s">
        <v>18475</v>
      </c>
      <c r="H55" s="16" t="s">
        <v>18605</v>
      </c>
      <c r="I55" s="16" t="s">
        <v>18890</v>
      </c>
      <c r="J55" s="16" t="s">
        <v>18478</v>
      </c>
      <c r="K55" s="16"/>
      <c r="L55" s="16" t="s">
        <v>18480</v>
      </c>
      <c r="M55" s="16" t="s">
        <v>18544</v>
      </c>
      <c r="N55" s="16"/>
      <c r="O55" s="16" t="s">
        <v>18891</v>
      </c>
      <c r="P55" s="16" t="s">
        <v>18892</v>
      </c>
      <c r="Q55" s="16" t="s">
        <v>18893</v>
      </c>
      <c r="R55" s="17" t="s">
        <v>18578</v>
      </c>
      <c r="S55" s="17" t="s">
        <v>18465</v>
      </c>
      <c r="T55" s="17" t="s">
        <v>18846</v>
      </c>
      <c r="U55" s="17" t="s">
        <v>18894</v>
      </c>
      <c r="AL55" s="18" t="str">
        <f>HYPERLINK("http://dx.doi.org/10.1007/s00300-014-1628-1","http://dx.doi.org/10.1007/s00300-014-1628-1")</f>
        <v>http://dx.doi.org/10.1007/s00300-014-1628-1</v>
      </c>
      <c r="AM55" s="16">
        <v>0</v>
      </c>
      <c r="AN55" s="16">
        <v>0</v>
      </c>
      <c r="AO55" s="16">
        <v>38</v>
      </c>
      <c r="AP55" s="16">
        <v>5</v>
      </c>
      <c r="AQ55" s="16">
        <v>651</v>
      </c>
      <c r="AR55" s="16">
        <v>664</v>
      </c>
      <c r="AS55" s="16" t="s">
        <v>16</v>
      </c>
      <c r="AT55" s="16" t="s">
        <v>213</v>
      </c>
      <c r="AU55" s="16" t="s">
        <v>214</v>
      </c>
      <c r="AV55" s="16" t="s">
        <v>216</v>
      </c>
    </row>
    <row r="56" spans="1:48" s="17" customFormat="1" ht="45" customHeight="1" x14ac:dyDescent="0.15">
      <c r="A56" s="16" t="s">
        <v>218</v>
      </c>
      <c r="B56" s="16">
        <v>2018</v>
      </c>
      <c r="C56" s="16" t="s">
        <v>219</v>
      </c>
      <c r="D56" s="16" t="s">
        <v>17</v>
      </c>
      <c r="E56" s="16" t="s">
        <v>18453</v>
      </c>
      <c r="F56" s="16" t="s">
        <v>222</v>
      </c>
      <c r="G56" s="16" t="s">
        <v>18475</v>
      </c>
      <c r="H56" s="16"/>
      <c r="I56" s="16"/>
      <c r="J56" s="16"/>
      <c r="K56" s="16"/>
      <c r="L56" s="16"/>
      <c r="M56" s="16"/>
      <c r="N56" s="16"/>
      <c r="O56" s="16"/>
      <c r="P56" s="16"/>
      <c r="Q56" s="16"/>
      <c r="AL56" s="18" t="str">
        <f>HYPERLINK("http://dx.doi.org/10.1111/fwb.13122","http://dx.doi.org/10.1111/fwb.13122")</f>
        <v>http://dx.doi.org/10.1111/fwb.13122</v>
      </c>
      <c r="AM56" s="16">
        <v>25</v>
      </c>
      <c r="AN56" s="16">
        <v>26</v>
      </c>
      <c r="AO56" s="16">
        <v>63</v>
      </c>
      <c r="AP56" s="16">
        <v>9</v>
      </c>
      <c r="AQ56" s="16">
        <v>1130</v>
      </c>
      <c r="AR56" s="16">
        <v>1142</v>
      </c>
      <c r="AS56" s="16" t="s">
        <v>16</v>
      </c>
      <c r="AT56" s="16" t="s">
        <v>220</v>
      </c>
      <c r="AU56" s="16" t="s">
        <v>221</v>
      </c>
      <c r="AV56" s="16" t="s">
        <v>223</v>
      </c>
    </row>
    <row r="57" spans="1:48" ht="45" customHeight="1" x14ac:dyDescent="0.15">
      <c r="A57" s="5" t="s">
        <v>224</v>
      </c>
      <c r="B57" s="5">
        <v>2020</v>
      </c>
      <c r="C57" s="5" t="s">
        <v>225</v>
      </c>
      <c r="D57" s="5" t="s">
        <v>162</v>
      </c>
      <c r="E57" s="5" t="s">
        <v>18453</v>
      </c>
      <c r="F57" s="5" t="s">
        <v>228</v>
      </c>
      <c r="G57" s="5" t="s">
        <v>18475</v>
      </c>
      <c r="H57" s="5" t="s">
        <v>18620</v>
      </c>
      <c r="I57" s="5" t="s">
        <v>18895</v>
      </c>
      <c r="J57" s="5" t="s">
        <v>18478</v>
      </c>
      <c r="K57" s="5" t="s">
        <v>18757</v>
      </c>
      <c r="L57" s="5" t="s">
        <v>18480</v>
      </c>
      <c r="M57" s="5" t="s">
        <v>18460</v>
      </c>
      <c r="N57" s="5" t="s">
        <v>18905</v>
      </c>
      <c r="O57" s="5" t="s">
        <v>18462</v>
      </c>
      <c r="P57" s="5" t="s">
        <v>18513</v>
      </c>
      <c r="Q57" s="5" t="s">
        <v>18899</v>
      </c>
      <c r="R57" s="2" t="s">
        <v>18896</v>
      </c>
      <c r="S57" s="2" t="s">
        <v>18465</v>
      </c>
      <c r="T57" s="2" t="s">
        <v>18898</v>
      </c>
      <c r="U57" s="2" t="s">
        <v>18897</v>
      </c>
      <c r="V57" s="2" t="s">
        <v>18468</v>
      </c>
      <c r="W57" s="2" t="s">
        <v>18904</v>
      </c>
      <c r="X57" s="2" t="s">
        <v>18902</v>
      </c>
      <c r="Y57" s="2" t="s">
        <v>18900</v>
      </c>
      <c r="AA57" s="2">
        <v>0.36</v>
      </c>
      <c r="AB57" s="2">
        <f>-SQRT(AA57)</f>
        <v>-0.6</v>
      </c>
      <c r="AC57" s="2">
        <f>(2*AB57)/(SQRT(1-AB57^2))</f>
        <v>-1.4999999999999998</v>
      </c>
      <c r="AE57" s="2" t="s">
        <v>18901</v>
      </c>
      <c r="AF57" s="2" t="s">
        <v>18903</v>
      </c>
      <c r="AK57" s="2" t="s">
        <v>18810</v>
      </c>
      <c r="AL57" s="7" t="str">
        <f>HYPERLINK("http://dx.doi.org/10.1111/1365-2435.13601","http://dx.doi.org/10.1111/1365-2435.13601")</f>
        <v>http://dx.doi.org/10.1111/1365-2435.13601</v>
      </c>
      <c r="AM57" s="5">
        <v>13</v>
      </c>
      <c r="AN57" s="5">
        <v>13</v>
      </c>
      <c r="AO57" s="5">
        <v>34</v>
      </c>
      <c r="AP57" s="5">
        <v>8</v>
      </c>
      <c r="AQ57" s="5">
        <v>1653</v>
      </c>
      <c r="AR57" s="5">
        <v>1665</v>
      </c>
      <c r="AS57" s="5" t="s">
        <v>16</v>
      </c>
      <c r="AT57" s="5" t="s">
        <v>226</v>
      </c>
      <c r="AU57" s="5" t="s">
        <v>227</v>
      </c>
      <c r="AV57" s="5" t="s">
        <v>229</v>
      </c>
    </row>
    <row r="58" spans="1:48" ht="45" customHeight="1" x14ac:dyDescent="0.15">
      <c r="A58" s="5" t="s">
        <v>230</v>
      </c>
      <c r="B58" s="5">
        <v>2014</v>
      </c>
      <c r="C58" s="5" t="s">
        <v>231</v>
      </c>
      <c r="D58" s="5" t="s">
        <v>172</v>
      </c>
      <c r="E58" s="5" t="s">
        <v>18453</v>
      </c>
      <c r="F58" s="5" t="s">
        <v>234</v>
      </c>
      <c r="G58" s="5" t="s">
        <v>18475</v>
      </c>
      <c r="H58" s="5" t="s">
        <v>18605</v>
      </c>
      <c r="I58" s="5" t="s">
        <v>18906</v>
      </c>
      <c r="J58" s="5" t="s">
        <v>18909</v>
      </c>
      <c r="K58" s="5" t="s">
        <v>18907</v>
      </c>
      <c r="L58" s="5" t="s">
        <v>18480</v>
      </c>
      <c r="M58" s="5" t="s">
        <v>18544</v>
      </c>
      <c r="N58" s="5" t="s">
        <v>18481</v>
      </c>
      <c r="O58" s="5" t="s">
        <v>18482</v>
      </c>
      <c r="P58" s="5" t="s">
        <v>18483</v>
      </c>
      <c r="Q58" s="5" t="s">
        <v>18910</v>
      </c>
      <c r="R58" s="2" t="s">
        <v>18578</v>
      </c>
      <c r="S58" s="2" t="s">
        <v>18465</v>
      </c>
      <c r="T58" s="2" t="s">
        <v>18498</v>
      </c>
      <c r="U58" s="2" t="s">
        <v>18611</v>
      </c>
      <c r="V58" s="2" t="s">
        <v>18468</v>
      </c>
      <c r="W58" s="2" t="s">
        <v>18908</v>
      </c>
      <c r="X58" s="2" t="s">
        <v>18648</v>
      </c>
      <c r="Y58" s="2" t="s">
        <v>18912</v>
      </c>
      <c r="Z58" s="2" t="s">
        <v>18745</v>
      </c>
      <c r="AL58" s="7" t="str">
        <f>HYPERLINK("http://dx.doi.org/10.1007/s00442-013-2878-2","http://dx.doi.org/10.1007/s00442-013-2878-2")</f>
        <v>http://dx.doi.org/10.1007/s00442-013-2878-2</v>
      </c>
      <c r="AM58" s="5">
        <v>21</v>
      </c>
      <c r="AN58" s="5">
        <v>23</v>
      </c>
      <c r="AO58" s="5">
        <v>175</v>
      </c>
      <c r="AP58" s="5">
        <v>1</v>
      </c>
      <c r="AQ58" s="5">
        <v>231</v>
      </c>
      <c r="AR58" s="5">
        <v>241</v>
      </c>
      <c r="AS58" s="5" t="s">
        <v>16</v>
      </c>
      <c r="AT58" s="5" t="s">
        <v>232</v>
      </c>
      <c r="AU58" s="5" t="s">
        <v>233</v>
      </c>
      <c r="AV58" s="5" t="s">
        <v>235</v>
      </c>
    </row>
    <row r="59" spans="1:48" ht="45" customHeight="1" x14ac:dyDescent="0.15">
      <c r="A59" s="5" t="s">
        <v>230</v>
      </c>
      <c r="B59" s="5">
        <v>2014</v>
      </c>
      <c r="C59" s="5" t="s">
        <v>231</v>
      </c>
      <c r="D59" s="5" t="s">
        <v>172</v>
      </c>
      <c r="E59" s="5" t="s">
        <v>18453</v>
      </c>
      <c r="F59" s="5" t="s">
        <v>234</v>
      </c>
      <c r="G59" s="5" t="s">
        <v>18475</v>
      </c>
      <c r="H59" s="5" t="s">
        <v>18605</v>
      </c>
      <c r="I59" s="5" t="s">
        <v>18906</v>
      </c>
      <c r="J59" s="5" t="s">
        <v>18909</v>
      </c>
      <c r="K59" s="5" t="s">
        <v>18907</v>
      </c>
      <c r="L59" s="5" t="s">
        <v>18459</v>
      </c>
      <c r="M59" s="5" t="s">
        <v>18544</v>
      </c>
      <c r="N59" s="5" t="s">
        <v>18770</v>
      </c>
      <c r="O59" s="5" t="s">
        <v>18482</v>
      </c>
      <c r="P59" s="5" t="s">
        <v>18483</v>
      </c>
      <c r="Q59" s="5" t="s">
        <v>18910</v>
      </c>
      <c r="R59" s="2" t="s">
        <v>18578</v>
      </c>
      <c r="S59" s="2" t="s">
        <v>18465</v>
      </c>
      <c r="T59" s="2" t="s">
        <v>18634</v>
      </c>
      <c r="U59" s="2" t="s">
        <v>18611</v>
      </c>
      <c r="V59" s="2" t="s">
        <v>18468</v>
      </c>
      <c r="W59" s="2" t="s">
        <v>18913</v>
      </c>
      <c r="X59" s="2" t="s">
        <v>18648</v>
      </c>
      <c r="Y59" s="2" t="s">
        <v>18911</v>
      </c>
      <c r="Z59" s="2" t="s">
        <v>18745</v>
      </c>
      <c r="AL59" s="7" t="str">
        <f>HYPERLINK("http://dx.doi.org/10.1007/s00442-013-2878-2","http://dx.doi.org/10.1007/s00442-013-2878-2")</f>
        <v>http://dx.doi.org/10.1007/s00442-013-2878-2</v>
      </c>
      <c r="AM59" s="5">
        <v>21</v>
      </c>
      <c r="AN59" s="5">
        <v>23</v>
      </c>
      <c r="AO59" s="5">
        <v>175</v>
      </c>
      <c r="AP59" s="5">
        <v>1</v>
      </c>
      <c r="AQ59" s="5">
        <v>231</v>
      </c>
      <c r="AR59" s="5">
        <v>241</v>
      </c>
      <c r="AS59" s="5" t="s">
        <v>16</v>
      </c>
      <c r="AT59" s="5" t="s">
        <v>232</v>
      </c>
      <c r="AU59" s="5" t="s">
        <v>233</v>
      </c>
      <c r="AV59" s="5" t="s">
        <v>235</v>
      </c>
    </row>
    <row r="60" spans="1:48" s="17" customFormat="1" ht="45" customHeight="1" x14ac:dyDescent="0.15">
      <c r="A60" s="16" t="s">
        <v>236</v>
      </c>
      <c r="B60" s="16">
        <v>2011</v>
      </c>
      <c r="C60" s="16" t="s">
        <v>237</v>
      </c>
      <c r="D60" s="16" t="s">
        <v>33</v>
      </c>
      <c r="E60" s="16" t="s">
        <v>18453</v>
      </c>
      <c r="F60" s="16" t="s">
        <v>240</v>
      </c>
      <c r="G60" s="16" t="s">
        <v>18475</v>
      </c>
      <c r="H60" s="16" t="s">
        <v>18525</v>
      </c>
      <c r="I60" s="16" t="s">
        <v>18914</v>
      </c>
      <c r="J60" s="16" t="s">
        <v>18909</v>
      </c>
      <c r="K60" s="16" t="s">
        <v>18915</v>
      </c>
      <c r="L60" s="16" t="s">
        <v>18480</v>
      </c>
      <c r="M60" s="16" t="s">
        <v>18460</v>
      </c>
      <c r="N60" s="16" t="s">
        <v>18918</v>
      </c>
      <c r="O60" s="16" t="s">
        <v>18462</v>
      </c>
      <c r="P60" s="16" t="s">
        <v>18916</v>
      </c>
      <c r="Q60" s="16" t="s">
        <v>18917</v>
      </c>
      <c r="R60" s="17" t="s">
        <v>18531</v>
      </c>
      <c r="S60" s="17" t="s">
        <v>18531</v>
      </c>
      <c r="T60" s="17" t="s">
        <v>18531</v>
      </c>
      <c r="U60" s="17" t="s">
        <v>18531</v>
      </c>
      <c r="V60" s="17" t="s">
        <v>18591</v>
      </c>
      <c r="W60" s="17" t="s">
        <v>18919</v>
      </c>
      <c r="X60" s="17" t="s">
        <v>18920</v>
      </c>
      <c r="Y60" s="17" t="s">
        <v>18921</v>
      </c>
      <c r="Z60" s="17" t="s">
        <v>18922</v>
      </c>
      <c r="AA60" s="17">
        <v>0.14000000000000001</v>
      </c>
      <c r="AB60" s="17">
        <f>SQRT(AA60)</f>
        <v>0.37416573867739417</v>
      </c>
      <c r="AC60" s="17">
        <f>(2*AB60)/(SQRT(1-AB60^2))</f>
        <v>0.80694658478592907</v>
      </c>
      <c r="AL60" s="18" t="str">
        <f>HYPERLINK("http://dx.doi.org/10.1111/j.1365-2486.2011.02409.x","http://dx.doi.org/10.1111/j.1365-2486.2011.02409.x")</f>
        <v>http://dx.doi.org/10.1111/j.1365-2486.2011.02409.x</v>
      </c>
      <c r="AM60" s="16">
        <v>160</v>
      </c>
      <c r="AN60" s="16">
        <v>163</v>
      </c>
      <c r="AO60" s="16">
        <v>17</v>
      </c>
      <c r="AP60" s="16">
        <v>8</v>
      </c>
      <c r="AQ60" s="16">
        <v>2513</v>
      </c>
      <c r="AR60" s="16">
        <v>2524</v>
      </c>
      <c r="AS60" s="16" t="s">
        <v>16</v>
      </c>
      <c r="AT60" s="16" t="s">
        <v>238</v>
      </c>
      <c r="AU60" s="16" t="s">
        <v>239</v>
      </c>
      <c r="AV60" s="16" t="s">
        <v>241</v>
      </c>
    </row>
    <row r="61" spans="1:48" ht="45" customHeight="1" x14ac:dyDescent="0.15">
      <c r="A61" s="5" t="s">
        <v>243</v>
      </c>
      <c r="B61" s="5">
        <v>2023</v>
      </c>
      <c r="C61" s="5" t="s">
        <v>244</v>
      </c>
      <c r="D61" s="5" t="s">
        <v>27</v>
      </c>
      <c r="E61" s="5" t="s">
        <v>18453</v>
      </c>
      <c r="F61" s="5" t="s">
        <v>247</v>
      </c>
      <c r="G61" s="5" t="s">
        <v>18475</v>
      </c>
      <c r="H61" s="5" t="s">
        <v>18748</v>
      </c>
      <c r="I61" s="5" t="s">
        <v>18923</v>
      </c>
      <c r="J61" s="5" t="s">
        <v>18754</v>
      </c>
      <c r="K61" s="5" t="s">
        <v>18928</v>
      </c>
      <c r="L61" s="5" t="s">
        <v>18480</v>
      </c>
      <c r="M61" s="5" t="s">
        <v>18544</v>
      </c>
      <c r="N61" s="5" t="s">
        <v>18679</v>
      </c>
      <c r="O61" s="5" t="s">
        <v>18575</v>
      </c>
      <c r="P61" s="5" t="s">
        <v>18575</v>
      </c>
      <c r="Q61" s="5" t="s">
        <v>18924</v>
      </c>
      <c r="R61" s="2" t="s">
        <v>18578</v>
      </c>
      <c r="S61" s="2" t="s">
        <v>18579</v>
      </c>
      <c r="T61" s="2" t="s">
        <v>18926</v>
      </c>
      <c r="U61" s="2" t="s">
        <v>18925</v>
      </c>
      <c r="V61" s="2" t="s">
        <v>18500</v>
      </c>
      <c r="W61" s="2" t="s">
        <v>18935</v>
      </c>
      <c r="X61" s="2" t="s">
        <v>18937</v>
      </c>
      <c r="Y61" s="2" t="s">
        <v>18932</v>
      </c>
      <c r="AC61" s="2">
        <v>0.65100000000000002</v>
      </c>
      <c r="AF61" s="2" t="s">
        <v>18930</v>
      </c>
      <c r="AK61" s="2" t="s">
        <v>18929</v>
      </c>
      <c r="AL61" s="7" t="str">
        <f>HYPERLINK("http://dx.doi.org/10.1002/ecy.4024","http://dx.doi.org/10.1002/ecy.4024")</f>
        <v>http://dx.doi.org/10.1002/ecy.4024</v>
      </c>
      <c r="AM61" s="5">
        <v>0</v>
      </c>
      <c r="AN61" s="5">
        <v>0</v>
      </c>
      <c r="AO61" s="5">
        <v>104</v>
      </c>
      <c r="AP61" s="5">
        <v>5</v>
      </c>
      <c r="AQ61" s="5" t="s">
        <v>16</v>
      </c>
      <c r="AR61" s="5" t="s">
        <v>16</v>
      </c>
      <c r="AS61" s="5" t="s">
        <v>16</v>
      </c>
      <c r="AT61" s="5" t="s">
        <v>245</v>
      </c>
      <c r="AU61" s="5" t="s">
        <v>246</v>
      </c>
      <c r="AV61" s="5" t="s">
        <v>248</v>
      </c>
    </row>
    <row r="62" spans="1:48" ht="45" customHeight="1" x14ac:dyDescent="0.15">
      <c r="A62" s="5" t="s">
        <v>243</v>
      </c>
      <c r="B62" s="5">
        <v>2023</v>
      </c>
      <c r="C62" s="5" t="s">
        <v>244</v>
      </c>
      <c r="D62" s="5" t="s">
        <v>27</v>
      </c>
      <c r="E62" s="5" t="s">
        <v>18453</v>
      </c>
      <c r="F62" s="5" t="s">
        <v>247</v>
      </c>
      <c r="G62" s="5" t="s">
        <v>18475</v>
      </c>
      <c r="H62" s="5" t="s">
        <v>18748</v>
      </c>
      <c r="I62" s="5" t="s">
        <v>18923</v>
      </c>
      <c r="J62" s="5" t="s">
        <v>18754</v>
      </c>
      <c r="K62" s="5" t="s">
        <v>18928</v>
      </c>
      <c r="L62" s="5" t="s">
        <v>18459</v>
      </c>
      <c r="M62" s="5" t="s">
        <v>18544</v>
      </c>
      <c r="N62" s="5" t="s">
        <v>18770</v>
      </c>
      <c r="O62" s="5" t="s">
        <v>18575</v>
      </c>
      <c r="P62" s="5" t="s">
        <v>18575</v>
      </c>
      <c r="Q62" s="5" t="s">
        <v>18924</v>
      </c>
      <c r="R62" s="2" t="s">
        <v>18578</v>
      </c>
      <c r="S62" s="2" t="s">
        <v>18579</v>
      </c>
      <c r="T62" s="2" t="s">
        <v>18927</v>
      </c>
      <c r="U62" s="2" t="s">
        <v>18925</v>
      </c>
      <c r="V62" s="2" t="s">
        <v>18500</v>
      </c>
      <c r="W62" s="2" t="s">
        <v>18934</v>
      </c>
      <c r="X62" s="2" t="s">
        <v>18937</v>
      </c>
      <c r="Y62" s="2" t="s">
        <v>18933</v>
      </c>
      <c r="AC62" s="2">
        <v>1.0309999999999999</v>
      </c>
      <c r="AF62" s="2" t="s">
        <v>18936</v>
      </c>
      <c r="AK62" s="2" t="s">
        <v>18931</v>
      </c>
      <c r="AL62" s="7" t="str">
        <f>HYPERLINK("http://dx.doi.org/10.1002/ecy.4024","http://dx.doi.org/10.1002/ecy.4024")</f>
        <v>http://dx.doi.org/10.1002/ecy.4024</v>
      </c>
      <c r="AM62" s="5">
        <v>0</v>
      </c>
      <c r="AN62" s="5">
        <v>0</v>
      </c>
      <c r="AO62" s="5">
        <v>104</v>
      </c>
      <c r="AP62" s="5">
        <v>5</v>
      </c>
      <c r="AQ62" s="5" t="s">
        <v>16</v>
      </c>
      <c r="AR62" s="5" t="s">
        <v>16</v>
      </c>
      <c r="AS62" s="5" t="s">
        <v>16</v>
      </c>
      <c r="AT62" s="5" t="s">
        <v>245</v>
      </c>
      <c r="AU62" s="5" t="s">
        <v>246</v>
      </c>
      <c r="AV62" s="5" t="s">
        <v>248</v>
      </c>
    </row>
    <row r="63" spans="1:48" ht="45" customHeight="1" x14ac:dyDescent="0.15">
      <c r="A63" s="5" t="s">
        <v>253</v>
      </c>
      <c r="B63" s="5">
        <v>2019</v>
      </c>
      <c r="C63" s="5" t="s">
        <v>254</v>
      </c>
      <c r="D63" s="5" t="s">
        <v>15</v>
      </c>
      <c r="E63" s="5" t="s">
        <v>18453</v>
      </c>
      <c r="F63" s="5" t="s">
        <v>257</v>
      </c>
      <c r="G63" s="5" t="s">
        <v>18475</v>
      </c>
      <c r="H63" s="5" t="s">
        <v>18525</v>
      </c>
      <c r="I63" s="5" t="s">
        <v>18949</v>
      </c>
      <c r="J63" s="5" t="s">
        <v>18938</v>
      </c>
      <c r="K63" s="5" t="s">
        <v>18946</v>
      </c>
      <c r="L63" s="5" t="s">
        <v>18480</v>
      </c>
      <c r="M63" s="5" t="s">
        <v>18460</v>
      </c>
      <c r="N63" s="5" t="s">
        <v>18481</v>
      </c>
      <c r="O63" s="5" t="s">
        <v>18462</v>
      </c>
      <c r="P63" s="5" t="s">
        <v>18704</v>
      </c>
      <c r="Q63" s="5" t="s">
        <v>18948</v>
      </c>
      <c r="R63" s="2" t="s">
        <v>18939</v>
      </c>
      <c r="S63" s="2" t="s">
        <v>18669</v>
      </c>
      <c r="T63" s="2" t="s">
        <v>18940</v>
      </c>
      <c r="U63" s="2" t="s">
        <v>18941</v>
      </c>
      <c r="V63" s="2" t="s">
        <v>18468</v>
      </c>
      <c r="W63" s="2" t="s">
        <v>18942</v>
      </c>
      <c r="X63" s="2" t="s">
        <v>18943</v>
      </c>
      <c r="Y63" s="2" t="s">
        <v>18947</v>
      </c>
      <c r="Z63" s="2">
        <v>2E-3</v>
      </c>
      <c r="AE63" s="2" t="s">
        <v>18944</v>
      </c>
      <c r="AF63" s="2" t="s">
        <v>18945</v>
      </c>
      <c r="AL63" s="7" t="str">
        <f>HYPERLINK("http://dx.doi.org/10.1002/ece3.5313","http://dx.doi.org/10.1002/ece3.5313")</f>
        <v>http://dx.doi.org/10.1002/ece3.5313</v>
      </c>
      <c r="AM63" s="5">
        <v>13</v>
      </c>
      <c r="AN63" s="5">
        <v>13</v>
      </c>
      <c r="AO63" s="5">
        <v>9</v>
      </c>
      <c r="AP63" s="5">
        <v>13</v>
      </c>
      <c r="AQ63" s="5">
        <v>7639</v>
      </c>
      <c r="AR63" s="5">
        <v>7651</v>
      </c>
      <c r="AS63" s="5" t="s">
        <v>16</v>
      </c>
      <c r="AT63" s="5" t="s">
        <v>255</v>
      </c>
      <c r="AU63" s="5" t="s">
        <v>256</v>
      </c>
      <c r="AV63" s="5" t="s">
        <v>258</v>
      </c>
    </row>
    <row r="64" spans="1:48" ht="45" customHeight="1" x14ac:dyDescent="0.15">
      <c r="A64" s="5" t="s">
        <v>263</v>
      </c>
      <c r="B64" s="5">
        <v>2014</v>
      </c>
      <c r="C64" s="5" t="s">
        <v>264</v>
      </c>
      <c r="D64" s="5" t="s">
        <v>33</v>
      </c>
      <c r="E64" s="5" t="s">
        <v>18453</v>
      </c>
      <c r="F64" s="5" t="s">
        <v>267</v>
      </c>
      <c r="G64" s="5" t="s">
        <v>18475</v>
      </c>
      <c r="H64" s="5" t="s">
        <v>18525</v>
      </c>
      <c r="I64" s="5" t="s">
        <v>18951</v>
      </c>
      <c r="J64" s="5" t="s">
        <v>18952</v>
      </c>
      <c r="K64" s="5" t="s">
        <v>18950</v>
      </c>
      <c r="L64" s="5" t="s">
        <v>18480</v>
      </c>
      <c r="M64" s="5" t="s">
        <v>18544</v>
      </c>
      <c r="N64" s="5" t="s">
        <v>18481</v>
      </c>
      <c r="O64" s="5" t="s">
        <v>18953</v>
      </c>
      <c r="P64" s="5" t="s">
        <v>18513</v>
      </c>
      <c r="Q64" s="5" t="s">
        <v>18954</v>
      </c>
      <c r="R64" s="2" t="s">
        <v>18668</v>
      </c>
      <c r="S64" s="2" t="s">
        <v>18465</v>
      </c>
      <c r="T64" s="2" t="s">
        <v>18531</v>
      </c>
      <c r="U64" s="2" t="s">
        <v>18531</v>
      </c>
      <c r="V64" s="2" t="s">
        <v>18468</v>
      </c>
      <c r="W64" s="2" t="s">
        <v>18955</v>
      </c>
      <c r="X64" s="2" t="s">
        <v>18489</v>
      </c>
      <c r="Y64" s="2" t="s">
        <v>18531</v>
      </c>
      <c r="AC64" s="2">
        <f>AG64/AI64</f>
        <v>-1</v>
      </c>
      <c r="AE64" s="2" t="s">
        <v>18956</v>
      </c>
      <c r="AF64" s="2" t="s">
        <v>18958</v>
      </c>
      <c r="AG64" s="2">
        <v>-1.4E-2</v>
      </c>
      <c r="AH64" s="2">
        <v>65.86</v>
      </c>
      <c r="AI64" s="2">
        <v>1.4E-2</v>
      </c>
      <c r="AK64" s="2" t="s">
        <v>18957</v>
      </c>
      <c r="AL64" s="19" t="str">
        <f>HYPERLINK("http://A64dx.doi.org/10.1111/gcb.12554","http://dx.doi.org/10.1111/gcb.12554")</f>
        <v>http://dx.doi.org/10.1111/gcb.12554</v>
      </c>
      <c r="AM64" s="5">
        <v>34</v>
      </c>
      <c r="AN64" s="5">
        <v>37</v>
      </c>
      <c r="AO64" s="5">
        <v>20</v>
      </c>
      <c r="AP64" s="5">
        <v>7</v>
      </c>
      <c r="AQ64" s="5">
        <v>2100</v>
      </c>
      <c r="AR64" s="5">
        <v>2107</v>
      </c>
      <c r="AS64" s="5" t="s">
        <v>16</v>
      </c>
      <c r="AT64" s="5" t="s">
        <v>265</v>
      </c>
      <c r="AU64" s="5" t="s">
        <v>266</v>
      </c>
      <c r="AV64" s="5" t="s">
        <v>268</v>
      </c>
    </row>
    <row r="65" spans="1:48" ht="45" customHeight="1" x14ac:dyDescent="0.15">
      <c r="A65" s="5" t="s">
        <v>271</v>
      </c>
      <c r="B65" s="5">
        <v>2023</v>
      </c>
      <c r="C65" s="5" t="s">
        <v>272</v>
      </c>
      <c r="D65" s="5" t="s">
        <v>160</v>
      </c>
      <c r="E65" s="5" t="s">
        <v>18453</v>
      </c>
      <c r="F65" s="5" t="s">
        <v>275</v>
      </c>
      <c r="G65" s="5" t="s">
        <v>18454</v>
      </c>
      <c r="H65" s="5" t="s">
        <v>18960</v>
      </c>
      <c r="I65" s="5" t="s">
        <v>18959</v>
      </c>
      <c r="J65" s="5" t="s">
        <v>18754</v>
      </c>
      <c r="K65" s="5" t="s">
        <v>18961</v>
      </c>
      <c r="L65" s="5" t="s">
        <v>18480</v>
      </c>
      <c r="M65" s="5" t="s">
        <v>18460</v>
      </c>
      <c r="N65" s="5" t="s">
        <v>18481</v>
      </c>
      <c r="O65" s="5" t="s">
        <v>18623</v>
      </c>
      <c r="P65" s="5" t="s">
        <v>18962</v>
      </c>
      <c r="Q65" s="5" t="s">
        <v>18966</v>
      </c>
      <c r="R65" s="2" t="s">
        <v>18963</v>
      </c>
      <c r="S65" s="2" t="s">
        <v>18465</v>
      </c>
      <c r="T65" s="2" t="s">
        <v>18498</v>
      </c>
      <c r="U65" s="2" t="s">
        <v>18968</v>
      </c>
      <c r="V65" s="2" t="s">
        <v>18468</v>
      </c>
      <c r="W65" s="2" t="s">
        <v>18964</v>
      </c>
      <c r="X65" s="2" t="s">
        <v>18970</v>
      </c>
      <c r="Y65" s="2" t="s">
        <v>18967</v>
      </c>
      <c r="Z65" s="2">
        <v>1E-3</v>
      </c>
      <c r="AC65" s="2">
        <v>-4.5</v>
      </c>
      <c r="AE65" s="2" t="s">
        <v>18965</v>
      </c>
      <c r="AF65" s="2">
        <v>26</v>
      </c>
      <c r="AK65" s="2" t="s">
        <v>18969</v>
      </c>
      <c r="AL65" s="7" t="str">
        <f>HYPERLINK("http://dx.doi.org/10.1111/1365-2664.14396","http://dx.doi.org/10.1111/1365-2664.14396")</f>
        <v>http://dx.doi.org/10.1111/1365-2664.14396</v>
      </c>
      <c r="AM65" s="5">
        <v>0</v>
      </c>
      <c r="AN65" s="5">
        <v>0</v>
      </c>
      <c r="AO65" s="5">
        <v>60</v>
      </c>
      <c r="AP65" s="5">
        <v>6</v>
      </c>
      <c r="AQ65" s="5">
        <v>1139</v>
      </c>
      <c r="AR65" s="5">
        <v>1148</v>
      </c>
      <c r="AS65" s="5" t="s">
        <v>16</v>
      </c>
      <c r="AT65" s="5" t="s">
        <v>273</v>
      </c>
      <c r="AU65" s="5" t="s">
        <v>274</v>
      </c>
      <c r="AV65" s="5" t="s">
        <v>276</v>
      </c>
    </row>
    <row r="66" spans="1:48" s="17" customFormat="1" ht="45" customHeight="1" x14ac:dyDescent="0.15">
      <c r="A66" s="16" t="s">
        <v>277</v>
      </c>
      <c r="B66" s="16">
        <v>2023</v>
      </c>
      <c r="C66" s="16" t="s">
        <v>278</v>
      </c>
      <c r="D66" s="16" t="s">
        <v>49</v>
      </c>
      <c r="E66" s="16" t="s">
        <v>18453</v>
      </c>
      <c r="F66" s="16" t="s">
        <v>281</v>
      </c>
      <c r="G66" s="16"/>
      <c r="H66" s="16"/>
      <c r="I66" s="16"/>
      <c r="J66" s="16"/>
      <c r="K66" s="16"/>
      <c r="L66" s="16"/>
      <c r="M66" s="16"/>
      <c r="N66" s="16"/>
      <c r="O66" s="16"/>
      <c r="P66" s="16"/>
      <c r="Q66" s="16"/>
      <c r="W66" s="17" t="s">
        <v>18974</v>
      </c>
      <c r="X66" s="17" t="s">
        <v>18489</v>
      </c>
      <c r="Y66" s="17" t="s">
        <v>18973</v>
      </c>
      <c r="Z66" s="17" t="s">
        <v>18972</v>
      </c>
      <c r="AC66" s="17">
        <v>0.55159999999999998</v>
      </c>
      <c r="AK66" s="17" t="s">
        <v>18971</v>
      </c>
      <c r="AL66" s="18" t="str">
        <f>HYPERLINK("http://dx.doi.org/10.3354/meps14253","http://dx.doi.org/10.3354/meps14253")</f>
        <v>http://dx.doi.org/10.3354/meps14253</v>
      </c>
      <c r="AM66" s="16">
        <v>0</v>
      </c>
      <c r="AN66" s="16">
        <v>0</v>
      </c>
      <c r="AO66" s="16">
        <v>706</v>
      </c>
      <c r="AP66" s="16" t="s">
        <v>16</v>
      </c>
      <c r="AQ66" s="16">
        <v>1</v>
      </c>
      <c r="AR66" s="16">
        <v>15</v>
      </c>
      <c r="AS66" s="16" t="s">
        <v>16</v>
      </c>
      <c r="AT66" s="16" t="s">
        <v>279</v>
      </c>
      <c r="AU66" s="16" t="s">
        <v>280</v>
      </c>
      <c r="AV66" s="16" t="s">
        <v>282</v>
      </c>
    </row>
    <row r="67" spans="1:48" ht="45" customHeight="1" x14ac:dyDescent="0.15">
      <c r="A67" s="5" t="s">
        <v>283</v>
      </c>
      <c r="B67" s="5">
        <v>2021</v>
      </c>
      <c r="C67" s="5" t="s">
        <v>284</v>
      </c>
      <c r="D67" s="5" t="s">
        <v>33</v>
      </c>
      <c r="E67" s="5" t="s">
        <v>18453</v>
      </c>
      <c r="F67" s="5" t="s">
        <v>287</v>
      </c>
      <c r="G67" s="5" t="s">
        <v>18475</v>
      </c>
      <c r="H67" s="5" t="s">
        <v>18525</v>
      </c>
      <c r="I67" s="5" t="s">
        <v>18976</v>
      </c>
      <c r="J67" s="5" t="s">
        <v>18977</v>
      </c>
      <c r="K67" s="5" t="s">
        <v>18975</v>
      </c>
      <c r="L67" s="5" t="s">
        <v>18459</v>
      </c>
      <c r="M67" s="5" t="s">
        <v>18460</v>
      </c>
      <c r="N67" s="5" t="s">
        <v>18461</v>
      </c>
      <c r="O67" s="5" t="s">
        <v>18953</v>
      </c>
      <c r="P67" s="5" t="s">
        <v>18496</v>
      </c>
      <c r="Q67" s="5" t="s">
        <v>18978</v>
      </c>
      <c r="R67" s="2" t="s">
        <v>18979</v>
      </c>
      <c r="S67" s="2" t="s">
        <v>18669</v>
      </c>
      <c r="T67" s="2" t="s">
        <v>18981</v>
      </c>
      <c r="U67" s="2" t="s">
        <v>18980</v>
      </c>
      <c r="V67" s="2" t="s">
        <v>18468</v>
      </c>
      <c r="W67" s="2" t="s">
        <v>18984</v>
      </c>
      <c r="X67" s="2" t="s">
        <v>18982</v>
      </c>
      <c r="Y67" s="2" t="s">
        <v>18885</v>
      </c>
      <c r="AF67" s="2" t="s">
        <v>18983</v>
      </c>
      <c r="AK67" s="2" t="s">
        <v>18985</v>
      </c>
      <c r="AL67" s="7" t="str">
        <f>HYPERLINK("http://dx.doi.org/10.1111/gcb.15465","http://dx.doi.org/10.1111/gcb.15465")</f>
        <v>http://dx.doi.org/10.1111/gcb.15465</v>
      </c>
      <c r="AM67" s="5">
        <v>17</v>
      </c>
      <c r="AN67" s="5">
        <v>17</v>
      </c>
      <c r="AO67" s="5">
        <v>27</v>
      </c>
      <c r="AP67" s="5">
        <v>5</v>
      </c>
      <c r="AQ67" s="5">
        <v>1052</v>
      </c>
      <c r="AR67" s="5">
        <v>1067</v>
      </c>
      <c r="AS67" s="5" t="s">
        <v>16</v>
      </c>
      <c r="AT67" s="5" t="s">
        <v>285</v>
      </c>
      <c r="AU67" s="5" t="s">
        <v>286</v>
      </c>
      <c r="AV67" s="5" t="s">
        <v>288</v>
      </c>
    </row>
    <row r="68" spans="1:48" ht="45" customHeight="1" x14ac:dyDescent="0.15">
      <c r="A68" s="5" t="s">
        <v>290</v>
      </c>
      <c r="B68" s="5">
        <v>2008</v>
      </c>
      <c r="C68" s="5" t="s">
        <v>291</v>
      </c>
      <c r="D68" s="5" t="s">
        <v>262</v>
      </c>
      <c r="E68" s="5" t="s">
        <v>18453</v>
      </c>
      <c r="F68" s="5" t="s">
        <v>293</v>
      </c>
      <c r="G68" s="5" t="s">
        <v>18475</v>
      </c>
      <c r="H68" s="5" t="s">
        <v>18748</v>
      </c>
      <c r="I68" s="5" t="s">
        <v>18987</v>
      </c>
      <c r="J68" s="5" t="s">
        <v>18754</v>
      </c>
      <c r="K68" s="5" t="s">
        <v>18757</v>
      </c>
      <c r="L68" s="5" t="s">
        <v>18480</v>
      </c>
      <c r="M68" s="5" t="s">
        <v>18460</v>
      </c>
      <c r="N68" s="5" t="s">
        <v>18461</v>
      </c>
      <c r="O68" s="5" t="s">
        <v>18990</v>
      </c>
      <c r="P68" s="5" t="s">
        <v>18990</v>
      </c>
      <c r="Q68" s="5" t="s">
        <v>18991</v>
      </c>
      <c r="R68" s="2" t="s">
        <v>18578</v>
      </c>
      <c r="S68" s="2" t="s">
        <v>18465</v>
      </c>
      <c r="T68" s="2" t="s">
        <v>18988</v>
      </c>
      <c r="U68" s="2" t="s">
        <v>18989</v>
      </c>
      <c r="V68" s="2" t="s">
        <v>18500</v>
      </c>
      <c r="W68" s="2" t="s">
        <v>18998</v>
      </c>
      <c r="X68" s="2" t="s">
        <v>18567</v>
      </c>
      <c r="Y68" s="2" t="s">
        <v>18992</v>
      </c>
      <c r="Z68" s="2">
        <v>2.1999999999999999E-2</v>
      </c>
      <c r="AL68" s="7" t="str">
        <f>HYPERLINK("http://dx.doi.org/10.1111/j.0030-1299.2008.16459.x","http://dx.doi.org/10.1111/j.0030-1299.2008.16459.x")</f>
        <v>http://dx.doi.org/10.1111/j.0030-1299.2008.16459.x</v>
      </c>
      <c r="AM68" s="5">
        <v>68</v>
      </c>
      <c r="AN68" s="5">
        <v>74</v>
      </c>
      <c r="AO68" s="5">
        <v>117</v>
      </c>
      <c r="AP68" s="5">
        <v>7</v>
      </c>
      <c r="AQ68" s="5">
        <v>984</v>
      </c>
      <c r="AR68" s="5">
        <v>995</v>
      </c>
      <c r="AS68" s="5" t="s">
        <v>16</v>
      </c>
      <c r="AT68" s="5" t="s">
        <v>16</v>
      </c>
      <c r="AU68" s="5" t="s">
        <v>292</v>
      </c>
      <c r="AV68" s="5" t="s">
        <v>294</v>
      </c>
    </row>
    <row r="69" spans="1:48" ht="45" customHeight="1" x14ac:dyDescent="0.15">
      <c r="A69" s="5" t="s">
        <v>297</v>
      </c>
      <c r="B69" s="5">
        <v>2019</v>
      </c>
      <c r="C69" s="5" t="s">
        <v>298</v>
      </c>
      <c r="D69" s="5" t="s">
        <v>17</v>
      </c>
      <c r="E69" s="5" t="s">
        <v>18453</v>
      </c>
      <c r="F69" s="5" t="s">
        <v>301</v>
      </c>
      <c r="G69" s="5" t="s">
        <v>18475</v>
      </c>
      <c r="H69" s="5" t="s">
        <v>18605</v>
      </c>
      <c r="I69" s="5" t="s">
        <v>18993</v>
      </c>
      <c r="J69" s="5" t="s">
        <v>18754</v>
      </c>
      <c r="K69" s="5" t="s">
        <v>19001</v>
      </c>
      <c r="L69" s="5" t="s">
        <v>18480</v>
      </c>
      <c r="M69" s="5" t="s">
        <v>18544</v>
      </c>
      <c r="N69" s="5" t="s">
        <v>18481</v>
      </c>
      <c r="O69" s="5" t="s">
        <v>18575</v>
      </c>
      <c r="P69" s="5" t="s">
        <v>18994</v>
      </c>
      <c r="Q69" s="5" t="s">
        <v>18991</v>
      </c>
      <c r="R69" s="2" t="s">
        <v>18578</v>
      </c>
      <c r="S69" s="2" t="s">
        <v>18784</v>
      </c>
      <c r="T69" s="2" t="s">
        <v>18988</v>
      </c>
      <c r="U69" s="2" t="s">
        <v>18997</v>
      </c>
      <c r="V69" s="2" t="s">
        <v>18468</v>
      </c>
      <c r="W69" s="2" t="s">
        <v>19003</v>
      </c>
      <c r="X69" s="2" t="s">
        <v>18999</v>
      </c>
      <c r="Y69" s="2" t="s">
        <v>18995</v>
      </c>
      <c r="Z69" s="2">
        <v>2.1999999999999999E-2</v>
      </c>
      <c r="AL69" s="7" t="str">
        <f>HYPERLINK("http://dx.doi.org/10.1111/fwb.13206","http://dx.doi.org/10.1111/fwb.13206")</f>
        <v>http://dx.doi.org/10.1111/fwb.13206</v>
      </c>
      <c r="AM69" s="5">
        <v>12</v>
      </c>
      <c r="AN69" s="5">
        <v>14</v>
      </c>
      <c r="AO69" s="5">
        <v>64</v>
      </c>
      <c r="AP69" s="5">
        <v>1</v>
      </c>
      <c r="AQ69" s="5">
        <v>183</v>
      </c>
      <c r="AR69" s="5">
        <v>196</v>
      </c>
      <c r="AS69" s="5" t="s">
        <v>16</v>
      </c>
      <c r="AT69" s="5" t="s">
        <v>299</v>
      </c>
      <c r="AU69" s="5" t="s">
        <v>300</v>
      </c>
      <c r="AV69" s="5" t="s">
        <v>302</v>
      </c>
    </row>
    <row r="70" spans="1:48" ht="45" customHeight="1" x14ac:dyDescent="0.15">
      <c r="A70" s="5" t="s">
        <v>297</v>
      </c>
      <c r="B70" s="5">
        <v>2019</v>
      </c>
      <c r="C70" s="5" t="s">
        <v>298</v>
      </c>
      <c r="D70" s="5" t="s">
        <v>17</v>
      </c>
      <c r="E70" s="5" t="s">
        <v>18453</v>
      </c>
      <c r="F70" s="5" t="s">
        <v>301</v>
      </c>
      <c r="G70" s="5" t="s">
        <v>18475</v>
      </c>
      <c r="H70" s="5" t="s">
        <v>18605</v>
      </c>
      <c r="I70" s="5" t="s">
        <v>18993</v>
      </c>
      <c r="J70" s="5" t="s">
        <v>18754</v>
      </c>
      <c r="K70" s="5" t="s">
        <v>19001</v>
      </c>
      <c r="L70" s="5" t="s">
        <v>18459</v>
      </c>
      <c r="M70" s="5" t="s">
        <v>18544</v>
      </c>
      <c r="N70" s="5" t="s">
        <v>18461</v>
      </c>
      <c r="O70" s="5" t="s">
        <v>18575</v>
      </c>
      <c r="P70" s="5" t="s">
        <v>18994</v>
      </c>
      <c r="Q70" s="5" t="s">
        <v>18991</v>
      </c>
      <c r="R70" s="2" t="s">
        <v>18578</v>
      </c>
      <c r="S70" s="2" t="s">
        <v>18784</v>
      </c>
      <c r="T70" s="2" t="s">
        <v>18988</v>
      </c>
      <c r="U70" s="2" t="s">
        <v>18997</v>
      </c>
      <c r="V70" s="2" t="s">
        <v>18468</v>
      </c>
      <c r="W70" s="2" t="s">
        <v>19002</v>
      </c>
      <c r="X70" s="2" t="s">
        <v>19000</v>
      </c>
      <c r="Y70" s="2" t="s">
        <v>18996</v>
      </c>
      <c r="Z70" s="2" t="s">
        <v>18504</v>
      </c>
      <c r="AL70" s="7" t="str">
        <f>HYPERLINK("http://dx.doi.org/10.1111/fwb.13206","http://dx.doi.org/10.1111/fwb.13206")</f>
        <v>http://dx.doi.org/10.1111/fwb.13206</v>
      </c>
      <c r="AM70" s="5">
        <v>12</v>
      </c>
      <c r="AN70" s="5">
        <v>14</v>
      </c>
      <c r="AO70" s="5">
        <v>64</v>
      </c>
      <c r="AP70" s="5">
        <v>1</v>
      </c>
      <c r="AQ70" s="5">
        <v>183</v>
      </c>
      <c r="AR70" s="5">
        <v>196</v>
      </c>
      <c r="AS70" s="5" t="s">
        <v>16</v>
      </c>
      <c r="AT70" s="5" t="s">
        <v>299</v>
      </c>
      <c r="AU70" s="5" t="s">
        <v>300</v>
      </c>
      <c r="AV70" s="5" t="s">
        <v>302</v>
      </c>
    </row>
    <row r="71" spans="1:48" s="21" customFormat="1" ht="45" customHeight="1" x14ac:dyDescent="0.15">
      <c r="A71" s="20" t="s">
        <v>303</v>
      </c>
      <c r="B71" s="20">
        <v>2016</v>
      </c>
      <c r="C71" s="20" t="s">
        <v>304</v>
      </c>
      <c r="D71" s="20" t="s">
        <v>92</v>
      </c>
      <c r="E71" s="20" t="s">
        <v>18453</v>
      </c>
      <c r="F71" s="20" t="s">
        <v>307</v>
      </c>
      <c r="G71" s="20" t="s">
        <v>18475</v>
      </c>
      <c r="H71" s="20" t="s">
        <v>18748</v>
      </c>
      <c r="I71" s="20" t="s">
        <v>19004</v>
      </c>
      <c r="J71" s="20" t="s">
        <v>18754</v>
      </c>
      <c r="K71" s="20"/>
      <c r="L71" s="20" t="s">
        <v>18480</v>
      </c>
      <c r="M71" s="20" t="s">
        <v>18460</v>
      </c>
      <c r="N71" s="20" t="s">
        <v>18481</v>
      </c>
      <c r="O71" s="20"/>
      <c r="P71" s="20"/>
      <c r="Q71" s="20"/>
      <c r="Y71" s="21" t="s">
        <v>18995</v>
      </c>
      <c r="AL71" s="22" t="str">
        <f>HYPERLINK("http://dx.doi.org/10.1086/685932","http://dx.doi.org/10.1086/685932")</f>
        <v>http://dx.doi.org/10.1086/685932</v>
      </c>
      <c r="AM71" s="20">
        <v>13</v>
      </c>
      <c r="AN71" s="20">
        <v>13</v>
      </c>
      <c r="AO71" s="20">
        <v>35</v>
      </c>
      <c r="AP71" s="20">
        <v>3</v>
      </c>
      <c r="AQ71" s="20">
        <v>895</v>
      </c>
      <c r="AR71" s="20">
        <v>908</v>
      </c>
      <c r="AS71" s="20" t="s">
        <v>16</v>
      </c>
      <c r="AT71" s="20" t="s">
        <v>305</v>
      </c>
      <c r="AU71" s="20" t="s">
        <v>306</v>
      </c>
      <c r="AV71" s="20" t="s">
        <v>308</v>
      </c>
    </row>
    <row r="72" spans="1:48" s="21" customFormat="1" ht="45" customHeight="1" x14ac:dyDescent="0.15">
      <c r="A72" s="20" t="s">
        <v>313</v>
      </c>
      <c r="B72" s="20">
        <v>2017</v>
      </c>
      <c r="C72" s="20" t="s">
        <v>314</v>
      </c>
      <c r="D72" s="20" t="s">
        <v>17</v>
      </c>
      <c r="E72" s="20" t="s">
        <v>18453</v>
      </c>
      <c r="F72" s="20" t="s">
        <v>317</v>
      </c>
      <c r="G72" s="20" t="s">
        <v>18475</v>
      </c>
      <c r="H72" s="20"/>
      <c r="I72" s="20"/>
      <c r="J72" s="20"/>
      <c r="K72" s="20"/>
      <c r="L72" s="20"/>
      <c r="M72" s="20"/>
      <c r="N72" s="20"/>
      <c r="O72" s="20"/>
      <c r="P72" s="20"/>
      <c r="Q72" s="20"/>
      <c r="AL72" s="22" t="str">
        <f>HYPERLINK("http://dx.doi.org/10.1111/fwb.12902","http://dx.doi.org/10.1111/fwb.12902")</f>
        <v>http://dx.doi.org/10.1111/fwb.12902</v>
      </c>
      <c r="AM72" s="20">
        <v>9</v>
      </c>
      <c r="AN72" s="20">
        <v>9</v>
      </c>
      <c r="AO72" s="20">
        <v>62</v>
      </c>
      <c r="AP72" s="20">
        <v>4</v>
      </c>
      <c r="AQ72" s="20">
        <v>792</v>
      </c>
      <c r="AR72" s="20">
        <v>806</v>
      </c>
      <c r="AS72" s="20" t="s">
        <v>16</v>
      </c>
      <c r="AT72" s="20" t="s">
        <v>315</v>
      </c>
      <c r="AU72" s="20" t="s">
        <v>316</v>
      </c>
      <c r="AV72" s="20" t="s">
        <v>318</v>
      </c>
    </row>
    <row r="73" spans="1:48" ht="45" customHeight="1" x14ac:dyDescent="0.15">
      <c r="A73" s="5" t="s">
        <v>319</v>
      </c>
      <c r="B73" s="5">
        <v>2018</v>
      </c>
      <c r="C73" s="5" t="s">
        <v>320</v>
      </c>
      <c r="D73" s="5" t="s">
        <v>44</v>
      </c>
      <c r="E73" s="5" t="s">
        <v>18453</v>
      </c>
      <c r="F73" s="5" t="s">
        <v>323</v>
      </c>
      <c r="G73" s="5" t="s">
        <v>18454</v>
      </c>
      <c r="H73" s="5" t="s">
        <v>19005</v>
      </c>
      <c r="I73" s="5" t="s">
        <v>19006</v>
      </c>
      <c r="J73" s="5" t="s">
        <v>19007</v>
      </c>
      <c r="K73" s="5" t="s">
        <v>19008</v>
      </c>
      <c r="L73" s="5" t="s">
        <v>18480</v>
      </c>
      <c r="M73" s="5" t="s">
        <v>18460</v>
      </c>
      <c r="N73" s="5" t="s">
        <v>18481</v>
      </c>
      <c r="O73" s="5" t="s">
        <v>18623</v>
      </c>
      <c r="P73" s="5" t="s">
        <v>19014</v>
      </c>
      <c r="Q73" s="5" t="s">
        <v>19011</v>
      </c>
      <c r="R73" s="2" t="s">
        <v>19010</v>
      </c>
      <c r="S73" s="2" t="s">
        <v>18531</v>
      </c>
      <c r="T73" s="2" t="s">
        <v>18531</v>
      </c>
      <c r="U73" s="2" t="s">
        <v>19009</v>
      </c>
      <c r="V73" s="2" t="s">
        <v>18468</v>
      </c>
      <c r="W73" s="2" t="s">
        <v>19013</v>
      </c>
      <c r="X73" s="2" t="s">
        <v>19012</v>
      </c>
      <c r="Y73" s="2" t="s">
        <v>19015</v>
      </c>
      <c r="AL73" s="7" t="str">
        <f>HYPERLINK("http://dx.doi.org/10.3389/fevo.2018.00014","http://dx.doi.org/10.3389/fevo.2018.00014")</f>
        <v>http://dx.doi.org/10.3389/fevo.2018.00014</v>
      </c>
      <c r="AM73" s="5">
        <v>37</v>
      </c>
      <c r="AN73" s="5">
        <v>38</v>
      </c>
      <c r="AO73" s="5">
        <v>6</v>
      </c>
      <c r="AP73" s="5" t="s">
        <v>16</v>
      </c>
      <c r="AQ73" s="5" t="s">
        <v>16</v>
      </c>
      <c r="AR73" s="5" t="s">
        <v>16</v>
      </c>
      <c r="AS73" s="5">
        <v>14</v>
      </c>
      <c r="AT73" s="5" t="s">
        <v>321</v>
      </c>
      <c r="AU73" s="5" t="s">
        <v>322</v>
      </c>
      <c r="AV73" s="5" t="s">
        <v>324</v>
      </c>
    </row>
    <row r="74" spans="1:48" ht="45" customHeight="1" x14ac:dyDescent="0.15">
      <c r="A74" s="5" t="s">
        <v>325</v>
      </c>
      <c r="B74" s="5">
        <v>2017</v>
      </c>
      <c r="C74" s="5" t="s">
        <v>326</v>
      </c>
      <c r="D74" s="5" t="s">
        <v>17</v>
      </c>
      <c r="E74" s="5" t="s">
        <v>18453</v>
      </c>
      <c r="F74" s="5" t="s">
        <v>329</v>
      </c>
      <c r="G74" s="5" t="s">
        <v>18475</v>
      </c>
      <c r="H74" s="5" t="s">
        <v>18571</v>
      </c>
      <c r="I74" s="5" t="s">
        <v>19018</v>
      </c>
      <c r="J74" s="5" t="s">
        <v>18573</v>
      </c>
      <c r="K74" s="5" t="s">
        <v>19019</v>
      </c>
      <c r="L74" s="5" t="s">
        <v>18480</v>
      </c>
      <c r="M74" s="5" t="s">
        <v>18460</v>
      </c>
      <c r="N74" s="5" t="s">
        <v>18481</v>
      </c>
      <c r="O74" s="5" t="s">
        <v>18575</v>
      </c>
      <c r="P74" s="5" t="s">
        <v>19020</v>
      </c>
      <c r="Q74" s="5" t="s">
        <v>19021</v>
      </c>
      <c r="R74" s="2" t="s">
        <v>18578</v>
      </c>
      <c r="S74" s="2" t="s">
        <v>18531</v>
      </c>
      <c r="T74" s="2" t="s">
        <v>18498</v>
      </c>
      <c r="U74" s="2" t="s">
        <v>19022</v>
      </c>
      <c r="V74" s="2" t="s">
        <v>18500</v>
      </c>
      <c r="W74" s="2" t="s">
        <v>19016</v>
      </c>
      <c r="X74" s="2" t="s">
        <v>19023</v>
      </c>
      <c r="Y74" s="2" t="s">
        <v>19025</v>
      </c>
      <c r="Z74" s="2">
        <v>0.05</v>
      </c>
      <c r="AC74" s="2">
        <v>2.4641999999999999</v>
      </c>
      <c r="AE74" s="2" t="s">
        <v>19024</v>
      </c>
      <c r="AK74" s="2" t="s">
        <v>19017</v>
      </c>
      <c r="AL74" s="7" t="str">
        <f>HYPERLINK("http://dx.doi.org/10.1111/fwb.12970","http://dx.doi.org/10.1111/fwb.12970")</f>
        <v>http://dx.doi.org/10.1111/fwb.12970</v>
      </c>
      <c r="AM74" s="5">
        <v>20</v>
      </c>
      <c r="AN74" s="5">
        <v>20</v>
      </c>
      <c r="AO74" s="5">
        <v>62</v>
      </c>
      <c r="AP74" s="5">
        <v>9</v>
      </c>
      <c r="AQ74" s="5">
        <v>1587</v>
      </c>
      <c r="AR74" s="5">
        <v>1595</v>
      </c>
      <c r="AS74" s="5" t="s">
        <v>16</v>
      </c>
      <c r="AT74" s="5" t="s">
        <v>327</v>
      </c>
      <c r="AU74" s="5" t="s">
        <v>328</v>
      </c>
      <c r="AV74" s="5" t="s">
        <v>330</v>
      </c>
    </row>
    <row r="75" spans="1:48" s="12" customFormat="1" ht="45" customHeight="1" x14ac:dyDescent="0.15">
      <c r="A75" s="11" t="s">
        <v>331</v>
      </c>
      <c r="B75" s="11">
        <v>2013</v>
      </c>
      <c r="C75" s="11" t="s">
        <v>332</v>
      </c>
      <c r="D75" s="11" t="s">
        <v>160</v>
      </c>
      <c r="E75" s="11" t="s">
        <v>18453</v>
      </c>
      <c r="F75" s="11" t="s">
        <v>335</v>
      </c>
      <c r="G75" s="11"/>
      <c r="H75" s="11"/>
      <c r="I75" s="11"/>
      <c r="J75" s="11"/>
      <c r="K75" s="11"/>
      <c r="L75" s="11"/>
      <c r="M75" s="11"/>
      <c r="N75" s="11"/>
      <c r="O75" s="11"/>
      <c r="P75" s="11"/>
      <c r="Q75" s="11"/>
      <c r="AL75" s="13" t="str">
        <f>HYPERLINK("http://dx.doi.org/10.1111/1365-2664.12054","http://dx.doi.org/10.1111/1365-2664.12054")</f>
        <v>http://dx.doi.org/10.1111/1365-2664.12054</v>
      </c>
      <c r="AM75" s="11">
        <v>36</v>
      </c>
      <c r="AN75" s="11">
        <v>36</v>
      </c>
      <c r="AO75" s="11">
        <v>50</v>
      </c>
      <c r="AP75" s="11">
        <v>2</v>
      </c>
      <c r="AQ75" s="11">
        <v>449</v>
      </c>
      <c r="AR75" s="11">
        <v>458</v>
      </c>
      <c r="AS75" s="11" t="s">
        <v>16</v>
      </c>
      <c r="AT75" s="11" t="s">
        <v>333</v>
      </c>
      <c r="AU75" s="11" t="s">
        <v>334</v>
      </c>
      <c r="AV75" s="11" t="s">
        <v>336</v>
      </c>
    </row>
    <row r="76" spans="1:48" s="23" customFormat="1" ht="45" customHeight="1" x14ac:dyDescent="0.15">
      <c r="A76" s="23" t="s">
        <v>338</v>
      </c>
      <c r="B76" s="23">
        <v>2022</v>
      </c>
      <c r="C76" s="23" t="s">
        <v>339</v>
      </c>
      <c r="D76" s="23" t="s">
        <v>44</v>
      </c>
      <c r="E76" s="23" t="s">
        <v>18453</v>
      </c>
      <c r="F76" s="23" t="s">
        <v>342</v>
      </c>
      <c r="AL76" s="24" t="str">
        <f>HYPERLINK("http://dx.doi.org/10.3389/fevo.2022.969595","http://dx.doi.org/10.3389/fevo.2022.969595")</f>
        <v>http://dx.doi.org/10.3389/fevo.2022.969595</v>
      </c>
      <c r="AM76" s="23">
        <v>0</v>
      </c>
      <c r="AN76" s="23">
        <v>0</v>
      </c>
      <c r="AO76" s="23">
        <v>10</v>
      </c>
      <c r="AP76" s="23" t="s">
        <v>16</v>
      </c>
      <c r="AQ76" s="23" t="s">
        <v>16</v>
      </c>
      <c r="AR76" s="23" t="s">
        <v>16</v>
      </c>
      <c r="AS76" s="23">
        <v>969595</v>
      </c>
      <c r="AT76" s="23" t="s">
        <v>340</v>
      </c>
      <c r="AU76" s="23" t="s">
        <v>341</v>
      </c>
      <c r="AV76" s="23" t="s">
        <v>343</v>
      </c>
    </row>
    <row r="77" spans="1:48" s="12" customFormat="1" ht="45" customHeight="1" x14ac:dyDescent="0.15">
      <c r="A77" s="11" t="s">
        <v>344</v>
      </c>
      <c r="B77" s="11">
        <v>2018</v>
      </c>
      <c r="C77" s="11" t="s">
        <v>345</v>
      </c>
      <c r="D77" s="11" t="s">
        <v>18</v>
      </c>
      <c r="E77" s="11" t="s">
        <v>18453</v>
      </c>
      <c r="F77" s="11" t="s">
        <v>348</v>
      </c>
      <c r="G77" s="11" t="s">
        <v>18475</v>
      </c>
      <c r="H77" s="11" t="s">
        <v>18605</v>
      </c>
      <c r="I77" s="11" t="s">
        <v>19026</v>
      </c>
      <c r="J77" s="11" t="s">
        <v>18754</v>
      </c>
      <c r="K77" s="11"/>
      <c r="L77" s="11" t="s">
        <v>18480</v>
      </c>
      <c r="M77" s="11" t="s">
        <v>18460</v>
      </c>
      <c r="N77" s="11"/>
      <c r="O77" s="11"/>
      <c r="P77" s="11"/>
      <c r="Q77" s="11"/>
      <c r="AL77" s="13" t="str">
        <f>HYPERLINK("http://dx.doi.org/10.1002/ecs2.2304","http://dx.doi.org/10.1002/ecs2.2304")</f>
        <v>http://dx.doi.org/10.1002/ecs2.2304</v>
      </c>
      <c r="AM77" s="11">
        <v>6</v>
      </c>
      <c r="AN77" s="11">
        <v>6</v>
      </c>
      <c r="AO77" s="11">
        <v>9</v>
      </c>
      <c r="AP77" s="11">
        <v>6</v>
      </c>
      <c r="AQ77" s="11" t="s">
        <v>16</v>
      </c>
      <c r="AR77" s="11" t="s">
        <v>16</v>
      </c>
      <c r="AS77" s="11" t="s">
        <v>349</v>
      </c>
      <c r="AT77" s="11" t="s">
        <v>346</v>
      </c>
      <c r="AU77" s="11" t="s">
        <v>347</v>
      </c>
      <c r="AV77" s="11" t="s">
        <v>350</v>
      </c>
    </row>
    <row r="78" spans="1:48" s="17" customFormat="1" ht="45" customHeight="1" x14ac:dyDescent="0.15">
      <c r="A78" s="16" t="s">
        <v>351</v>
      </c>
      <c r="B78" s="16">
        <v>2011</v>
      </c>
      <c r="C78" s="16" t="s">
        <v>352</v>
      </c>
      <c r="D78" s="16" t="s">
        <v>190</v>
      </c>
      <c r="E78" s="16" t="s">
        <v>18453</v>
      </c>
      <c r="F78" s="16" t="s">
        <v>355</v>
      </c>
      <c r="G78" s="16" t="s">
        <v>18475</v>
      </c>
      <c r="H78" s="16" t="s">
        <v>18605</v>
      </c>
      <c r="I78" s="16" t="s">
        <v>19027</v>
      </c>
      <c r="J78" s="16" t="s">
        <v>18754</v>
      </c>
      <c r="K78" s="16" t="s">
        <v>19028</v>
      </c>
      <c r="L78" s="16" t="s">
        <v>18480</v>
      </c>
      <c r="M78" s="16" t="s">
        <v>18460</v>
      </c>
      <c r="N78" s="16" t="s">
        <v>18679</v>
      </c>
      <c r="O78" s="16"/>
      <c r="P78" s="16"/>
      <c r="Q78" s="17" t="s">
        <v>19031</v>
      </c>
      <c r="T78" s="17" t="s">
        <v>19030</v>
      </c>
      <c r="Y78" s="16" t="s">
        <v>19029</v>
      </c>
      <c r="AL78" s="18" t="str">
        <f>HYPERLINK("http://dx.doi.org/10.1007/s10530-011-0081-0","http://dx.doi.org/10.1007/s10530-011-0081-0")</f>
        <v>http://dx.doi.org/10.1007/s10530-011-0081-0</v>
      </c>
      <c r="AM78" s="16">
        <v>14</v>
      </c>
      <c r="AN78" s="16">
        <v>15</v>
      </c>
      <c r="AO78" s="16">
        <v>13</v>
      </c>
      <c r="AP78" s="16">
        <v>11</v>
      </c>
      <c r="AQ78" s="16">
        <v>2621</v>
      </c>
      <c r="AR78" s="16">
        <v>2634</v>
      </c>
      <c r="AS78" s="16" t="s">
        <v>16</v>
      </c>
      <c r="AT78" s="16" t="s">
        <v>353</v>
      </c>
      <c r="AU78" s="16" t="s">
        <v>354</v>
      </c>
      <c r="AV78" s="16" t="s">
        <v>356</v>
      </c>
    </row>
    <row r="79" spans="1:48" ht="45" customHeight="1" x14ac:dyDescent="0.15">
      <c r="A79" s="5" t="s">
        <v>357</v>
      </c>
      <c r="B79" s="5">
        <v>2020</v>
      </c>
      <c r="C79" s="5" t="s">
        <v>358</v>
      </c>
      <c r="D79" s="5" t="s">
        <v>172</v>
      </c>
      <c r="E79" s="5" t="s">
        <v>18453</v>
      </c>
      <c r="F79" s="5" t="s">
        <v>361</v>
      </c>
      <c r="G79" s="5"/>
      <c r="H79" s="5"/>
      <c r="I79" s="5"/>
      <c r="J79" s="5"/>
      <c r="K79" s="5"/>
      <c r="L79" s="5"/>
      <c r="M79" s="5"/>
      <c r="N79" s="5"/>
      <c r="O79" s="5"/>
      <c r="P79" s="5"/>
      <c r="Q79" s="5"/>
      <c r="AL79" s="7" t="str">
        <f>HYPERLINK("http://dx.doi.org/10.1007/s00442-020-04776-9","http://dx.doi.org/10.1007/s00442-020-04776-9")</f>
        <v>http://dx.doi.org/10.1007/s00442-020-04776-9</v>
      </c>
      <c r="AM79" s="5">
        <v>4</v>
      </c>
      <c r="AN79" s="5">
        <v>5</v>
      </c>
      <c r="AO79" s="5">
        <v>194</v>
      </c>
      <c r="AP79" s="5">
        <v>3</v>
      </c>
      <c r="AQ79" s="5">
        <v>491</v>
      </c>
      <c r="AR79" s="5">
        <v>504</v>
      </c>
      <c r="AS79" s="5" t="s">
        <v>16</v>
      </c>
      <c r="AT79" s="5" t="s">
        <v>359</v>
      </c>
      <c r="AU79" s="5" t="s">
        <v>360</v>
      </c>
      <c r="AV79" s="5" t="s">
        <v>362</v>
      </c>
    </row>
    <row r="80" spans="1:48" ht="45" customHeight="1" x14ac:dyDescent="0.15">
      <c r="A80" s="5" t="s">
        <v>363</v>
      </c>
      <c r="B80" s="5">
        <v>2021</v>
      </c>
      <c r="C80" s="5" t="s">
        <v>364</v>
      </c>
      <c r="D80" s="5" t="s">
        <v>49</v>
      </c>
      <c r="E80" s="5" t="s">
        <v>18453</v>
      </c>
      <c r="F80" s="5" t="s">
        <v>367</v>
      </c>
      <c r="G80" s="5"/>
      <c r="H80" s="5"/>
      <c r="I80" s="5"/>
      <c r="J80" s="5"/>
      <c r="K80" s="5"/>
      <c r="L80" s="5"/>
      <c r="M80" s="5"/>
      <c r="N80" s="5"/>
      <c r="O80" s="5"/>
      <c r="P80" s="5"/>
      <c r="Q80" s="5"/>
      <c r="AL80" s="7" t="str">
        <f>HYPERLINK("http://dx.doi.org/10.3354/meps13551","http://dx.doi.org/10.3354/meps13551")</f>
        <v>http://dx.doi.org/10.3354/meps13551</v>
      </c>
      <c r="AM80" s="5">
        <v>7</v>
      </c>
      <c r="AN80" s="5">
        <v>7</v>
      </c>
      <c r="AO80" s="5">
        <v>659</v>
      </c>
      <c r="AP80" s="5" t="s">
        <v>16</v>
      </c>
      <c r="AQ80" s="5">
        <v>113</v>
      </c>
      <c r="AR80" s="5">
        <v>126</v>
      </c>
      <c r="AS80" s="5" t="s">
        <v>16</v>
      </c>
      <c r="AT80" s="5" t="s">
        <v>365</v>
      </c>
      <c r="AU80" s="5" t="s">
        <v>366</v>
      </c>
      <c r="AV80" s="5" t="s">
        <v>368</v>
      </c>
    </row>
    <row r="81" spans="1:48" ht="45" customHeight="1" x14ac:dyDescent="0.15">
      <c r="A81" s="5" t="s">
        <v>369</v>
      </c>
      <c r="B81" s="5">
        <v>2006</v>
      </c>
      <c r="C81" s="5" t="s">
        <v>370</v>
      </c>
      <c r="D81" s="5" t="s">
        <v>33</v>
      </c>
      <c r="E81" s="5" t="s">
        <v>18453</v>
      </c>
      <c r="F81" s="5" t="s">
        <v>373</v>
      </c>
      <c r="G81" s="5"/>
      <c r="H81" s="5"/>
      <c r="I81" s="5"/>
      <c r="J81" s="5"/>
      <c r="K81" s="5"/>
      <c r="L81" s="5"/>
      <c r="M81" s="5"/>
      <c r="N81" s="5"/>
      <c r="O81" s="5"/>
      <c r="P81" s="5"/>
      <c r="Q81" s="5"/>
      <c r="AL81" s="7" t="str">
        <f>HYPERLINK("http://dx.doi.org/10.1111/j.1365-2486.2006.01209.x","http://dx.doi.org/10.1111/j.1365-2486.2006.01209.x")</f>
        <v>http://dx.doi.org/10.1111/j.1365-2486.2006.01209.x</v>
      </c>
      <c r="AM81" s="5">
        <v>56</v>
      </c>
      <c r="AN81" s="5">
        <v>57</v>
      </c>
      <c r="AO81" s="5">
        <v>12</v>
      </c>
      <c r="AP81" s="5">
        <v>9</v>
      </c>
      <c r="AQ81" s="5">
        <v>1800</v>
      </c>
      <c r="AR81" s="5">
        <v>1812</v>
      </c>
      <c r="AS81" s="5" t="s">
        <v>16</v>
      </c>
      <c r="AT81" s="5" t="s">
        <v>371</v>
      </c>
      <c r="AU81" s="5" t="s">
        <v>372</v>
      </c>
      <c r="AV81" s="5" t="s">
        <v>374</v>
      </c>
    </row>
    <row r="82" spans="1:48" ht="45" customHeight="1" x14ac:dyDescent="0.15">
      <c r="A82" s="5" t="s">
        <v>375</v>
      </c>
      <c r="B82" s="5">
        <v>2022</v>
      </c>
      <c r="C82" s="5" t="s">
        <v>376</v>
      </c>
      <c r="D82" s="5" t="s">
        <v>138</v>
      </c>
      <c r="E82" s="5" t="s">
        <v>18453</v>
      </c>
      <c r="F82" s="5" t="s">
        <v>379</v>
      </c>
      <c r="G82" s="5"/>
      <c r="H82" s="5"/>
      <c r="I82" s="5"/>
      <c r="J82" s="5"/>
      <c r="K82" s="5"/>
      <c r="L82" s="5"/>
      <c r="M82" s="5"/>
      <c r="N82" s="5"/>
      <c r="O82" s="5"/>
      <c r="P82" s="5"/>
      <c r="Q82" s="5"/>
      <c r="AL82" s="7" t="str">
        <f>HYPERLINK("http://dx.doi.org/10.1111/aec.13107","http://dx.doi.org/10.1111/aec.13107")</f>
        <v>http://dx.doi.org/10.1111/aec.13107</v>
      </c>
      <c r="AM82" s="5">
        <v>1</v>
      </c>
      <c r="AN82" s="5">
        <v>1</v>
      </c>
      <c r="AO82" s="5">
        <v>47</v>
      </c>
      <c r="AP82" s="5">
        <v>2</v>
      </c>
      <c r="AQ82" s="5">
        <v>278</v>
      </c>
      <c r="AR82" s="5">
        <v>290</v>
      </c>
      <c r="AS82" s="5" t="s">
        <v>16</v>
      </c>
      <c r="AT82" s="5" t="s">
        <v>377</v>
      </c>
      <c r="AU82" s="5" t="s">
        <v>378</v>
      </c>
      <c r="AV82" s="5" t="s">
        <v>380</v>
      </c>
    </row>
    <row r="83" spans="1:48" ht="45" customHeight="1" x14ac:dyDescent="0.15">
      <c r="A83" s="5" t="s">
        <v>381</v>
      </c>
      <c r="B83" s="5">
        <v>2012</v>
      </c>
      <c r="C83" s="5" t="s">
        <v>382</v>
      </c>
      <c r="D83" s="5" t="s">
        <v>383</v>
      </c>
      <c r="E83" s="5" t="s">
        <v>18453</v>
      </c>
      <c r="F83" s="5" t="s">
        <v>386</v>
      </c>
      <c r="G83" s="5"/>
      <c r="H83" s="5"/>
      <c r="I83" s="5"/>
      <c r="J83" s="5"/>
      <c r="K83" s="5"/>
      <c r="L83" s="5"/>
      <c r="M83" s="5"/>
      <c r="N83" s="5"/>
      <c r="O83" s="5"/>
      <c r="P83" s="5"/>
      <c r="Q83" s="5"/>
      <c r="AL83" s="7" t="str">
        <f>HYPERLINK("http://dx.doi.org/10.1007/s11284-012-0941-9","http://dx.doi.org/10.1007/s11284-012-0941-9")</f>
        <v>http://dx.doi.org/10.1007/s11284-012-0941-9</v>
      </c>
      <c r="AM83" s="5">
        <v>5</v>
      </c>
      <c r="AN83" s="5">
        <v>6</v>
      </c>
      <c r="AO83" s="5">
        <v>27</v>
      </c>
      <c r="AP83" s="5">
        <v>3</v>
      </c>
      <c r="AQ83" s="5">
        <v>521</v>
      </c>
      <c r="AR83" s="5">
        <v>527</v>
      </c>
      <c r="AS83" s="5" t="s">
        <v>16</v>
      </c>
      <c r="AT83" s="5" t="s">
        <v>384</v>
      </c>
      <c r="AU83" s="5" t="s">
        <v>385</v>
      </c>
      <c r="AV83" s="5" t="s">
        <v>387</v>
      </c>
    </row>
    <row r="84" spans="1:48" ht="45" customHeight="1" x14ac:dyDescent="0.15">
      <c r="A84" s="5" t="s">
        <v>388</v>
      </c>
      <c r="B84" s="5">
        <v>2021</v>
      </c>
      <c r="C84" s="5" t="s">
        <v>389</v>
      </c>
      <c r="D84" s="5" t="s">
        <v>49</v>
      </c>
      <c r="E84" s="5" t="s">
        <v>18453</v>
      </c>
      <c r="F84" s="5" t="s">
        <v>392</v>
      </c>
      <c r="G84" s="5"/>
      <c r="H84" s="5"/>
      <c r="I84" s="5"/>
      <c r="J84" s="5"/>
      <c r="K84" s="5"/>
      <c r="L84" s="5"/>
      <c r="M84" s="5"/>
      <c r="N84" s="5"/>
      <c r="O84" s="5"/>
      <c r="P84" s="5"/>
      <c r="Q84" s="5"/>
      <c r="AL84" s="7" t="str">
        <f>HYPERLINK("http://dx.doi.org/10.3354/meps13832","http://dx.doi.org/10.3354/meps13832")</f>
        <v>http://dx.doi.org/10.3354/meps13832</v>
      </c>
      <c r="AM84" s="5">
        <v>1</v>
      </c>
      <c r="AN84" s="5">
        <v>1</v>
      </c>
      <c r="AO84" s="5">
        <v>674</v>
      </c>
      <c r="AP84" s="5" t="s">
        <v>16</v>
      </c>
      <c r="AQ84" s="5">
        <v>241</v>
      </c>
      <c r="AR84" s="5">
        <v>255</v>
      </c>
      <c r="AS84" s="5" t="s">
        <v>16</v>
      </c>
      <c r="AT84" s="5" t="s">
        <v>390</v>
      </c>
      <c r="AU84" s="5" t="s">
        <v>391</v>
      </c>
      <c r="AV84" s="5" t="s">
        <v>393</v>
      </c>
    </row>
    <row r="85" spans="1:48" ht="45" customHeight="1" x14ac:dyDescent="0.15">
      <c r="A85" s="5" t="s">
        <v>394</v>
      </c>
      <c r="B85" s="5">
        <v>2017</v>
      </c>
      <c r="C85" s="5" t="s">
        <v>395</v>
      </c>
      <c r="D85" s="5" t="s">
        <v>289</v>
      </c>
      <c r="E85" s="5" t="s">
        <v>18453</v>
      </c>
      <c r="F85" s="5" t="s">
        <v>398</v>
      </c>
      <c r="G85" s="5"/>
      <c r="H85" s="5"/>
      <c r="I85" s="5"/>
      <c r="J85" s="5"/>
      <c r="K85" s="5"/>
      <c r="L85" s="5"/>
      <c r="M85" s="5"/>
      <c r="N85" s="5"/>
      <c r="O85" s="5"/>
      <c r="P85" s="5"/>
      <c r="Q85" s="5"/>
      <c r="AL85" s="7" t="str">
        <f>HYPERLINK("http://dx.doi.org/10.1111/1365-2745.12775","http://dx.doi.org/10.1111/1365-2745.12775")</f>
        <v>http://dx.doi.org/10.1111/1365-2745.12775</v>
      </c>
      <c r="AM85" s="5">
        <v>60</v>
      </c>
      <c r="AN85" s="5">
        <v>60</v>
      </c>
      <c r="AO85" s="5">
        <v>105</v>
      </c>
      <c r="AP85" s="5">
        <v>6</v>
      </c>
      <c r="AQ85" s="5">
        <v>1668</v>
      </c>
      <c r="AR85" s="5">
        <v>1678</v>
      </c>
      <c r="AS85" s="5" t="s">
        <v>16</v>
      </c>
      <c r="AT85" s="5" t="s">
        <v>396</v>
      </c>
      <c r="AU85" s="5" t="s">
        <v>397</v>
      </c>
      <c r="AV85" s="5" t="s">
        <v>399</v>
      </c>
    </row>
    <row r="86" spans="1:48" ht="45" customHeight="1" x14ac:dyDescent="0.15">
      <c r="A86" s="5" t="s">
        <v>400</v>
      </c>
      <c r="B86" s="5">
        <v>2012</v>
      </c>
      <c r="C86" s="5" t="s">
        <v>401</v>
      </c>
      <c r="D86" s="5" t="s">
        <v>383</v>
      </c>
      <c r="E86" s="5" t="s">
        <v>18453</v>
      </c>
      <c r="F86" s="5" t="s">
        <v>404</v>
      </c>
      <c r="G86" s="5"/>
      <c r="H86" s="5"/>
      <c r="I86" s="5"/>
      <c r="J86" s="5"/>
      <c r="K86" s="5"/>
      <c r="L86" s="5"/>
      <c r="M86" s="5"/>
      <c r="N86" s="5"/>
      <c r="O86" s="5"/>
      <c r="P86" s="5"/>
      <c r="Q86" s="5"/>
      <c r="AL86" s="7" t="str">
        <f>HYPERLINK("http://dx.doi.org/10.1007/s11284-012-0929-5","http://dx.doi.org/10.1007/s11284-012-0929-5")</f>
        <v>http://dx.doi.org/10.1007/s11284-012-0929-5</v>
      </c>
      <c r="AM86" s="5">
        <v>38</v>
      </c>
      <c r="AN86" s="5">
        <v>39</v>
      </c>
      <c r="AO86" s="5">
        <v>27</v>
      </c>
      <c r="AP86" s="5">
        <v>3</v>
      </c>
      <c r="AQ86" s="5">
        <v>481</v>
      </c>
      <c r="AR86" s="5">
        <v>493</v>
      </c>
      <c r="AS86" s="5" t="s">
        <v>16</v>
      </c>
      <c r="AT86" s="5" t="s">
        <v>402</v>
      </c>
      <c r="AU86" s="5" t="s">
        <v>403</v>
      </c>
      <c r="AV86" s="5" t="s">
        <v>405</v>
      </c>
    </row>
    <row r="87" spans="1:48" ht="45" customHeight="1" x14ac:dyDescent="0.15">
      <c r="A87" s="5" t="s">
        <v>406</v>
      </c>
      <c r="B87" s="5">
        <v>1998</v>
      </c>
      <c r="C87" s="5" t="s">
        <v>407</v>
      </c>
      <c r="D87" s="5" t="s">
        <v>82</v>
      </c>
      <c r="E87" s="5" t="s">
        <v>18453</v>
      </c>
      <c r="F87" s="5" t="s">
        <v>410</v>
      </c>
      <c r="G87" s="5"/>
      <c r="H87" s="5"/>
      <c r="I87" s="5"/>
      <c r="J87" s="5"/>
      <c r="K87" s="5"/>
      <c r="L87" s="5"/>
      <c r="M87" s="5"/>
      <c r="N87" s="5"/>
      <c r="O87" s="5"/>
      <c r="P87" s="5"/>
      <c r="Q87" s="5"/>
      <c r="AL87" s="7" t="str">
        <f>HYPERLINK("http://dx.doi.org/10.1890/1051-0761(1998)008[0128:HHDTFD]2.0.CO;2","http://dx.doi.org/10.1890/1051-0761(1998)008[0128:HHDTFD]2.0.CO;2")</f>
        <v>http://dx.doi.org/10.1890/1051-0761(1998)008[0128:HHDTFD]2.0.CO;2</v>
      </c>
      <c r="AM87" s="5">
        <v>331</v>
      </c>
      <c r="AN87" s="5">
        <v>335</v>
      </c>
      <c r="AO87" s="5">
        <v>8</v>
      </c>
      <c r="AP87" s="5">
        <v>1</v>
      </c>
      <c r="AQ87" s="5">
        <v>128</v>
      </c>
      <c r="AR87" s="5">
        <v>140</v>
      </c>
      <c r="AS87" s="5" t="s">
        <v>16</v>
      </c>
      <c r="AT87" s="5" t="s">
        <v>408</v>
      </c>
      <c r="AU87" s="5" t="s">
        <v>409</v>
      </c>
      <c r="AV87" s="5" t="s">
        <v>411</v>
      </c>
    </row>
    <row r="88" spans="1:48" ht="45" customHeight="1" x14ac:dyDescent="0.15">
      <c r="A88" s="5" t="s">
        <v>412</v>
      </c>
      <c r="B88" s="5">
        <v>2021</v>
      </c>
      <c r="C88" s="5" t="s">
        <v>413</v>
      </c>
      <c r="D88" s="5" t="s">
        <v>33</v>
      </c>
      <c r="E88" s="5" t="s">
        <v>18453</v>
      </c>
      <c r="F88" s="5" t="s">
        <v>416</v>
      </c>
      <c r="G88" s="5"/>
      <c r="H88" s="5"/>
      <c r="I88" s="5"/>
      <c r="J88" s="5"/>
      <c r="K88" s="5"/>
      <c r="L88" s="5"/>
      <c r="M88" s="5"/>
      <c r="N88" s="5"/>
      <c r="O88" s="5"/>
      <c r="P88" s="5"/>
      <c r="Q88" s="5"/>
      <c r="AL88" s="7" t="str">
        <f>HYPERLINK("http://dx.doi.org/10.1111/gcb.15387","http://dx.doi.org/10.1111/gcb.15387")</f>
        <v>http://dx.doi.org/10.1111/gcb.15387</v>
      </c>
      <c r="AM88" s="5">
        <v>14</v>
      </c>
      <c r="AN88" s="5">
        <v>14</v>
      </c>
      <c r="AO88" s="5">
        <v>27</v>
      </c>
      <c r="AP88" s="5">
        <v>2</v>
      </c>
      <c r="AQ88" s="5">
        <v>282</v>
      </c>
      <c r="AR88" s="5">
        <v>296</v>
      </c>
      <c r="AS88" s="5" t="s">
        <v>16</v>
      </c>
      <c r="AT88" s="5" t="s">
        <v>414</v>
      </c>
      <c r="AU88" s="5" t="s">
        <v>415</v>
      </c>
      <c r="AV88" s="5" t="s">
        <v>417</v>
      </c>
    </row>
    <row r="89" spans="1:48" ht="45" customHeight="1" x14ac:dyDescent="0.15">
      <c r="A89" s="5" t="s">
        <v>418</v>
      </c>
      <c r="B89" s="5">
        <v>2009</v>
      </c>
      <c r="C89" s="5" t="s">
        <v>419</v>
      </c>
      <c r="D89" s="5" t="s">
        <v>49</v>
      </c>
      <c r="E89" s="5" t="s">
        <v>18453</v>
      </c>
      <c r="F89" s="5" t="s">
        <v>422</v>
      </c>
      <c r="G89" s="5"/>
      <c r="H89" s="5"/>
      <c r="I89" s="5"/>
      <c r="J89" s="5"/>
      <c r="K89" s="5"/>
      <c r="L89" s="5"/>
      <c r="M89" s="5"/>
      <c r="N89" s="5"/>
      <c r="O89" s="5"/>
      <c r="P89" s="5"/>
      <c r="Q89" s="5"/>
      <c r="AL89" s="7" t="str">
        <f>HYPERLINK("http://dx.doi.org/10.3354/meps07784","http://dx.doi.org/10.3354/meps07784")</f>
        <v>http://dx.doi.org/10.3354/meps07784</v>
      </c>
      <c r="AM89" s="5">
        <v>91</v>
      </c>
      <c r="AN89" s="5">
        <v>92</v>
      </c>
      <c r="AO89" s="5">
        <v>375</v>
      </c>
      <c r="AP89" s="5" t="s">
        <v>16</v>
      </c>
      <c r="AQ89" s="5">
        <v>277</v>
      </c>
      <c r="AR89" s="5">
        <v>288</v>
      </c>
      <c r="AS89" s="5" t="s">
        <v>16</v>
      </c>
      <c r="AT89" s="5" t="s">
        <v>420</v>
      </c>
      <c r="AU89" s="5" t="s">
        <v>421</v>
      </c>
      <c r="AV89" s="5" t="s">
        <v>423</v>
      </c>
    </row>
    <row r="90" spans="1:48" ht="45" customHeight="1" x14ac:dyDescent="0.15">
      <c r="A90" s="5" t="s">
        <v>424</v>
      </c>
      <c r="B90" s="5">
        <v>2017</v>
      </c>
      <c r="C90" s="5" t="s">
        <v>425</v>
      </c>
      <c r="D90" s="5" t="s">
        <v>17</v>
      </c>
      <c r="E90" s="5" t="s">
        <v>18453</v>
      </c>
      <c r="F90" s="5" t="s">
        <v>428</v>
      </c>
      <c r="G90" s="5"/>
      <c r="H90" s="5"/>
      <c r="I90" s="5"/>
      <c r="J90" s="5"/>
      <c r="K90" s="5"/>
      <c r="L90" s="5"/>
      <c r="M90" s="5"/>
      <c r="N90" s="5"/>
      <c r="O90" s="5"/>
      <c r="P90" s="5"/>
      <c r="Q90" s="5"/>
      <c r="AL90" s="7" t="str">
        <f>HYPERLINK("http://dx.doi.org/10.1111/fwb.13046","http://dx.doi.org/10.1111/fwb.13046")</f>
        <v>http://dx.doi.org/10.1111/fwb.13046</v>
      </c>
      <c r="AM90" s="5">
        <v>15</v>
      </c>
      <c r="AN90" s="5">
        <v>16</v>
      </c>
      <c r="AO90" s="5">
        <v>62</v>
      </c>
      <c r="AP90" s="5">
        <v>12</v>
      </c>
      <c r="AQ90" s="5">
        <v>2008</v>
      </c>
      <c r="AR90" s="5">
        <v>2025</v>
      </c>
      <c r="AS90" s="5" t="s">
        <v>16</v>
      </c>
      <c r="AT90" s="5" t="s">
        <v>426</v>
      </c>
      <c r="AU90" s="5" t="s">
        <v>427</v>
      </c>
      <c r="AV90" s="5" t="s">
        <v>429</v>
      </c>
    </row>
    <row r="91" spans="1:48" ht="45" customHeight="1" x14ac:dyDescent="0.15">
      <c r="A91" s="5" t="s">
        <v>430</v>
      </c>
      <c r="B91" s="5">
        <v>2011</v>
      </c>
      <c r="C91" s="5" t="s">
        <v>431</v>
      </c>
      <c r="D91" s="5" t="s">
        <v>17</v>
      </c>
      <c r="E91" s="5" t="s">
        <v>18453</v>
      </c>
      <c r="F91" s="5" t="s">
        <v>434</v>
      </c>
      <c r="G91" s="5"/>
      <c r="H91" s="5"/>
      <c r="I91" s="5"/>
      <c r="J91" s="5"/>
      <c r="K91" s="5"/>
      <c r="L91" s="5"/>
      <c r="M91" s="5"/>
      <c r="N91" s="5"/>
      <c r="O91" s="5"/>
      <c r="P91" s="5"/>
      <c r="Q91" s="5"/>
      <c r="AL91" s="7" t="str">
        <f>HYPERLINK("http://dx.doi.org/10.1111/j.1365-2427.2011.02604.x","http://dx.doi.org/10.1111/j.1365-2427.2011.02604.x")</f>
        <v>http://dx.doi.org/10.1111/j.1365-2427.2011.02604.x</v>
      </c>
      <c r="AM91" s="5">
        <v>16</v>
      </c>
      <c r="AN91" s="5">
        <v>17</v>
      </c>
      <c r="AO91" s="5">
        <v>56</v>
      </c>
      <c r="AP91" s="5">
        <v>9</v>
      </c>
      <c r="AQ91" s="5">
        <v>1723</v>
      </c>
      <c r="AR91" s="5">
        <v>1735</v>
      </c>
      <c r="AS91" s="5" t="s">
        <v>16</v>
      </c>
      <c r="AT91" s="5" t="s">
        <v>432</v>
      </c>
      <c r="AU91" s="5" t="s">
        <v>433</v>
      </c>
      <c r="AV91" s="5" t="s">
        <v>435</v>
      </c>
    </row>
    <row r="92" spans="1:48" ht="45" customHeight="1" x14ac:dyDescent="0.15">
      <c r="A92" s="5" t="s">
        <v>436</v>
      </c>
      <c r="B92" s="5">
        <v>2022</v>
      </c>
      <c r="C92" s="5" t="s">
        <v>437</v>
      </c>
      <c r="D92" s="5" t="s">
        <v>77</v>
      </c>
      <c r="E92" s="5" t="s">
        <v>18453</v>
      </c>
      <c r="F92" s="5" t="s">
        <v>440</v>
      </c>
      <c r="G92" s="5"/>
      <c r="H92" s="5"/>
      <c r="I92" s="5"/>
      <c r="J92" s="5"/>
      <c r="K92" s="5"/>
      <c r="L92" s="5"/>
      <c r="M92" s="5"/>
      <c r="N92" s="5"/>
      <c r="O92" s="5"/>
      <c r="P92" s="5"/>
      <c r="Q92" s="5"/>
      <c r="AL92" s="7" t="str">
        <f>HYPERLINK("http://dx.doi.org/10.1111/1365-2656.13742","http://dx.doi.org/10.1111/1365-2656.13742")</f>
        <v>http://dx.doi.org/10.1111/1365-2656.13742</v>
      </c>
      <c r="AM92" s="5">
        <v>2</v>
      </c>
      <c r="AN92" s="5">
        <v>2</v>
      </c>
      <c r="AO92" s="5" t="s">
        <v>16</v>
      </c>
      <c r="AP92" s="5" t="s">
        <v>16</v>
      </c>
      <c r="AQ92" s="5" t="s">
        <v>16</v>
      </c>
      <c r="AR92" s="5" t="s">
        <v>16</v>
      </c>
      <c r="AS92" s="5" t="s">
        <v>16</v>
      </c>
      <c r="AT92" s="5" t="s">
        <v>438</v>
      </c>
      <c r="AU92" s="5" t="s">
        <v>439</v>
      </c>
      <c r="AV92" s="5" t="s">
        <v>441</v>
      </c>
    </row>
    <row r="93" spans="1:48" ht="45" customHeight="1" x14ac:dyDescent="0.15">
      <c r="A93" s="5" t="s">
        <v>442</v>
      </c>
      <c r="B93" s="5">
        <v>2015</v>
      </c>
      <c r="C93" s="5" t="s">
        <v>443</v>
      </c>
      <c r="D93" s="5" t="s">
        <v>33</v>
      </c>
      <c r="E93" s="5" t="s">
        <v>18453</v>
      </c>
      <c r="F93" s="5" t="s">
        <v>446</v>
      </c>
      <c r="G93" s="5"/>
      <c r="H93" s="5"/>
      <c r="I93" s="5"/>
      <c r="J93" s="5"/>
      <c r="K93" s="5"/>
      <c r="L93" s="5"/>
      <c r="M93" s="5"/>
      <c r="N93" s="5"/>
      <c r="O93" s="5"/>
      <c r="P93" s="5"/>
      <c r="Q93" s="5"/>
      <c r="AL93" s="7" t="str">
        <f>HYPERLINK("http://dx.doi.org/10.1111/gcb.12965","http://dx.doi.org/10.1111/gcb.12965")</f>
        <v>http://dx.doi.org/10.1111/gcb.12965</v>
      </c>
      <c r="AM93" s="5">
        <v>16</v>
      </c>
      <c r="AN93" s="5">
        <v>16</v>
      </c>
      <c r="AO93" s="5">
        <v>21</v>
      </c>
      <c r="AP93" s="5">
        <v>12</v>
      </c>
      <c r="AQ93" s="5">
        <v>4642</v>
      </c>
      <c r="AR93" s="5">
        <v>4650</v>
      </c>
      <c r="AS93" s="5" t="s">
        <v>16</v>
      </c>
      <c r="AT93" s="5" t="s">
        <v>444</v>
      </c>
      <c r="AU93" s="5" t="s">
        <v>445</v>
      </c>
      <c r="AV93" s="5" t="s">
        <v>447</v>
      </c>
    </row>
    <row r="94" spans="1:48" ht="45" customHeight="1" x14ac:dyDescent="0.15">
      <c r="A94" s="5" t="s">
        <v>448</v>
      </c>
      <c r="B94" s="5">
        <v>2007</v>
      </c>
      <c r="C94" s="5" t="s">
        <v>449</v>
      </c>
      <c r="D94" s="5" t="s">
        <v>27</v>
      </c>
      <c r="E94" s="5" t="s">
        <v>18453</v>
      </c>
      <c r="F94" s="5" t="s">
        <v>452</v>
      </c>
      <c r="G94" s="5"/>
      <c r="H94" s="5"/>
      <c r="I94" s="5"/>
      <c r="J94" s="5"/>
      <c r="K94" s="5"/>
      <c r="L94" s="5"/>
      <c r="M94" s="5"/>
      <c r="N94" s="5"/>
      <c r="O94" s="5"/>
      <c r="P94" s="5"/>
      <c r="Q94" s="5"/>
      <c r="AL94" s="7" t="str">
        <f>HYPERLINK("http://dx.doi.org/10.1890/07-0121.1","http://dx.doi.org/10.1890/07-0121.1")</f>
        <v>http://dx.doi.org/10.1890/07-0121.1</v>
      </c>
      <c r="AM94" s="5">
        <v>118</v>
      </c>
      <c r="AN94" s="5">
        <v>121</v>
      </c>
      <c r="AO94" s="5">
        <v>88</v>
      </c>
      <c r="AP94" s="5">
        <v>11</v>
      </c>
      <c r="AQ94" s="5">
        <v>2793</v>
      </c>
      <c r="AR94" s="5">
        <v>2802</v>
      </c>
      <c r="AS94" s="5" t="s">
        <v>16</v>
      </c>
      <c r="AT94" s="5" t="s">
        <v>450</v>
      </c>
      <c r="AU94" s="5" t="s">
        <v>451</v>
      </c>
      <c r="AV94" s="5" t="s">
        <v>453</v>
      </c>
    </row>
    <row r="95" spans="1:48" ht="45" customHeight="1" x14ac:dyDescent="0.15">
      <c r="A95" s="5" t="s">
        <v>454</v>
      </c>
      <c r="B95" s="5">
        <v>2015</v>
      </c>
      <c r="C95" s="5" t="s">
        <v>455</v>
      </c>
      <c r="D95" s="5" t="s">
        <v>77</v>
      </c>
      <c r="E95" s="5" t="s">
        <v>18453</v>
      </c>
      <c r="F95" s="5" t="s">
        <v>458</v>
      </c>
      <c r="G95" s="5"/>
      <c r="H95" s="5"/>
      <c r="I95" s="5"/>
      <c r="J95" s="5"/>
      <c r="K95" s="5"/>
      <c r="L95" s="5"/>
      <c r="M95" s="5"/>
      <c r="N95" s="5"/>
      <c r="O95" s="5"/>
      <c r="P95" s="5"/>
      <c r="Q95" s="5"/>
      <c r="AL95" s="7" t="str">
        <f>HYPERLINK("http://dx.doi.org/10.1111/1365-2656.12360","http://dx.doi.org/10.1111/1365-2656.12360")</f>
        <v>http://dx.doi.org/10.1111/1365-2656.12360</v>
      </c>
      <c r="AM95" s="5">
        <v>75</v>
      </c>
      <c r="AN95" s="5">
        <v>76</v>
      </c>
      <c r="AO95" s="5">
        <v>84</v>
      </c>
      <c r="AP95" s="5">
        <v>4</v>
      </c>
      <c r="AQ95" s="5">
        <v>1071</v>
      </c>
      <c r="AR95" s="5">
        <v>1080</v>
      </c>
      <c r="AS95" s="5" t="s">
        <v>16</v>
      </c>
      <c r="AT95" s="5" t="s">
        <v>456</v>
      </c>
      <c r="AU95" s="5" t="s">
        <v>457</v>
      </c>
      <c r="AV95" s="5" t="s">
        <v>459</v>
      </c>
    </row>
    <row r="96" spans="1:48" ht="45" customHeight="1" x14ac:dyDescent="0.15">
      <c r="A96" s="5" t="s">
        <v>460</v>
      </c>
      <c r="B96" s="5">
        <v>2022</v>
      </c>
      <c r="C96" s="5" t="s">
        <v>461</v>
      </c>
      <c r="D96" s="5" t="s">
        <v>49</v>
      </c>
      <c r="E96" s="5" t="s">
        <v>18453</v>
      </c>
      <c r="F96" s="5" t="s">
        <v>464</v>
      </c>
      <c r="G96" s="5"/>
      <c r="H96" s="5"/>
      <c r="I96" s="5"/>
      <c r="J96" s="5"/>
      <c r="K96" s="5"/>
      <c r="L96" s="5"/>
      <c r="M96" s="5"/>
      <c r="N96" s="5"/>
      <c r="O96" s="5"/>
      <c r="P96" s="5"/>
      <c r="Q96" s="5"/>
      <c r="AL96" s="7" t="str">
        <f>HYPERLINK("http://dx.doi.org/10.3354/meps14014","http://dx.doi.org/10.3354/meps14014")</f>
        <v>http://dx.doi.org/10.3354/meps14014</v>
      </c>
      <c r="AM96" s="5">
        <v>1</v>
      </c>
      <c r="AN96" s="5">
        <v>1</v>
      </c>
      <c r="AO96" s="5">
        <v>688</v>
      </c>
      <c r="AP96" s="5" t="s">
        <v>16</v>
      </c>
      <c r="AQ96" s="5">
        <v>153</v>
      </c>
      <c r="AR96" s="5">
        <v>166</v>
      </c>
      <c r="AS96" s="5" t="s">
        <v>16</v>
      </c>
      <c r="AT96" s="5" t="s">
        <v>462</v>
      </c>
      <c r="AU96" s="5" t="s">
        <v>463</v>
      </c>
      <c r="AV96" s="5" t="s">
        <v>465</v>
      </c>
    </row>
    <row r="97" spans="1:48" ht="45" customHeight="1" x14ac:dyDescent="0.15">
      <c r="A97" s="5" t="s">
        <v>466</v>
      </c>
      <c r="B97" s="5">
        <v>2022</v>
      </c>
      <c r="C97" s="5" t="s">
        <v>467</v>
      </c>
      <c r="D97" s="5" t="s">
        <v>468</v>
      </c>
      <c r="E97" s="5" t="s">
        <v>18453</v>
      </c>
      <c r="F97" s="5" t="s">
        <v>471</v>
      </c>
      <c r="G97" s="5"/>
      <c r="H97" s="5"/>
      <c r="I97" s="5"/>
      <c r="J97" s="5"/>
      <c r="K97" s="5"/>
      <c r="L97" s="5"/>
      <c r="M97" s="5"/>
      <c r="N97" s="5"/>
      <c r="O97" s="5"/>
      <c r="P97" s="5"/>
      <c r="Q97" s="5"/>
      <c r="AL97" s="7" t="str">
        <f>HYPERLINK("http://dx.doi.org/10.1016/j.ecoinf.2022.101622","http://dx.doi.org/10.1016/j.ecoinf.2022.101622")</f>
        <v>http://dx.doi.org/10.1016/j.ecoinf.2022.101622</v>
      </c>
      <c r="AM97" s="5">
        <v>2</v>
      </c>
      <c r="AN97" s="5">
        <v>2</v>
      </c>
      <c r="AO97" s="5">
        <v>69</v>
      </c>
      <c r="AP97" s="5" t="s">
        <v>16</v>
      </c>
      <c r="AQ97" s="5" t="s">
        <v>16</v>
      </c>
      <c r="AR97" s="5" t="s">
        <v>16</v>
      </c>
      <c r="AS97" s="5">
        <v>101622</v>
      </c>
      <c r="AT97" s="5" t="s">
        <v>469</v>
      </c>
      <c r="AU97" s="5" t="s">
        <v>470</v>
      </c>
      <c r="AV97" s="5" t="s">
        <v>472</v>
      </c>
    </row>
    <row r="98" spans="1:48" ht="45" customHeight="1" x14ac:dyDescent="0.15">
      <c r="A98" s="5" t="s">
        <v>473</v>
      </c>
      <c r="B98" s="5">
        <v>2021</v>
      </c>
      <c r="C98" s="5" t="s">
        <v>474</v>
      </c>
      <c r="D98" s="5" t="s">
        <v>475</v>
      </c>
      <c r="E98" s="5" t="s">
        <v>18453</v>
      </c>
      <c r="F98" s="5" t="s">
        <v>478</v>
      </c>
      <c r="G98" s="5"/>
      <c r="H98" s="5"/>
      <c r="I98" s="5"/>
      <c r="J98" s="5"/>
      <c r="K98" s="5"/>
      <c r="L98" s="5"/>
      <c r="M98" s="5"/>
      <c r="N98" s="5"/>
      <c r="O98" s="5"/>
      <c r="P98" s="5"/>
      <c r="Q98" s="5"/>
      <c r="AL98" s="7" t="str">
        <f>HYPERLINK("http://dx.doi.org/10.1134/S1067413621050052","http://dx.doi.org/10.1134/S1067413621050052")</f>
        <v>http://dx.doi.org/10.1134/S1067413621050052</v>
      </c>
      <c r="AM98" s="5">
        <v>0</v>
      </c>
      <c r="AN98" s="5">
        <v>0</v>
      </c>
      <c r="AO98" s="5">
        <v>52</v>
      </c>
      <c r="AP98" s="5">
        <v>5</v>
      </c>
      <c r="AQ98" s="5">
        <v>368</v>
      </c>
      <c r="AR98" s="5">
        <v>375</v>
      </c>
      <c r="AS98" s="5" t="s">
        <v>16</v>
      </c>
      <c r="AT98" s="5" t="s">
        <v>476</v>
      </c>
      <c r="AU98" s="5" t="s">
        <v>477</v>
      </c>
      <c r="AV98" s="5" t="s">
        <v>479</v>
      </c>
    </row>
    <row r="99" spans="1:48" ht="45" customHeight="1" x14ac:dyDescent="0.15">
      <c r="A99" s="5" t="s">
        <v>480</v>
      </c>
      <c r="B99" s="5">
        <v>2008</v>
      </c>
      <c r="C99" s="5" t="s">
        <v>481</v>
      </c>
      <c r="D99" s="5" t="s">
        <v>82</v>
      </c>
      <c r="E99" s="5" t="s">
        <v>18453</v>
      </c>
      <c r="F99" s="5" t="s">
        <v>484</v>
      </c>
      <c r="G99" s="5"/>
      <c r="H99" s="5"/>
      <c r="I99" s="5"/>
      <c r="J99" s="5"/>
      <c r="K99" s="5"/>
      <c r="L99" s="5"/>
      <c r="M99" s="5"/>
      <c r="N99" s="5"/>
      <c r="O99" s="5"/>
      <c r="P99" s="5"/>
      <c r="Q99" s="5"/>
      <c r="AL99" s="7" t="str">
        <f>HYPERLINK("http://dx.doi.org/10.1890/06-2006.1","http://dx.doi.org/10.1890/06-2006.1")</f>
        <v>http://dx.doi.org/10.1890/06-2006.1</v>
      </c>
      <c r="AM99" s="5">
        <v>58</v>
      </c>
      <c r="AN99" s="5">
        <v>65</v>
      </c>
      <c r="AO99" s="5">
        <v>18</v>
      </c>
      <c r="AP99" s="5">
        <v>1</v>
      </c>
      <c r="AQ99" s="5">
        <v>22</v>
      </c>
      <c r="AR99" s="5">
        <v>30</v>
      </c>
      <c r="AS99" s="5" t="s">
        <v>16</v>
      </c>
      <c r="AT99" s="5" t="s">
        <v>482</v>
      </c>
      <c r="AU99" s="5" t="s">
        <v>483</v>
      </c>
      <c r="AV99" s="5" t="s">
        <v>485</v>
      </c>
    </row>
    <row r="100" spans="1:48" ht="45" customHeight="1" x14ac:dyDescent="0.15">
      <c r="A100" s="5" t="s">
        <v>486</v>
      </c>
      <c r="B100" s="5">
        <v>2013</v>
      </c>
      <c r="C100" s="5" t="s">
        <v>487</v>
      </c>
      <c r="D100" s="5" t="s">
        <v>488</v>
      </c>
      <c r="E100" s="5" t="s">
        <v>18453</v>
      </c>
      <c r="F100" s="5" t="s">
        <v>491</v>
      </c>
      <c r="G100" s="5"/>
      <c r="H100" s="5"/>
      <c r="I100" s="5"/>
      <c r="J100" s="5"/>
      <c r="K100" s="5"/>
      <c r="L100" s="5"/>
      <c r="M100" s="5"/>
      <c r="N100" s="5"/>
      <c r="O100" s="5"/>
      <c r="P100" s="5"/>
      <c r="Q100" s="5"/>
      <c r="AL100" s="7" t="str">
        <f>HYPERLINK("http://dx.doi.org/10.1007/s10344-013-0737-4","http://dx.doi.org/10.1007/s10344-013-0737-4")</f>
        <v>http://dx.doi.org/10.1007/s10344-013-0737-4</v>
      </c>
      <c r="AM100" s="5">
        <v>11</v>
      </c>
      <c r="AN100" s="5">
        <v>12</v>
      </c>
      <c r="AO100" s="5">
        <v>59</v>
      </c>
      <c r="AP100" s="5">
        <v>6</v>
      </c>
      <c r="AQ100" s="5">
        <v>833</v>
      </c>
      <c r="AR100" s="5">
        <v>845</v>
      </c>
      <c r="AS100" s="5" t="s">
        <v>16</v>
      </c>
      <c r="AT100" s="5" t="s">
        <v>489</v>
      </c>
      <c r="AU100" s="5" t="s">
        <v>490</v>
      </c>
      <c r="AV100" s="5" t="s">
        <v>492</v>
      </c>
    </row>
    <row r="101" spans="1:48" ht="45" customHeight="1" x14ac:dyDescent="0.15">
      <c r="A101" s="5" t="s">
        <v>493</v>
      </c>
      <c r="B101" s="5">
        <v>2020</v>
      </c>
      <c r="C101" s="5" t="s">
        <v>494</v>
      </c>
      <c r="D101" s="5" t="s">
        <v>49</v>
      </c>
      <c r="E101" s="5" t="s">
        <v>18453</v>
      </c>
      <c r="F101" s="5" t="s">
        <v>497</v>
      </c>
      <c r="G101" s="5"/>
      <c r="H101" s="5"/>
      <c r="I101" s="5"/>
      <c r="J101" s="5"/>
      <c r="K101" s="5"/>
      <c r="L101" s="5"/>
      <c r="M101" s="5"/>
      <c r="N101" s="5"/>
      <c r="O101" s="5"/>
      <c r="P101" s="5"/>
      <c r="Q101" s="5"/>
      <c r="AL101" s="7" t="str">
        <f>HYPERLINK("http://dx.doi.org/10.3354/meps13275","http://dx.doi.org/10.3354/meps13275")</f>
        <v>http://dx.doi.org/10.3354/meps13275</v>
      </c>
      <c r="AM101" s="5">
        <v>7</v>
      </c>
      <c r="AN101" s="5">
        <v>7</v>
      </c>
      <c r="AO101" s="5">
        <v>640</v>
      </c>
      <c r="AP101" s="5" t="s">
        <v>16</v>
      </c>
      <c r="AQ101" s="5">
        <v>189</v>
      </c>
      <c r="AR101" s="5">
        <v>200</v>
      </c>
      <c r="AS101" s="5" t="s">
        <v>16</v>
      </c>
      <c r="AT101" s="5" t="s">
        <v>495</v>
      </c>
      <c r="AU101" s="5" t="s">
        <v>496</v>
      </c>
      <c r="AV101" s="5" t="s">
        <v>498</v>
      </c>
    </row>
    <row r="102" spans="1:48" ht="45" customHeight="1" x14ac:dyDescent="0.15">
      <c r="A102" s="5" t="s">
        <v>499</v>
      </c>
      <c r="B102" s="5">
        <v>2013</v>
      </c>
      <c r="C102" s="5" t="s">
        <v>500</v>
      </c>
      <c r="D102" s="5" t="s">
        <v>383</v>
      </c>
      <c r="E102" s="5" t="s">
        <v>18453</v>
      </c>
      <c r="F102" s="5" t="s">
        <v>503</v>
      </c>
      <c r="G102" s="5"/>
      <c r="H102" s="5"/>
      <c r="I102" s="5"/>
      <c r="J102" s="5"/>
      <c r="K102" s="5"/>
      <c r="L102" s="5"/>
      <c r="M102" s="5"/>
      <c r="N102" s="5"/>
      <c r="O102" s="5"/>
      <c r="P102" s="5"/>
      <c r="Q102" s="5"/>
      <c r="AL102" s="7" t="str">
        <f>HYPERLINK("http://dx.doi.org/10.1007/s11284-012-0967-z","http://dx.doi.org/10.1007/s11284-012-0967-z")</f>
        <v>http://dx.doi.org/10.1007/s11284-012-0967-z</v>
      </c>
      <c r="AM102" s="5">
        <v>29</v>
      </c>
      <c r="AN102" s="5">
        <v>29</v>
      </c>
      <c r="AO102" s="5">
        <v>28</v>
      </c>
      <c r="AP102" s="5">
        <v>5</v>
      </c>
      <c r="AQ102" s="5">
        <v>697</v>
      </c>
      <c r="AR102" s="5">
        <v>702</v>
      </c>
      <c r="AS102" s="5" t="s">
        <v>16</v>
      </c>
      <c r="AT102" s="5" t="s">
        <v>501</v>
      </c>
      <c r="AU102" s="5" t="s">
        <v>502</v>
      </c>
      <c r="AV102" s="5" t="s">
        <v>504</v>
      </c>
    </row>
    <row r="103" spans="1:48" ht="45" customHeight="1" x14ac:dyDescent="0.15">
      <c r="A103" s="5" t="s">
        <v>505</v>
      </c>
      <c r="B103" s="5">
        <v>2021</v>
      </c>
      <c r="C103" s="5" t="s">
        <v>506</v>
      </c>
      <c r="D103" s="5" t="s">
        <v>296</v>
      </c>
      <c r="E103" s="5" t="s">
        <v>18453</v>
      </c>
      <c r="F103" s="5" t="s">
        <v>509</v>
      </c>
      <c r="G103" s="5"/>
      <c r="H103" s="5"/>
      <c r="I103" s="5"/>
      <c r="J103" s="5"/>
      <c r="K103" s="5"/>
      <c r="L103" s="5"/>
      <c r="M103" s="5"/>
      <c r="N103" s="5"/>
      <c r="O103" s="5"/>
      <c r="P103" s="5"/>
      <c r="Q103" s="5"/>
      <c r="AL103" s="7" t="str">
        <f>HYPERLINK("http://dx.doi.org/10.1098/rspb.2021.0188","http://dx.doi.org/10.1098/rspb.2021.0188")</f>
        <v>http://dx.doi.org/10.1098/rspb.2021.0188</v>
      </c>
      <c r="AM103" s="5">
        <v>0</v>
      </c>
      <c r="AN103" s="5">
        <v>0</v>
      </c>
      <c r="AO103" s="5">
        <v>288</v>
      </c>
      <c r="AP103" s="5">
        <v>1948</v>
      </c>
      <c r="AQ103" s="5" t="s">
        <v>16</v>
      </c>
      <c r="AR103" s="5" t="s">
        <v>16</v>
      </c>
      <c r="AS103" s="5">
        <v>20210188</v>
      </c>
      <c r="AT103" s="5" t="s">
        <v>507</v>
      </c>
      <c r="AU103" s="5" t="s">
        <v>508</v>
      </c>
      <c r="AV103" s="5" t="s">
        <v>510</v>
      </c>
    </row>
    <row r="104" spans="1:48" ht="45" customHeight="1" x14ac:dyDescent="0.15">
      <c r="A104" s="5" t="s">
        <v>511</v>
      </c>
      <c r="B104" s="5">
        <v>2015</v>
      </c>
      <c r="C104" s="5" t="s">
        <v>512</v>
      </c>
      <c r="D104" s="5" t="s">
        <v>513</v>
      </c>
      <c r="E104" s="5" t="s">
        <v>18453</v>
      </c>
      <c r="F104" s="5" t="s">
        <v>516</v>
      </c>
      <c r="G104" s="5"/>
      <c r="H104" s="5"/>
      <c r="I104" s="5"/>
      <c r="J104" s="5"/>
      <c r="K104" s="5"/>
      <c r="L104" s="5"/>
      <c r="M104" s="5"/>
      <c r="N104" s="5"/>
      <c r="O104" s="5"/>
      <c r="P104" s="5"/>
      <c r="Q104" s="5"/>
      <c r="AL104" s="7" t="str">
        <f>HYPERLINK("http://dx.doi.org/10.1016/j.ecoleng.2015.06.007","http://dx.doi.org/10.1016/j.ecoleng.2015.06.007")</f>
        <v>http://dx.doi.org/10.1016/j.ecoleng.2015.06.007</v>
      </c>
      <c r="AM104" s="5">
        <v>11</v>
      </c>
      <c r="AN104" s="5">
        <v>14</v>
      </c>
      <c r="AO104" s="5">
        <v>83</v>
      </c>
      <c r="AP104" s="5" t="s">
        <v>16</v>
      </c>
      <c r="AQ104" s="5">
        <v>13</v>
      </c>
      <c r="AR104" s="5">
        <v>18</v>
      </c>
      <c r="AS104" s="5" t="s">
        <v>16</v>
      </c>
      <c r="AT104" s="5" t="s">
        <v>514</v>
      </c>
      <c r="AU104" s="5" t="s">
        <v>515</v>
      </c>
      <c r="AV104" s="5" t="s">
        <v>517</v>
      </c>
    </row>
    <row r="105" spans="1:48" ht="45" customHeight="1" x14ac:dyDescent="0.15">
      <c r="A105" s="5" t="s">
        <v>518</v>
      </c>
      <c r="B105" s="5">
        <v>2015</v>
      </c>
      <c r="C105" s="5" t="s">
        <v>519</v>
      </c>
      <c r="D105" s="5" t="s">
        <v>251</v>
      </c>
      <c r="E105" s="5" t="s">
        <v>18453</v>
      </c>
      <c r="F105" s="5" t="s">
        <v>522</v>
      </c>
      <c r="G105" s="5"/>
      <c r="H105" s="5"/>
      <c r="I105" s="5"/>
      <c r="J105" s="5"/>
      <c r="K105" s="5"/>
      <c r="L105" s="5"/>
      <c r="M105" s="5"/>
      <c r="N105" s="5"/>
      <c r="O105" s="5"/>
      <c r="P105" s="5"/>
      <c r="Q105" s="5"/>
      <c r="AL105" s="7" t="str">
        <f>HYPERLINK("http://dx.doi.org/10.1016/j.biocon.2014.09.026","http://dx.doi.org/10.1016/j.biocon.2014.09.026")</f>
        <v>http://dx.doi.org/10.1016/j.biocon.2014.09.026</v>
      </c>
      <c r="AM105" s="5">
        <v>51</v>
      </c>
      <c r="AN105" s="5">
        <v>56</v>
      </c>
      <c r="AO105" s="5">
        <v>188</v>
      </c>
      <c r="AP105" s="5" t="s">
        <v>16</v>
      </c>
      <c r="AQ105" s="5">
        <v>82</v>
      </c>
      <c r="AR105" s="5">
        <v>88</v>
      </c>
      <c r="AS105" s="5" t="s">
        <v>16</v>
      </c>
      <c r="AT105" s="5" t="s">
        <v>520</v>
      </c>
      <c r="AU105" s="5" t="s">
        <v>521</v>
      </c>
      <c r="AV105" s="5" t="s">
        <v>523</v>
      </c>
    </row>
    <row r="106" spans="1:48" ht="45" customHeight="1" x14ac:dyDescent="0.15">
      <c r="A106" s="5" t="s">
        <v>524</v>
      </c>
      <c r="B106" s="5">
        <v>2020</v>
      </c>
      <c r="C106" s="5" t="s">
        <v>525</v>
      </c>
      <c r="D106" s="5" t="s">
        <v>526</v>
      </c>
      <c r="E106" s="5" t="s">
        <v>18453</v>
      </c>
      <c r="F106" s="5" t="s">
        <v>529</v>
      </c>
      <c r="G106" s="5"/>
      <c r="H106" s="5"/>
      <c r="I106" s="5"/>
      <c r="J106" s="5"/>
      <c r="K106" s="5"/>
      <c r="L106" s="5"/>
      <c r="M106" s="5"/>
      <c r="N106" s="5"/>
      <c r="O106" s="5"/>
      <c r="P106" s="5"/>
      <c r="Q106" s="5"/>
      <c r="AL106" s="7" t="str">
        <f>HYPERLINK("http://dx.doi.org/10.1111/jvs.12921","http://dx.doi.org/10.1111/jvs.12921")</f>
        <v>http://dx.doi.org/10.1111/jvs.12921</v>
      </c>
      <c r="AM106" s="5">
        <v>4</v>
      </c>
      <c r="AN106" s="5">
        <v>6</v>
      </c>
      <c r="AO106" s="5">
        <v>31</v>
      </c>
      <c r="AP106" s="5">
        <v>6</v>
      </c>
      <c r="AQ106" s="5">
        <v>1146</v>
      </c>
      <c r="AR106" s="5">
        <v>1155</v>
      </c>
      <c r="AS106" s="5" t="s">
        <v>16</v>
      </c>
      <c r="AT106" s="5" t="s">
        <v>527</v>
      </c>
      <c r="AU106" s="5" t="s">
        <v>528</v>
      </c>
      <c r="AV106" s="5" t="s">
        <v>530</v>
      </c>
    </row>
    <row r="107" spans="1:48" ht="45" customHeight="1" x14ac:dyDescent="0.15">
      <c r="A107" s="5" t="s">
        <v>531</v>
      </c>
      <c r="B107" s="5">
        <v>2020</v>
      </c>
      <c r="C107" s="5" t="s">
        <v>532</v>
      </c>
      <c r="D107" s="5" t="s">
        <v>33</v>
      </c>
      <c r="E107" s="5" t="s">
        <v>18453</v>
      </c>
      <c r="F107" s="5" t="s">
        <v>535</v>
      </c>
      <c r="G107" s="5"/>
      <c r="H107" s="5"/>
      <c r="I107" s="5"/>
      <c r="J107" s="5"/>
      <c r="K107" s="5"/>
      <c r="L107" s="5"/>
      <c r="M107" s="5"/>
      <c r="N107" s="5"/>
      <c r="O107" s="5"/>
      <c r="P107" s="5"/>
      <c r="Q107" s="5"/>
      <c r="AL107" s="7" t="str">
        <f>HYPERLINK("http://dx.doi.org/10.1111/gcb.14898","http://dx.doi.org/10.1111/gcb.14898")</f>
        <v>http://dx.doi.org/10.1111/gcb.14898</v>
      </c>
      <c r="AM107" s="5">
        <v>17</v>
      </c>
      <c r="AN107" s="5">
        <v>17</v>
      </c>
      <c r="AO107" s="5">
        <v>26</v>
      </c>
      <c r="AP107" s="5">
        <v>2</v>
      </c>
      <c r="AQ107" s="5">
        <v>721</v>
      </c>
      <c r="AR107" s="5">
        <v>733</v>
      </c>
      <c r="AS107" s="5" t="s">
        <v>16</v>
      </c>
      <c r="AT107" s="5" t="s">
        <v>533</v>
      </c>
      <c r="AU107" s="5" t="s">
        <v>534</v>
      </c>
      <c r="AV107" s="5" t="s">
        <v>536</v>
      </c>
    </row>
    <row r="108" spans="1:48" ht="45" customHeight="1" x14ac:dyDescent="0.15">
      <c r="A108" s="5" t="s">
        <v>537</v>
      </c>
      <c r="B108" s="5">
        <v>2011</v>
      </c>
      <c r="C108" s="5" t="s">
        <v>538</v>
      </c>
      <c r="D108" s="5" t="s">
        <v>116</v>
      </c>
      <c r="E108" s="5" t="s">
        <v>18453</v>
      </c>
      <c r="F108" s="5" t="s">
        <v>541</v>
      </c>
      <c r="G108" s="5"/>
      <c r="H108" s="5"/>
      <c r="I108" s="5"/>
      <c r="J108" s="5"/>
      <c r="K108" s="5"/>
      <c r="L108" s="5"/>
      <c r="M108" s="5"/>
      <c r="N108" s="5"/>
      <c r="O108" s="5"/>
      <c r="P108" s="5"/>
      <c r="Q108" s="5"/>
      <c r="AL108" s="7" t="str">
        <f>HYPERLINK("http://dx.doi.org/10.1007/s10641-010-9741-7","http://dx.doi.org/10.1007/s10641-010-9741-7")</f>
        <v>http://dx.doi.org/10.1007/s10641-010-9741-7</v>
      </c>
      <c r="AM108" s="5">
        <v>26</v>
      </c>
      <c r="AN108" s="5">
        <v>30</v>
      </c>
      <c r="AO108" s="5">
        <v>90</v>
      </c>
      <c r="AP108" s="5">
        <v>3</v>
      </c>
      <c r="AQ108" s="5">
        <v>277</v>
      </c>
      <c r="AR108" s="5">
        <v>285</v>
      </c>
      <c r="AS108" s="5" t="s">
        <v>16</v>
      </c>
      <c r="AT108" s="5" t="s">
        <v>539</v>
      </c>
      <c r="AU108" s="5" t="s">
        <v>540</v>
      </c>
      <c r="AV108" s="5" t="s">
        <v>542</v>
      </c>
    </row>
    <row r="109" spans="1:48" ht="45" customHeight="1" x14ac:dyDescent="0.15">
      <c r="A109" s="5" t="s">
        <v>543</v>
      </c>
      <c r="B109" s="5">
        <v>2012</v>
      </c>
      <c r="C109" s="5" t="s">
        <v>544</v>
      </c>
      <c r="D109" s="5" t="s">
        <v>17</v>
      </c>
      <c r="E109" s="5" t="s">
        <v>18453</v>
      </c>
      <c r="F109" s="5" t="s">
        <v>547</v>
      </c>
      <c r="G109" s="5"/>
      <c r="H109" s="5"/>
      <c r="I109" s="5"/>
      <c r="J109" s="5"/>
      <c r="K109" s="5"/>
      <c r="L109" s="5"/>
      <c r="M109" s="5"/>
      <c r="N109" s="5"/>
      <c r="O109" s="5"/>
      <c r="P109" s="5"/>
      <c r="Q109" s="5"/>
      <c r="AL109" s="7" t="str">
        <f>HYPERLINK("http://dx.doi.org/10.1111/j.1365-2427.2011.02688.x","http://dx.doi.org/10.1111/j.1365-2427.2011.02688.x")</f>
        <v>http://dx.doi.org/10.1111/j.1365-2427.2011.02688.x</v>
      </c>
      <c r="AM109" s="5">
        <v>41</v>
      </c>
      <c r="AN109" s="5">
        <v>41</v>
      </c>
      <c r="AO109" s="5">
        <v>57</v>
      </c>
      <c r="AP109" s="5">
        <v>1</v>
      </c>
      <c r="AQ109" s="5">
        <v>10</v>
      </c>
      <c r="AR109" s="5">
        <v>23</v>
      </c>
      <c r="AS109" s="5" t="s">
        <v>16</v>
      </c>
      <c r="AT109" s="5" t="s">
        <v>545</v>
      </c>
      <c r="AU109" s="5" t="s">
        <v>546</v>
      </c>
      <c r="AV109" s="5" t="s">
        <v>548</v>
      </c>
    </row>
    <row r="110" spans="1:48" ht="45" customHeight="1" x14ac:dyDescent="0.15">
      <c r="A110" s="5" t="s">
        <v>549</v>
      </c>
      <c r="B110" s="5">
        <v>2019</v>
      </c>
      <c r="C110" s="5" t="s">
        <v>550</v>
      </c>
      <c r="D110" s="5" t="s">
        <v>59</v>
      </c>
      <c r="E110" s="5" t="s">
        <v>18453</v>
      </c>
      <c r="F110" s="5" t="s">
        <v>553</v>
      </c>
      <c r="G110" s="5"/>
      <c r="H110" s="5"/>
      <c r="I110" s="5"/>
      <c r="J110" s="5"/>
      <c r="K110" s="5"/>
      <c r="L110" s="5"/>
      <c r="M110" s="5"/>
      <c r="N110" s="5"/>
      <c r="O110" s="5"/>
      <c r="P110" s="5"/>
      <c r="Q110" s="5"/>
      <c r="AL110" s="7" t="str">
        <f>HYPERLINK("http://dx.doi.org/10.1111/ele.13238","http://dx.doi.org/10.1111/ele.13238")</f>
        <v>http://dx.doi.org/10.1111/ele.13238</v>
      </c>
      <c r="AM110" s="5">
        <v>40</v>
      </c>
      <c r="AN110" s="5">
        <v>41</v>
      </c>
      <c r="AO110" s="5">
        <v>22</v>
      </c>
      <c r="AP110" s="5">
        <v>5</v>
      </c>
      <c r="AQ110" s="5">
        <v>807</v>
      </c>
      <c r="AR110" s="5">
        <v>816</v>
      </c>
      <c r="AS110" s="5" t="s">
        <v>16</v>
      </c>
      <c r="AT110" s="5" t="s">
        <v>551</v>
      </c>
      <c r="AU110" s="5" t="s">
        <v>552</v>
      </c>
      <c r="AV110" s="5" t="s">
        <v>554</v>
      </c>
    </row>
    <row r="111" spans="1:48" ht="45" customHeight="1" x14ac:dyDescent="0.15">
      <c r="A111" s="5" t="s">
        <v>555</v>
      </c>
      <c r="B111" s="5">
        <v>2022</v>
      </c>
      <c r="C111" s="5" t="s">
        <v>556</v>
      </c>
      <c r="D111" s="5" t="s">
        <v>212</v>
      </c>
      <c r="E111" s="5" t="s">
        <v>18453</v>
      </c>
      <c r="F111" s="5" t="s">
        <v>559</v>
      </c>
      <c r="G111" s="5"/>
      <c r="H111" s="5"/>
      <c r="I111" s="5"/>
      <c r="J111" s="5"/>
      <c r="K111" s="5"/>
      <c r="L111" s="5"/>
      <c r="M111" s="5"/>
      <c r="N111" s="5"/>
      <c r="O111" s="5"/>
      <c r="P111" s="5"/>
      <c r="Q111" s="5"/>
      <c r="AL111" s="7" t="str">
        <f>HYPERLINK("http://dx.doi.org/10.1007/s00300-022-03067-8","http://dx.doi.org/10.1007/s00300-022-03067-8")</f>
        <v>http://dx.doi.org/10.1007/s00300-022-03067-8</v>
      </c>
      <c r="AM111" s="5">
        <v>0</v>
      </c>
      <c r="AN111" s="5">
        <v>0</v>
      </c>
      <c r="AO111" s="5">
        <v>45</v>
      </c>
      <c r="AP111" s="5">
        <v>8</v>
      </c>
      <c r="AQ111" s="5">
        <v>1379</v>
      </c>
      <c r="AR111" s="5">
        <v>1389</v>
      </c>
      <c r="AS111" s="5" t="s">
        <v>16</v>
      </c>
      <c r="AT111" s="5" t="s">
        <v>557</v>
      </c>
      <c r="AU111" s="5" t="s">
        <v>558</v>
      </c>
      <c r="AV111" s="5" t="s">
        <v>560</v>
      </c>
    </row>
    <row r="112" spans="1:48" ht="45" customHeight="1" x14ac:dyDescent="0.15">
      <c r="A112" s="5" t="s">
        <v>561</v>
      </c>
      <c r="B112" s="5">
        <v>2019</v>
      </c>
      <c r="C112" s="5" t="s">
        <v>562</v>
      </c>
      <c r="D112" s="5" t="s">
        <v>15</v>
      </c>
      <c r="E112" s="5" t="s">
        <v>18453</v>
      </c>
      <c r="F112" s="5" t="s">
        <v>565</v>
      </c>
      <c r="G112" s="5"/>
      <c r="H112" s="5"/>
      <c r="I112" s="5"/>
      <c r="J112" s="5"/>
      <c r="K112" s="5"/>
      <c r="L112" s="5"/>
      <c r="M112" s="5"/>
      <c r="N112" s="5"/>
      <c r="O112" s="5"/>
      <c r="P112" s="5"/>
      <c r="Q112" s="5"/>
      <c r="AL112" s="7" t="str">
        <f>HYPERLINK("http://dx.doi.org/10.1002/ece3.5648","http://dx.doi.org/10.1002/ece3.5648")</f>
        <v>http://dx.doi.org/10.1002/ece3.5648</v>
      </c>
      <c r="AM112" s="5">
        <v>1</v>
      </c>
      <c r="AN112" s="5">
        <v>1</v>
      </c>
      <c r="AO112" s="5">
        <v>9</v>
      </c>
      <c r="AP112" s="5">
        <v>19</v>
      </c>
      <c r="AQ112" s="5">
        <v>11464</v>
      </c>
      <c r="AR112" s="5">
        <v>11475</v>
      </c>
      <c r="AS112" s="5" t="s">
        <v>16</v>
      </c>
      <c r="AT112" s="5" t="s">
        <v>563</v>
      </c>
      <c r="AU112" s="5" t="s">
        <v>564</v>
      </c>
      <c r="AV112" s="5" t="s">
        <v>566</v>
      </c>
    </row>
    <row r="113" spans="1:48" ht="45" customHeight="1" x14ac:dyDescent="0.15">
      <c r="A113" s="5" t="s">
        <v>567</v>
      </c>
      <c r="B113" s="5">
        <v>2018</v>
      </c>
      <c r="C113" s="5" t="s">
        <v>568</v>
      </c>
      <c r="D113" s="5" t="s">
        <v>33</v>
      </c>
      <c r="E113" s="5" t="s">
        <v>18453</v>
      </c>
      <c r="F113" s="5" t="s">
        <v>571</v>
      </c>
      <c r="G113" s="5"/>
      <c r="H113" s="5"/>
      <c r="I113" s="5"/>
      <c r="J113" s="5"/>
      <c r="K113" s="5"/>
      <c r="L113" s="5"/>
      <c r="M113" s="5"/>
      <c r="N113" s="5"/>
      <c r="O113" s="5"/>
      <c r="P113" s="5"/>
      <c r="Q113" s="5"/>
      <c r="AL113" s="7" t="str">
        <f>HYPERLINK("http://dx.doi.org/10.1111/gcb.14395","http://dx.doi.org/10.1111/gcb.14395")</f>
        <v>http://dx.doi.org/10.1111/gcb.14395</v>
      </c>
      <c r="AM113" s="5">
        <v>40</v>
      </c>
      <c r="AN113" s="5">
        <v>40</v>
      </c>
      <c r="AO113" s="5">
        <v>24</v>
      </c>
      <c r="AP113" s="5">
        <v>11</v>
      </c>
      <c r="AQ113" s="5">
        <v>5332</v>
      </c>
      <c r="AR113" s="5">
        <v>5347</v>
      </c>
      <c r="AS113" s="5" t="s">
        <v>16</v>
      </c>
      <c r="AT113" s="5" t="s">
        <v>569</v>
      </c>
      <c r="AU113" s="5" t="s">
        <v>570</v>
      </c>
      <c r="AV113" s="5" t="s">
        <v>572</v>
      </c>
    </row>
    <row r="114" spans="1:48" ht="45" customHeight="1" x14ac:dyDescent="0.15">
      <c r="A114" s="5" t="s">
        <v>573</v>
      </c>
      <c r="B114" s="5">
        <v>2019</v>
      </c>
      <c r="C114" s="5" t="s">
        <v>574</v>
      </c>
      <c r="D114" s="5" t="s">
        <v>160</v>
      </c>
      <c r="E114" s="5" t="s">
        <v>18453</v>
      </c>
      <c r="F114" s="5" t="s">
        <v>577</v>
      </c>
      <c r="G114" s="5"/>
      <c r="H114" s="5"/>
      <c r="I114" s="5"/>
      <c r="J114" s="5"/>
      <c r="K114" s="5"/>
      <c r="L114" s="5"/>
      <c r="M114" s="5"/>
      <c r="N114" s="5"/>
      <c r="O114" s="5"/>
      <c r="P114" s="5"/>
      <c r="Q114" s="5"/>
      <c r="AL114" s="7" t="str">
        <f>HYPERLINK("http://dx.doi.org/10.1111/1365-2664.13286","http://dx.doi.org/10.1111/1365-2664.13286")</f>
        <v>http://dx.doi.org/10.1111/1365-2664.13286</v>
      </c>
      <c r="AM114" s="5">
        <v>10</v>
      </c>
      <c r="AN114" s="5">
        <v>11</v>
      </c>
      <c r="AO114" s="5">
        <v>56</v>
      </c>
      <c r="AP114" s="5">
        <v>3</v>
      </c>
      <c r="AQ114" s="5">
        <v>769</v>
      </c>
      <c r="AR114" s="5">
        <v>778</v>
      </c>
      <c r="AS114" s="5" t="s">
        <v>16</v>
      </c>
      <c r="AT114" s="5" t="s">
        <v>575</v>
      </c>
      <c r="AU114" s="5" t="s">
        <v>576</v>
      </c>
      <c r="AV114" s="5" t="s">
        <v>578</v>
      </c>
    </row>
    <row r="115" spans="1:48" ht="45" customHeight="1" x14ac:dyDescent="0.15">
      <c r="A115" s="5" t="s">
        <v>579</v>
      </c>
      <c r="B115" s="5">
        <v>2017</v>
      </c>
      <c r="C115" s="5" t="s">
        <v>580</v>
      </c>
      <c r="D115" s="5" t="s">
        <v>17</v>
      </c>
      <c r="E115" s="5" t="s">
        <v>18453</v>
      </c>
      <c r="F115" s="5" t="s">
        <v>583</v>
      </c>
      <c r="G115" s="5"/>
      <c r="H115" s="5"/>
      <c r="I115" s="5"/>
      <c r="J115" s="5"/>
      <c r="K115" s="5"/>
      <c r="L115" s="5"/>
      <c r="M115" s="5"/>
      <c r="N115" s="5"/>
      <c r="O115" s="5"/>
      <c r="P115" s="5"/>
      <c r="Q115" s="5"/>
      <c r="AL115" s="7" t="str">
        <f>HYPERLINK("http://dx.doi.org/10.1111/fwb.12971","http://dx.doi.org/10.1111/fwb.12971")</f>
        <v>http://dx.doi.org/10.1111/fwb.12971</v>
      </c>
      <c r="AM115" s="5">
        <v>13</v>
      </c>
      <c r="AN115" s="5">
        <v>13</v>
      </c>
      <c r="AO115" s="5">
        <v>62</v>
      </c>
      <c r="AP115" s="5">
        <v>9</v>
      </c>
      <c r="AQ115" s="5">
        <v>1596</v>
      </c>
      <c r="AR115" s="5">
        <v>1613</v>
      </c>
      <c r="AS115" s="5" t="s">
        <v>16</v>
      </c>
      <c r="AT115" s="5" t="s">
        <v>581</v>
      </c>
      <c r="AU115" s="5" t="s">
        <v>582</v>
      </c>
      <c r="AV115" s="5" t="s">
        <v>584</v>
      </c>
    </row>
    <row r="116" spans="1:48" ht="45" customHeight="1" x14ac:dyDescent="0.15">
      <c r="A116" s="5" t="s">
        <v>585</v>
      </c>
      <c r="B116" s="5">
        <v>2021</v>
      </c>
      <c r="C116" s="5" t="s">
        <v>586</v>
      </c>
      <c r="D116" s="5" t="s">
        <v>27</v>
      </c>
      <c r="E116" s="5" t="s">
        <v>18453</v>
      </c>
      <c r="F116" s="5" t="s">
        <v>589</v>
      </c>
      <c r="G116" s="5"/>
      <c r="H116" s="5"/>
      <c r="I116" s="5"/>
      <c r="J116" s="5"/>
      <c r="K116" s="5"/>
      <c r="L116" s="5"/>
      <c r="M116" s="5"/>
      <c r="N116" s="5"/>
      <c r="O116" s="5"/>
      <c r="P116" s="5"/>
      <c r="Q116" s="5"/>
      <c r="AL116" s="7" t="str">
        <f>HYPERLINK("http://dx.doi.org/10.1002/ecy.3370","http://dx.doi.org/10.1002/ecy.3370")</f>
        <v>http://dx.doi.org/10.1002/ecy.3370</v>
      </c>
      <c r="AM116" s="5">
        <v>15</v>
      </c>
      <c r="AN116" s="5">
        <v>15</v>
      </c>
      <c r="AO116" s="5">
        <v>102</v>
      </c>
      <c r="AP116" s="5">
        <v>7</v>
      </c>
      <c r="AQ116" s="5" t="s">
        <v>16</v>
      </c>
      <c r="AR116" s="5" t="s">
        <v>16</v>
      </c>
      <c r="AS116" s="5" t="s">
        <v>590</v>
      </c>
      <c r="AT116" s="5" t="s">
        <v>587</v>
      </c>
      <c r="AU116" s="5" t="s">
        <v>588</v>
      </c>
      <c r="AV116" s="5" t="s">
        <v>591</v>
      </c>
    </row>
    <row r="117" spans="1:48" ht="45" customHeight="1" x14ac:dyDescent="0.15">
      <c r="A117" s="5" t="s">
        <v>592</v>
      </c>
      <c r="B117" s="5">
        <v>2018</v>
      </c>
      <c r="C117" s="5" t="s">
        <v>593</v>
      </c>
      <c r="D117" s="5" t="s">
        <v>116</v>
      </c>
      <c r="E117" s="5" t="s">
        <v>18453</v>
      </c>
      <c r="F117" s="5" t="s">
        <v>596</v>
      </c>
      <c r="G117" s="5"/>
      <c r="H117" s="5"/>
      <c r="I117" s="5"/>
      <c r="J117" s="5"/>
      <c r="K117" s="5"/>
      <c r="L117" s="5"/>
      <c r="M117" s="5"/>
      <c r="N117" s="5"/>
      <c r="O117" s="5"/>
      <c r="P117" s="5"/>
      <c r="Q117" s="5"/>
      <c r="AL117" s="7" t="str">
        <f>HYPERLINK("http://dx.doi.org/10.1007/s10641-017-0678-y","http://dx.doi.org/10.1007/s10641-017-0678-y")</f>
        <v>http://dx.doi.org/10.1007/s10641-017-0678-y</v>
      </c>
      <c r="AM117" s="5">
        <v>9</v>
      </c>
      <c r="AN117" s="5">
        <v>9</v>
      </c>
      <c r="AO117" s="5">
        <v>101</v>
      </c>
      <c r="AP117" s="5">
        <v>1</v>
      </c>
      <c r="AQ117" s="5">
        <v>23</v>
      </c>
      <c r="AR117" s="5">
        <v>37</v>
      </c>
      <c r="AS117" s="5" t="s">
        <v>16</v>
      </c>
      <c r="AT117" s="5" t="s">
        <v>594</v>
      </c>
      <c r="AU117" s="5" t="s">
        <v>595</v>
      </c>
      <c r="AV117" s="5" t="s">
        <v>597</v>
      </c>
    </row>
    <row r="118" spans="1:48" ht="45" customHeight="1" x14ac:dyDescent="0.15">
      <c r="A118" s="5" t="s">
        <v>598</v>
      </c>
      <c r="B118" s="5">
        <v>2021</v>
      </c>
      <c r="C118" s="5" t="s">
        <v>599</v>
      </c>
      <c r="D118" s="5" t="s">
        <v>49</v>
      </c>
      <c r="E118" s="5" t="s">
        <v>18453</v>
      </c>
      <c r="F118" s="5" t="s">
        <v>602</v>
      </c>
      <c r="G118" s="5"/>
      <c r="H118" s="5"/>
      <c r="I118" s="5"/>
      <c r="J118" s="5"/>
      <c r="K118" s="5"/>
      <c r="L118" s="5"/>
      <c r="M118" s="5"/>
      <c r="N118" s="5"/>
      <c r="O118" s="5"/>
      <c r="P118" s="5"/>
      <c r="Q118" s="5"/>
      <c r="AL118" s="7" t="str">
        <f>HYPERLINK("http://dx.doi.org/10.3354/meps13867","http://dx.doi.org/10.3354/meps13867")</f>
        <v>http://dx.doi.org/10.3354/meps13867</v>
      </c>
      <c r="AM118" s="5">
        <v>1</v>
      </c>
      <c r="AN118" s="5">
        <v>1</v>
      </c>
      <c r="AO118" s="5">
        <v>678</v>
      </c>
      <c r="AP118" s="5" t="s">
        <v>16</v>
      </c>
      <c r="AQ118" s="5">
        <v>211</v>
      </c>
      <c r="AR118" s="5">
        <v>225</v>
      </c>
      <c r="AS118" s="5" t="s">
        <v>16</v>
      </c>
      <c r="AT118" s="5" t="s">
        <v>600</v>
      </c>
      <c r="AU118" s="5" t="s">
        <v>601</v>
      </c>
      <c r="AV118" s="5" t="s">
        <v>603</v>
      </c>
    </row>
    <row r="119" spans="1:48" ht="45" customHeight="1" x14ac:dyDescent="0.15">
      <c r="A119" s="5" t="s">
        <v>604</v>
      </c>
      <c r="B119" s="5">
        <v>2006</v>
      </c>
      <c r="C119" s="5" t="s">
        <v>605</v>
      </c>
      <c r="D119" s="5" t="s">
        <v>27</v>
      </c>
      <c r="E119" s="5" t="s">
        <v>18453</v>
      </c>
      <c r="F119" s="5" t="s">
        <v>608</v>
      </c>
      <c r="G119" s="5"/>
      <c r="H119" s="5"/>
      <c r="I119" s="5"/>
      <c r="J119" s="5"/>
      <c r="K119" s="5"/>
      <c r="L119" s="5"/>
      <c r="M119" s="5"/>
      <c r="N119" s="5"/>
      <c r="O119" s="5"/>
      <c r="P119" s="5"/>
      <c r="Q119" s="5"/>
      <c r="AL119" s="7" t="str">
        <f>HYPERLINK("http://dx.doi.org/10.1890/0012-9658(2006)87[1915:HLTCAT]2.0.CO;2","http://dx.doi.org/10.1890/0012-9658(2006)87[1915:HLTCAT]2.0.CO;2")</f>
        <v>http://dx.doi.org/10.1890/0012-9658(2006)87[1915:HLTCAT]2.0.CO;2</v>
      </c>
      <c r="AM119" s="5">
        <v>356</v>
      </c>
      <c r="AN119" s="5">
        <v>373</v>
      </c>
      <c r="AO119" s="5">
        <v>87</v>
      </c>
      <c r="AP119" s="5">
        <v>8</v>
      </c>
      <c r="AQ119" s="5">
        <v>1915</v>
      </c>
      <c r="AR119" s="5">
        <v>1924</v>
      </c>
      <c r="AS119" s="5" t="s">
        <v>16</v>
      </c>
      <c r="AT119" s="5" t="s">
        <v>606</v>
      </c>
      <c r="AU119" s="5" t="s">
        <v>607</v>
      </c>
      <c r="AV119" s="5" t="s">
        <v>609</v>
      </c>
    </row>
    <row r="120" spans="1:48" ht="45" customHeight="1" x14ac:dyDescent="0.15">
      <c r="A120" s="5" t="s">
        <v>610</v>
      </c>
      <c r="B120" s="5">
        <v>2015</v>
      </c>
      <c r="C120" s="5" t="s">
        <v>611</v>
      </c>
      <c r="D120" s="5" t="s">
        <v>92</v>
      </c>
      <c r="E120" s="5" t="s">
        <v>18453</v>
      </c>
      <c r="F120" s="5" t="s">
        <v>614</v>
      </c>
      <c r="G120" s="5"/>
      <c r="H120" s="5"/>
      <c r="I120" s="5"/>
      <c r="J120" s="5"/>
      <c r="K120" s="5"/>
      <c r="L120" s="5"/>
      <c r="M120" s="5"/>
      <c r="N120" s="5"/>
      <c r="O120" s="5"/>
      <c r="P120" s="5"/>
      <c r="Q120" s="5"/>
      <c r="AL120" s="7" t="str">
        <f>HYPERLINK("http://dx.doi.org/10.1086/683682","http://dx.doi.org/10.1086/683682")</f>
        <v>http://dx.doi.org/10.1086/683682</v>
      </c>
      <c r="AM120" s="5">
        <v>10</v>
      </c>
      <c r="AN120" s="5">
        <v>10</v>
      </c>
      <c r="AO120" s="5">
        <v>34</v>
      </c>
      <c r="AP120" s="5">
        <v>4</v>
      </c>
      <c r="AQ120" s="5">
        <v>1542</v>
      </c>
      <c r="AR120" s="5">
        <v>1557</v>
      </c>
      <c r="AS120" s="5" t="s">
        <v>16</v>
      </c>
      <c r="AT120" s="5" t="s">
        <v>612</v>
      </c>
      <c r="AU120" s="5" t="s">
        <v>613</v>
      </c>
      <c r="AV120" s="5" t="s">
        <v>615</v>
      </c>
    </row>
    <row r="121" spans="1:48" ht="45" customHeight="1" x14ac:dyDescent="0.15">
      <c r="A121" s="5" t="s">
        <v>616</v>
      </c>
      <c r="B121" s="5">
        <v>2016</v>
      </c>
      <c r="C121" s="5" t="s">
        <v>617</v>
      </c>
      <c r="D121" s="5" t="s">
        <v>33</v>
      </c>
      <c r="E121" s="5" t="s">
        <v>18453</v>
      </c>
      <c r="F121" s="5" t="s">
        <v>620</v>
      </c>
      <c r="G121" s="5"/>
      <c r="H121" s="5"/>
      <c r="I121" s="5"/>
      <c r="J121" s="5"/>
      <c r="K121" s="5"/>
      <c r="L121" s="5"/>
      <c r="M121" s="5"/>
      <c r="N121" s="5"/>
      <c r="O121" s="5"/>
      <c r="P121" s="5"/>
      <c r="Q121" s="5"/>
      <c r="AL121" s="7" t="str">
        <f>HYPERLINK("http://dx.doi.org/10.1111/gcb.13353","http://dx.doi.org/10.1111/gcb.13353")</f>
        <v>http://dx.doi.org/10.1111/gcb.13353</v>
      </c>
      <c r="AM121" s="5">
        <v>54</v>
      </c>
      <c r="AN121" s="5">
        <v>54</v>
      </c>
      <c r="AO121" s="5">
        <v>22</v>
      </c>
      <c r="AP121" s="5">
        <v>9</v>
      </c>
      <c r="AQ121" s="5">
        <v>2963</v>
      </c>
      <c r="AR121" s="5">
        <v>2978</v>
      </c>
      <c r="AS121" s="5" t="s">
        <v>16</v>
      </c>
      <c r="AT121" s="5" t="s">
        <v>618</v>
      </c>
      <c r="AU121" s="5" t="s">
        <v>619</v>
      </c>
      <c r="AV121" s="5" t="s">
        <v>621</v>
      </c>
    </row>
    <row r="122" spans="1:48" ht="45" customHeight="1" x14ac:dyDescent="0.15">
      <c r="A122" s="5" t="s">
        <v>622</v>
      </c>
      <c r="B122" s="5">
        <v>2021</v>
      </c>
      <c r="C122" s="5" t="s">
        <v>623</v>
      </c>
      <c r="D122" s="5" t="s">
        <v>270</v>
      </c>
      <c r="E122" s="5" t="s">
        <v>18453</v>
      </c>
      <c r="F122" s="5" t="s">
        <v>626</v>
      </c>
      <c r="G122" s="5"/>
      <c r="H122" s="5"/>
      <c r="I122" s="5"/>
      <c r="J122" s="5"/>
      <c r="K122" s="5"/>
      <c r="L122" s="5"/>
      <c r="M122" s="5"/>
      <c r="N122" s="5"/>
      <c r="O122" s="5"/>
      <c r="P122" s="5"/>
      <c r="Q122" s="5"/>
      <c r="AL122" s="7" t="str">
        <f>HYPERLINK("http://dx.doi.org/10.3391/ai.2021.16.3.09","http://dx.doi.org/10.3391/ai.2021.16.3.09")</f>
        <v>http://dx.doi.org/10.3391/ai.2021.16.3.09</v>
      </c>
      <c r="AM122" s="5">
        <v>1</v>
      </c>
      <c r="AN122" s="5">
        <v>2</v>
      </c>
      <c r="AO122" s="5">
        <v>16</v>
      </c>
      <c r="AP122" s="5">
        <v>3</v>
      </c>
      <c r="AQ122" s="5">
        <v>527</v>
      </c>
      <c r="AR122" s="5">
        <v>541</v>
      </c>
      <c r="AS122" s="5" t="s">
        <v>16</v>
      </c>
      <c r="AT122" s="5" t="s">
        <v>624</v>
      </c>
      <c r="AU122" s="5" t="s">
        <v>625</v>
      </c>
      <c r="AV122" s="5" t="s">
        <v>627</v>
      </c>
    </row>
    <row r="123" spans="1:48" ht="45" customHeight="1" x14ac:dyDescent="0.15">
      <c r="A123" s="5" t="s">
        <v>628</v>
      </c>
      <c r="B123" s="5">
        <v>2007</v>
      </c>
      <c r="C123" s="5" t="s">
        <v>629</v>
      </c>
      <c r="D123" s="5" t="s">
        <v>49</v>
      </c>
      <c r="E123" s="5" t="s">
        <v>18453</v>
      </c>
      <c r="F123" s="5" t="s">
        <v>632</v>
      </c>
      <c r="G123" s="5"/>
      <c r="H123" s="5"/>
      <c r="I123" s="5"/>
      <c r="J123" s="5"/>
      <c r="K123" s="5"/>
      <c r="L123" s="5"/>
      <c r="M123" s="5"/>
      <c r="N123" s="5"/>
      <c r="O123" s="5"/>
      <c r="P123" s="5"/>
      <c r="Q123" s="5"/>
      <c r="AL123" s="7" t="str">
        <f>HYPERLINK("http://dx.doi.org/10.3354/meps342291","http://dx.doi.org/10.3354/meps342291")</f>
        <v>http://dx.doi.org/10.3354/meps342291</v>
      </c>
      <c r="AM123" s="5">
        <v>47</v>
      </c>
      <c r="AN123" s="5">
        <v>48</v>
      </c>
      <c r="AO123" s="5">
        <v>342</v>
      </c>
      <c r="AP123" s="5" t="s">
        <v>16</v>
      </c>
      <c r="AQ123" s="5">
        <v>291</v>
      </c>
      <c r="AR123" s="5">
        <v>301</v>
      </c>
      <c r="AS123" s="5" t="s">
        <v>16</v>
      </c>
      <c r="AT123" s="5" t="s">
        <v>630</v>
      </c>
      <c r="AU123" s="5" t="s">
        <v>631</v>
      </c>
      <c r="AV123" s="5" t="s">
        <v>633</v>
      </c>
    </row>
    <row r="124" spans="1:48" ht="45" customHeight="1" x14ac:dyDescent="0.15">
      <c r="A124" s="5" t="s">
        <v>634</v>
      </c>
      <c r="B124" s="5">
        <v>2000</v>
      </c>
      <c r="C124" s="5" t="s">
        <v>635</v>
      </c>
      <c r="D124" s="5" t="s">
        <v>513</v>
      </c>
      <c r="E124" s="5" t="s">
        <v>18453</v>
      </c>
      <c r="F124" s="5" t="s">
        <v>638</v>
      </c>
      <c r="G124" s="5"/>
      <c r="H124" s="5"/>
      <c r="I124" s="5"/>
      <c r="J124" s="5"/>
      <c r="K124" s="5"/>
      <c r="L124" s="5"/>
      <c r="M124" s="5"/>
      <c r="N124" s="5"/>
      <c r="O124" s="5"/>
      <c r="P124" s="5"/>
      <c r="Q124" s="5"/>
      <c r="AL124" s="7" t="str">
        <f>HYPERLINK("http://dx.doi.org/10.1016/S0925-8574(00)00084-7","http://dx.doi.org/10.1016/S0925-8574(00)00084-7")</f>
        <v>http://dx.doi.org/10.1016/S0925-8574(00)00084-7</v>
      </c>
      <c r="AM124" s="5">
        <v>227</v>
      </c>
      <c r="AN124" s="5">
        <v>236</v>
      </c>
      <c r="AO124" s="5">
        <v>15</v>
      </c>
      <c r="AP124" s="5" t="s">
        <v>639</v>
      </c>
      <c r="AQ124" s="5">
        <v>323</v>
      </c>
      <c r="AR124" s="5">
        <v>343</v>
      </c>
      <c r="AS124" s="5" t="s">
        <v>16</v>
      </c>
      <c r="AT124" s="5" t="s">
        <v>636</v>
      </c>
      <c r="AU124" s="5" t="s">
        <v>637</v>
      </c>
      <c r="AV124" s="5" t="s">
        <v>640</v>
      </c>
    </row>
    <row r="125" spans="1:48" ht="45" customHeight="1" x14ac:dyDescent="0.15">
      <c r="A125" s="5" t="s">
        <v>641</v>
      </c>
      <c r="B125" s="5">
        <v>2010</v>
      </c>
      <c r="C125" s="5" t="s">
        <v>642</v>
      </c>
      <c r="D125" s="5" t="s">
        <v>172</v>
      </c>
      <c r="E125" s="5" t="s">
        <v>18453</v>
      </c>
      <c r="F125" s="5" t="s">
        <v>645</v>
      </c>
      <c r="G125" s="5"/>
      <c r="H125" s="5"/>
      <c r="I125" s="5"/>
      <c r="J125" s="5"/>
      <c r="K125" s="5"/>
      <c r="L125" s="5"/>
      <c r="M125" s="5"/>
      <c r="N125" s="5"/>
      <c r="O125" s="5"/>
      <c r="P125" s="5"/>
      <c r="Q125" s="5"/>
      <c r="AL125" s="7" t="str">
        <f>HYPERLINK("http://dx.doi.org/10.1007/s00442-010-1790-2","http://dx.doi.org/10.1007/s00442-010-1790-2")</f>
        <v>http://dx.doi.org/10.1007/s00442-010-1790-2</v>
      </c>
      <c r="AM125" s="5">
        <v>24</v>
      </c>
      <c r="AN125" s="5">
        <v>25</v>
      </c>
      <c r="AO125" s="5">
        <v>164</v>
      </c>
      <c r="AP125" s="5">
        <v>4</v>
      </c>
      <c r="AQ125" s="5">
        <v>911</v>
      </c>
      <c r="AR125" s="5">
        <v>919</v>
      </c>
      <c r="AS125" s="5" t="s">
        <v>16</v>
      </c>
      <c r="AT125" s="5" t="s">
        <v>643</v>
      </c>
      <c r="AU125" s="5" t="s">
        <v>644</v>
      </c>
      <c r="AV125" s="5" t="s">
        <v>646</v>
      </c>
    </row>
    <row r="126" spans="1:48" ht="45" customHeight="1" x14ac:dyDescent="0.15">
      <c r="A126" s="5" t="s">
        <v>647</v>
      </c>
      <c r="B126" s="5">
        <v>2014</v>
      </c>
      <c r="C126" s="5" t="s">
        <v>648</v>
      </c>
      <c r="D126" s="5" t="s">
        <v>295</v>
      </c>
      <c r="E126" s="5" t="s">
        <v>18453</v>
      </c>
      <c r="F126" s="5" t="s">
        <v>651</v>
      </c>
      <c r="G126" s="5"/>
      <c r="H126" s="5"/>
      <c r="I126" s="5"/>
      <c r="J126" s="5"/>
      <c r="K126" s="5"/>
      <c r="L126" s="5"/>
      <c r="M126" s="5"/>
      <c r="N126" s="5"/>
      <c r="O126" s="5"/>
      <c r="P126" s="5"/>
      <c r="Q126" s="5"/>
      <c r="AL126" s="7" t="str">
        <f>HYPERLINK("http://dx.doi.org/10.1016/j.jembe.2014.01.006","http://dx.doi.org/10.1016/j.jembe.2014.01.006")</f>
        <v>http://dx.doi.org/10.1016/j.jembe.2014.01.006</v>
      </c>
      <c r="AM126" s="5">
        <v>60</v>
      </c>
      <c r="AN126" s="5">
        <v>60</v>
      </c>
      <c r="AO126" s="5">
        <v>453</v>
      </c>
      <c r="AP126" s="5" t="s">
        <v>16</v>
      </c>
      <c r="AQ126" s="5">
        <v>76</v>
      </c>
      <c r="AR126" s="5">
        <v>83</v>
      </c>
      <c r="AS126" s="5" t="s">
        <v>16</v>
      </c>
      <c r="AT126" s="5" t="s">
        <v>649</v>
      </c>
      <c r="AU126" s="5" t="s">
        <v>650</v>
      </c>
      <c r="AV126" s="5" t="s">
        <v>652</v>
      </c>
    </row>
    <row r="127" spans="1:48" ht="45" customHeight="1" x14ac:dyDescent="0.15">
      <c r="A127" s="5" t="s">
        <v>164</v>
      </c>
      <c r="B127" s="5">
        <v>2019</v>
      </c>
      <c r="C127" s="5" t="s">
        <v>653</v>
      </c>
      <c r="D127" s="5" t="s">
        <v>212</v>
      </c>
      <c r="E127" s="5" t="s">
        <v>18453</v>
      </c>
      <c r="F127" s="5" t="s">
        <v>656</v>
      </c>
      <c r="G127" s="5"/>
      <c r="H127" s="5"/>
      <c r="I127" s="5"/>
      <c r="J127" s="5"/>
      <c r="K127" s="5"/>
      <c r="L127" s="5"/>
      <c r="M127" s="5"/>
      <c r="N127" s="5"/>
      <c r="O127" s="5"/>
      <c r="P127" s="5"/>
      <c r="Q127" s="5"/>
      <c r="AL127" s="7" t="str">
        <f>HYPERLINK("http://dx.doi.org/10.1007/s00300-019-02546-9","http://dx.doi.org/10.1007/s00300-019-02546-9")</f>
        <v>http://dx.doi.org/10.1007/s00300-019-02546-9</v>
      </c>
      <c r="AM127" s="5">
        <v>6</v>
      </c>
      <c r="AN127" s="5">
        <v>6</v>
      </c>
      <c r="AO127" s="5">
        <v>42</v>
      </c>
      <c r="AP127" s="5">
        <v>8</v>
      </c>
      <c r="AQ127" s="5">
        <v>1581</v>
      </c>
      <c r="AR127" s="5">
        <v>1593</v>
      </c>
      <c r="AS127" s="5" t="s">
        <v>16</v>
      </c>
      <c r="AT127" s="5" t="s">
        <v>654</v>
      </c>
      <c r="AU127" s="5" t="s">
        <v>655</v>
      </c>
      <c r="AV127" s="5" t="s">
        <v>657</v>
      </c>
    </row>
    <row r="128" spans="1:48" ht="45" customHeight="1" x14ac:dyDescent="0.15">
      <c r="A128" s="5" t="s">
        <v>658</v>
      </c>
      <c r="B128" s="5">
        <v>2014</v>
      </c>
      <c r="C128" s="5" t="s">
        <v>659</v>
      </c>
      <c r="D128" s="5" t="s">
        <v>172</v>
      </c>
      <c r="E128" s="5" t="s">
        <v>18453</v>
      </c>
      <c r="F128" s="5" t="s">
        <v>662</v>
      </c>
      <c r="G128" s="5"/>
      <c r="H128" s="5"/>
      <c r="I128" s="5"/>
      <c r="J128" s="5"/>
      <c r="K128" s="5"/>
      <c r="L128" s="5"/>
      <c r="M128" s="5"/>
      <c r="N128" s="5"/>
      <c r="O128" s="5"/>
      <c r="P128" s="5"/>
      <c r="Q128" s="5"/>
      <c r="AL128" s="7" t="str">
        <f>HYPERLINK("http://dx.doi.org/10.1007/s00442-013-2742-4","http://dx.doi.org/10.1007/s00442-013-2742-4")</f>
        <v>http://dx.doi.org/10.1007/s00442-013-2742-4</v>
      </c>
      <c r="AM128" s="5">
        <v>68</v>
      </c>
      <c r="AN128" s="5">
        <v>71</v>
      </c>
      <c r="AO128" s="5">
        <v>174</v>
      </c>
      <c r="AP128" s="5">
        <v>1</v>
      </c>
      <c r="AQ128" s="5">
        <v>307</v>
      </c>
      <c r="AR128" s="5">
        <v>317</v>
      </c>
      <c r="AS128" s="5" t="s">
        <v>16</v>
      </c>
      <c r="AT128" s="5" t="s">
        <v>660</v>
      </c>
      <c r="AU128" s="5" t="s">
        <v>661</v>
      </c>
      <c r="AV128" s="5" t="s">
        <v>663</v>
      </c>
    </row>
    <row r="129" spans="1:48" ht="45" customHeight="1" x14ac:dyDescent="0.15">
      <c r="A129" s="5" t="s">
        <v>664</v>
      </c>
      <c r="B129" s="5">
        <v>2003</v>
      </c>
      <c r="C129" s="5" t="s">
        <v>665</v>
      </c>
      <c r="D129" s="5" t="s">
        <v>33</v>
      </c>
      <c r="E129" s="5" t="s">
        <v>18453</v>
      </c>
      <c r="F129" s="5" t="s">
        <v>668</v>
      </c>
      <c r="G129" s="5"/>
      <c r="H129" s="5"/>
      <c r="I129" s="5"/>
      <c r="J129" s="5"/>
      <c r="K129" s="5"/>
      <c r="L129" s="5"/>
      <c r="M129" s="5"/>
      <c r="N129" s="5"/>
      <c r="O129" s="5"/>
      <c r="P129" s="5"/>
      <c r="Q129" s="5"/>
      <c r="AL129" s="7" t="str">
        <f>HYPERLINK("http://dx.doi.org/10.1046/j.1365-2486.2003.00681.x","http://dx.doi.org/10.1046/j.1365-2486.2003.00681.x")</f>
        <v>http://dx.doi.org/10.1046/j.1365-2486.2003.00681.x</v>
      </c>
      <c r="AM129" s="5">
        <v>268</v>
      </c>
      <c r="AN129" s="5">
        <v>294</v>
      </c>
      <c r="AO129" s="5">
        <v>9</v>
      </c>
      <c r="AP129" s="5">
        <v>11</v>
      </c>
      <c r="AQ129" s="5">
        <v>1543</v>
      </c>
      <c r="AR129" s="5">
        <v>1566</v>
      </c>
      <c r="AS129" s="5" t="s">
        <v>16</v>
      </c>
      <c r="AT129" s="5" t="s">
        <v>666</v>
      </c>
      <c r="AU129" s="5" t="s">
        <v>667</v>
      </c>
      <c r="AV129" s="5" t="s">
        <v>669</v>
      </c>
    </row>
    <row r="130" spans="1:48" ht="45" customHeight="1" x14ac:dyDescent="0.15">
      <c r="A130" s="5" t="s">
        <v>670</v>
      </c>
      <c r="B130" s="5">
        <v>2011</v>
      </c>
      <c r="C130" s="5" t="s">
        <v>671</v>
      </c>
      <c r="D130" s="5" t="s">
        <v>17</v>
      </c>
      <c r="E130" s="5" t="s">
        <v>18453</v>
      </c>
      <c r="F130" s="5" t="s">
        <v>674</v>
      </c>
      <c r="G130" s="5"/>
      <c r="H130" s="5"/>
      <c r="I130" s="5"/>
      <c r="J130" s="5"/>
      <c r="K130" s="5"/>
      <c r="L130" s="5"/>
      <c r="M130" s="5"/>
      <c r="N130" s="5"/>
      <c r="O130" s="5"/>
      <c r="P130" s="5"/>
      <c r="Q130" s="5"/>
      <c r="AL130" s="7" t="str">
        <f>HYPERLINK("http://dx.doi.org/10.1111/j.1365-2427.2010.02557.x","http://dx.doi.org/10.1111/j.1365-2427.2010.02557.x")</f>
        <v>http://dx.doi.org/10.1111/j.1365-2427.2010.02557.x</v>
      </c>
      <c r="AM130" s="5">
        <v>26</v>
      </c>
      <c r="AN130" s="5">
        <v>27</v>
      </c>
      <c r="AO130" s="5">
        <v>56</v>
      </c>
      <c r="AP130" s="5">
        <v>6</v>
      </c>
      <c r="AQ130" s="5">
        <v>1133</v>
      </c>
      <c r="AR130" s="5">
        <v>1146</v>
      </c>
      <c r="AS130" s="5" t="s">
        <v>16</v>
      </c>
      <c r="AT130" s="5" t="s">
        <v>672</v>
      </c>
      <c r="AU130" s="5" t="s">
        <v>673</v>
      </c>
      <c r="AV130" s="5" t="s">
        <v>675</v>
      </c>
    </row>
    <row r="131" spans="1:48" ht="45" customHeight="1" x14ac:dyDescent="0.15">
      <c r="A131" s="5" t="s">
        <v>676</v>
      </c>
      <c r="B131" s="5">
        <v>2015</v>
      </c>
      <c r="C131" s="5" t="s">
        <v>677</v>
      </c>
      <c r="D131" s="5" t="s">
        <v>296</v>
      </c>
      <c r="E131" s="5" t="s">
        <v>18453</v>
      </c>
      <c r="F131" s="5" t="s">
        <v>680</v>
      </c>
      <c r="G131" s="5"/>
      <c r="H131" s="5"/>
      <c r="I131" s="5"/>
      <c r="J131" s="5"/>
      <c r="K131" s="5"/>
      <c r="L131" s="5"/>
      <c r="M131" s="5"/>
      <c r="N131" s="5"/>
      <c r="O131" s="5"/>
      <c r="P131" s="5"/>
      <c r="Q131" s="5"/>
      <c r="AL131" s="7" t="str">
        <f>HYPERLINK("http://dx.doi.org/10.1098/rspb.2014.2608","http://dx.doi.org/10.1098/rspb.2014.2608")</f>
        <v>http://dx.doi.org/10.1098/rspb.2014.2608</v>
      </c>
      <c r="AM131" s="5">
        <v>45</v>
      </c>
      <c r="AN131" s="5">
        <v>49</v>
      </c>
      <c r="AO131" s="5">
        <v>282</v>
      </c>
      <c r="AP131" s="5">
        <v>1806</v>
      </c>
      <c r="AQ131" s="5" t="s">
        <v>16</v>
      </c>
      <c r="AR131" s="5" t="s">
        <v>16</v>
      </c>
      <c r="AS131" s="5">
        <v>20142608</v>
      </c>
      <c r="AT131" s="5" t="s">
        <v>678</v>
      </c>
      <c r="AU131" s="5" t="s">
        <v>679</v>
      </c>
      <c r="AV131" s="5" t="s">
        <v>681</v>
      </c>
    </row>
    <row r="132" spans="1:48" ht="45" customHeight="1" x14ac:dyDescent="0.15">
      <c r="A132" s="5" t="s">
        <v>682</v>
      </c>
      <c r="B132" s="5">
        <v>2006</v>
      </c>
      <c r="C132" s="5" t="s">
        <v>683</v>
      </c>
      <c r="D132" s="5" t="s">
        <v>172</v>
      </c>
      <c r="E132" s="5" t="s">
        <v>18453</v>
      </c>
      <c r="F132" s="5" t="s">
        <v>686</v>
      </c>
      <c r="G132" s="5"/>
      <c r="H132" s="5"/>
      <c r="I132" s="5"/>
      <c r="J132" s="5"/>
      <c r="K132" s="5"/>
      <c r="L132" s="5"/>
      <c r="M132" s="5"/>
      <c r="N132" s="5"/>
      <c r="O132" s="5"/>
      <c r="P132" s="5"/>
      <c r="Q132" s="5"/>
      <c r="AL132" s="7" t="str">
        <f>HYPERLINK("http://dx.doi.org/10.1007/s00442-005-0277-z","http://dx.doi.org/10.1007/s00442-005-0277-z")</f>
        <v>http://dx.doi.org/10.1007/s00442-005-0277-z</v>
      </c>
      <c r="AM132" s="5">
        <v>106</v>
      </c>
      <c r="AN132" s="5">
        <v>110</v>
      </c>
      <c r="AO132" s="5">
        <v>147</v>
      </c>
      <c r="AP132" s="5">
        <v>3</v>
      </c>
      <c r="AQ132" s="5">
        <v>391</v>
      </c>
      <c r="AR132" s="5">
        <v>395</v>
      </c>
      <c r="AS132" s="5" t="s">
        <v>16</v>
      </c>
      <c r="AT132" s="5" t="s">
        <v>684</v>
      </c>
      <c r="AU132" s="5" t="s">
        <v>685</v>
      </c>
      <c r="AV132" s="5" t="s">
        <v>687</v>
      </c>
    </row>
    <row r="133" spans="1:48" ht="45" customHeight="1" x14ac:dyDescent="0.15">
      <c r="A133" s="5" t="s">
        <v>688</v>
      </c>
      <c r="B133" s="5">
        <v>2022</v>
      </c>
      <c r="C133" s="5" t="s">
        <v>689</v>
      </c>
      <c r="D133" s="5" t="s">
        <v>690</v>
      </c>
      <c r="E133" s="5" t="s">
        <v>18453</v>
      </c>
      <c r="F133" s="5" t="s">
        <v>693</v>
      </c>
      <c r="G133" s="5"/>
      <c r="H133" s="5"/>
      <c r="I133" s="5"/>
      <c r="J133" s="5"/>
      <c r="K133" s="5"/>
      <c r="L133" s="5"/>
      <c r="M133" s="5"/>
      <c r="N133" s="5"/>
      <c r="O133" s="5"/>
      <c r="P133" s="5"/>
      <c r="Q133" s="5"/>
      <c r="AL133" s="7" t="str">
        <f>HYPERLINK("http://dx.doi.org/10.1111/mec.16353","http://dx.doi.org/10.1111/mec.16353")</f>
        <v>http://dx.doi.org/10.1111/mec.16353</v>
      </c>
      <c r="AM133" s="5">
        <v>4</v>
      </c>
      <c r="AN133" s="5">
        <v>4</v>
      </c>
      <c r="AO133" s="5">
        <v>31</v>
      </c>
      <c r="AP133" s="5">
        <v>6</v>
      </c>
      <c r="AQ133" s="5">
        <v>1836</v>
      </c>
      <c r="AR133" s="5">
        <v>1852</v>
      </c>
      <c r="AS133" s="5" t="s">
        <v>16</v>
      </c>
      <c r="AT133" s="5" t="s">
        <v>691</v>
      </c>
      <c r="AU133" s="5" t="s">
        <v>692</v>
      </c>
      <c r="AV133" s="5" t="s">
        <v>694</v>
      </c>
    </row>
    <row r="134" spans="1:48" ht="45" customHeight="1" x14ac:dyDescent="0.15">
      <c r="A134" s="5" t="s">
        <v>695</v>
      </c>
      <c r="B134" s="5">
        <v>2022</v>
      </c>
      <c r="C134" s="5" t="s">
        <v>696</v>
      </c>
      <c r="D134" s="5" t="s">
        <v>44</v>
      </c>
      <c r="E134" s="5" t="s">
        <v>18453</v>
      </c>
      <c r="F134" s="5" t="s">
        <v>699</v>
      </c>
      <c r="G134" s="5"/>
      <c r="H134" s="5"/>
      <c r="I134" s="5"/>
      <c r="J134" s="5"/>
      <c r="K134" s="5"/>
      <c r="L134" s="5"/>
      <c r="M134" s="5"/>
      <c r="N134" s="5"/>
      <c r="O134" s="5"/>
      <c r="P134" s="5"/>
      <c r="Q134" s="5"/>
      <c r="AL134" s="7" t="str">
        <f>HYPERLINK("http://dx.doi.org/10.3389/fevo.2022.958467","http://dx.doi.org/10.3389/fevo.2022.958467")</f>
        <v>http://dx.doi.org/10.3389/fevo.2022.958467</v>
      </c>
      <c r="AM134" s="5">
        <v>0</v>
      </c>
      <c r="AN134" s="5">
        <v>0</v>
      </c>
      <c r="AO134" s="5">
        <v>10</v>
      </c>
      <c r="AP134" s="5" t="s">
        <v>16</v>
      </c>
      <c r="AQ134" s="5" t="s">
        <v>16</v>
      </c>
      <c r="AR134" s="5" t="s">
        <v>16</v>
      </c>
      <c r="AS134" s="5">
        <v>958467</v>
      </c>
      <c r="AT134" s="5" t="s">
        <v>697</v>
      </c>
      <c r="AU134" s="5" t="s">
        <v>698</v>
      </c>
      <c r="AV134" s="5" t="s">
        <v>700</v>
      </c>
    </row>
    <row r="135" spans="1:48" ht="45" customHeight="1" x14ac:dyDescent="0.15">
      <c r="A135" s="5" t="s">
        <v>701</v>
      </c>
      <c r="B135" s="5">
        <v>2018</v>
      </c>
      <c r="C135" s="5" t="s">
        <v>702</v>
      </c>
      <c r="D135" s="5" t="s">
        <v>161</v>
      </c>
      <c r="E135" s="5" t="s">
        <v>18453</v>
      </c>
      <c r="F135" s="5" t="s">
        <v>705</v>
      </c>
      <c r="G135" s="5"/>
      <c r="H135" s="5"/>
      <c r="I135" s="5"/>
      <c r="J135" s="5"/>
      <c r="K135" s="5"/>
      <c r="L135" s="5"/>
      <c r="M135" s="5"/>
      <c r="N135" s="5"/>
      <c r="O135" s="5"/>
      <c r="P135" s="5"/>
      <c r="Q135" s="5"/>
      <c r="AL135" s="7" t="str">
        <f>HYPERLINK("http://dx.doi.org/10.1111/geb.12732","http://dx.doi.org/10.1111/geb.12732")</f>
        <v>http://dx.doi.org/10.1111/geb.12732</v>
      </c>
      <c r="AM135" s="5">
        <v>19</v>
      </c>
      <c r="AN135" s="5">
        <v>19</v>
      </c>
      <c r="AO135" s="5">
        <v>27</v>
      </c>
      <c r="AP135" s="5">
        <v>6</v>
      </c>
      <c r="AQ135" s="5">
        <v>704</v>
      </c>
      <c r="AR135" s="5">
        <v>713</v>
      </c>
      <c r="AS135" s="5" t="s">
        <v>16</v>
      </c>
      <c r="AT135" s="5" t="s">
        <v>703</v>
      </c>
      <c r="AU135" s="5" t="s">
        <v>704</v>
      </c>
      <c r="AV135" s="5" t="s">
        <v>706</v>
      </c>
    </row>
    <row r="136" spans="1:48" ht="45" customHeight="1" x14ac:dyDescent="0.15">
      <c r="A136" s="5" t="s">
        <v>707</v>
      </c>
      <c r="B136" s="5">
        <v>2013</v>
      </c>
      <c r="C136" s="5" t="s">
        <v>708</v>
      </c>
      <c r="D136" s="5" t="s">
        <v>33</v>
      </c>
      <c r="E136" s="5" t="s">
        <v>18453</v>
      </c>
      <c r="F136" s="5" t="s">
        <v>711</v>
      </c>
      <c r="G136" s="5"/>
      <c r="H136" s="5"/>
      <c r="I136" s="5"/>
      <c r="J136" s="5"/>
      <c r="K136" s="5"/>
      <c r="L136" s="5"/>
      <c r="M136" s="5"/>
      <c r="N136" s="5"/>
      <c r="O136" s="5"/>
      <c r="P136" s="5"/>
      <c r="Q136" s="5"/>
      <c r="AL136" s="7" t="str">
        <f>HYPERLINK("http://dx.doi.org/10.1111/gcb.12170","http://dx.doi.org/10.1111/gcb.12170")</f>
        <v>http://dx.doi.org/10.1111/gcb.12170</v>
      </c>
      <c r="AM136" s="5">
        <v>80</v>
      </c>
      <c r="AN136" s="5">
        <v>80</v>
      </c>
      <c r="AO136" s="5">
        <v>19</v>
      </c>
      <c r="AP136" s="5">
        <v>6</v>
      </c>
      <c r="AQ136" s="5">
        <v>1748</v>
      </c>
      <c r="AR136" s="5">
        <v>1758</v>
      </c>
      <c r="AS136" s="5" t="s">
        <v>16</v>
      </c>
      <c r="AT136" s="5" t="s">
        <v>709</v>
      </c>
      <c r="AU136" s="5" t="s">
        <v>710</v>
      </c>
      <c r="AV136" s="5" t="s">
        <v>712</v>
      </c>
    </row>
    <row r="137" spans="1:48" ht="45" customHeight="1" x14ac:dyDescent="0.15">
      <c r="A137" s="5" t="s">
        <v>713</v>
      </c>
      <c r="B137" s="5">
        <v>2014</v>
      </c>
      <c r="C137" s="5" t="s">
        <v>714</v>
      </c>
      <c r="D137" s="5" t="s">
        <v>59</v>
      </c>
      <c r="E137" s="5" t="s">
        <v>18453</v>
      </c>
      <c r="F137" s="5" t="s">
        <v>717</v>
      </c>
      <c r="G137" s="5"/>
      <c r="H137" s="5"/>
      <c r="I137" s="5"/>
      <c r="J137" s="5"/>
      <c r="K137" s="5"/>
      <c r="L137" s="5"/>
      <c r="M137" s="5"/>
      <c r="N137" s="5"/>
      <c r="O137" s="5"/>
      <c r="P137" s="5"/>
      <c r="Q137" s="5"/>
      <c r="AL137" s="7" t="str">
        <f>HYPERLINK("http://dx.doi.org/10.1111/ele.12271","http://dx.doi.org/10.1111/ele.12271")</f>
        <v>http://dx.doi.org/10.1111/ele.12271</v>
      </c>
      <c r="AM137" s="5">
        <v>25</v>
      </c>
      <c r="AN137" s="5">
        <v>25</v>
      </c>
      <c r="AO137" s="5">
        <v>17</v>
      </c>
      <c r="AP137" s="5">
        <v>6</v>
      </c>
      <c r="AQ137" s="5">
        <v>691</v>
      </c>
      <c r="AR137" s="5">
        <v>699</v>
      </c>
      <c r="AS137" s="5" t="s">
        <v>16</v>
      </c>
      <c r="AT137" s="5" t="s">
        <v>715</v>
      </c>
      <c r="AU137" s="5" t="s">
        <v>716</v>
      </c>
      <c r="AV137" s="5" t="s">
        <v>718</v>
      </c>
    </row>
    <row r="138" spans="1:48" ht="45" customHeight="1" x14ac:dyDescent="0.15">
      <c r="A138" s="5" t="s">
        <v>719</v>
      </c>
      <c r="B138" s="5">
        <v>2013</v>
      </c>
      <c r="C138" s="5" t="s">
        <v>720</v>
      </c>
      <c r="D138" s="5" t="s">
        <v>212</v>
      </c>
      <c r="E138" s="5" t="s">
        <v>18453</v>
      </c>
      <c r="F138" s="5" t="s">
        <v>723</v>
      </c>
      <c r="G138" s="5"/>
      <c r="H138" s="5"/>
      <c r="I138" s="5"/>
      <c r="J138" s="5"/>
      <c r="K138" s="5"/>
      <c r="L138" s="5"/>
      <c r="M138" s="5"/>
      <c r="N138" s="5"/>
      <c r="O138" s="5"/>
      <c r="P138" s="5"/>
      <c r="Q138" s="5"/>
      <c r="AL138" s="7" t="str">
        <f>HYPERLINK("http://dx.doi.org/10.1007/s00300-013-1289-5","http://dx.doi.org/10.1007/s00300-013-1289-5")</f>
        <v>http://dx.doi.org/10.1007/s00300-013-1289-5</v>
      </c>
      <c r="AM138" s="5">
        <v>46</v>
      </c>
      <c r="AN138" s="5">
        <v>47</v>
      </c>
      <c r="AO138" s="5">
        <v>36</v>
      </c>
      <c r="AP138" s="5">
        <v>5</v>
      </c>
      <c r="AQ138" s="5">
        <v>617</v>
      </c>
      <c r="AR138" s="5">
        <v>627</v>
      </c>
      <c r="AS138" s="5" t="s">
        <v>16</v>
      </c>
      <c r="AT138" s="5" t="s">
        <v>721</v>
      </c>
      <c r="AU138" s="5" t="s">
        <v>722</v>
      </c>
      <c r="AV138" s="5" t="s">
        <v>724</v>
      </c>
    </row>
    <row r="139" spans="1:48" ht="45" customHeight="1" x14ac:dyDescent="0.15">
      <c r="A139" s="5" t="s">
        <v>725</v>
      </c>
      <c r="B139" s="5">
        <v>2002</v>
      </c>
      <c r="C139" s="5" t="s">
        <v>726</v>
      </c>
      <c r="D139" s="5" t="s">
        <v>172</v>
      </c>
      <c r="E139" s="5" t="s">
        <v>18453</v>
      </c>
      <c r="F139" s="5" t="s">
        <v>729</v>
      </c>
      <c r="G139" s="5"/>
      <c r="H139" s="5"/>
      <c r="I139" s="5"/>
      <c r="J139" s="5"/>
      <c r="K139" s="5"/>
      <c r="L139" s="5"/>
      <c r="M139" s="5"/>
      <c r="N139" s="5"/>
      <c r="O139" s="5"/>
      <c r="P139" s="5"/>
      <c r="Q139" s="5"/>
      <c r="AL139" s="7" t="str">
        <f>HYPERLINK("http://dx.doi.org/10.1007/s004420100777","http://dx.doi.org/10.1007/s004420100777")</f>
        <v>http://dx.doi.org/10.1007/s004420100777</v>
      </c>
      <c r="AM139" s="5">
        <v>117</v>
      </c>
      <c r="AN139" s="5">
        <v>137</v>
      </c>
      <c r="AO139" s="5">
        <v>130</v>
      </c>
      <c r="AP139" s="5">
        <v>1</v>
      </c>
      <c r="AQ139" s="5">
        <v>146</v>
      </c>
      <c r="AR139" s="5">
        <v>156</v>
      </c>
      <c r="AS139" s="5" t="s">
        <v>16</v>
      </c>
      <c r="AT139" s="5" t="s">
        <v>727</v>
      </c>
      <c r="AU139" s="5" t="s">
        <v>728</v>
      </c>
      <c r="AV139" s="5" t="s">
        <v>730</v>
      </c>
    </row>
    <row r="140" spans="1:48" ht="45" customHeight="1" x14ac:dyDescent="0.15">
      <c r="A140" s="5" t="s">
        <v>731</v>
      </c>
      <c r="B140" s="5">
        <v>2006</v>
      </c>
      <c r="C140" s="5" t="s">
        <v>732</v>
      </c>
      <c r="D140" s="5" t="s">
        <v>27</v>
      </c>
      <c r="E140" s="5" t="s">
        <v>18453</v>
      </c>
      <c r="F140" s="5" t="s">
        <v>735</v>
      </c>
      <c r="G140" s="5"/>
      <c r="H140" s="5"/>
      <c r="I140" s="5"/>
      <c r="J140" s="5"/>
      <c r="K140" s="5"/>
      <c r="L140" s="5"/>
      <c r="M140" s="5"/>
      <c r="N140" s="5"/>
      <c r="O140" s="5"/>
      <c r="P140" s="5"/>
      <c r="Q140" s="5"/>
      <c r="AL140" s="7" t="str">
        <f>HYPERLINK("http://dx.doi.org/10.1890/0012-9658(2006)87[829:UOIAOV]2.0.CO;2","http://dx.doi.org/10.1890/0012-9658(2006)87[829:UOIAOV]2.0.CO;2")</f>
        <v>http://dx.doi.org/10.1890/0012-9658(2006)87[829:UOIAOV]2.0.CO;2</v>
      </c>
      <c r="AM140" s="5">
        <v>164</v>
      </c>
      <c r="AN140" s="5">
        <v>174</v>
      </c>
      <c r="AO140" s="5">
        <v>87</v>
      </c>
      <c r="AP140" s="5">
        <v>4</v>
      </c>
      <c r="AQ140" s="5">
        <v>829</v>
      </c>
      <c r="AR140" s="5">
        <v>834</v>
      </c>
      <c r="AS140" s="5" t="s">
        <v>16</v>
      </c>
      <c r="AT140" s="5" t="s">
        <v>733</v>
      </c>
      <c r="AU140" s="5" t="s">
        <v>734</v>
      </c>
      <c r="AV140" s="5" t="s">
        <v>736</v>
      </c>
    </row>
    <row r="141" spans="1:48" ht="45" customHeight="1" x14ac:dyDescent="0.15">
      <c r="A141" s="5" t="s">
        <v>737</v>
      </c>
      <c r="B141" s="5">
        <v>2015</v>
      </c>
      <c r="C141" s="5" t="s">
        <v>738</v>
      </c>
      <c r="D141" s="5" t="s">
        <v>17</v>
      </c>
      <c r="E141" s="5" t="s">
        <v>18453</v>
      </c>
      <c r="F141" s="5" t="s">
        <v>741</v>
      </c>
      <c r="G141" s="5"/>
      <c r="H141" s="5"/>
      <c r="I141" s="5"/>
      <c r="J141" s="5"/>
      <c r="K141" s="5"/>
      <c r="L141" s="5"/>
      <c r="M141" s="5"/>
      <c r="N141" s="5"/>
      <c r="O141" s="5"/>
      <c r="P141" s="5"/>
      <c r="Q141" s="5"/>
      <c r="AL141" s="7" t="str">
        <f>HYPERLINK("http://dx.doi.org/10.1111/fwb.12466","http://dx.doi.org/10.1111/fwb.12466")</f>
        <v>http://dx.doi.org/10.1111/fwb.12466</v>
      </c>
      <c r="AM141" s="5">
        <v>63</v>
      </c>
      <c r="AN141" s="5">
        <v>65</v>
      </c>
      <c r="AO141" s="5">
        <v>60</v>
      </c>
      <c r="AP141" s="5">
        <v>1</v>
      </c>
      <c r="AQ141" s="5">
        <v>50</v>
      </c>
      <c r="AR141" s="5">
        <v>63</v>
      </c>
      <c r="AS141" s="5" t="s">
        <v>16</v>
      </c>
      <c r="AT141" s="5" t="s">
        <v>739</v>
      </c>
      <c r="AU141" s="5" t="s">
        <v>740</v>
      </c>
      <c r="AV141" s="5" t="s">
        <v>742</v>
      </c>
    </row>
    <row r="142" spans="1:48" ht="45" customHeight="1" x14ac:dyDescent="0.15">
      <c r="A142" s="5" t="s">
        <v>749</v>
      </c>
      <c r="B142" s="5">
        <v>2004</v>
      </c>
      <c r="C142" s="5" t="s">
        <v>750</v>
      </c>
      <c r="D142" s="5" t="s">
        <v>49</v>
      </c>
      <c r="E142" s="5" t="s">
        <v>18453</v>
      </c>
      <c r="F142" s="5" t="s">
        <v>753</v>
      </c>
      <c r="G142" s="5"/>
      <c r="H142" s="5"/>
      <c r="I142" s="5"/>
      <c r="J142" s="5"/>
      <c r="K142" s="5"/>
      <c r="L142" s="5"/>
      <c r="M142" s="5"/>
      <c r="N142" s="5"/>
      <c r="O142" s="5"/>
      <c r="P142" s="5"/>
      <c r="Q142" s="5"/>
      <c r="AL142" s="7" t="str">
        <f>HYPERLINK("http://dx.doi.org/10.3354/meps281207","http://dx.doi.org/10.3354/meps281207")</f>
        <v>http://dx.doi.org/10.3354/meps281207</v>
      </c>
      <c r="AM142" s="5">
        <v>70</v>
      </c>
      <c r="AN142" s="5">
        <v>72</v>
      </c>
      <c r="AO142" s="5">
        <v>281</v>
      </c>
      <c r="AP142" s="5" t="s">
        <v>16</v>
      </c>
      <c r="AQ142" s="5">
        <v>207</v>
      </c>
      <c r="AR142" s="5">
        <v>216</v>
      </c>
      <c r="AS142" s="5" t="s">
        <v>16</v>
      </c>
      <c r="AT142" s="5" t="s">
        <v>751</v>
      </c>
      <c r="AU142" s="5" t="s">
        <v>752</v>
      </c>
      <c r="AV142" s="5" t="s">
        <v>754</v>
      </c>
    </row>
    <row r="143" spans="1:48" ht="45" customHeight="1" x14ac:dyDescent="0.15">
      <c r="A143" s="5" t="s">
        <v>755</v>
      </c>
      <c r="B143" s="5">
        <v>2016</v>
      </c>
      <c r="C143" s="5" t="s">
        <v>756</v>
      </c>
      <c r="D143" s="5" t="s">
        <v>49</v>
      </c>
      <c r="E143" s="5" t="s">
        <v>18453</v>
      </c>
      <c r="F143" s="5" t="s">
        <v>759</v>
      </c>
      <c r="G143" s="5"/>
      <c r="H143" s="5"/>
      <c r="I143" s="5"/>
      <c r="J143" s="5"/>
      <c r="K143" s="5"/>
      <c r="L143" s="5"/>
      <c r="M143" s="5"/>
      <c r="N143" s="5"/>
      <c r="O143" s="5"/>
      <c r="P143" s="5"/>
      <c r="Q143" s="5"/>
      <c r="AL143" s="7" t="str">
        <f>HYPERLINK("http://dx.doi.org/10.3354/meps11887","http://dx.doi.org/10.3354/meps11887")</f>
        <v>http://dx.doi.org/10.3354/meps11887</v>
      </c>
      <c r="AM143" s="5">
        <v>13</v>
      </c>
      <c r="AN143" s="5">
        <v>16</v>
      </c>
      <c r="AO143" s="5">
        <v>559</v>
      </c>
      <c r="AP143" s="5" t="s">
        <v>16</v>
      </c>
      <c r="AQ143" s="5">
        <v>159</v>
      </c>
      <c r="AR143" s="5">
        <v>173</v>
      </c>
      <c r="AS143" s="5" t="s">
        <v>16</v>
      </c>
      <c r="AT143" s="5" t="s">
        <v>757</v>
      </c>
      <c r="AU143" s="5" t="s">
        <v>758</v>
      </c>
      <c r="AV143" s="5" t="s">
        <v>760</v>
      </c>
    </row>
    <row r="144" spans="1:48" ht="45" customHeight="1" x14ac:dyDescent="0.15">
      <c r="A144" s="5" t="s">
        <v>761</v>
      </c>
      <c r="B144" s="5">
        <v>2011</v>
      </c>
      <c r="C144" s="5" t="s">
        <v>762</v>
      </c>
      <c r="D144" s="5" t="s">
        <v>212</v>
      </c>
      <c r="E144" s="5" t="s">
        <v>18453</v>
      </c>
      <c r="F144" s="5" t="s">
        <v>765</v>
      </c>
      <c r="G144" s="5"/>
      <c r="H144" s="5"/>
      <c r="I144" s="5"/>
      <c r="J144" s="5"/>
      <c r="K144" s="5"/>
      <c r="L144" s="5"/>
      <c r="M144" s="5"/>
      <c r="N144" s="5"/>
      <c r="O144" s="5"/>
      <c r="P144" s="5"/>
      <c r="Q144" s="5"/>
      <c r="AL144" s="7" t="str">
        <f>HYPERLINK("http://dx.doi.org/10.1007/s00300-010-0867-z","http://dx.doi.org/10.1007/s00300-010-0867-z")</f>
        <v>http://dx.doi.org/10.1007/s00300-010-0867-z</v>
      </c>
      <c r="AM144" s="5">
        <v>16</v>
      </c>
      <c r="AN144" s="5">
        <v>17</v>
      </c>
      <c r="AO144" s="5">
        <v>34</v>
      </c>
      <c r="AP144" s="5">
        <v>2</v>
      </c>
      <c r="AQ144" s="5">
        <v>169</v>
      </c>
      <c r="AR144" s="5">
        <v>180</v>
      </c>
      <c r="AS144" s="5" t="s">
        <v>16</v>
      </c>
      <c r="AT144" s="5" t="s">
        <v>763</v>
      </c>
      <c r="AU144" s="5" t="s">
        <v>764</v>
      </c>
      <c r="AV144" s="5" t="s">
        <v>766</v>
      </c>
    </row>
    <row r="145" spans="1:48" ht="45" customHeight="1" x14ac:dyDescent="0.15">
      <c r="A145" s="5" t="s">
        <v>767</v>
      </c>
      <c r="B145" s="5">
        <v>2021</v>
      </c>
      <c r="C145" s="5" t="s">
        <v>768</v>
      </c>
      <c r="D145" s="5" t="s">
        <v>33</v>
      </c>
      <c r="E145" s="5" t="s">
        <v>18453</v>
      </c>
      <c r="F145" s="5" t="s">
        <v>771</v>
      </c>
      <c r="G145" s="5"/>
      <c r="H145" s="5"/>
      <c r="I145" s="5"/>
      <c r="J145" s="5"/>
      <c r="K145" s="5"/>
      <c r="L145" s="5"/>
      <c r="M145" s="5"/>
      <c r="N145" s="5"/>
      <c r="O145" s="5"/>
      <c r="P145" s="5"/>
      <c r="Q145" s="5"/>
      <c r="AL145" s="7" t="str">
        <f>HYPERLINK("http://dx.doi.org/10.1111/gcb.15743","http://dx.doi.org/10.1111/gcb.15743")</f>
        <v>http://dx.doi.org/10.1111/gcb.15743</v>
      </c>
      <c r="AM145" s="5">
        <v>11</v>
      </c>
      <c r="AN145" s="5">
        <v>11</v>
      </c>
      <c r="AO145" s="5">
        <v>27</v>
      </c>
      <c r="AP145" s="5">
        <v>18</v>
      </c>
      <c r="AQ145" s="5">
        <v>4294</v>
      </c>
      <c r="AR145" s="5">
        <v>4306</v>
      </c>
      <c r="AS145" s="5" t="s">
        <v>16</v>
      </c>
      <c r="AT145" s="5" t="s">
        <v>769</v>
      </c>
      <c r="AU145" s="5" t="s">
        <v>770</v>
      </c>
      <c r="AV145" s="5" t="s">
        <v>772</v>
      </c>
    </row>
    <row r="146" spans="1:48" ht="45" customHeight="1" x14ac:dyDescent="0.15">
      <c r="A146" s="5" t="s">
        <v>773</v>
      </c>
      <c r="B146" s="5">
        <v>2020</v>
      </c>
      <c r="C146" s="5" t="s">
        <v>774</v>
      </c>
      <c r="D146" s="5" t="s">
        <v>172</v>
      </c>
      <c r="E146" s="5" t="s">
        <v>18453</v>
      </c>
      <c r="F146" s="5" t="s">
        <v>777</v>
      </c>
      <c r="G146" s="5"/>
      <c r="H146" s="5"/>
      <c r="I146" s="5"/>
      <c r="J146" s="5"/>
      <c r="K146" s="5"/>
      <c r="L146" s="5"/>
      <c r="M146" s="5"/>
      <c r="N146" s="5"/>
      <c r="O146" s="5"/>
      <c r="P146" s="5"/>
      <c r="Q146" s="5"/>
      <c r="AL146" s="7" t="str">
        <f>HYPERLINK("http://dx.doi.org/10.1007/s00442-020-04752-3","http://dx.doi.org/10.1007/s00442-020-04752-3")</f>
        <v>http://dx.doi.org/10.1007/s00442-020-04752-3</v>
      </c>
      <c r="AM146" s="5">
        <v>4</v>
      </c>
      <c r="AN146" s="5">
        <v>5</v>
      </c>
      <c r="AO146" s="5">
        <v>194</v>
      </c>
      <c r="AP146" s="5" t="s">
        <v>778</v>
      </c>
      <c r="AQ146" s="5">
        <v>177</v>
      </c>
      <c r="AR146" s="5">
        <v>191</v>
      </c>
      <c r="AS146" s="5" t="s">
        <v>16</v>
      </c>
      <c r="AT146" s="5" t="s">
        <v>775</v>
      </c>
      <c r="AU146" s="5" t="s">
        <v>776</v>
      </c>
      <c r="AV146" s="5" t="s">
        <v>779</v>
      </c>
    </row>
    <row r="147" spans="1:48" ht="45" customHeight="1" x14ac:dyDescent="0.15">
      <c r="A147" s="5" t="s">
        <v>780</v>
      </c>
      <c r="B147" s="5">
        <v>2020</v>
      </c>
      <c r="C147" s="5" t="s">
        <v>781</v>
      </c>
      <c r="D147" s="5" t="s">
        <v>782</v>
      </c>
      <c r="E147" s="5" t="s">
        <v>18453</v>
      </c>
      <c r="F147" s="5" t="s">
        <v>785</v>
      </c>
      <c r="G147" s="5"/>
      <c r="H147" s="5"/>
      <c r="I147" s="5"/>
      <c r="J147" s="5"/>
      <c r="K147" s="5"/>
      <c r="L147" s="5"/>
      <c r="M147" s="5"/>
      <c r="N147" s="5"/>
      <c r="O147" s="5"/>
      <c r="P147" s="5"/>
      <c r="Q147" s="5"/>
      <c r="AL147" s="7" t="str">
        <f>HYPERLINK("http://dx.doi.org/10.1093/jpe/rtaa069","http://dx.doi.org/10.1093/jpe/rtaa069")</f>
        <v>http://dx.doi.org/10.1093/jpe/rtaa069</v>
      </c>
      <c r="AM147" s="5">
        <v>5</v>
      </c>
      <c r="AN147" s="5">
        <v>5</v>
      </c>
      <c r="AO147" s="5">
        <v>13</v>
      </c>
      <c r="AP147" s="5">
        <v>6</v>
      </c>
      <c r="AQ147" s="5">
        <v>744</v>
      </c>
      <c r="AR147" s="5">
        <v>753</v>
      </c>
      <c r="AS147" s="5" t="s">
        <v>16</v>
      </c>
      <c r="AT147" s="5" t="s">
        <v>783</v>
      </c>
      <c r="AU147" s="5" t="s">
        <v>784</v>
      </c>
      <c r="AV147" s="5" t="s">
        <v>786</v>
      </c>
    </row>
    <row r="148" spans="1:48" ht="45" customHeight="1" x14ac:dyDescent="0.15">
      <c r="A148" s="5" t="s">
        <v>787</v>
      </c>
      <c r="B148" s="5">
        <v>2019</v>
      </c>
      <c r="C148" s="5" t="s">
        <v>788</v>
      </c>
      <c r="D148" s="5" t="s">
        <v>49</v>
      </c>
      <c r="E148" s="5" t="s">
        <v>18453</v>
      </c>
      <c r="F148" s="5" t="s">
        <v>791</v>
      </c>
      <c r="G148" s="5"/>
      <c r="H148" s="5"/>
      <c r="I148" s="5"/>
      <c r="J148" s="5"/>
      <c r="K148" s="5"/>
      <c r="L148" s="5"/>
      <c r="M148" s="5"/>
      <c r="N148" s="5"/>
      <c r="O148" s="5"/>
      <c r="P148" s="5"/>
      <c r="Q148" s="5"/>
      <c r="AL148" s="7" t="str">
        <f>HYPERLINK("http://dx.doi.org/10.3354/meps12856","http://dx.doi.org/10.3354/meps12856")</f>
        <v>http://dx.doi.org/10.3354/meps12856</v>
      </c>
      <c r="AM148" s="5">
        <v>11</v>
      </c>
      <c r="AN148" s="5">
        <v>12</v>
      </c>
      <c r="AO148" s="5">
        <v>611</v>
      </c>
      <c r="AP148" s="5" t="s">
        <v>16</v>
      </c>
      <c r="AQ148" s="5">
        <v>1</v>
      </c>
      <c r="AR148" s="5">
        <v>18</v>
      </c>
      <c r="AS148" s="5" t="s">
        <v>16</v>
      </c>
      <c r="AT148" s="5" t="s">
        <v>789</v>
      </c>
      <c r="AU148" s="5" t="s">
        <v>790</v>
      </c>
      <c r="AV148" s="5" t="s">
        <v>792</v>
      </c>
    </row>
    <row r="149" spans="1:48" ht="45" customHeight="1" x14ac:dyDescent="0.15">
      <c r="A149" s="5" t="s">
        <v>793</v>
      </c>
      <c r="B149" s="5">
        <v>2017</v>
      </c>
      <c r="C149" s="5" t="s">
        <v>794</v>
      </c>
      <c r="D149" s="5" t="s">
        <v>190</v>
      </c>
      <c r="E149" s="5" t="s">
        <v>18453</v>
      </c>
      <c r="F149" s="5" t="s">
        <v>797</v>
      </c>
      <c r="G149" s="5"/>
      <c r="H149" s="5"/>
      <c r="I149" s="5"/>
      <c r="J149" s="5"/>
      <c r="K149" s="5"/>
      <c r="L149" s="5"/>
      <c r="M149" s="5"/>
      <c r="N149" s="5"/>
      <c r="O149" s="5"/>
      <c r="P149" s="5"/>
      <c r="Q149" s="5"/>
      <c r="AL149" s="7" t="str">
        <f>HYPERLINK("http://dx.doi.org/10.1007/s10530-017-1376-6","http://dx.doi.org/10.1007/s10530-017-1376-6")</f>
        <v>http://dx.doi.org/10.1007/s10530-017-1376-6</v>
      </c>
      <c r="AM149" s="5">
        <v>12</v>
      </c>
      <c r="AN149" s="5">
        <v>12</v>
      </c>
      <c r="AO149" s="5">
        <v>19</v>
      </c>
      <c r="AP149" s="5">
        <v>5</v>
      </c>
      <c r="AQ149" s="5">
        <v>1533</v>
      </c>
      <c r="AR149" s="5">
        <v>1546</v>
      </c>
      <c r="AS149" s="5" t="s">
        <v>16</v>
      </c>
      <c r="AT149" s="5" t="s">
        <v>795</v>
      </c>
      <c r="AU149" s="5" t="s">
        <v>796</v>
      </c>
      <c r="AV149" s="5" t="s">
        <v>798</v>
      </c>
    </row>
    <row r="150" spans="1:48" ht="45" customHeight="1" x14ac:dyDescent="0.15">
      <c r="A150" s="5" t="s">
        <v>799</v>
      </c>
      <c r="B150" s="5">
        <v>2023</v>
      </c>
      <c r="C150" s="5" t="s">
        <v>800</v>
      </c>
      <c r="D150" s="5" t="s">
        <v>17</v>
      </c>
      <c r="E150" s="5" t="s">
        <v>18453</v>
      </c>
      <c r="F150" s="5" t="s">
        <v>803</v>
      </c>
      <c r="G150" s="5"/>
      <c r="H150" s="5"/>
      <c r="I150" s="5"/>
      <c r="J150" s="5"/>
      <c r="K150" s="5"/>
      <c r="L150" s="5"/>
      <c r="M150" s="5"/>
      <c r="N150" s="5"/>
      <c r="O150" s="5"/>
      <c r="P150" s="5"/>
      <c r="Q150" s="5"/>
      <c r="AL150" s="7" t="str">
        <f>HYPERLINK("http://dx.doi.org/10.1111/fwb.14071","http://dx.doi.org/10.1111/fwb.14071")</f>
        <v>http://dx.doi.org/10.1111/fwb.14071</v>
      </c>
      <c r="AM150" s="5">
        <v>0</v>
      </c>
      <c r="AN150" s="5">
        <v>0</v>
      </c>
      <c r="AO150" s="5">
        <v>68</v>
      </c>
      <c r="AP150" s="5">
        <v>5</v>
      </c>
      <c r="AQ150" s="5">
        <v>870</v>
      </c>
      <c r="AR150" s="5">
        <v>887</v>
      </c>
      <c r="AS150" s="5" t="s">
        <v>16</v>
      </c>
      <c r="AT150" s="5" t="s">
        <v>801</v>
      </c>
      <c r="AU150" s="5" t="s">
        <v>802</v>
      </c>
      <c r="AV150" s="5" t="s">
        <v>804</v>
      </c>
    </row>
    <row r="151" spans="1:48" ht="45" customHeight="1" x14ac:dyDescent="0.15">
      <c r="A151" s="5" t="s">
        <v>805</v>
      </c>
      <c r="B151" s="5">
        <v>2003</v>
      </c>
      <c r="C151" s="5" t="s">
        <v>806</v>
      </c>
      <c r="D151" s="5" t="s">
        <v>296</v>
      </c>
      <c r="E151" s="5" t="s">
        <v>18453</v>
      </c>
      <c r="F151" s="5" t="s">
        <v>809</v>
      </c>
      <c r="G151" s="5"/>
      <c r="H151" s="5"/>
      <c r="I151" s="5"/>
      <c r="J151" s="5"/>
      <c r="K151" s="5"/>
      <c r="L151" s="5"/>
      <c r="M151" s="5"/>
      <c r="N151" s="5"/>
      <c r="O151" s="5"/>
      <c r="P151" s="5"/>
      <c r="Q151" s="5"/>
      <c r="AL151" s="7" t="str">
        <f>HYPERLINK("http://dx.doi.org/10.1098/rspb.2003.2392","http://dx.doi.org/10.1098/rspb.2003.2392")</f>
        <v>http://dx.doi.org/10.1098/rspb.2003.2392</v>
      </c>
      <c r="AM151" s="5">
        <v>88</v>
      </c>
      <c r="AN151" s="5">
        <v>93</v>
      </c>
      <c r="AO151" s="5">
        <v>270</v>
      </c>
      <c r="AP151" s="5">
        <v>1522</v>
      </c>
      <c r="AQ151" s="5">
        <v>1413</v>
      </c>
      <c r="AR151" s="5">
        <v>1417</v>
      </c>
      <c r="AS151" s="5" t="s">
        <v>16</v>
      </c>
      <c r="AT151" s="5" t="s">
        <v>807</v>
      </c>
      <c r="AU151" s="5" t="s">
        <v>808</v>
      </c>
      <c r="AV151" s="5" t="s">
        <v>810</v>
      </c>
    </row>
    <row r="152" spans="1:48" ht="45" customHeight="1" x14ac:dyDescent="0.15">
      <c r="A152" s="5" t="s">
        <v>811</v>
      </c>
      <c r="B152" s="5">
        <v>2013</v>
      </c>
      <c r="C152" s="5" t="s">
        <v>812</v>
      </c>
      <c r="D152" s="5" t="s">
        <v>33</v>
      </c>
      <c r="E152" s="5" t="s">
        <v>18453</v>
      </c>
      <c r="F152" s="5" t="s">
        <v>815</v>
      </c>
      <c r="G152" s="5"/>
      <c r="H152" s="5"/>
      <c r="I152" s="5"/>
      <c r="J152" s="5"/>
      <c r="K152" s="5"/>
      <c r="L152" s="5"/>
      <c r="M152" s="5"/>
      <c r="N152" s="5"/>
      <c r="O152" s="5"/>
      <c r="P152" s="5"/>
      <c r="Q152" s="5"/>
      <c r="AL152" s="7" t="str">
        <f>HYPERLINK("http://dx.doi.org/10.1111/gcb.12318","http://dx.doi.org/10.1111/gcb.12318")</f>
        <v>http://dx.doi.org/10.1111/gcb.12318</v>
      </c>
      <c r="AM152" s="5">
        <v>79</v>
      </c>
      <c r="AN152" s="5">
        <v>84</v>
      </c>
      <c r="AO152" s="5">
        <v>19</v>
      </c>
      <c r="AP152" s="5">
        <v>11</v>
      </c>
      <c r="AQ152" s="5">
        <v>3529</v>
      </c>
      <c r="AR152" s="5">
        <v>3539</v>
      </c>
      <c r="AS152" s="5" t="s">
        <v>16</v>
      </c>
      <c r="AT152" s="5" t="s">
        <v>813</v>
      </c>
      <c r="AU152" s="5" t="s">
        <v>814</v>
      </c>
      <c r="AV152" s="5" t="s">
        <v>816</v>
      </c>
    </row>
    <row r="153" spans="1:48" ht="45" customHeight="1" x14ac:dyDescent="0.15">
      <c r="A153" s="5" t="s">
        <v>817</v>
      </c>
      <c r="B153" s="5">
        <v>2020</v>
      </c>
      <c r="C153" s="5" t="s">
        <v>818</v>
      </c>
      <c r="D153" s="5" t="s">
        <v>262</v>
      </c>
      <c r="E153" s="5" t="s">
        <v>18453</v>
      </c>
      <c r="F153" s="5" t="s">
        <v>821</v>
      </c>
      <c r="G153" s="5"/>
      <c r="H153" s="5"/>
      <c r="I153" s="5"/>
      <c r="J153" s="5"/>
      <c r="K153" s="5"/>
      <c r="L153" s="5"/>
      <c r="M153" s="5"/>
      <c r="N153" s="5"/>
      <c r="O153" s="5"/>
      <c r="P153" s="5"/>
      <c r="Q153" s="5"/>
      <c r="AL153" s="7" t="str">
        <f>HYPERLINK("http://dx.doi.org/10.1111/oik.07082","http://dx.doi.org/10.1111/oik.07082")</f>
        <v>http://dx.doi.org/10.1111/oik.07082</v>
      </c>
      <c r="AM153" s="5">
        <v>15</v>
      </c>
      <c r="AN153" s="5">
        <v>16</v>
      </c>
      <c r="AO153" s="5">
        <v>129</v>
      </c>
      <c r="AP153" s="5">
        <v>7</v>
      </c>
      <c r="AQ153" s="5">
        <v>1028</v>
      </c>
      <c r="AR153" s="5">
        <v>1039</v>
      </c>
      <c r="AS153" s="5" t="s">
        <v>16</v>
      </c>
      <c r="AT153" s="5" t="s">
        <v>819</v>
      </c>
      <c r="AU153" s="5" t="s">
        <v>820</v>
      </c>
      <c r="AV153" s="5" t="s">
        <v>822</v>
      </c>
    </row>
    <row r="154" spans="1:48" ht="45" customHeight="1" x14ac:dyDescent="0.15">
      <c r="A154" s="5" t="s">
        <v>823</v>
      </c>
      <c r="B154" s="5">
        <v>2021</v>
      </c>
      <c r="C154" s="5" t="s">
        <v>824</v>
      </c>
      <c r="D154" s="5" t="s">
        <v>82</v>
      </c>
      <c r="E154" s="5" t="s">
        <v>18453</v>
      </c>
      <c r="F154" s="5" t="s">
        <v>827</v>
      </c>
      <c r="G154" s="5"/>
      <c r="H154" s="5"/>
      <c r="I154" s="5"/>
      <c r="J154" s="5"/>
      <c r="K154" s="5"/>
      <c r="L154" s="5"/>
      <c r="M154" s="5"/>
      <c r="N154" s="5"/>
      <c r="O154" s="5"/>
      <c r="P154" s="5"/>
      <c r="Q154" s="5"/>
      <c r="AL154" s="7" t="str">
        <f>HYPERLINK("http://dx.doi.org/10.1002/eap.2227","http://dx.doi.org/10.1002/eap.2227")</f>
        <v>http://dx.doi.org/10.1002/eap.2227</v>
      </c>
      <c r="AM154" s="5">
        <v>38</v>
      </c>
      <c r="AN154" s="5">
        <v>38</v>
      </c>
      <c r="AO154" s="5">
        <v>31</v>
      </c>
      <c r="AP154" s="5">
        <v>1</v>
      </c>
      <c r="AQ154" s="5" t="s">
        <v>16</v>
      </c>
      <c r="AR154" s="5" t="s">
        <v>16</v>
      </c>
      <c r="AS154" s="5" t="s">
        <v>16</v>
      </c>
      <c r="AT154" s="5" t="s">
        <v>825</v>
      </c>
      <c r="AU154" s="5" t="s">
        <v>826</v>
      </c>
      <c r="AV154" s="5" t="s">
        <v>828</v>
      </c>
    </row>
    <row r="155" spans="1:48" ht="45" customHeight="1" x14ac:dyDescent="0.15">
      <c r="A155" s="5" t="s">
        <v>829</v>
      </c>
      <c r="B155" s="5">
        <v>2023</v>
      </c>
      <c r="C155" s="5" t="s">
        <v>830</v>
      </c>
      <c r="D155" s="5" t="s">
        <v>190</v>
      </c>
      <c r="E155" s="5" t="s">
        <v>18453</v>
      </c>
      <c r="F155" s="5" t="s">
        <v>833</v>
      </c>
      <c r="G155" s="5"/>
      <c r="H155" s="5"/>
      <c r="I155" s="5"/>
      <c r="J155" s="5"/>
      <c r="K155" s="5"/>
      <c r="L155" s="5"/>
      <c r="M155" s="5"/>
      <c r="N155" s="5"/>
      <c r="O155" s="5"/>
      <c r="P155" s="5"/>
      <c r="Q155" s="5"/>
      <c r="AL155" s="7" t="str">
        <f>HYPERLINK("http://dx.doi.org/10.1007/s10530-023-03081-9","http://dx.doi.org/10.1007/s10530-023-03081-9")</f>
        <v>http://dx.doi.org/10.1007/s10530-023-03081-9</v>
      </c>
      <c r="AM155" s="5">
        <v>0</v>
      </c>
      <c r="AN155" s="5">
        <v>0</v>
      </c>
      <c r="AO155" s="5" t="s">
        <v>16</v>
      </c>
      <c r="AP155" s="5" t="s">
        <v>16</v>
      </c>
      <c r="AQ155" s="5" t="s">
        <v>16</v>
      </c>
      <c r="AR155" s="5" t="s">
        <v>16</v>
      </c>
      <c r="AS155" s="5" t="s">
        <v>16</v>
      </c>
      <c r="AT155" s="5" t="s">
        <v>831</v>
      </c>
      <c r="AU155" s="5" t="s">
        <v>832</v>
      </c>
      <c r="AV155" s="5" t="s">
        <v>834</v>
      </c>
    </row>
    <row r="156" spans="1:48" ht="45" customHeight="1" x14ac:dyDescent="0.15">
      <c r="A156" s="5" t="s">
        <v>835</v>
      </c>
      <c r="B156" s="5">
        <v>2017</v>
      </c>
      <c r="C156" s="5" t="s">
        <v>836</v>
      </c>
      <c r="D156" s="5" t="s">
        <v>262</v>
      </c>
      <c r="E156" s="5" t="s">
        <v>18453</v>
      </c>
      <c r="F156" s="5" t="s">
        <v>838</v>
      </c>
      <c r="G156" s="5"/>
      <c r="H156" s="5"/>
      <c r="I156" s="5"/>
      <c r="J156" s="5"/>
      <c r="K156" s="5"/>
      <c r="L156" s="5"/>
      <c r="M156" s="5"/>
      <c r="N156" s="5"/>
      <c r="O156" s="5"/>
      <c r="P156" s="5"/>
      <c r="Q156" s="5"/>
      <c r="AL156" s="7" t="str">
        <f>HYPERLINK("http://dx.doi.org/10.1111/oik.03517","http://dx.doi.org/10.1111/oik.03517")</f>
        <v>http://dx.doi.org/10.1111/oik.03517</v>
      </c>
      <c r="AM156" s="5">
        <v>8</v>
      </c>
      <c r="AN156" s="5">
        <v>8</v>
      </c>
      <c r="AO156" s="5">
        <v>126</v>
      </c>
      <c r="AP156" s="5">
        <v>9</v>
      </c>
      <c r="AQ156" s="5">
        <v>1347</v>
      </c>
      <c r="AR156" s="5">
        <v>1356</v>
      </c>
      <c r="AS156" s="5" t="s">
        <v>16</v>
      </c>
      <c r="AT156" s="5" t="s">
        <v>16</v>
      </c>
      <c r="AU156" s="5" t="s">
        <v>837</v>
      </c>
      <c r="AV156" s="5" t="s">
        <v>839</v>
      </c>
    </row>
    <row r="157" spans="1:48" ht="45" customHeight="1" x14ac:dyDescent="0.15">
      <c r="A157" s="5" t="s">
        <v>840</v>
      </c>
      <c r="B157" s="5">
        <v>2022</v>
      </c>
      <c r="C157" s="5" t="s">
        <v>841</v>
      </c>
      <c r="D157" s="5" t="s">
        <v>468</v>
      </c>
      <c r="E157" s="5" t="s">
        <v>18453</v>
      </c>
      <c r="F157" s="5" t="s">
        <v>844</v>
      </c>
      <c r="G157" s="5"/>
      <c r="H157" s="5"/>
      <c r="I157" s="5"/>
      <c r="J157" s="5"/>
      <c r="K157" s="5"/>
      <c r="L157" s="5"/>
      <c r="M157" s="5"/>
      <c r="N157" s="5"/>
      <c r="O157" s="5"/>
      <c r="P157" s="5"/>
      <c r="Q157" s="5"/>
      <c r="AL157" s="7" t="str">
        <f>HYPERLINK("http://dx.doi.org/10.1016/j.ecoinf.2022.101608","http://dx.doi.org/10.1016/j.ecoinf.2022.101608")</f>
        <v>http://dx.doi.org/10.1016/j.ecoinf.2022.101608</v>
      </c>
      <c r="AM157" s="5">
        <v>0</v>
      </c>
      <c r="AN157" s="5">
        <v>0</v>
      </c>
      <c r="AO157" s="5">
        <v>69</v>
      </c>
      <c r="AP157" s="5" t="s">
        <v>16</v>
      </c>
      <c r="AQ157" s="5" t="s">
        <v>16</v>
      </c>
      <c r="AR157" s="5" t="s">
        <v>16</v>
      </c>
      <c r="AS157" s="5">
        <v>101608</v>
      </c>
      <c r="AT157" s="5" t="s">
        <v>842</v>
      </c>
      <c r="AU157" s="5" t="s">
        <v>843</v>
      </c>
      <c r="AV157" s="5" t="s">
        <v>845</v>
      </c>
    </row>
    <row r="158" spans="1:48" ht="45" customHeight="1" x14ac:dyDescent="0.15">
      <c r="A158" s="5" t="s">
        <v>846</v>
      </c>
      <c r="B158" s="5">
        <v>2016</v>
      </c>
      <c r="C158" s="5" t="s">
        <v>847</v>
      </c>
      <c r="D158" s="5" t="s">
        <v>18</v>
      </c>
      <c r="E158" s="5" t="s">
        <v>18453</v>
      </c>
      <c r="F158" s="5" t="s">
        <v>850</v>
      </c>
      <c r="G158" s="5"/>
      <c r="H158" s="5"/>
      <c r="I158" s="5"/>
      <c r="J158" s="5"/>
      <c r="K158" s="5"/>
      <c r="L158" s="5"/>
      <c r="M158" s="5"/>
      <c r="N158" s="5"/>
      <c r="O158" s="5"/>
      <c r="P158" s="5"/>
      <c r="Q158" s="5"/>
      <c r="AL158" s="7" t="str">
        <f>HYPERLINK("http://dx.doi.org/10.1002/ecs2.1432","http://dx.doi.org/10.1002/ecs2.1432")</f>
        <v>http://dx.doi.org/10.1002/ecs2.1432</v>
      </c>
      <c r="AM158" s="5">
        <v>14</v>
      </c>
      <c r="AN158" s="5">
        <v>15</v>
      </c>
      <c r="AO158" s="5">
        <v>7</v>
      </c>
      <c r="AP158" s="5">
        <v>8</v>
      </c>
      <c r="AQ158" s="5" t="s">
        <v>16</v>
      </c>
      <c r="AR158" s="5" t="s">
        <v>16</v>
      </c>
      <c r="AS158" s="5" t="s">
        <v>851</v>
      </c>
      <c r="AT158" s="5" t="s">
        <v>848</v>
      </c>
      <c r="AU158" s="5" t="s">
        <v>849</v>
      </c>
      <c r="AV158" s="5" t="s">
        <v>852</v>
      </c>
    </row>
    <row r="159" spans="1:48" ht="45" customHeight="1" x14ac:dyDescent="0.15">
      <c r="A159" s="5" t="s">
        <v>853</v>
      </c>
      <c r="B159" s="5">
        <v>2011</v>
      </c>
      <c r="C159" s="5" t="s">
        <v>854</v>
      </c>
      <c r="D159" s="5" t="s">
        <v>67</v>
      </c>
      <c r="E159" s="5" t="s">
        <v>18453</v>
      </c>
      <c r="F159" s="5" t="s">
        <v>857</v>
      </c>
      <c r="G159" s="5"/>
      <c r="H159" s="5"/>
      <c r="I159" s="5"/>
      <c r="J159" s="5"/>
      <c r="K159" s="5"/>
      <c r="L159" s="5"/>
      <c r="M159" s="5"/>
      <c r="N159" s="5"/>
      <c r="O159" s="5"/>
      <c r="P159" s="5"/>
      <c r="Q159" s="5"/>
      <c r="AL159" s="7" t="str">
        <f>HYPERLINK("http://dx.doi.org/10.1111/j.1365-2699.2011.02555.x","http://dx.doi.org/10.1111/j.1365-2699.2011.02555.x")</f>
        <v>http://dx.doi.org/10.1111/j.1365-2699.2011.02555.x</v>
      </c>
      <c r="AM159" s="5">
        <v>52</v>
      </c>
      <c r="AN159" s="5">
        <v>55</v>
      </c>
      <c r="AO159" s="5">
        <v>38</v>
      </c>
      <c r="AP159" s="5">
        <v>11</v>
      </c>
      <c r="AQ159" s="5">
        <v>2176</v>
      </c>
      <c r="AR159" s="5">
        <v>2194</v>
      </c>
      <c r="AS159" s="5" t="s">
        <v>16</v>
      </c>
      <c r="AT159" s="5" t="s">
        <v>855</v>
      </c>
      <c r="AU159" s="5" t="s">
        <v>856</v>
      </c>
      <c r="AV159" s="5" t="s">
        <v>858</v>
      </c>
    </row>
    <row r="160" spans="1:48" ht="45" customHeight="1" x14ac:dyDescent="0.15">
      <c r="A160" s="5" t="s">
        <v>859</v>
      </c>
      <c r="B160" s="5">
        <v>2022</v>
      </c>
      <c r="C160" s="5" t="s">
        <v>860</v>
      </c>
      <c r="D160" s="5" t="s">
        <v>27</v>
      </c>
      <c r="E160" s="5" t="s">
        <v>18453</v>
      </c>
      <c r="F160" s="5" t="s">
        <v>863</v>
      </c>
      <c r="G160" s="5"/>
      <c r="H160" s="5"/>
      <c r="I160" s="5"/>
      <c r="J160" s="5"/>
      <c r="K160" s="5"/>
      <c r="L160" s="5"/>
      <c r="M160" s="5"/>
      <c r="N160" s="5"/>
      <c r="O160" s="5"/>
      <c r="P160" s="5"/>
      <c r="Q160" s="5"/>
      <c r="AL160" s="7" t="str">
        <f>HYPERLINK("http://dx.doi.org/10.1002/ecy.3587","http://dx.doi.org/10.1002/ecy.3587")</f>
        <v>http://dx.doi.org/10.1002/ecy.3587</v>
      </c>
      <c r="AM160" s="5">
        <v>8</v>
      </c>
      <c r="AN160" s="5">
        <v>8</v>
      </c>
      <c r="AO160" s="5">
        <v>103</v>
      </c>
      <c r="AP160" s="5">
        <v>2</v>
      </c>
      <c r="AQ160" s="5" t="s">
        <v>16</v>
      </c>
      <c r="AR160" s="5" t="s">
        <v>16</v>
      </c>
      <c r="AS160" s="5" t="s">
        <v>864</v>
      </c>
      <c r="AT160" s="5" t="s">
        <v>861</v>
      </c>
      <c r="AU160" s="5" t="s">
        <v>862</v>
      </c>
      <c r="AV160" s="5" t="s">
        <v>865</v>
      </c>
    </row>
    <row r="161" spans="1:48" ht="45" customHeight="1" x14ac:dyDescent="0.15">
      <c r="A161" s="5" t="s">
        <v>866</v>
      </c>
      <c r="B161" s="5">
        <v>2019</v>
      </c>
      <c r="C161" s="5" t="s">
        <v>867</v>
      </c>
      <c r="D161" s="5" t="s">
        <v>868</v>
      </c>
      <c r="E161" s="5" t="s">
        <v>18453</v>
      </c>
      <c r="F161" s="5" t="s">
        <v>871</v>
      </c>
      <c r="G161" s="5"/>
      <c r="H161" s="5"/>
      <c r="I161" s="5"/>
      <c r="J161" s="5"/>
      <c r="K161" s="5"/>
      <c r="L161" s="5"/>
      <c r="M161" s="5"/>
      <c r="N161" s="5"/>
      <c r="O161" s="5"/>
      <c r="P161" s="5"/>
      <c r="Q161" s="5"/>
      <c r="AL161" s="7" t="str">
        <f>HYPERLINK("http://dx.doi.org/10.3161/15052249PJE2019.67.4.003","http://dx.doi.org/10.3161/15052249PJE2019.67.4.003")</f>
        <v>http://dx.doi.org/10.3161/15052249PJE2019.67.4.003</v>
      </c>
      <c r="AM161" s="5">
        <v>0</v>
      </c>
      <c r="AN161" s="5">
        <v>0</v>
      </c>
      <c r="AO161" s="5">
        <v>67</v>
      </c>
      <c r="AP161" s="5">
        <v>4</v>
      </c>
      <c r="AQ161" s="5">
        <v>305</v>
      </c>
      <c r="AR161" s="5">
        <v>315</v>
      </c>
      <c r="AS161" s="5" t="s">
        <v>16</v>
      </c>
      <c r="AT161" s="5" t="s">
        <v>869</v>
      </c>
      <c r="AU161" s="5" t="s">
        <v>870</v>
      </c>
      <c r="AV161" s="5" t="s">
        <v>872</v>
      </c>
    </row>
    <row r="162" spans="1:48" ht="45" customHeight="1" x14ac:dyDescent="0.15">
      <c r="A162" s="5" t="s">
        <v>873</v>
      </c>
      <c r="B162" s="5">
        <v>2019</v>
      </c>
      <c r="C162" s="5" t="s">
        <v>874</v>
      </c>
      <c r="D162" s="5" t="s">
        <v>875</v>
      </c>
      <c r="E162" s="5" t="s">
        <v>18453</v>
      </c>
      <c r="F162" s="5" t="s">
        <v>878</v>
      </c>
      <c r="G162" s="5"/>
      <c r="H162" s="5"/>
      <c r="I162" s="5"/>
      <c r="J162" s="5"/>
      <c r="K162" s="5"/>
      <c r="L162" s="5"/>
      <c r="M162" s="5"/>
      <c r="N162" s="5"/>
      <c r="O162" s="5"/>
      <c r="P162" s="5"/>
      <c r="Q162" s="5"/>
      <c r="AL162" s="7" t="str">
        <f>HYPERLINK("http://dx.doi.org/10.1016/j.ecohyd.2018.09.001","http://dx.doi.org/10.1016/j.ecohyd.2018.09.001")</f>
        <v>http://dx.doi.org/10.1016/j.ecohyd.2018.09.001</v>
      </c>
      <c r="AM162" s="5">
        <v>22</v>
      </c>
      <c r="AN162" s="5">
        <v>24</v>
      </c>
      <c r="AO162" s="5">
        <v>19</v>
      </c>
      <c r="AP162" s="5">
        <v>2</v>
      </c>
      <c r="AQ162" s="5">
        <v>266</v>
      </c>
      <c r="AR162" s="5">
        <v>278</v>
      </c>
      <c r="AS162" s="5" t="s">
        <v>16</v>
      </c>
      <c r="AT162" s="5" t="s">
        <v>876</v>
      </c>
      <c r="AU162" s="5" t="s">
        <v>877</v>
      </c>
      <c r="AV162" s="5" t="s">
        <v>879</v>
      </c>
    </row>
    <row r="163" spans="1:48" ht="45" customHeight="1" x14ac:dyDescent="0.15">
      <c r="A163" s="5" t="s">
        <v>880</v>
      </c>
      <c r="B163" s="5">
        <v>2011</v>
      </c>
      <c r="C163" s="5" t="s">
        <v>881</v>
      </c>
      <c r="D163" s="5" t="s">
        <v>172</v>
      </c>
      <c r="E163" s="5" t="s">
        <v>18453</v>
      </c>
      <c r="F163" s="5" t="s">
        <v>884</v>
      </c>
      <c r="G163" s="5"/>
      <c r="H163" s="5"/>
      <c r="I163" s="5"/>
      <c r="J163" s="5"/>
      <c r="K163" s="5"/>
      <c r="L163" s="5"/>
      <c r="M163" s="5"/>
      <c r="N163" s="5"/>
      <c r="O163" s="5"/>
      <c r="P163" s="5"/>
      <c r="Q163" s="5"/>
      <c r="AL163" s="7" t="str">
        <f>HYPERLINK("http://dx.doi.org/10.1007/s00442-010-1888-6","http://dx.doi.org/10.1007/s00442-010-1888-6")</f>
        <v>http://dx.doi.org/10.1007/s00442-010-1888-6</v>
      </c>
      <c r="AM163" s="5">
        <v>49</v>
      </c>
      <c r="AN163" s="5">
        <v>61</v>
      </c>
      <c r="AO163" s="5">
        <v>165</v>
      </c>
      <c r="AP163" s="5">
        <v>4</v>
      </c>
      <c r="AQ163" s="5">
        <v>1083</v>
      </c>
      <c r="AR163" s="5">
        <v>1094</v>
      </c>
      <c r="AS163" s="5" t="s">
        <v>16</v>
      </c>
      <c r="AT163" s="5" t="s">
        <v>882</v>
      </c>
      <c r="AU163" s="5" t="s">
        <v>883</v>
      </c>
      <c r="AV163" s="5" t="s">
        <v>885</v>
      </c>
    </row>
    <row r="164" spans="1:48" ht="45" customHeight="1" x14ac:dyDescent="0.15">
      <c r="A164" s="5" t="s">
        <v>886</v>
      </c>
      <c r="B164" s="5">
        <v>2023</v>
      </c>
      <c r="C164" s="5" t="s">
        <v>887</v>
      </c>
      <c r="D164" s="5" t="s">
        <v>172</v>
      </c>
      <c r="E164" s="5" t="s">
        <v>18453</v>
      </c>
      <c r="F164" s="5" t="s">
        <v>890</v>
      </c>
      <c r="G164" s="5"/>
      <c r="H164" s="5"/>
      <c r="I164" s="5"/>
      <c r="J164" s="5"/>
      <c r="K164" s="5"/>
      <c r="L164" s="5"/>
      <c r="M164" s="5"/>
      <c r="N164" s="5"/>
      <c r="O164" s="5"/>
      <c r="P164" s="5"/>
      <c r="Q164" s="5"/>
      <c r="AL164" s="7" t="str">
        <f>HYPERLINK("http://dx.doi.org/10.1007/s00442-023-05410-0","http://dx.doi.org/10.1007/s00442-023-05410-0")</f>
        <v>http://dx.doi.org/10.1007/s00442-023-05410-0</v>
      </c>
      <c r="AM164" s="5">
        <v>0</v>
      </c>
      <c r="AN164" s="5">
        <v>0</v>
      </c>
      <c r="AO164" s="5">
        <v>202</v>
      </c>
      <c r="AP164" s="5">
        <v>2</v>
      </c>
      <c r="AQ164" s="5">
        <v>455</v>
      </c>
      <c r="AR164" s="5">
        <v>463</v>
      </c>
      <c r="AS164" s="5" t="s">
        <v>16</v>
      </c>
      <c r="AT164" s="5" t="s">
        <v>888</v>
      </c>
      <c r="AU164" s="5" t="s">
        <v>889</v>
      </c>
      <c r="AV164" s="5" t="s">
        <v>891</v>
      </c>
    </row>
    <row r="165" spans="1:48" ht="45" customHeight="1" x14ac:dyDescent="0.15">
      <c r="A165" s="5" t="s">
        <v>892</v>
      </c>
      <c r="B165" s="5">
        <v>2015</v>
      </c>
      <c r="C165" s="5" t="s">
        <v>893</v>
      </c>
      <c r="D165" s="5" t="s">
        <v>251</v>
      </c>
      <c r="E165" s="5" t="s">
        <v>18453</v>
      </c>
      <c r="F165" s="5" t="s">
        <v>896</v>
      </c>
      <c r="G165" s="5"/>
      <c r="H165" s="5"/>
      <c r="I165" s="5"/>
      <c r="J165" s="5"/>
      <c r="K165" s="5"/>
      <c r="L165" s="5"/>
      <c r="M165" s="5"/>
      <c r="N165" s="5"/>
      <c r="O165" s="5"/>
      <c r="P165" s="5"/>
      <c r="Q165" s="5"/>
      <c r="AL165" s="7" t="str">
        <f>HYPERLINK("http://dx.doi.org/10.1016/j.biocon.2014.10.001","http://dx.doi.org/10.1016/j.biocon.2014.10.001")</f>
        <v>http://dx.doi.org/10.1016/j.biocon.2014.10.001</v>
      </c>
      <c r="AM165" s="5">
        <v>13</v>
      </c>
      <c r="AN165" s="5">
        <v>13</v>
      </c>
      <c r="AO165" s="5">
        <v>185</v>
      </c>
      <c r="AP165" s="5" t="s">
        <v>16</v>
      </c>
      <c r="AQ165" s="5">
        <v>59</v>
      </c>
      <c r="AR165" s="5">
        <v>65</v>
      </c>
      <c r="AS165" s="5" t="s">
        <v>16</v>
      </c>
      <c r="AT165" s="5" t="s">
        <v>894</v>
      </c>
      <c r="AU165" s="5" t="s">
        <v>895</v>
      </c>
      <c r="AV165" s="5" t="s">
        <v>897</v>
      </c>
    </row>
    <row r="166" spans="1:48" ht="45" customHeight="1" x14ac:dyDescent="0.15">
      <c r="A166" s="5" t="s">
        <v>898</v>
      </c>
      <c r="B166" s="5">
        <v>2023</v>
      </c>
      <c r="C166" s="5" t="s">
        <v>899</v>
      </c>
      <c r="D166" s="5" t="s">
        <v>27</v>
      </c>
      <c r="E166" s="5" t="s">
        <v>18453</v>
      </c>
      <c r="F166" s="5" t="s">
        <v>902</v>
      </c>
      <c r="G166" s="5"/>
      <c r="H166" s="5"/>
      <c r="I166" s="5"/>
      <c r="J166" s="5"/>
      <c r="K166" s="5"/>
      <c r="L166" s="5"/>
      <c r="M166" s="5"/>
      <c r="N166" s="5"/>
      <c r="O166" s="5"/>
      <c r="P166" s="5"/>
      <c r="Q166" s="5"/>
      <c r="AL166" s="7" t="str">
        <f>HYPERLINK("http://dx.doi.org/10.1002/ecy.3865","http://dx.doi.org/10.1002/ecy.3865")</f>
        <v>http://dx.doi.org/10.1002/ecy.3865</v>
      </c>
      <c r="AM166" s="5">
        <v>0</v>
      </c>
      <c r="AN166" s="5">
        <v>0</v>
      </c>
      <c r="AO166" s="5">
        <v>104</v>
      </c>
      <c r="AP166" s="5">
        <v>1</v>
      </c>
      <c r="AQ166" s="5" t="s">
        <v>16</v>
      </c>
      <c r="AR166" s="5" t="s">
        <v>16</v>
      </c>
      <c r="AS166" s="5" t="s">
        <v>16</v>
      </c>
      <c r="AT166" s="5" t="s">
        <v>900</v>
      </c>
      <c r="AU166" s="5" t="s">
        <v>901</v>
      </c>
      <c r="AV166" s="5" t="s">
        <v>903</v>
      </c>
    </row>
    <row r="167" spans="1:48" ht="45" customHeight="1" x14ac:dyDescent="0.15">
      <c r="A167" s="5" t="s">
        <v>904</v>
      </c>
      <c r="B167" s="5">
        <v>2012</v>
      </c>
      <c r="C167" s="5" t="s">
        <v>905</v>
      </c>
      <c r="D167" s="5" t="s">
        <v>77</v>
      </c>
      <c r="E167" s="5" t="s">
        <v>18453</v>
      </c>
      <c r="F167" s="5" t="s">
        <v>908</v>
      </c>
      <c r="G167" s="5"/>
      <c r="H167" s="5"/>
      <c r="I167" s="5"/>
      <c r="J167" s="5"/>
      <c r="K167" s="5"/>
      <c r="L167" s="5"/>
      <c r="M167" s="5"/>
      <c r="N167" s="5"/>
      <c r="O167" s="5"/>
      <c r="P167" s="5"/>
      <c r="Q167" s="5"/>
      <c r="AL167" s="7" t="str">
        <f>HYPERLINK("http://dx.doi.org/10.1111/j.1365-2656.2011.01925.x","http://dx.doi.org/10.1111/j.1365-2656.2011.01925.x")</f>
        <v>http://dx.doi.org/10.1111/j.1365-2656.2011.01925.x</v>
      </c>
      <c r="AM167" s="5">
        <v>58</v>
      </c>
      <c r="AN167" s="5">
        <v>62</v>
      </c>
      <c r="AO167" s="5">
        <v>81</v>
      </c>
      <c r="AP167" s="5">
        <v>2</v>
      </c>
      <c r="AQ167" s="5">
        <v>310</v>
      </c>
      <c r="AR167" s="5">
        <v>322</v>
      </c>
      <c r="AS167" s="5" t="s">
        <v>16</v>
      </c>
      <c r="AT167" s="5" t="s">
        <v>906</v>
      </c>
      <c r="AU167" s="5" t="s">
        <v>907</v>
      </c>
      <c r="AV167" s="5" t="s">
        <v>909</v>
      </c>
    </row>
    <row r="168" spans="1:48" ht="45" customHeight="1" x14ac:dyDescent="0.15">
      <c r="A168" s="5" t="s">
        <v>910</v>
      </c>
      <c r="B168" s="5">
        <v>2013</v>
      </c>
      <c r="C168" s="5" t="s">
        <v>911</v>
      </c>
      <c r="D168" s="5" t="s">
        <v>17</v>
      </c>
      <c r="E168" s="5" t="s">
        <v>18453</v>
      </c>
      <c r="F168" s="5" t="s">
        <v>914</v>
      </c>
      <c r="G168" s="5"/>
      <c r="H168" s="5"/>
      <c r="I168" s="5"/>
      <c r="J168" s="5"/>
      <c r="K168" s="5"/>
      <c r="L168" s="5"/>
      <c r="M168" s="5"/>
      <c r="N168" s="5"/>
      <c r="O168" s="5"/>
      <c r="P168" s="5"/>
      <c r="Q168" s="5"/>
      <c r="AL168" s="7" t="str">
        <f>HYPERLINK("http://dx.doi.org/10.1111/fwb.12123","http://dx.doi.org/10.1111/fwb.12123")</f>
        <v>http://dx.doi.org/10.1111/fwb.12123</v>
      </c>
      <c r="AM168" s="5">
        <v>33</v>
      </c>
      <c r="AN168" s="5">
        <v>34</v>
      </c>
      <c r="AO168" s="5">
        <v>58</v>
      </c>
      <c r="AP168" s="5">
        <v>6</v>
      </c>
      <c r="AQ168" s="5">
        <v>1234</v>
      </c>
      <c r="AR168" s="5">
        <v>1250</v>
      </c>
      <c r="AS168" s="5" t="s">
        <v>16</v>
      </c>
      <c r="AT168" s="5" t="s">
        <v>912</v>
      </c>
      <c r="AU168" s="5" t="s">
        <v>913</v>
      </c>
      <c r="AV168" s="5" t="s">
        <v>915</v>
      </c>
    </row>
    <row r="169" spans="1:48" ht="45" customHeight="1" x14ac:dyDescent="0.15">
      <c r="A169" s="5" t="s">
        <v>916</v>
      </c>
      <c r="B169" s="5">
        <v>2014</v>
      </c>
      <c r="C169" s="5" t="s">
        <v>917</v>
      </c>
      <c r="D169" s="5" t="s">
        <v>17</v>
      </c>
      <c r="E169" s="5" t="s">
        <v>18453</v>
      </c>
      <c r="F169" s="5" t="s">
        <v>920</v>
      </c>
      <c r="G169" s="5"/>
      <c r="H169" s="5"/>
      <c r="I169" s="5"/>
      <c r="J169" s="5"/>
      <c r="K169" s="5"/>
      <c r="L169" s="5"/>
      <c r="M169" s="5"/>
      <c r="N169" s="5"/>
      <c r="O169" s="5"/>
      <c r="P169" s="5"/>
      <c r="Q169" s="5"/>
      <c r="AL169" s="7" t="str">
        <f>HYPERLINK("http://dx.doi.org/10.1111/fwb.12247","http://dx.doi.org/10.1111/fwb.12247")</f>
        <v>http://dx.doi.org/10.1111/fwb.12247</v>
      </c>
      <c r="AM169" s="5">
        <v>20</v>
      </c>
      <c r="AN169" s="5">
        <v>20</v>
      </c>
      <c r="AO169" s="5">
        <v>59</v>
      </c>
      <c r="AP169" s="5">
        <v>1</v>
      </c>
      <c r="AQ169" s="5">
        <v>73</v>
      </c>
      <c r="AR169" s="5">
        <v>86</v>
      </c>
      <c r="AS169" s="5" t="s">
        <v>16</v>
      </c>
      <c r="AT169" s="5" t="s">
        <v>918</v>
      </c>
      <c r="AU169" s="5" t="s">
        <v>919</v>
      </c>
      <c r="AV169" s="5" t="s">
        <v>921</v>
      </c>
    </row>
    <row r="170" spans="1:48" ht="45" customHeight="1" x14ac:dyDescent="0.15">
      <c r="A170" s="5" t="s">
        <v>922</v>
      </c>
      <c r="B170" s="5">
        <v>2010</v>
      </c>
      <c r="C170" s="5" t="s">
        <v>923</v>
      </c>
      <c r="D170" s="5" t="s">
        <v>513</v>
      </c>
      <c r="E170" s="5" t="s">
        <v>18453</v>
      </c>
      <c r="F170" s="5" t="s">
        <v>926</v>
      </c>
      <c r="G170" s="5"/>
      <c r="H170" s="5"/>
      <c r="I170" s="5"/>
      <c r="J170" s="5"/>
      <c r="K170" s="5"/>
      <c r="L170" s="5"/>
      <c r="M170" s="5"/>
      <c r="N170" s="5"/>
      <c r="O170" s="5"/>
      <c r="P170" s="5"/>
      <c r="Q170" s="5"/>
      <c r="AL170" s="7" t="str">
        <f>HYPERLINK("http://dx.doi.org/10.1016/j.ecoleng.2009.12.017","http://dx.doi.org/10.1016/j.ecoleng.2009.12.017")</f>
        <v>http://dx.doi.org/10.1016/j.ecoleng.2009.12.017</v>
      </c>
      <c r="AM170" s="5">
        <v>10</v>
      </c>
      <c r="AN170" s="5">
        <v>10</v>
      </c>
      <c r="AO170" s="5">
        <v>36</v>
      </c>
      <c r="AP170" s="5">
        <v>4</v>
      </c>
      <c r="AQ170" s="5">
        <v>601</v>
      </c>
      <c r="AR170" s="5">
        <v>604</v>
      </c>
      <c r="AS170" s="5" t="s">
        <v>16</v>
      </c>
      <c r="AT170" s="5" t="s">
        <v>924</v>
      </c>
      <c r="AU170" s="5" t="s">
        <v>925</v>
      </c>
      <c r="AV170" s="5" t="s">
        <v>927</v>
      </c>
    </row>
    <row r="171" spans="1:48" ht="45" customHeight="1" x14ac:dyDescent="0.15">
      <c r="A171" s="5" t="s">
        <v>928</v>
      </c>
      <c r="B171" s="5">
        <v>2021</v>
      </c>
      <c r="C171" s="5" t="s">
        <v>929</v>
      </c>
      <c r="D171" s="5" t="s">
        <v>33</v>
      </c>
      <c r="E171" s="5" t="s">
        <v>18453</v>
      </c>
      <c r="F171" s="5" t="s">
        <v>932</v>
      </c>
      <c r="G171" s="5"/>
      <c r="H171" s="5"/>
      <c r="I171" s="5"/>
      <c r="J171" s="5"/>
      <c r="K171" s="5"/>
      <c r="L171" s="5"/>
      <c r="M171" s="5"/>
      <c r="N171" s="5"/>
      <c r="O171" s="5"/>
      <c r="P171" s="5"/>
      <c r="Q171" s="5"/>
      <c r="AL171" s="7" t="str">
        <f>HYPERLINK("http://dx.doi.org/10.1111/gcb.15382","http://dx.doi.org/10.1111/gcb.15382")</f>
        <v>http://dx.doi.org/10.1111/gcb.15382</v>
      </c>
      <c r="AM171" s="5">
        <v>15</v>
      </c>
      <c r="AN171" s="5">
        <v>15</v>
      </c>
      <c r="AO171" s="5">
        <v>27</v>
      </c>
      <c r="AP171" s="5">
        <v>1</v>
      </c>
      <c r="AQ171" s="5">
        <v>136</v>
      </c>
      <c r="AR171" s="5">
        <v>150</v>
      </c>
      <c r="AS171" s="5" t="s">
        <v>16</v>
      </c>
      <c r="AT171" s="5" t="s">
        <v>930</v>
      </c>
      <c r="AU171" s="5" t="s">
        <v>931</v>
      </c>
      <c r="AV171" s="5" t="s">
        <v>933</v>
      </c>
    </row>
    <row r="172" spans="1:48" ht="45" customHeight="1" x14ac:dyDescent="0.15">
      <c r="A172" s="5" t="s">
        <v>934</v>
      </c>
      <c r="B172" s="5">
        <v>2022</v>
      </c>
      <c r="C172" s="5" t="s">
        <v>935</v>
      </c>
      <c r="D172" s="5" t="s">
        <v>111</v>
      </c>
      <c r="E172" s="5" t="s">
        <v>18453</v>
      </c>
      <c r="F172" s="5" t="s">
        <v>938</v>
      </c>
      <c r="G172" s="5"/>
      <c r="H172" s="5"/>
      <c r="I172" s="5"/>
      <c r="J172" s="5"/>
      <c r="K172" s="5"/>
      <c r="L172" s="5"/>
      <c r="M172" s="5"/>
      <c r="N172" s="5"/>
      <c r="O172" s="5"/>
      <c r="P172" s="5"/>
      <c r="Q172" s="5"/>
      <c r="AL172" s="7" t="str">
        <f>HYPERLINK("http://dx.doi.org/10.1007/s10452-021-09923-9","http://dx.doi.org/10.1007/s10452-021-09923-9")</f>
        <v>http://dx.doi.org/10.1007/s10452-021-09923-9</v>
      </c>
      <c r="AM172" s="5">
        <v>1</v>
      </c>
      <c r="AN172" s="5">
        <v>1</v>
      </c>
      <c r="AO172" s="5">
        <v>56</v>
      </c>
      <c r="AP172" s="5">
        <v>3</v>
      </c>
      <c r="AQ172" s="5">
        <v>525</v>
      </c>
      <c r="AR172" s="5">
        <v>541</v>
      </c>
      <c r="AS172" s="5" t="s">
        <v>16</v>
      </c>
      <c r="AT172" s="5" t="s">
        <v>936</v>
      </c>
      <c r="AU172" s="5" t="s">
        <v>937</v>
      </c>
      <c r="AV172" s="5" t="s">
        <v>939</v>
      </c>
    </row>
    <row r="173" spans="1:48" ht="45" customHeight="1" x14ac:dyDescent="0.15">
      <c r="A173" s="5" t="s">
        <v>940</v>
      </c>
      <c r="B173" s="5">
        <v>2020</v>
      </c>
      <c r="C173" s="5" t="s">
        <v>941</v>
      </c>
      <c r="D173" s="5" t="s">
        <v>942</v>
      </c>
      <c r="E173" s="5" t="s">
        <v>18453</v>
      </c>
      <c r="F173" s="5" t="s">
        <v>945</v>
      </c>
      <c r="G173" s="5"/>
      <c r="H173" s="5"/>
      <c r="I173" s="5"/>
      <c r="J173" s="5"/>
      <c r="K173" s="5"/>
      <c r="L173" s="5"/>
      <c r="M173" s="5"/>
      <c r="N173" s="5"/>
      <c r="O173" s="5"/>
      <c r="P173" s="5"/>
      <c r="Q173" s="5"/>
      <c r="AL173" s="7" t="str">
        <f>HYPERLINK("http://dx.doi.org/10.1016/j.rsma.2020.101234","http://dx.doi.org/10.1016/j.rsma.2020.101234")</f>
        <v>http://dx.doi.org/10.1016/j.rsma.2020.101234</v>
      </c>
      <c r="AM173" s="5">
        <v>4</v>
      </c>
      <c r="AN173" s="5">
        <v>4</v>
      </c>
      <c r="AO173" s="5">
        <v>35</v>
      </c>
      <c r="AP173" s="5" t="s">
        <v>16</v>
      </c>
      <c r="AQ173" s="5" t="s">
        <v>16</v>
      </c>
      <c r="AR173" s="5" t="s">
        <v>16</v>
      </c>
      <c r="AS173" s="5">
        <v>101234</v>
      </c>
      <c r="AT173" s="5" t="s">
        <v>943</v>
      </c>
      <c r="AU173" s="5" t="s">
        <v>944</v>
      </c>
      <c r="AV173" s="5" t="s">
        <v>946</v>
      </c>
    </row>
    <row r="174" spans="1:48" ht="45" customHeight="1" x14ac:dyDescent="0.15">
      <c r="A174" s="5" t="s">
        <v>947</v>
      </c>
      <c r="B174" s="5">
        <v>2020</v>
      </c>
      <c r="C174" s="5" t="s">
        <v>948</v>
      </c>
      <c r="D174" s="5" t="s">
        <v>49</v>
      </c>
      <c r="E174" s="5" t="s">
        <v>18453</v>
      </c>
      <c r="F174" s="5" t="s">
        <v>951</v>
      </c>
      <c r="G174" s="5"/>
      <c r="H174" s="5"/>
      <c r="I174" s="5"/>
      <c r="J174" s="5"/>
      <c r="K174" s="5"/>
      <c r="L174" s="5"/>
      <c r="M174" s="5"/>
      <c r="N174" s="5"/>
      <c r="O174" s="5"/>
      <c r="P174" s="5"/>
      <c r="Q174" s="5"/>
      <c r="AL174" s="7" t="str">
        <f>HYPERLINK("http://dx.doi.org/10.3354/meps13305","http://dx.doi.org/10.3354/meps13305")</f>
        <v>http://dx.doi.org/10.3354/meps13305</v>
      </c>
      <c r="AM174" s="5">
        <v>7</v>
      </c>
      <c r="AN174" s="5">
        <v>7</v>
      </c>
      <c r="AO174" s="5">
        <v>641</v>
      </c>
      <c r="AP174" s="5" t="s">
        <v>16</v>
      </c>
      <c r="AQ174" s="5">
        <v>195</v>
      </c>
      <c r="AR174" s="5">
        <v>208</v>
      </c>
      <c r="AS174" s="5" t="s">
        <v>16</v>
      </c>
      <c r="AT174" s="5" t="s">
        <v>949</v>
      </c>
      <c r="AU174" s="5" t="s">
        <v>950</v>
      </c>
      <c r="AV174" s="5" t="s">
        <v>952</v>
      </c>
    </row>
    <row r="175" spans="1:48" ht="45" customHeight="1" x14ac:dyDescent="0.15">
      <c r="A175" s="5" t="s">
        <v>953</v>
      </c>
      <c r="B175" s="5">
        <v>2009</v>
      </c>
      <c r="C175" s="5" t="s">
        <v>954</v>
      </c>
      <c r="D175" s="5" t="s">
        <v>161</v>
      </c>
      <c r="E175" s="5" t="s">
        <v>18453</v>
      </c>
      <c r="F175" s="5" t="s">
        <v>957</v>
      </c>
      <c r="G175" s="5"/>
      <c r="H175" s="5"/>
      <c r="I175" s="5"/>
      <c r="J175" s="5"/>
      <c r="K175" s="5"/>
      <c r="L175" s="5"/>
      <c r="M175" s="5"/>
      <c r="N175" s="5"/>
      <c r="O175" s="5"/>
      <c r="P175" s="5"/>
      <c r="Q175" s="5"/>
      <c r="AL175" s="7" t="str">
        <f>HYPERLINK("http://dx.doi.org/10.1111/j.1466-8238.2009.00475.x","http://dx.doi.org/10.1111/j.1466-8238.2009.00475.x")</f>
        <v>http://dx.doi.org/10.1111/j.1466-8238.2009.00475.x</v>
      </c>
      <c r="AM175" s="5">
        <v>18</v>
      </c>
      <c r="AN175" s="5">
        <v>20</v>
      </c>
      <c r="AO175" s="5">
        <v>18</v>
      </c>
      <c r="AP175" s="5">
        <v>6</v>
      </c>
      <c r="AQ175" s="5">
        <v>711</v>
      </c>
      <c r="AR175" s="5">
        <v>723</v>
      </c>
      <c r="AS175" s="5" t="s">
        <v>16</v>
      </c>
      <c r="AT175" s="5" t="s">
        <v>955</v>
      </c>
      <c r="AU175" s="5" t="s">
        <v>956</v>
      </c>
      <c r="AV175" s="5" t="s">
        <v>958</v>
      </c>
    </row>
    <row r="176" spans="1:48" ht="45" customHeight="1" x14ac:dyDescent="0.15">
      <c r="A176" s="5" t="s">
        <v>959</v>
      </c>
      <c r="B176" s="5">
        <v>2017</v>
      </c>
      <c r="C176" s="5" t="s">
        <v>960</v>
      </c>
      <c r="D176" s="5" t="s">
        <v>212</v>
      </c>
      <c r="E176" s="5" t="s">
        <v>18453</v>
      </c>
      <c r="F176" s="5" t="s">
        <v>963</v>
      </c>
      <c r="G176" s="5"/>
      <c r="H176" s="5"/>
      <c r="I176" s="5"/>
      <c r="J176" s="5"/>
      <c r="K176" s="5"/>
      <c r="L176" s="5"/>
      <c r="M176" s="5"/>
      <c r="N176" s="5"/>
      <c r="O176" s="5"/>
      <c r="P176" s="5"/>
      <c r="Q176" s="5"/>
      <c r="AL176" s="7" t="str">
        <f>HYPERLINK("http://dx.doi.org/10.1007/s00300-017-2132-1","http://dx.doi.org/10.1007/s00300-017-2132-1")</f>
        <v>http://dx.doi.org/10.1007/s00300-017-2132-1</v>
      </c>
      <c r="AM176" s="5">
        <v>13</v>
      </c>
      <c r="AN176" s="5">
        <v>13</v>
      </c>
      <c r="AO176" s="5">
        <v>40</v>
      </c>
      <c r="AP176" s="5">
        <v>11</v>
      </c>
      <c r="AQ176" s="5">
        <v>2171</v>
      </c>
      <c r="AR176" s="5">
        <v>2185</v>
      </c>
      <c r="AS176" s="5" t="s">
        <v>16</v>
      </c>
      <c r="AT176" s="5" t="s">
        <v>961</v>
      </c>
      <c r="AU176" s="5" t="s">
        <v>962</v>
      </c>
      <c r="AV176" s="5" t="s">
        <v>964</v>
      </c>
    </row>
    <row r="177" spans="1:48" ht="45" customHeight="1" x14ac:dyDescent="0.15">
      <c r="A177" s="5" t="s">
        <v>965</v>
      </c>
      <c r="B177" s="5">
        <v>2021</v>
      </c>
      <c r="C177" s="5" t="s">
        <v>966</v>
      </c>
      <c r="D177" s="5" t="s">
        <v>262</v>
      </c>
      <c r="E177" s="5" t="s">
        <v>18453</v>
      </c>
      <c r="F177" s="5" t="s">
        <v>969</v>
      </c>
      <c r="G177" s="5"/>
      <c r="H177" s="5"/>
      <c r="I177" s="5"/>
      <c r="J177" s="5"/>
      <c r="K177" s="5"/>
      <c r="L177" s="5"/>
      <c r="M177" s="5"/>
      <c r="N177" s="5"/>
      <c r="O177" s="5"/>
      <c r="P177" s="5"/>
      <c r="Q177" s="5"/>
      <c r="AL177" s="7" t="str">
        <f>HYPERLINK("http://dx.doi.org/10.1111/oik.08450","http://dx.doi.org/10.1111/oik.08450")</f>
        <v>http://dx.doi.org/10.1111/oik.08450</v>
      </c>
      <c r="AM177" s="5">
        <v>4</v>
      </c>
      <c r="AN177" s="5">
        <v>4</v>
      </c>
      <c r="AO177" s="5">
        <v>130</v>
      </c>
      <c r="AP177" s="5">
        <v>10</v>
      </c>
      <c r="AQ177" s="5">
        <v>1650</v>
      </c>
      <c r="AR177" s="5">
        <v>1664</v>
      </c>
      <c r="AS177" s="5" t="s">
        <v>16</v>
      </c>
      <c r="AT177" s="5" t="s">
        <v>967</v>
      </c>
      <c r="AU177" s="5" t="s">
        <v>968</v>
      </c>
      <c r="AV177" s="5" t="s">
        <v>970</v>
      </c>
    </row>
    <row r="178" spans="1:48" ht="45" customHeight="1" x14ac:dyDescent="0.15">
      <c r="A178" s="5" t="s">
        <v>971</v>
      </c>
      <c r="B178" s="5">
        <v>2011</v>
      </c>
      <c r="C178" s="5" t="s">
        <v>972</v>
      </c>
      <c r="D178" s="5" t="s">
        <v>973</v>
      </c>
      <c r="E178" s="5" t="s">
        <v>18453</v>
      </c>
      <c r="F178" s="5" t="s">
        <v>975</v>
      </c>
      <c r="G178" s="5"/>
      <c r="H178" s="5"/>
      <c r="I178" s="5"/>
      <c r="J178" s="5"/>
      <c r="K178" s="5"/>
      <c r="L178" s="5"/>
      <c r="M178" s="5"/>
      <c r="N178" s="5"/>
      <c r="O178" s="5"/>
      <c r="P178" s="5"/>
      <c r="Q178" s="5"/>
      <c r="AL178" s="7" t="str">
        <f>HYPERLINK("http://dx.doi.org/10.5194/bg-8-1769-2011","http://dx.doi.org/10.5194/bg-8-1769-2011")</f>
        <v>http://dx.doi.org/10.5194/bg-8-1769-2011</v>
      </c>
      <c r="AM178" s="5">
        <v>58</v>
      </c>
      <c r="AN178" s="5">
        <v>60</v>
      </c>
      <c r="AO178" s="5">
        <v>8</v>
      </c>
      <c r="AP178" s="5">
        <v>7</v>
      </c>
      <c r="AQ178" s="5">
        <v>1769</v>
      </c>
      <c r="AR178" s="5">
        <v>1778</v>
      </c>
      <c r="AS178" s="5" t="s">
        <v>16</v>
      </c>
      <c r="AT178" s="5" t="s">
        <v>16</v>
      </c>
      <c r="AU178" s="5" t="s">
        <v>974</v>
      </c>
      <c r="AV178" s="5" t="s">
        <v>976</v>
      </c>
    </row>
    <row r="179" spans="1:48" ht="45" customHeight="1" x14ac:dyDescent="0.15">
      <c r="A179" s="5" t="s">
        <v>977</v>
      </c>
      <c r="B179" s="5">
        <v>2020</v>
      </c>
      <c r="C179" s="5" t="s">
        <v>978</v>
      </c>
      <c r="D179" s="5" t="s">
        <v>212</v>
      </c>
      <c r="E179" s="5" t="s">
        <v>18453</v>
      </c>
      <c r="F179" s="5" t="s">
        <v>981</v>
      </c>
      <c r="G179" s="5"/>
      <c r="H179" s="5"/>
      <c r="I179" s="5"/>
      <c r="J179" s="5"/>
      <c r="K179" s="5"/>
      <c r="L179" s="5"/>
      <c r="M179" s="5"/>
      <c r="N179" s="5"/>
      <c r="O179" s="5"/>
      <c r="P179" s="5"/>
      <c r="Q179" s="5"/>
      <c r="AL179" s="7" t="str">
        <f>HYPERLINK("http://dx.doi.org/10.1007/s00300-020-02738-8","http://dx.doi.org/10.1007/s00300-020-02738-8")</f>
        <v>http://dx.doi.org/10.1007/s00300-020-02738-8</v>
      </c>
      <c r="AM179" s="5">
        <v>11</v>
      </c>
      <c r="AN179" s="5">
        <v>12</v>
      </c>
      <c r="AO179" s="5">
        <v>43</v>
      </c>
      <c r="AP179" s="5">
        <v>11</v>
      </c>
      <c r="AQ179" s="5">
        <v>1707</v>
      </c>
      <c r="AR179" s="5">
        <v>1724</v>
      </c>
      <c r="AS179" s="5" t="s">
        <v>16</v>
      </c>
      <c r="AT179" s="5" t="s">
        <v>979</v>
      </c>
      <c r="AU179" s="5" t="s">
        <v>980</v>
      </c>
      <c r="AV179" s="5" t="s">
        <v>982</v>
      </c>
    </row>
    <row r="180" spans="1:48" ht="45" customHeight="1" x14ac:dyDescent="0.15">
      <c r="A180" s="5" t="s">
        <v>983</v>
      </c>
      <c r="B180" s="5">
        <v>2018</v>
      </c>
      <c r="C180" s="5" t="s">
        <v>984</v>
      </c>
      <c r="D180" s="5" t="s">
        <v>18</v>
      </c>
      <c r="E180" s="5" t="s">
        <v>18453</v>
      </c>
      <c r="F180" s="5" t="s">
        <v>987</v>
      </c>
      <c r="G180" s="5"/>
      <c r="H180" s="5"/>
      <c r="I180" s="5"/>
      <c r="J180" s="5"/>
      <c r="K180" s="5"/>
      <c r="L180" s="5"/>
      <c r="M180" s="5"/>
      <c r="N180" s="5"/>
      <c r="O180" s="5"/>
      <c r="P180" s="5"/>
      <c r="Q180" s="5"/>
      <c r="AL180" s="7" t="str">
        <f>HYPERLINK("http://dx.doi.org/10.1002/ecs2.2080","http://dx.doi.org/10.1002/ecs2.2080")</f>
        <v>http://dx.doi.org/10.1002/ecs2.2080</v>
      </c>
      <c r="AM180" s="5">
        <v>21</v>
      </c>
      <c r="AN180" s="5">
        <v>21</v>
      </c>
      <c r="AO180" s="5">
        <v>9</v>
      </c>
      <c r="AP180" s="5">
        <v>1</v>
      </c>
      <c r="AQ180" s="5" t="s">
        <v>16</v>
      </c>
      <c r="AR180" s="5" t="s">
        <v>16</v>
      </c>
      <c r="AS180" s="5" t="s">
        <v>988</v>
      </c>
      <c r="AT180" s="5" t="s">
        <v>985</v>
      </c>
      <c r="AU180" s="5" t="s">
        <v>986</v>
      </c>
      <c r="AV180" s="5" t="s">
        <v>989</v>
      </c>
    </row>
    <row r="181" spans="1:48" ht="45" customHeight="1" x14ac:dyDescent="0.15">
      <c r="A181" s="5" t="s">
        <v>990</v>
      </c>
      <c r="B181" s="5">
        <v>2018</v>
      </c>
      <c r="C181" s="5" t="s">
        <v>991</v>
      </c>
      <c r="D181" s="5" t="s">
        <v>44</v>
      </c>
      <c r="E181" s="5" t="s">
        <v>18453</v>
      </c>
      <c r="F181" s="5" t="s">
        <v>994</v>
      </c>
      <c r="G181" s="5"/>
      <c r="H181" s="5"/>
      <c r="I181" s="5"/>
      <c r="J181" s="5"/>
      <c r="K181" s="5"/>
      <c r="L181" s="5"/>
      <c r="M181" s="5"/>
      <c r="N181" s="5"/>
      <c r="O181" s="5"/>
      <c r="P181" s="5"/>
      <c r="Q181" s="5"/>
      <c r="AL181" s="7" t="str">
        <f>HYPERLINK("http://dx.doi.org/10.3389/fevo.2018.00041","http://dx.doi.org/10.3389/fevo.2018.00041")</f>
        <v>http://dx.doi.org/10.3389/fevo.2018.00041</v>
      </c>
      <c r="AM181" s="5">
        <v>4</v>
      </c>
      <c r="AN181" s="5">
        <v>4</v>
      </c>
      <c r="AO181" s="5">
        <v>6</v>
      </c>
      <c r="AP181" s="5" t="s">
        <v>16</v>
      </c>
      <c r="AQ181" s="5" t="s">
        <v>16</v>
      </c>
      <c r="AR181" s="5" t="s">
        <v>16</v>
      </c>
      <c r="AS181" s="5">
        <v>41</v>
      </c>
      <c r="AT181" s="5" t="s">
        <v>992</v>
      </c>
      <c r="AU181" s="5" t="s">
        <v>993</v>
      </c>
      <c r="AV181" s="5" t="s">
        <v>995</v>
      </c>
    </row>
    <row r="182" spans="1:48" ht="45" customHeight="1" x14ac:dyDescent="0.15">
      <c r="A182" s="5" t="s">
        <v>996</v>
      </c>
      <c r="B182" s="5">
        <v>2021</v>
      </c>
      <c r="C182" s="5" t="s">
        <v>997</v>
      </c>
      <c r="D182" s="5" t="s">
        <v>77</v>
      </c>
      <c r="E182" s="5" t="s">
        <v>18453</v>
      </c>
      <c r="F182" s="5" t="s">
        <v>1000</v>
      </c>
      <c r="G182" s="5"/>
      <c r="H182" s="5"/>
      <c r="I182" s="5"/>
      <c r="J182" s="5"/>
      <c r="K182" s="5"/>
      <c r="L182" s="5"/>
      <c r="M182" s="5"/>
      <c r="N182" s="5"/>
      <c r="O182" s="5"/>
      <c r="P182" s="5"/>
      <c r="Q182" s="5"/>
      <c r="AL182" s="7" t="str">
        <f>HYPERLINK("http://dx.doi.org/10.1111/1365-2656.13478","http://dx.doi.org/10.1111/1365-2656.13478")</f>
        <v>http://dx.doi.org/10.1111/1365-2656.13478</v>
      </c>
      <c r="AM182" s="5">
        <v>6</v>
      </c>
      <c r="AN182" s="5">
        <v>6</v>
      </c>
      <c r="AO182" s="5">
        <v>90</v>
      </c>
      <c r="AP182" s="5">
        <v>6</v>
      </c>
      <c r="AQ182" s="5">
        <v>1583</v>
      </c>
      <c r="AR182" s="5">
        <v>1595</v>
      </c>
      <c r="AS182" s="5" t="s">
        <v>16</v>
      </c>
      <c r="AT182" s="5" t="s">
        <v>998</v>
      </c>
      <c r="AU182" s="5" t="s">
        <v>999</v>
      </c>
      <c r="AV182" s="5" t="s">
        <v>1001</v>
      </c>
    </row>
    <row r="183" spans="1:48" ht="45" customHeight="1" x14ac:dyDescent="0.15">
      <c r="A183" s="5" t="s">
        <v>1002</v>
      </c>
      <c r="B183" s="5">
        <v>2006</v>
      </c>
      <c r="C183" s="5" t="s">
        <v>1003</v>
      </c>
      <c r="D183" s="5" t="s">
        <v>1004</v>
      </c>
      <c r="E183" s="5" t="s">
        <v>18453</v>
      </c>
      <c r="F183" s="5" t="s">
        <v>1007</v>
      </c>
      <c r="G183" s="5"/>
      <c r="H183" s="5"/>
      <c r="I183" s="5"/>
      <c r="J183" s="5"/>
      <c r="K183" s="5"/>
      <c r="L183" s="5"/>
      <c r="M183" s="5"/>
      <c r="N183" s="5"/>
      <c r="O183" s="5"/>
      <c r="P183" s="5"/>
      <c r="Q183" s="5"/>
      <c r="AL183" s="7" t="str">
        <f>HYPERLINK("http://dx.doi.org/10.1111/j.1365-2028.2006.00579.x","http://dx.doi.org/10.1111/j.1365-2028.2006.00579.x")</f>
        <v>http://dx.doi.org/10.1111/j.1365-2028.2006.00579.x</v>
      </c>
      <c r="AM183" s="5">
        <v>7</v>
      </c>
      <c r="AN183" s="5">
        <v>8</v>
      </c>
      <c r="AO183" s="5">
        <v>44</v>
      </c>
      <c r="AP183" s="5">
        <v>2</v>
      </c>
      <c r="AQ183" s="5">
        <v>145</v>
      </c>
      <c r="AR183" s="5">
        <v>156</v>
      </c>
      <c r="AS183" s="5" t="s">
        <v>16</v>
      </c>
      <c r="AT183" s="5" t="s">
        <v>1005</v>
      </c>
      <c r="AU183" s="5" t="s">
        <v>1006</v>
      </c>
      <c r="AV183" s="5" t="s">
        <v>1008</v>
      </c>
    </row>
    <row r="184" spans="1:48" ht="45" customHeight="1" x14ac:dyDescent="0.15">
      <c r="A184" s="5" t="s">
        <v>1009</v>
      </c>
      <c r="B184" s="5">
        <v>2022</v>
      </c>
      <c r="C184" s="5" t="s">
        <v>1010</v>
      </c>
      <c r="D184" s="5" t="s">
        <v>92</v>
      </c>
      <c r="E184" s="5" t="s">
        <v>18453</v>
      </c>
      <c r="F184" s="5" t="s">
        <v>1013</v>
      </c>
      <c r="G184" s="5"/>
      <c r="H184" s="5"/>
      <c r="I184" s="5"/>
      <c r="J184" s="5"/>
      <c r="K184" s="5"/>
      <c r="L184" s="5"/>
      <c r="M184" s="5"/>
      <c r="N184" s="5"/>
      <c r="O184" s="5"/>
      <c r="P184" s="5"/>
      <c r="Q184" s="5"/>
      <c r="AL184" s="7" t="str">
        <f>HYPERLINK("http://dx.doi.org/10.1086/719187","http://dx.doi.org/10.1086/719187")</f>
        <v>http://dx.doi.org/10.1086/719187</v>
      </c>
      <c r="AM184" s="5">
        <v>3</v>
      </c>
      <c r="AN184" s="5">
        <v>3</v>
      </c>
      <c r="AO184" s="5">
        <v>41</v>
      </c>
      <c r="AP184" s="5">
        <v>1</v>
      </c>
      <c r="AQ184" s="5">
        <v>153</v>
      </c>
      <c r="AR184" s="5">
        <v>166</v>
      </c>
      <c r="AS184" s="5" t="s">
        <v>16</v>
      </c>
      <c r="AT184" s="5" t="s">
        <v>1011</v>
      </c>
      <c r="AU184" s="5" t="s">
        <v>1012</v>
      </c>
      <c r="AV184" s="5" t="s">
        <v>1014</v>
      </c>
    </row>
    <row r="185" spans="1:48" ht="45" customHeight="1" x14ac:dyDescent="0.15">
      <c r="A185" s="5" t="s">
        <v>1015</v>
      </c>
      <c r="B185" s="5">
        <v>2004</v>
      </c>
      <c r="C185" s="5" t="s">
        <v>1016</v>
      </c>
      <c r="D185" s="5" t="s">
        <v>82</v>
      </c>
      <c r="E185" s="5" t="s">
        <v>18453</v>
      </c>
      <c r="F185" s="5" t="s">
        <v>1019</v>
      </c>
      <c r="G185" s="5"/>
      <c r="H185" s="5"/>
      <c r="I185" s="5"/>
      <c r="J185" s="5"/>
      <c r="K185" s="5"/>
      <c r="L185" s="5"/>
      <c r="M185" s="5"/>
      <c r="N185" s="5"/>
      <c r="O185" s="5"/>
      <c r="P185" s="5"/>
      <c r="Q185" s="5"/>
      <c r="AL185" s="7" t="str">
        <f>HYPERLINK("http://dx.doi.org/10.1890/03-5101","http://dx.doi.org/10.1890/03-5101")</f>
        <v>http://dx.doi.org/10.1890/03-5101</v>
      </c>
      <c r="AM185" s="5">
        <v>58</v>
      </c>
      <c r="AN185" s="5">
        <v>59</v>
      </c>
      <c r="AO185" s="5">
        <v>14</v>
      </c>
      <c r="AP185" s="5">
        <v>4</v>
      </c>
      <c r="AQ185" s="5">
        <v>1232</v>
      </c>
      <c r="AR185" s="5">
        <v>1247</v>
      </c>
      <c r="AS185" s="5" t="s">
        <v>16</v>
      </c>
      <c r="AT185" s="5" t="s">
        <v>1017</v>
      </c>
      <c r="AU185" s="5" t="s">
        <v>1018</v>
      </c>
      <c r="AV185" s="5" t="s">
        <v>1020</v>
      </c>
    </row>
    <row r="186" spans="1:48" ht="45" customHeight="1" x14ac:dyDescent="0.15">
      <c r="A186" s="5" t="s">
        <v>1021</v>
      </c>
      <c r="B186" s="5">
        <v>2020</v>
      </c>
      <c r="C186" s="5" t="s">
        <v>1022</v>
      </c>
      <c r="D186" s="5" t="s">
        <v>190</v>
      </c>
      <c r="E186" s="5" t="s">
        <v>18453</v>
      </c>
      <c r="F186" s="5" t="s">
        <v>1025</v>
      </c>
      <c r="G186" s="5"/>
      <c r="H186" s="5"/>
      <c r="I186" s="5"/>
      <c r="J186" s="5"/>
      <c r="K186" s="5"/>
      <c r="L186" s="5"/>
      <c r="M186" s="5"/>
      <c r="N186" s="5"/>
      <c r="O186" s="5"/>
      <c r="P186" s="5"/>
      <c r="Q186" s="5"/>
      <c r="AL186" s="7" t="str">
        <f>HYPERLINK("http://dx.doi.org/10.1007/s10530-020-02328-z","http://dx.doi.org/10.1007/s10530-020-02328-z")</f>
        <v>http://dx.doi.org/10.1007/s10530-020-02328-z</v>
      </c>
      <c r="AM186" s="5">
        <v>11</v>
      </c>
      <c r="AN186" s="5">
        <v>11</v>
      </c>
      <c r="AO186" s="5">
        <v>22</v>
      </c>
      <c r="AP186" s="5">
        <v>11</v>
      </c>
      <c r="AQ186" s="5">
        <v>3339</v>
      </c>
      <c r="AR186" s="5">
        <v>3356</v>
      </c>
      <c r="AS186" s="5" t="s">
        <v>16</v>
      </c>
      <c r="AT186" s="5" t="s">
        <v>1023</v>
      </c>
      <c r="AU186" s="5" t="s">
        <v>1024</v>
      </c>
      <c r="AV186" s="5" t="s">
        <v>1026</v>
      </c>
    </row>
    <row r="187" spans="1:48" ht="45" customHeight="1" x14ac:dyDescent="0.15">
      <c r="A187" s="5" t="s">
        <v>1027</v>
      </c>
      <c r="B187" s="5">
        <v>2016</v>
      </c>
      <c r="C187" s="5" t="s">
        <v>1028</v>
      </c>
      <c r="D187" s="5" t="s">
        <v>92</v>
      </c>
      <c r="E187" s="5" t="s">
        <v>18453</v>
      </c>
      <c r="F187" s="5" t="s">
        <v>1031</v>
      </c>
      <c r="G187" s="5"/>
      <c r="H187" s="5"/>
      <c r="I187" s="5"/>
      <c r="J187" s="5"/>
      <c r="K187" s="5"/>
      <c r="L187" s="5"/>
      <c r="M187" s="5"/>
      <c r="N187" s="5"/>
      <c r="O187" s="5"/>
      <c r="P187" s="5"/>
      <c r="Q187" s="5"/>
      <c r="AL187" s="7" t="str">
        <f>HYPERLINK("http://dx.doi.org/10.1086/683358","http://dx.doi.org/10.1086/683358")</f>
        <v>http://dx.doi.org/10.1086/683358</v>
      </c>
      <c r="AM187" s="5">
        <v>22</v>
      </c>
      <c r="AN187" s="5">
        <v>22</v>
      </c>
      <c r="AO187" s="5">
        <v>35</v>
      </c>
      <c r="AP187" s="5">
        <v>1</v>
      </c>
      <c r="AQ187" s="5">
        <v>103</v>
      </c>
      <c r="AR187" s="5">
        <v>113</v>
      </c>
      <c r="AS187" s="5" t="s">
        <v>16</v>
      </c>
      <c r="AT187" s="5" t="s">
        <v>1029</v>
      </c>
      <c r="AU187" s="5" t="s">
        <v>1030</v>
      </c>
      <c r="AV187" s="5" t="s">
        <v>1032</v>
      </c>
    </row>
    <row r="188" spans="1:48" ht="45" customHeight="1" x14ac:dyDescent="0.15">
      <c r="A188" s="5" t="s">
        <v>1033</v>
      </c>
      <c r="B188" s="5">
        <v>2019</v>
      </c>
      <c r="C188" s="5" t="s">
        <v>1034</v>
      </c>
      <c r="D188" s="5" t="s">
        <v>49</v>
      </c>
      <c r="E188" s="5" t="s">
        <v>18453</v>
      </c>
      <c r="F188" s="5" t="s">
        <v>1037</v>
      </c>
      <c r="G188" s="5"/>
      <c r="H188" s="5"/>
      <c r="I188" s="5"/>
      <c r="J188" s="5"/>
      <c r="K188" s="5"/>
      <c r="L188" s="5"/>
      <c r="M188" s="5"/>
      <c r="N188" s="5"/>
      <c r="O188" s="5"/>
      <c r="P188" s="5"/>
      <c r="Q188" s="5"/>
      <c r="AL188" s="7" t="str">
        <f>HYPERLINK("http://dx.doi.org/10.3354/meps12894","http://dx.doi.org/10.3354/meps12894")</f>
        <v>http://dx.doi.org/10.3354/meps12894</v>
      </c>
      <c r="AM188" s="5">
        <v>29</v>
      </c>
      <c r="AN188" s="5">
        <v>29</v>
      </c>
      <c r="AO188" s="5">
        <v>613</v>
      </c>
      <c r="AP188" s="5" t="s">
        <v>16</v>
      </c>
      <c r="AQ188" s="5">
        <v>197</v>
      </c>
      <c r="AR188" s="5">
        <v>210</v>
      </c>
      <c r="AS188" s="5" t="s">
        <v>16</v>
      </c>
      <c r="AT188" s="5" t="s">
        <v>1035</v>
      </c>
      <c r="AU188" s="5" t="s">
        <v>1036</v>
      </c>
      <c r="AV188" s="5" t="s">
        <v>1038</v>
      </c>
    </row>
    <row r="189" spans="1:48" ht="45" customHeight="1" x14ac:dyDescent="0.15">
      <c r="A189" s="5" t="s">
        <v>1039</v>
      </c>
      <c r="B189" s="5">
        <v>2015</v>
      </c>
      <c r="C189" s="5" t="s">
        <v>1040</v>
      </c>
      <c r="D189" s="5" t="s">
        <v>33</v>
      </c>
      <c r="E189" s="5" t="s">
        <v>18453</v>
      </c>
      <c r="F189" s="5" t="s">
        <v>1043</v>
      </c>
      <c r="G189" s="5"/>
      <c r="H189" s="5"/>
      <c r="I189" s="5"/>
      <c r="J189" s="5"/>
      <c r="K189" s="5"/>
      <c r="L189" s="5"/>
      <c r="M189" s="5"/>
      <c r="N189" s="5"/>
      <c r="O189" s="5"/>
      <c r="P189" s="5"/>
      <c r="Q189" s="5"/>
      <c r="AL189" s="7" t="str">
        <f>HYPERLINK("http://dx.doi.org/10.1111/gcb.12879","http://dx.doi.org/10.1111/gcb.12879")</f>
        <v>http://dx.doi.org/10.1111/gcb.12879</v>
      </c>
      <c r="AM189" s="5">
        <v>193</v>
      </c>
      <c r="AN189" s="5">
        <v>199</v>
      </c>
      <c r="AO189" s="5">
        <v>21</v>
      </c>
      <c r="AP189" s="5">
        <v>7</v>
      </c>
      <c r="AQ189" s="5">
        <v>2540</v>
      </c>
      <c r="AR189" s="5">
        <v>2553</v>
      </c>
      <c r="AS189" s="5" t="s">
        <v>16</v>
      </c>
      <c r="AT189" s="5" t="s">
        <v>1041</v>
      </c>
      <c r="AU189" s="5" t="s">
        <v>1042</v>
      </c>
      <c r="AV189" s="5" t="s">
        <v>1044</v>
      </c>
    </row>
    <row r="190" spans="1:48" ht="45" customHeight="1" x14ac:dyDescent="0.15">
      <c r="A190" s="5" t="s">
        <v>1045</v>
      </c>
      <c r="B190" s="5">
        <v>2016</v>
      </c>
      <c r="C190" s="5" t="s">
        <v>1046</v>
      </c>
      <c r="D190" s="5" t="s">
        <v>33</v>
      </c>
      <c r="E190" s="5" t="s">
        <v>18453</v>
      </c>
      <c r="F190" s="5" t="s">
        <v>1049</v>
      </c>
      <c r="G190" s="5"/>
      <c r="H190" s="5"/>
      <c r="I190" s="5"/>
      <c r="J190" s="5"/>
      <c r="K190" s="5"/>
      <c r="L190" s="5"/>
      <c r="M190" s="5"/>
      <c r="N190" s="5"/>
      <c r="O190" s="5"/>
      <c r="P190" s="5"/>
      <c r="Q190" s="5"/>
      <c r="AL190" s="7" t="str">
        <f>HYPERLINK("http://dx.doi.org/10.1111/gcb.13103","http://dx.doi.org/10.1111/gcb.13103")</f>
        <v>http://dx.doi.org/10.1111/gcb.13103</v>
      </c>
      <c r="AM190" s="5">
        <v>39</v>
      </c>
      <c r="AN190" s="5">
        <v>40</v>
      </c>
      <c r="AO190" s="5">
        <v>22</v>
      </c>
      <c r="AP190" s="5">
        <v>1</v>
      </c>
      <c r="AQ190" s="5">
        <v>310</v>
      </c>
      <c r="AR190" s="5">
        <v>324</v>
      </c>
      <c r="AS190" s="5" t="s">
        <v>16</v>
      </c>
      <c r="AT190" s="5" t="s">
        <v>1047</v>
      </c>
      <c r="AU190" s="5" t="s">
        <v>1048</v>
      </c>
      <c r="AV190" s="5" t="s">
        <v>1050</v>
      </c>
    </row>
    <row r="191" spans="1:48" ht="45" customHeight="1" x14ac:dyDescent="0.15">
      <c r="A191" s="5" t="s">
        <v>1051</v>
      </c>
      <c r="B191" s="5">
        <v>2017</v>
      </c>
      <c r="C191" s="5" t="s">
        <v>1052</v>
      </c>
      <c r="D191" s="5" t="s">
        <v>33</v>
      </c>
      <c r="E191" s="5" t="s">
        <v>18453</v>
      </c>
      <c r="F191" s="5" t="s">
        <v>1055</v>
      </c>
      <c r="G191" s="5"/>
      <c r="H191" s="5"/>
      <c r="I191" s="5"/>
      <c r="J191" s="5"/>
      <c r="K191" s="5"/>
      <c r="L191" s="5"/>
      <c r="M191" s="5"/>
      <c r="N191" s="5"/>
      <c r="O191" s="5"/>
      <c r="P191" s="5"/>
      <c r="Q191" s="5"/>
      <c r="AL191" s="7" t="str">
        <f>HYPERLINK("http://dx.doi.org/10.1111/gcb.13589","http://dx.doi.org/10.1111/gcb.13589")</f>
        <v>http://dx.doi.org/10.1111/gcb.13589</v>
      </c>
      <c r="AM191" s="5">
        <v>68</v>
      </c>
      <c r="AN191" s="5">
        <v>75</v>
      </c>
      <c r="AO191" s="5">
        <v>23</v>
      </c>
      <c r="AP191" s="5">
        <v>7</v>
      </c>
      <c r="AQ191" s="5">
        <v>2565</v>
      </c>
      <c r="AR191" s="5">
        <v>2576</v>
      </c>
      <c r="AS191" s="5" t="s">
        <v>16</v>
      </c>
      <c r="AT191" s="5" t="s">
        <v>1053</v>
      </c>
      <c r="AU191" s="5" t="s">
        <v>1054</v>
      </c>
      <c r="AV191" s="5" t="s">
        <v>1056</v>
      </c>
    </row>
    <row r="192" spans="1:48" ht="45" customHeight="1" x14ac:dyDescent="0.15">
      <c r="A192" s="5" t="s">
        <v>1057</v>
      </c>
      <c r="B192" s="5">
        <v>2016</v>
      </c>
      <c r="C192" s="5" t="s">
        <v>1058</v>
      </c>
      <c r="D192" s="5" t="s">
        <v>1059</v>
      </c>
      <c r="E192" s="5" t="s">
        <v>18453</v>
      </c>
      <c r="F192" s="5" t="s">
        <v>1062</v>
      </c>
      <c r="G192" s="5"/>
      <c r="H192" s="5"/>
      <c r="I192" s="5"/>
      <c r="J192" s="5"/>
      <c r="K192" s="5"/>
      <c r="L192" s="5"/>
      <c r="M192" s="5"/>
      <c r="N192" s="5"/>
      <c r="O192" s="5"/>
      <c r="P192" s="5"/>
      <c r="Q192" s="5"/>
      <c r="AL192" s="7" t="str">
        <f>HYPERLINK("http://dx.doi.org/10.3402/polar.v35.31335","http://dx.doi.org/10.3402/polar.v35.31335")</f>
        <v>http://dx.doi.org/10.3402/polar.v35.31335</v>
      </c>
      <c r="AM192" s="5">
        <v>6</v>
      </c>
      <c r="AN192" s="5">
        <v>6</v>
      </c>
      <c r="AO192" s="5">
        <v>35</v>
      </c>
      <c r="AP192" s="5" t="s">
        <v>16</v>
      </c>
      <c r="AQ192" s="5" t="s">
        <v>16</v>
      </c>
      <c r="AR192" s="5" t="s">
        <v>16</v>
      </c>
      <c r="AS192" s="5">
        <v>31335</v>
      </c>
      <c r="AT192" s="5" t="s">
        <v>1060</v>
      </c>
      <c r="AU192" s="5" t="s">
        <v>1061</v>
      </c>
      <c r="AV192" s="5" t="s">
        <v>1063</v>
      </c>
    </row>
    <row r="193" spans="1:48" ht="45" customHeight="1" x14ac:dyDescent="0.15">
      <c r="A193" s="5" t="s">
        <v>1064</v>
      </c>
      <c r="B193" s="5">
        <v>2018</v>
      </c>
      <c r="C193" s="5" t="s">
        <v>1065</v>
      </c>
      <c r="D193" s="5" t="s">
        <v>162</v>
      </c>
      <c r="E193" s="5" t="s">
        <v>18453</v>
      </c>
      <c r="F193" s="5" t="s">
        <v>1068</v>
      </c>
      <c r="G193" s="5"/>
      <c r="H193" s="5"/>
      <c r="I193" s="5"/>
      <c r="J193" s="5"/>
      <c r="K193" s="5"/>
      <c r="L193" s="5"/>
      <c r="M193" s="5"/>
      <c r="N193" s="5"/>
      <c r="O193" s="5"/>
      <c r="P193" s="5"/>
      <c r="Q193" s="5"/>
      <c r="AL193" s="7" t="str">
        <f>HYPERLINK("http://dx.doi.org/10.1111/1365-2435.12978","http://dx.doi.org/10.1111/1365-2435.12978")</f>
        <v>http://dx.doi.org/10.1111/1365-2435.12978</v>
      </c>
      <c r="AM193" s="5">
        <v>34</v>
      </c>
      <c r="AN193" s="5">
        <v>36</v>
      </c>
      <c r="AO193" s="5">
        <v>32</v>
      </c>
      <c r="AP193" s="5">
        <v>2</v>
      </c>
      <c r="AQ193" s="5">
        <v>486</v>
      </c>
      <c r="AR193" s="5">
        <v>495</v>
      </c>
      <c r="AS193" s="5" t="s">
        <v>16</v>
      </c>
      <c r="AT193" s="5" t="s">
        <v>1066</v>
      </c>
      <c r="AU193" s="5" t="s">
        <v>1067</v>
      </c>
      <c r="AV193" s="5" t="s">
        <v>1069</v>
      </c>
    </row>
    <row r="194" spans="1:48" ht="45" customHeight="1" x14ac:dyDescent="0.15">
      <c r="A194" s="5" t="s">
        <v>1070</v>
      </c>
      <c r="B194" s="5">
        <v>2021</v>
      </c>
      <c r="C194" s="5" t="s">
        <v>1071</v>
      </c>
      <c r="D194" s="5" t="s">
        <v>159</v>
      </c>
      <c r="E194" s="5" t="s">
        <v>18453</v>
      </c>
      <c r="F194" s="5" t="s">
        <v>1074</v>
      </c>
      <c r="G194" s="5"/>
      <c r="H194" s="5"/>
      <c r="I194" s="5"/>
      <c r="J194" s="5"/>
      <c r="K194" s="5"/>
      <c r="L194" s="5"/>
      <c r="M194" s="5"/>
      <c r="N194" s="5"/>
      <c r="O194" s="5"/>
      <c r="P194" s="5"/>
      <c r="Q194" s="5"/>
      <c r="AL194" s="7" t="str">
        <f>HYPERLINK("http://dx.doi.org/10.3390/d13050202","http://dx.doi.org/10.3390/d13050202")</f>
        <v>http://dx.doi.org/10.3390/d13050202</v>
      </c>
      <c r="AM194" s="5">
        <v>3</v>
      </c>
      <c r="AN194" s="5">
        <v>3</v>
      </c>
      <c r="AO194" s="5">
        <v>13</v>
      </c>
      <c r="AP194" s="5">
        <v>5</v>
      </c>
      <c r="AQ194" s="5" t="s">
        <v>16</v>
      </c>
      <c r="AR194" s="5" t="s">
        <v>16</v>
      </c>
      <c r="AS194" s="5">
        <v>202</v>
      </c>
      <c r="AT194" s="5" t="s">
        <v>1072</v>
      </c>
      <c r="AU194" s="5" t="s">
        <v>1073</v>
      </c>
      <c r="AV194" s="5" t="s">
        <v>1075</v>
      </c>
    </row>
    <row r="195" spans="1:48" ht="45" customHeight="1" x14ac:dyDescent="0.15">
      <c r="A195" s="5" t="s">
        <v>1076</v>
      </c>
      <c r="B195" s="5">
        <v>2008</v>
      </c>
      <c r="C195" s="5" t="s">
        <v>1077</v>
      </c>
      <c r="D195" s="5" t="s">
        <v>27</v>
      </c>
      <c r="E195" s="5" t="s">
        <v>18453</v>
      </c>
      <c r="F195" s="5" t="s">
        <v>1080</v>
      </c>
      <c r="G195" s="5"/>
      <c r="H195" s="5"/>
      <c r="I195" s="5"/>
      <c r="J195" s="5"/>
      <c r="K195" s="5"/>
      <c r="L195" s="5"/>
      <c r="M195" s="5"/>
      <c r="N195" s="5"/>
      <c r="O195" s="5"/>
      <c r="P195" s="5"/>
      <c r="Q195" s="5"/>
      <c r="AL195" s="7" t="str">
        <f>HYPERLINK("http://dx.doi.org/10.1890/06-2025.1","http://dx.doi.org/10.1890/06-2025.1")</f>
        <v>http://dx.doi.org/10.1890/06-2025.1</v>
      </c>
      <c r="AM195" s="5">
        <v>38</v>
      </c>
      <c r="AN195" s="5">
        <v>39</v>
      </c>
      <c r="AO195" s="5">
        <v>89</v>
      </c>
      <c r="AP195" s="5">
        <v>4</v>
      </c>
      <c r="AQ195" s="5">
        <v>991</v>
      </c>
      <c r="AR195" s="5">
        <v>1000</v>
      </c>
      <c r="AS195" s="5" t="s">
        <v>16</v>
      </c>
      <c r="AT195" s="5" t="s">
        <v>1078</v>
      </c>
      <c r="AU195" s="5" t="s">
        <v>1079</v>
      </c>
      <c r="AV195" s="5" t="s">
        <v>1081</v>
      </c>
    </row>
    <row r="196" spans="1:48" ht="45" customHeight="1" x14ac:dyDescent="0.15">
      <c r="A196" s="5" t="s">
        <v>1082</v>
      </c>
      <c r="B196" s="5">
        <v>2023</v>
      </c>
      <c r="C196" s="5" t="s">
        <v>1083</v>
      </c>
      <c r="D196" s="5" t="s">
        <v>1084</v>
      </c>
      <c r="E196" s="5" t="s">
        <v>18453</v>
      </c>
      <c r="F196" s="5" t="s">
        <v>1087</v>
      </c>
      <c r="G196" s="5"/>
      <c r="H196" s="5"/>
      <c r="I196" s="5"/>
      <c r="J196" s="5"/>
      <c r="K196" s="5"/>
      <c r="L196" s="5"/>
      <c r="M196" s="5"/>
      <c r="N196" s="5"/>
      <c r="O196" s="5"/>
      <c r="P196" s="5"/>
      <c r="Q196" s="5"/>
      <c r="AL196" s="7" t="str">
        <f>HYPERLINK("http://dx.doi.org/10.1016/j.jnc.2023.126366","http://dx.doi.org/10.1016/j.jnc.2023.126366")</f>
        <v>http://dx.doi.org/10.1016/j.jnc.2023.126366</v>
      </c>
      <c r="AM196" s="5">
        <v>0</v>
      </c>
      <c r="AN196" s="5">
        <v>0</v>
      </c>
      <c r="AO196" s="5">
        <v>72</v>
      </c>
      <c r="AP196" s="5" t="s">
        <v>16</v>
      </c>
      <c r="AQ196" s="5" t="s">
        <v>16</v>
      </c>
      <c r="AR196" s="5" t="s">
        <v>16</v>
      </c>
      <c r="AS196" s="5">
        <v>126366</v>
      </c>
      <c r="AT196" s="5" t="s">
        <v>1085</v>
      </c>
      <c r="AU196" s="5" t="s">
        <v>1086</v>
      </c>
      <c r="AV196" s="5" t="s">
        <v>1088</v>
      </c>
    </row>
    <row r="197" spans="1:48" ht="45" customHeight="1" x14ac:dyDescent="0.15">
      <c r="A197" s="5" t="s">
        <v>1089</v>
      </c>
      <c r="B197" s="5">
        <v>2000</v>
      </c>
      <c r="C197" s="5" t="s">
        <v>1090</v>
      </c>
      <c r="D197" s="5" t="s">
        <v>262</v>
      </c>
      <c r="E197" s="5" t="s">
        <v>18453</v>
      </c>
      <c r="F197" s="5" t="s">
        <v>1092</v>
      </c>
      <c r="G197" s="5"/>
      <c r="H197" s="5"/>
      <c r="I197" s="5"/>
      <c r="J197" s="5"/>
      <c r="K197" s="5"/>
      <c r="L197" s="5"/>
      <c r="M197" s="5"/>
      <c r="N197" s="5"/>
      <c r="O197" s="5"/>
      <c r="P197" s="5"/>
      <c r="Q197" s="5"/>
      <c r="AL197" s="7" t="str">
        <f>HYPERLINK("http://dx.doi.org/10.1034/j.1600-0706.2000.900103.x","http://dx.doi.org/10.1034/j.1600-0706.2000.900103.x")</f>
        <v>http://dx.doi.org/10.1034/j.1600-0706.2000.900103.x</v>
      </c>
      <c r="AM197" s="5">
        <v>66</v>
      </c>
      <c r="AN197" s="5">
        <v>73</v>
      </c>
      <c r="AO197" s="5">
        <v>90</v>
      </c>
      <c r="AP197" s="5">
        <v>1</v>
      </c>
      <c r="AQ197" s="5">
        <v>20</v>
      </c>
      <c r="AR197" s="5">
        <v>27</v>
      </c>
      <c r="AS197" s="5" t="s">
        <v>16</v>
      </c>
      <c r="AT197" s="5" t="s">
        <v>16</v>
      </c>
      <c r="AU197" s="5" t="s">
        <v>1091</v>
      </c>
      <c r="AV197" s="5" t="s">
        <v>1093</v>
      </c>
    </row>
    <row r="198" spans="1:48" ht="45" customHeight="1" x14ac:dyDescent="0.15">
      <c r="A198" s="5" t="s">
        <v>1094</v>
      </c>
      <c r="B198" s="5">
        <v>2020</v>
      </c>
      <c r="C198" s="5" t="s">
        <v>1095</v>
      </c>
      <c r="D198" s="5" t="s">
        <v>172</v>
      </c>
      <c r="E198" s="5" t="s">
        <v>18453</v>
      </c>
      <c r="F198" s="5" t="s">
        <v>1098</v>
      </c>
      <c r="G198" s="5"/>
      <c r="H198" s="5"/>
      <c r="I198" s="5"/>
      <c r="J198" s="5"/>
      <c r="K198" s="5"/>
      <c r="L198" s="5"/>
      <c r="M198" s="5"/>
      <c r="N198" s="5"/>
      <c r="O198" s="5"/>
      <c r="P198" s="5"/>
      <c r="Q198" s="5"/>
      <c r="AL198" s="7" t="str">
        <f>HYPERLINK("http://dx.doi.org/10.1007/s00442-020-04721-w","http://dx.doi.org/10.1007/s00442-020-04721-w")</f>
        <v>http://dx.doi.org/10.1007/s00442-020-04721-w</v>
      </c>
      <c r="AM198" s="5">
        <v>17</v>
      </c>
      <c r="AN198" s="5">
        <v>17</v>
      </c>
      <c r="AO198" s="5">
        <v>194</v>
      </c>
      <c r="AP198" s="5">
        <v>4</v>
      </c>
      <c r="AQ198" s="5">
        <v>541</v>
      </c>
      <c r="AR198" s="5">
        <v>554</v>
      </c>
      <c r="AS198" s="5" t="s">
        <v>16</v>
      </c>
      <c r="AT198" s="5" t="s">
        <v>1096</v>
      </c>
      <c r="AU198" s="5" t="s">
        <v>1097</v>
      </c>
      <c r="AV198" s="5" t="s">
        <v>1099</v>
      </c>
    </row>
    <row r="199" spans="1:48" ht="45" customHeight="1" x14ac:dyDescent="0.15">
      <c r="A199" s="5" t="s">
        <v>1100</v>
      </c>
      <c r="B199" s="5">
        <v>2019</v>
      </c>
      <c r="C199" s="5" t="s">
        <v>1101</v>
      </c>
      <c r="D199" s="5" t="s">
        <v>82</v>
      </c>
      <c r="E199" s="5" t="s">
        <v>18453</v>
      </c>
      <c r="F199" s="5" t="s">
        <v>1104</v>
      </c>
      <c r="G199" s="5"/>
      <c r="H199" s="5"/>
      <c r="I199" s="5"/>
      <c r="J199" s="5"/>
      <c r="K199" s="5"/>
      <c r="L199" s="5"/>
      <c r="M199" s="5"/>
      <c r="N199" s="5"/>
      <c r="O199" s="5"/>
      <c r="P199" s="5"/>
      <c r="Q199" s="5"/>
      <c r="AL199" s="7" t="str">
        <f>HYPERLINK("http://dx.doi.org/10.1002/eap.1821","http://dx.doi.org/10.1002/eap.1821")</f>
        <v>http://dx.doi.org/10.1002/eap.1821</v>
      </c>
      <c r="AM199" s="5">
        <v>27</v>
      </c>
      <c r="AN199" s="5">
        <v>29</v>
      </c>
      <c r="AO199" s="5">
        <v>29</v>
      </c>
      <c r="AP199" s="5">
        <v>1</v>
      </c>
      <c r="AQ199" s="5" t="s">
        <v>16</v>
      </c>
      <c r="AR199" s="5" t="s">
        <v>16</v>
      </c>
      <c r="AS199" s="5" t="s">
        <v>1105</v>
      </c>
      <c r="AT199" s="5" t="s">
        <v>1102</v>
      </c>
      <c r="AU199" s="5" t="s">
        <v>1103</v>
      </c>
      <c r="AV199" s="5" t="s">
        <v>1106</v>
      </c>
    </row>
    <row r="200" spans="1:48" ht="45" customHeight="1" x14ac:dyDescent="0.15">
      <c r="A200" s="5" t="s">
        <v>1107</v>
      </c>
      <c r="B200" s="5">
        <v>2016</v>
      </c>
      <c r="C200" s="5" t="s">
        <v>1108</v>
      </c>
      <c r="D200" s="5" t="s">
        <v>1109</v>
      </c>
      <c r="E200" s="5" t="s">
        <v>18453</v>
      </c>
      <c r="F200" s="5" t="s">
        <v>1112</v>
      </c>
      <c r="G200" s="5"/>
      <c r="H200" s="5"/>
      <c r="I200" s="5"/>
      <c r="J200" s="5"/>
      <c r="K200" s="5"/>
      <c r="L200" s="5"/>
      <c r="M200" s="5"/>
      <c r="N200" s="5"/>
      <c r="O200" s="5"/>
      <c r="P200" s="5"/>
      <c r="Q200" s="5"/>
      <c r="AL200" s="7" t="str">
        <f>HYPERLINK("http://dx.doi.org/10.1017/S0266467416000134","http://dx.doi.org/10.1017/S0266467416000134")</f>
        <v>http://dx.doi.org/10.1017/S0266467416000134</v>
      </c>
      <c r="AM200" s="5">
        <v>11</v>
      </c>
      <c r="AN200" s="5">
        <v>11</v>
      </c>
      <c r="AO200" s="5">
        <v>32</v>
      </c>
      <c r="AP200" s="5" t="s">
        <v>16</v>
      </c>
      <c r="AQ200" s="5">
        <v>213</v>
      </c>
      <c r="AR200" s="5">
        <v>225</v>
      </c>
      <c r="AS200" s="5" t="s">
        <v>16</v>
      </c>
      <c r="AT200" s="5" t="s">
        <v>1110</v>
      </c>
      <c r="AU200" s="5" t="s">
        <v>1111</v>
      </c>
      <c r="AV200" s="5" t="s">
        <v>1113</v>
      </c>
    </row>
    <row r="201" spans="1:48" ht="45" customHeight="1" x14ac:dyDescent="0.15">
      <c r="A201" s="5" t="s">
        <v>1114</v>
      </c>
      <c r="B201" s="5">
        <v>2023</v>
      </c>
      <c r="C201" s="5" t="s">
        <v>1115</v>
      </c>
      <c r="D201" s="5" t="s">
        <v>82</v>
      </c>
      <c r="E201" s="5" t="s">
        <v>18453</v>
      </c>
      <c r="F201" s="5" t="s">
        <v>1118</v>
      </c>
      <c r="G201" s="5"/>
      <c r="H201" s="5"/>
      <c r="I201" s="5"/>
      <c r="J201" s="5"/>
      <c r="K201" s="5"/>
      <c r="L201" s="5"/>
      <c r="M201" s="5"/>
      <c r="N201" s="5"/>
      <c r="O201" s="5"/>
      <c r="P201" s="5"/>
      <c r="Q201" s="5"/>
      <c r="AL201" s="7" t="str">
        <f>HYPERLINK("http://dx.doi.org/10.1002/eap.2751","http://dx.doi.org/10.1002/eap.2751")</f>
        <v>http://dx.doi.org/10.1002/eap.2751</v>
      </c>
      <c r="AM201" s="5">
        <v>0</v>
      </c>
      <c r="AN201" s="5">
        <v>0</v>
      </c>
      <c r="AO201" s="5">
        <v>33</v>
      </c>
      <c r="AP201" s="5">
        <v>2</v>
      </c>
      <c r="AQ201" s="5" t="s">
        <v>16</v>
      </c>
      <c r="AR201" s="5" t="s">
        <v>16</v>
      </c>
      <c r="AS201" s="5" t="s">
        <v>16</v>
      </c>
      <c r="AT201" s="5" t="s">
        <v>1116</v>
      </c>
      <c r="AU201" s="5" t="s">
        <v>1117</v>
      </c>
      <c r="AV201" s="5" t="s">
        <v>1119</v>
      </c>
    </row>
    <row r="202" spans="1:48" ht="45" customHeight="1" x14ac:dyDescent="0.15">
      <c r="A202" s="5" t="s">
        <v>1120</v>
      </c>
      <c r="B202" s="5">
        <v>2023</v>
      </c>
      <c r="C202" s="5" t="s">
        <v>1121</v>
      </c>
      <c r="D202" s="5" t="s">
        <v>190</v>
      </c>
      <c r="E202" s="5" t="s">
        <v>18453</v>
      </c>
      <c r="F202" s="5" t="s">
        <v>1124</v>
      </c>
      <c r="G202" s="5"/>
      <c r="H202" s="5"/>
      <c r="I202" s="5"/>
      <c r="J202" s="5"/>
      <c r="K202" s="5"/>
      <c r="L202" s="5"/>
      <c r="M202" s="5"/>
      <c r="N202" s="5"/>
      <c r="O202" s="5"/>
      <c r="P202" s="5"/>
      <c r="Q202" s="5"/>
      <c r="AL202" s="7" t="str">
        <f>HYPERLINK("http://dx.doi.org/10.1007/s10530-023-03020-8","http://dx.doi.org/10.1007/s10530-023-03020-8")</f>
        <v>http://dx.doi.org/10.1007/s10530-023-03020-8</v>
      </c>
      <c r="AM202" s="5">
        <v>0</v>
      </c>
      <c r="AN202" s="5">
        <v>0</v>
      </c>
      <c r="AO202" s="5">
        <v>25</v>
      </c>
      <c r="AP202" s="5">
        <v>6</v>
      </c>
      <c r="AQ202" s="5">
        <v>1935</v>
      </c>
      <c r="AR202" s="5">
        <v>1954</v>
      </c>
      <c r="AS202" s="5" t="s">
        <v>16</v>
      </c>
      <c r="AT202" s="5" t="s">
        <v>1122</v>
      </c>
      <c r="AU202" s="5" t="s">
        <v>1123</v>
      </c>
      <c r="AV202" s="5" t="s">
        <v>1125</v>
      </c>
    </row>
    <row r="203" spans="1:48" ht="45" customHeight="1" x14ac:dyDescent="0.15">
      <c r="A203" s="5" t="s">
        <v>1126</v>
      </c>
      <c r="B203" s="5">
        <v>2021</v>
      </c>
      <c r="C203" s="5" t="s">
        <v>1127</v>
      </c>
      <c r="D203" s="5" t="s">
        <v>49</v>
      </c>
      <c r="E203" s="5" t="s">
        <v>18453</v>
      </c>
      <c r="F203" s="5" t="s">
        <v>1130</v>
      </c>
      <c r="G203" s="5"/>
      <c r="H203" s="5"/>
      <c r="I203" s="5"/>
      <c r="J203" s="5"/>
      <c r="K203" s="5"/>
      <c r="L203" s="5"/>
      <c r="M203" s="5"/>
      <c r="N203" s="5"/>
      <c r="O203" s="5"/>
      <c r="P203" s="5"/>
      <c r="Q203" s="5"/>
      <c r="AL203" s="7" t="str">
        <f>HYPERLINK("http://dx.doi.org/10.3354/meps13754","http://dx.doi.org/10.3354/meps13754")</f>
        <v>http://dx.doi.org/10.3354/meps13754</v>
      </c>
      <c r="AM203" s="5">
        <v>0</v>
      </c>
      <c r="AN203" s="5">
        <v>0</v>
      </c>
      <c r="AO203" s="5">
        <v>670</v>
      </c>
      <c r="AP203" s="5" t="s">
        <v>16</v>
      </c>
      <c r="AQ203" s="5">
        <v>139</v>
      </c>
      <c r="AR203" s="5">
        <v>154</v>
      </c>
      <c r="AS203" s="5" t="s">
        <v>16</v>
      </c>
      <c r="AT203" s="5" t="s">
        <v>1128</v>
      </c>
      <c r="AU203" s="5" t="s">
        <v>1129</v>
      </c>
      <c r="AV203" s="5" t="s">
        <v>1131</v>
      </c>
    </row>
    <row r="204" spans="1:48" ht="45" customHeight="1" x14ac:dyDescent="0.15">
      <c r="A204" s="5" t="s">
        <v>1132</v>
      </c>
      <c r="B204" s="5">
        <v>2018</v>
      </c>
      <c r="C204" s="5" t="s">
        <v>1133</v>
      </c>
      <c r="D204" s="5" t="s">
        <v>1134</v>
      </c>
      <c r="E204" s="5" t="s">
        <v>18453</v>
      </c>
      <c r="F204" s="5" t="s">
        <v>1137</v>
      </c>
      <c r="G204" s="5"/>
      <c r="H204" s="5"/>
      <c r="I204" s="5"/>
      <c r="J204" s="5"/>
      <c r="K204" s="5"/>
      <c r="L204" s="5"/>
      <c r="M204" s="5"/>
      <c r="N204" s="5"/>
      <c r="O204" s="5"/>
      <c r="P204" s="5"/>
      <c r="Q204" s="5"/>
      <c r="AL204" s="7" t="str">
        <f>HYPERLINK("http://dx.doi.org/10.1080/17451000.2017.1396344","http://dx.doi.org/10.1080/17451000.2017.1396344")</f>
        <v>http://dx.doi.org/10.1080/17451000.2017.1396344</v>
      </c>
      <c r="AM204" s="5">
        <v>9</v>
      </c>
      <c r="AN204" s="5">
        <v>9</v>
      </c>
      <c r="AO204" s="5">
        <v>14</v>
      </c>
      <c r="AP204" s="5">
        <v>2</v>
      </c>
      <c r="AQ204" s="5">
        <v>173</v>
      </c>
      <c r="AR204" s="5">
        <v>182</v>
      </c>
      <c r="AS204" s="5" t="s">
        <v>16</v>
      </c>
      <c r="AT204" s="5" t="s">
        <v>1135</v>
      </c>
      <c r="AU204" s="5" t="s">
        <v>1136</v>
      </c>
      <c r="AV204" s="5" t="s">
        <v>1138</v>
      </c>
    </row>
    <row r="205" spans="1:48" ht="45" customHeight="1" x14ac:dyDescent="0.15">
      <c r="A205" s="5" t="s">
        <v>1139</v>
      </c>
      <c r="B205" s="5">
        <v>2007</v>
      </c>
      <c r="C205" s="5" t="s">
        <v>1140</v>
      </c>
      <c r="D205" s="5" t="s">
        <v>1141</v>
      </c>
      <c r="E205" s="5" t="s">
        <v>18453</v>
      </c>
      <c r="F205" s="5" t="s">
        <v>1144</v>
      </c>
      <c r="G205" s="5"/>
      <c r="H205" s="5"/>
      <c r="I205" s="5"/>
      <c r="J205" s="5"/>
      <c r="K205" s="5"/>
      <c r="L205" s="5"/>
      <c r="M205" s="5"/>
      <c r="N205" s="5"/>
      <c r="O205" s="5"/>
      <c r="P205" s="5"/>
      <c r="Q205" s="5"/>
      <c r="AL205" s="7" t="str">
        <f>HYPERLINK("http://dx.doi.org/10.2980/1195-6860(2007)14[170:SSIROB]2.0.CO;2","http://dx.doi.org/10.2980/1195-6860(2007)14[170:SSIROB]2.0.CO;2")</f>
        <v>http://dx.doi.org/10.2980/1195-6860(2007)14[170:SSIROB]2.0.CO;2</v>
      </c>
      <c r="AM205" s="5">
        <v>26</v>
      </c>
      <c r="AN205" s="5">
        <v>32</v>
      </c>
      <c r="AO205" s="5">
        <v>14</v>
      </c>
      <c r="AP205" s="5">
        <v>2</v>
      </c>
      <c r="AQ205" s="5">
        <v>170</v>
      </c>
      <c r="AR205" s="5">
        <v>177</v>
      </c>
      <c r="AS205" s="5" t="s">
        <v>16</v>
      </c>
      <c r="AT205" s="5" t="s">
        <v>1142</v>
      </c>
      <c r="AU205" s="5" t="s">
        <v>1143</v>
      </c>
      <c r="AV205" s="5" t="s">
        <v>1145</v>
      </c>
    </row>
    <row r="206" spans="1:48" ht="45" customHeight="1" x14ac:dyDescent="0.15">
      <c r="A206" s="5" t="s">
        <v>1146</v>
      </c>
      <c r="B206" s="5">
        <v>2022</v>
      </c>
      <c r="C206" s="5" t="s">
        <v>1147</v>
      </c>
      <c r="D206" s="5" t="s">
        <v>44</v>
      </c>
      <c r="E206" s="5" t="s">
        <v>18453</v>
      </c>
      <c r="F206" s="5" t="s">
        <v>1150</v>
      </c>
      <c r="G206" s="5"/>
      <c r="H206" s="5"/>
      <c r="I206" s="5"/>
      <c r="J206" s="5"/>
      <c r="K206" s="5"/>
      <c r="L206" s="5"/>
      <c r="M206" s="5"/>
      <c r="N206" s="5"/>
      <c r="O206" s="5"/>
      <c r="P206" s="5"/>
      <c r="Q206" s="5"/>
      <c r="AL206" s="7" t="str">
        <f>HYPERLINK("http://dx.doi.org/10.3389/fevo.2022.887191","http://dx.doi.org/10.3389/fevo.2022.887191")</f>
        <v>http://dx.doi.org/10.3389/fevo.2022.887191</v>
      </c>
      <c r="AM206" s="5">
        <v>0</v>
      </c>
      <c r="AN206" s="5">
        <v>0</v>
      </c>
      <c r="AO206" s="5">
        <v>10</v>
      </c>
      <c r="AP206" s="5" t="s">
        <v>16</v>
      </c>
      <c r="AQ206" s="5" t="s">
        <v>16</v>
      </c>
      <c r="AR206" s="5" t="s">
        <v>16</v>
      </c>
      <c r="AS206" s="5">
        <v>887191</v>
      </c>
      <c r="AT206" s="5" t="s">
        <v>1148</v>
      </c>
      <c r="AU206" s="5" t="s">
        <v>1149</v>
      </c>
      <c r="AV206" s="5" t="s">
        <v>1151</v>
      </c>
    </row>
    <row r="207" spans="1:48" ht="45" customHeight="1" x14ac:dyDescent="0.15">
      <c r="A207" s="5" t="s">
        <v>1152</v>
      </c>
      <c r="B207" s="5">
        <v>2016</v>
      </c>
      <c r="C207" s="5" t="s">
        <v>1153</v>
      </c>
      <c r="D207" s="5" t="s">
        <v>82</v>
      </c>
      <c r="E207" s="5" t="s">
        <v>18453</v>
      </c>
      <c r="F207" s="5" t="s">
        <v>1156</v>
      </c>
      <c r="G207" s="5"/>
      <c r="H207" s="5"/>
      <c r="I207" s="5"/>
      <c r="J207" s="5"/>
      <c r="K207" s="5"/>
      <c r="L207" s="5"/>
      <c r="M207" s="5"/>
      <c r="N207" s="5"/>
      <c r="O207" s="5"/>
      <c r="P207" s="5"/>
      <c r="Q207" s="5"/>
      <c r="AL207" s="7" t="str">
        <f>HYPERLINK("http://dx.doi.org/10.1002/eap.1365","http://dx.doi.org/10.1002/eap.1365")</f>
        <v>http://dx.doi.org/10.1002/eap.1365</v>
      </c>
      <c r="AM207" s="5">
        <v>31</v>
      </c>
      <c r="AN207" s="5">
        <v>32</v>
      </c>
      <c r="AO207" s="5">
        <v>26</v>
      </c>
      <c r="AP207" s="5">
        <v>7</v>
      </c>
      <c r="AQ207" s="5">
        <v>2001</v>
      </c>
      <c r="AR207" s="5">
        <v>2020</v>
      </c>
      <c r="AS207" s="5" t="s">
        <v>16</v>
      </c>
      <c r="AT207" s="5" t="s">
        <v>1154</v>
      </c>
      <c r="AU207" s="5" t="s">
        <v>1155</v>
      </c>
      <c r="AV207" s="5" t="s">
        <v>1157</v>
      </c>
    </row>
    <row r="208" spans="1:48" ht="45" customHeight="1" x14ac:dyDescent="0.15">
      <c r="A208" s="5" t="s">
        <v>1158</v>
      </c>
      <c r="B208" s="5">
        <v>2015</v>
      </c>
      <c r="C208" s="5" t="s">
        <v>1159</v>
      </c>
      <c r="D208" s="5" t="s">
        <v>49</v>
      </c>
      <c r="E208" s="5" t="s">
        <v>18453</v>
      </c>
      <c r="F208" s="5" t="s">
        <v>1162</v>
      </c>
      <c r="G208" s="5"/>
      <c r="H208" s="5"/>
      <c r="I208" s="5"/>
      <c r="J208" s="5"/>
      <c r="K208" s="5"/>
      <c r="L208" s="5"/>
      <c r="M208" s="5"/>
      <c r="N208" s="5"/>
      <c r="O208" s="5"/>
      <c r="P208" s="5"/>
      <c r="Q208" s="5"/>
      <c r="AL208" s="7" t="str">
        <f>HYPERLINK("http://dx.doi.org/10.3354/meps11452","http://dx.doi.org/10.3354/meps11452")</f>
        <v>http://dx.doi.org/10.3354/meps11452</v>
      </c>
      <c r="AM208" s="5">
        <v>20</v>
      </c>
      <c r="AN208" s="5">
        <v>20</v>
      </c>
      <c r="AO208" s="5">
        <v>537</v>
      </c>
      <c r="AP208" s="5" t="s">
        <v>16</v>
      </c>
      <c r="AQ208" s="5">
        <v>265</v>
      </c>
      <c r="AR208" s="5">
        <v>276</v>
      </c>
      <c r="AS208" s="5" t="s">
        <v>16</v>
      </c>
      <c r="AT208" s="5" t="s">
        <v>1160</v>
      </c>
      <c r="AU208" s="5" t="s">
        <v>1161</v>
      </c>
      <c r="AV208" s="5" t="s">
        <v>1163</v>
      </c>
    </row>
    <row r="209" spans="1:48" ht="45" customHeight="1" x14ac:dyDescent="0.15">
      <c r="A209" s="5" t="s">
        <v>1164</v>
      </c>
      <c r="B209" s="5">
        <v>2016</v>
      </c>
      <c r="C209" s="5" t="s">
        <v>1165</v>
      </c>
      <c r="D209" s="5" t="s">
        <v>49</v>
      </c>
      <c r="E209" s="5" t="s">
        <v>18453</v>
      </c>
      <c r="F209" s="5" t="s">
        <v>1168</v>
      </c>
      <c r="G209" s="5"/>
      <c r="H209" s="5"/>
      <c r="I209" s="5"/>
      <c r="J209" s="5"/>
      <c r="K209" s="5"/>
      <c r="L209" s="5"/>
      <c r="M209" s="5"/>
      <c r="N209" s="5"/>
      <c r="O209" s="5"/>
      <c r="P209" s="5"/>
      <c r="Q209" s="5"/>
      <c r="AL209" s="7" t="str">
        <f>HYPERLINK("http://dx.doi.org/10.3354/meps11782","http://dx.doi.org/10.3354/meps11782")</f>
        <v>http://dx.doi.org/10.3354/meps11782</v>
      </c>
      <c r="AM209" s="5">
        <v>32</v>
      </c>
      <c r="AN209" s="5">
        <v>32</v>
      </c>
      <c r="AO209" s="5">
        <v>553</v>
      </c>
      <c r="AP209" s="5" t="s">
        <v>16</v>
      </c>
      <c r="AQ209" s="5">
        <v>253</v>
      </c>
      <c r="AR209" s="5">
        <v>266</v>
      </c>
      <c r="AS209" s="5" t="s">
        <v>16</v>
      </c>
      <c r="AT209" s="5" t="s">
        <v>1166</v>
      </c>
      <c r="AU209" s="5" t="s">
        <v>1167</v>
      </c>
      <c r="AV209" s="5" t="s">
        <v>1169</v>
      </c>
    </row>
    <row r="210" spans="1:48" ht="45" customHeight="1" x14ac:dyDescent="0.15">
      <c r="A210" s="5" t="s">
        <v>1170</v>
      </c>
      <c r="B210" s="5">
        <v>2010</v>
      </c>
      <c r="C210" s="5" t="s">
        <v>1171</v>
      </c>
      <c r="D210" s="5" t="s">
        <v>295</v>
      </c>
      <c r="E210" s="5" t="s">
        <v>18453</v>
      </c>
      <c r="F210" s="5" t="s">
        <v>1174</v>
      </c>
      <c r="G210" s="5"/>
      <c r="H210" s="5"/>
      <c r="I210" s="5"/>
      <c r="J210" s="5"/>
      <c r="K210" s="5"/>
      <c r="L210" s="5"/>
      <c r="M210" s="5"/>
      <c r="N210" s="5"/>
      <c r="O210" s="5"/>
      <c r="P210" s="5"/>
      <c r="Q210" s="5"/>
      <c r="AL210" s="7" t="str">
        <f>HYPERLINK("http://dx.doi.org/10.1016/j.jembe.2010.02.020","http://dx.doi.org/10.1016/j.jembe.2010.02.020")</f>
        <v>http://dx.doi.org/10.1016/j.jembe.2010.02.020</v>
      </c>
      <c r="AM210" s="5">
        <v>98</v>
      </c>
      <c r="AN210" s="5">
        <v>101</v>
      </c>
      <c r="AO210" s="5">
        <v>387</v>
      </c>
      <c r="AP210" s="5" t="s">
        <v>778</v>
      </c>
      <c r="AQ210" s="5">
        <v>44</v>
      </c>
      <c r="AR210" s="5">
        <v>51</v>
      </c>
      <c r="AS210" s="5" t="s">
        <v>16</v>
      </c>
      <c r="AT210" s="5" t="s">
        <v>1172</v>
      </c>
      <c r="AU210" s="5" t="s">
        <v>1173</v>
      </c>
      <c r="AV210" s="5" t="s">
        <v>1175</v>
      </c>
    </row>
    <row r="211" spans="1:48" ht="45" customHeight="1" x14ac:dyDescent="0.15">
      <c r="A211" s="5" t="s">
        <v>1176</v>
      </c>
      <c r="B211" s="5">
        <v>2007</v>
      </c>
      <c r="C211" s="5" t="s">
        <v>1177</v>
      </c>
      <c r="D211" s="5" t="s">
        <v>82</v>
      </c>
      <c r="E211" s="5" t="s">
        <v>18453</v>
      </c>
      <c r="F211" s="5" t="s">
        <v>1180</v>
      </c>
      <c r="G211" s="5"/>
      <c r="H211" s="5"/>
      <c r="I211" s="5"/>
      <c r="J211" s="5"/>
      <c r="K211" s="5"/>
      <c r="L211" s="5"/>
      <c r="M211" s="5"/>
      <c r="N211" s="5"/>
      <c r="O211" s="5"/>
      <c r="P211" s="5"/>
      <c r="Q211" s="5"/>
      <c r="AL211" s="7" t="str">
        <f>HYPERLINK("http://dx.doi.org/10.1890/06-0815","http://dx.doi.org/10.1890/06-0815")</f>
        <v>http://dx.doi.org/10.1890/06-0815</v>
      </c>
      <c r="AM211" s="5">
        <v>22</v>
      </c>
      <c r="AN211" s="5">
        <v>24</v>
      </c>
      <c r="AO211" s="5">
        <v>17</v>
      </c>
      <c r="AP211" s="5">
        <v>3</v>
      </c>
      <c r="AQ211" s="5">
        <v>765</v>
      </c>
      <c r="AR211" s="5">
        <v>778</v>
      </c>
      <c r="AS211" s="5" t="s">
        <v>16</v>
      </c>
      <c r="AT211" s="5" t="s">
        <v>1178</v>
      </c>
      <c r="AU211" s="5" t="s">
        <v>1179</v>
      </c>
      <c r="AV211" s="5" t="s">
        <v>1181</v>
      </c>
    </row>
    <row r="212" spans="1:48" ht="45" customHeight="1" x14ac:dyDescent="0.15">
      <c r="A212" s="5" t="s">
        <v>1182</v>
      </c>
      <c r="B212" s="5">
        <v>2017</v>
      </c>
      <c r="C212" s="5" t="s">
        <v>1183</v>
      </c>
      <c r="D212" s="5" t="s">
        <v>17</v>
      </c>
      <c r="E212" s="5" t="s">
        <v>18453</v>
      </c>
      <c r="F212" s="5" t="s">
        <v>1186</v>
      </c>
      <c r="G212" s="5"/>
      <c r="H212" s="5"/>
      <c r="I212" s="5"/>
      <c r="J212" s="5"/>
      <c r="K212" s="5"/>
      <c r="L212" s="5"/>
      <c r="M212" s="5"/>
      <c r="N212" s="5"/>
      <c r="O212" s="5"/>
      <c r="P212" s="5"/>
      <c r="Q212" s="5"/>
      <c r="AL212" s="7" t="str">
        <f>HYPERLINK("http://dx.doi.org/10.1111/fwb.12931","http://dx.doi.org/10.1111/fwb.12931")</f>
        <v>http://dx.doi.org/10.1111/fwb.12931</v>
      </c>
      <c r="AM212" s="5">
        <v>8</v>
      </c>
      <c r="AN212" s="5">
        <v>8</v>
      </c>
      <c r="AO212" s="5">
        <v>62</v>
      </c>
      <c r="AP212" s="5">
        <v>6</v>
      </c>
      <c r="AQ212" s="5">
        <v>1105</v>
      </c>
      <c r="AR212" s="5">
        <v>1115</v>
      </c>
      <c r="AS212" s="5" t="s">
        <v>16</v>
      </c>
      <c r="AT212" s="5" t="s">
        <v>1184</v>
      </c>
      <c r="AU212" s="5" t="s">
        <v>1185</v>
      </c>
      <c r="AV212" s="5" t="s">
        <v>1187</v>
      </c>
    </row>
    <row r="213" spans="1:48" ht="45" customHeight="1" x14ac:dyDescent="0.15">
      <c r="A213" s="5" t="s">
        <v>1188</v>
      </c>
      <c r="B213" s="5">
        <v>2020</v>
      </c>
      <c r="C213" s="5" t="s">
        <v>1189</v>
      </c>
      <c r="D213" s="5" t="s">
        <v>942</v>
      </c>
      <c r="E213" s="5" t="s">
        <v>18453</v>
      </c>
      <c r="F213" s="5" t="s">
        <v>1192</v>
      </c>
      <c r="G213" s="5"/>
      <c r="H213" s="5"/>
      <c r="I213" s="5"/>
      <c r="J213" s="5"/>
      <c r="K213" s="5"/>
      <c r="L213" s="5"/>
      <c r="M213" s="5"/>
      <c r="N213" s="5"/>
      <c r="O213" s="5"/>
      <c r="P213" s="5"/>
      <c r="Q213" s="5"/>
      <c r="AL213" s="7" t="str">
        <f>HYPERLINK("http://dx.doi.org/10.1016/j.rsma.2020.101413","http://dx.doi.org/10.1016/j.rsma.2020.101413")</f>
        <v>http://dx.doi.org/10.1016/j.rsma.2020.101413</v>
      </c>
      <c r="AM213" s="5">
        <v>9</v>
      </c>
      <c r="AN213" s="5">
        <v>9</v>
      </c>
      <c r="AO213" s="5">
        <v>39</v>
      </c>
      <c r="AP213" s="5" t="s">
        <v>16</v>
      </c>
      <c r="AQ213" s="5" t="s">
        <v>16</v>
      </c>
      <c r="AR213" s="5" t="s">
        <v>16</v>
      </c>
      <c r="AS213" s="5">
        <v>101413</v>
      </c>
      <c r="AT213" s="5" t="s">
        <v>1190</v>
      </c>
      <c r="AU213" s="5" t="s">
        <v>1191</v>
      </c>
      <c r="AV213" s="5" t="s">
        <v>1193</v>
      </c>
    </row>
    <row r="214" spans="1:48" ht="45" customHeight="1" x14ac:dyDescent="0.15">
      <c r="A214" s="5" t="s">
        <v>1194</v>
      </c>
      <c r="B214" s="5">
        <v>2021</v>
      </c>
      <c r="C214" s="5" t="s">
        <v>1195</v>
      </c>
      <c r="D214" s="5" t="s">
        <v>17</v>
      </c>
      <c r="E214" s="5" t="s">
        <v>18453</v>
      </c>
      <c r="F214" s="5" t="s">
        <v>1198</v>
      </c>
      <c r="G214" s="5"/>
      <c r="H214" s="5"/>
      <c r="I214" s="5"/>
      <c r="J214" s="5"/>
      <c r="K214" s="5"/>
      <c r="L214" s="5"/>
      <c r="M214" s="5"/>
      <c r="N214" s="5"/>
      <c r="O214" s="5"/>
      <c r="P214" s="5"/>
      <c r="Q214" s="5"/>
      <c r="AL214" s="7" t="str">
        <f>HYPERLINK("http://dx.doi.org/10.1111/fwb.13643","http://dx.doi.org/10.1111/fwb.13643")</f>
        <v>http://dx.doi.org/10.1111/fwb.13643</v>
      </c>
      <c r="AM214" s="5">
        <v>4</v>
      </c>
      <c r="AN214" s="5">
        <v>4</v>
      </c>
      <c r="AO214" s="5">
        <v>66</v>
      </c>
      <c r="AP214" s="5">
        <v>2</v>
      </c>
      <c r="AQ214" s="5">
        <v>362</v>
      </c>
      <c r="AR214" s="5">
        <v>373</v>
      </c>
      <c r="AS214" s="5" t="s">
        <v>16</v>
      </c>
      <c r="AT214" s="5" t="s">
        <v>1196</v>
      </c>
      <c r="AU214" s="5" t="s">
        <v>1197</v>
      </c>
      <c r="AV214" s="5" t="s">
        <v>1199</v>
      </c>
    </row>
    <row r="215" spans="1:48" ht="45" customHeight="1" x14ac:dyDescent="0.15">
      <c r="A215" s="5" t="s">
        <v>1200</v>
      </c>
      <c r="B215" s="5">
        <v>2017</v>
      </c>
      <c r="C215" s="5" t="s">
        <v>1201</v>
      </c>
      <c r="D215" s="5" t="s">
        <v>27</v>
      </c>
      <c r="E215" s="5" t="s">
        <v>18453</v>
      </c>
      <c r="F215" s="5" t="s">
        <v>1204</v>
      </c>
      <c r="G215" s="5"/>
      <c r="H215" s="5"/>
      <c r="I215" s="5"/>
      <c r="J215" s="5"/>
      <c r="K215" s="5"/>
      <c r="L215" s="5"/>
      <c r="M215" s="5"/>
      <c r="N215" s="5"/>
      <c r="O215" s="5"/>
      <c r="P215" s="5"/>
      <c r="Q215" s="5"/>
      <c r="AL215" s="7" t="str">
        <f>HYPERLINK("http://dx.doi.org/10.1002/ecy.1830","http://dx.doi.org/10.1002/ecy.1830")</f>
        <v>http://dx.doi.org/10.1002/ecy.1830</v>
      </c>
      <c r="AM215" s="5">
        <v>28</v>
      </c>
      <c r="AN215" s="5">
        <v>30</v>
      </c>
      <c r="AO215" s="5">
        <v>98</v>
      </c>
      <c r="AP215" s="5">
        <v>6</v>
      </c>
      <c r="AQ215" s="5">
        <v>1631</v>
      </c>
      <c r="AR215" s="5">
        <v>1639</v>
      </c>
      <c r="AS215" s="5" t="s">
        <v>16</v>
      </c>
      <c r="AT215" s="5" t="s">
        <v>1202</v>
      </c>
      <c r="AU215" s="5" t="s">
        <v>1203</v>
      </c>
      <c r="AV215" s="5" t="s">
        <v>1205</v>
      </c>
    </row>
    <row r="216" spans="1:48" ht="45" customHeight="1" x14ac:dyDescent="0.15">
      <c r="A216" s="5" t="s">
        <v>1206</v>
      </c>
      <c r="B216" s="5">
        <v>2002</v>
      </c>
      <c r="C216" s="5" t="s">
        <v>1207</v>
      </c>
      <c r="D216" s="5" t="s">
        <v>160</v>
      </c>
      <c r="E216" s="5" t="s">
        <v>18453</v>
      </c>
      <c r="F216" s="5" t="s">
        <v>1210</v>
      </c>
      <c r="G216" s="5"/>
      <c r="H216" s="5"/>
      <c r="I216" s="5"/>
      <c r="J216" s="5"/>
      <c r="K216" s="5"/>
      <c r="L216" s="5"/>
      <c r="M216" s="5"/>
      <c r="N216" s="5"/>
      <c r="O216" s="5"/>
      <c r="P216" s="5"/>
      <c r="Q216" s="5"/>
      <c r="AL216" s="7" t="str">
        <f>HYPERLINK("http://dx.doi.org/10.1046/j.1365-2664.2002.00723.x","http://dx.doi.org/10.1046/j.1365-2664.2002.00723.x")</f>
        <v>http://dx.doi.org/10.1046/j.1365-2664.2002.00723.x</v>
      </c>
      <c r="AM216" s="5">
        <v>191</v>
      </c>
      <c r="AN216" s="5">
        <v>205</v>
      </c>
      <c r="AO216" s="5">
        <v>39</v>
      </c>
      <c r="AP216" s="5">
        <v>3</v>
      </c>
      <c r="AQ216" s="5">
        <v>377</v>
      </c>
      <c r="AR216" s="5">
        <v>390</v>
      </c>
      <c r="AS216" s="5" t="s">
        <v>16</v>
      </c>
      <c r="AT216" s="5" t="s">
        <v>1208</v>
      </c>
      <c r="AU216" s="5" t="s">
        <v>1209</v>
      </c>
      <c r="AV216" s="5" t="s">
        <v>1211</v>
      </c>
    </row>
    <row r="217" spans="1:48" ht="45" customHeight="1" x14ac:dyDescent="0.15">
      <c r="A217" s="5" t="s">
        <v>1212</v>
      </c>
      <c r="B217" s="5">
        <v>2018</v>
      </c>
      <c r="C217" s="5" t="s">
        <v>1213</v>
      </c>
      <c r="D217" s="5" t="s">
        <v>212</v>
      </c>
      <c r="E217" s="5" t="s">
        <v>18453</v>
      </c>
      <c r="F217" s="5" t="s">
        <v>1216</v>
      </c>
      <c r="G217" s="5"/>
      <c r="H217" s="5"/>
      <c r="I217" s="5"/>
      <c r="J217" s="5"/>
      <c r="K217" s="5"/>
      <c r="L217" s="5"/>
      <c r="M217" s="5"/>
      <c r="N217" s="5"/>
      <c r="O217" s="5"/>
      <c r="P217" s="5"/>
      <c r="Q217" s="5"/>
      <c r="AL217" s="7" t="str">
        <f>HYPERLINK("http://dx.doi.org/10.1007/s00300-017-2178-0","http://dx.doi.org/10.1007/s00300-017-2178-0")</f>
        <v>http://dx.doi.org/10.1007/s00300-017-2178-0</v>
      </c>
      <c r="AM217" s="5">
        <v>13</v>
      </c>
      <c r="AN217" s="5">
        <v>15</v>
      </c>
      <c r="AO217" s="5">
        <v>41</v>
      </c>
      <c r="AP217" s="5">
        <v>1</v>
      </c>
      <c r="AQ217" s="5">
        <v>149</v>
      </c>
      <c r="AR217" s="5">
        <v>162</v>
      </c>
      <c r="AS217" s="5" t="s">
        <v>16</v>
      </c>
      <c r="AT217" s="5" t="s">
        <v>1214</v>
      </c>
      <c r="AU217" s="5" t="s">
        <v>1215</v>
      </c>
      <c r="AV217" s="5" t="s">
        <v>1217</v>
      </c>
    </row>
    <row r="218" spans="1:48" ht="45" customHeight="1" x14ac:dyDescent="0.15">
      <c r="A218" s="5" t="s">
        <v>1218</v>
      </c>
      <c r="B218" s="5">
        <v>2017</v>
      </c>
      <c r="C218" s="5" t="s">
        <v>1219</v>
      </c>
      <c r="D218" s="5" t="s">
        <v>49</v>
      </c>
      <c r="E218" s="5" t="s">
        <v>18453</v>
      </c>
      <c r="F218" s="5" t="s">
        <v>1222</v>
      </c>
      <c r="G218" s="5"/>
      <c r="H218" s="5"/>
      <c r="I218" s="5"/>
      <c r="J218" s="5"/>
      <c r="K218" s="5"/>
      <c r="L218" s="5"/>
      <c r="M218" s="5"/>
      <c r="N218" s="5"/>
      <c r="O218" s="5"/>
      <c r="P218" s="5"/>
      <c r="Q218" s="5"/>
      <c r="AL218" s="7" t="str">
        <f>HYPERLINK("http://dx.doi.org/10.3354/meps11952","http://dx.doi.org/10.3354/meps11952")</f>
        <v>http://dx.doi.org/10.3354/meps11952</v>
      </c>
      <c r="AM218" s="5">
        <v>6</v>
      </c>
      <c r="AN218" s="5">
        <v>6</v>
      </c>
      <c r="AO218" s="5">
        <v>563</v>
      </c>
      <c r="AP218" s="5" t="s">
        <v>16</v>
      </c>
      <c r="AQ218" s="5">
        <v>249</v>
      </c>
      <c r="AR218" s="5">
        <v>259</v>
      </c>
      <c r="AS218" s="5" t="s">
        <v>16</v>
      </c>
      <c r="AT218" s="5" t="s">
        <v>1220</v>
      </c>
      <c r="AU218" s="5" t="s">
        <v>1221</v>
      </c>
      <c r="AV218" s="5" t="s">
        <v>1223</v>
      </c>
    </row>
    <row r="219" spans="1:48" ht="45" customHeight="1" x14ac:dyDescent="0.15">
      <c r="A219" s="5" t="s">
        <v>1224</v>
      </c>
      <c r="B219" s="5">
        <v>2011</v>
      </c>
      <c r="C219" s="5" t="s">
        <v>1225</v>
      </c>
      <c r="D219" s="5" t="s">
        <v>296</v>
      </c>
      <c r="E219" s="5" t="s">
        <v>18453</v>
      </c>
      <c r="F219" s="5" t="s">
        <v>1228</v>
      </c>
      <c r="G219" s="5"/>
      <c r="H219" s="5"/>
      <c r="I219" s="5"/>
      <c r="J219" s="5"/>
      <c r="K219" s="5"/>
      <c r="L219" s="5"/>
      <c r="M219" s="5"/>
      <c r="N219" s="5"/>
      <c r="O219" s="5"/>
      <c r="P219" s="5"/>
      <c r="Q219" s="5"/>
      <c r="AL219" s="7" t="str">
        <f>HYPERLINK("http://dx.doi.org/10.1098/rspb.2011.0112","http://dx.doi.org/10.1098/rspb.2011.0112")</f>
        <v>http://dx.doi.org/10.1098/rspb.2011.0112</v>
      </c>
      <c r="AM219" s="5">
        <v>38</v>
      </c>
      <c r="AN219" s="5">
        <v>38</v>
      </c>
      <c r="AO219" s="5">
        <v>278</v>
      </c>
      <c r="AP219" s="5">
        <v>1721</v>
      </c>
      <c r="AQ219" s="5">
        <v>3042</v>
      </c>
      <c r="AR219" s="5">
        <v>3049</v>
      </c>
      <c r="AS219" s="5" t="s">
        <v>16</v>
      </c>
      <c r="AT219" s="5" t="s">
        <v>1226</v>
      </c>
      <c r="AU219" s="5" t="s">
        <v>1227</v>
      </c>
      <c r="AV219" s="5" t="s">
        <v>1229</v>
      </c>
    </row>
    <row r="220" spans="1:48" ht="45" customHeight="1" x14ac:dyDescent="0.15">
      <c r="A220" s="5" t="s">
        <v>1230</v>
      </c>
      <c r="B220" s="5">
        <v>2018</v>
      </c>
      <c r="C220" s="5" t="s">
        <v>1231</v>
      </c>
      <c r="D220" s="5" t="s">
        <v>33</v>
      </c>
      <c r="E220" s="5" t="s">
        <v>18453</v>
      </c>
      <c r="F220" s="5" t="s">
        <v>1234</v>
      </c>
      <c r="G220" s="5"/>
      <c r="H220" s="5"/>
      <c r="I220" s="5"/>
      <c r="J220" s="5"/>
      <c r="K220" s="5"/>
      <c r="L220" s="5"/>
      <c r="M220" s="5"/>
      <c r="N220" s="5"/>
      <c r="O220" s="5"/>
      <c r="P220" s="5"/>
      <c r="Q220" s="5"/>
      <c r="AL220" s="7" t="str">
        <f>HYPERLINK("http://dx.doi.org/10.1111/gcb.13912","http://dx.doi.org/10.1111/gcb.13912")</f>
        <v>http://dx.doi.org/10.1111/gcb.13912</v>
      </c>
      <c r="AM220" s="5">
        <v>34</v>
      </c>
      <c r="AN220" s="5">
        <v>34</v>
      </c>
      <c r="AO220" s="5">
        <v>24</v>
      </c>
      <c r="AP220" s="5">
        <v>3</v>
      </c>
      <c r="AQ220" s="5">
        <v>1069</v>
      </c>
      <c r="AR220" s="5">
        <v>1084</v>
      </c>
      <c r="AS220" s="5" t="s">
        <v>16</v>
      </c>
      <c r="AT220" s="5" t="s">
        <v>1232</v>
      </c>
      <c r="AU220" s="5" t="s">
        <v>1233</v>
      </c>
      <c r="AV220" s="5" t="s">
        <v>1235</v>
      </c>
    </row>
    <row r="221" spans="1:48" ht="45" customHeight="1" x14ac:dyDescent="0.15">
      <c r="A221" s="5" t="s">
        <v>1236</v>
      </c>
      <c r="B221" s="5">
        <v>2016</v>
      </c>
      <c r="C221" s="5" t="s">
        <v>1237</v>
      </c>
      <c r="D221" s="5" t="s">
        <v>1238</v>
      </c>
      <c r="E221" s="5" t="s">
        <v>18453</v>
      </c>
      <c r="F221" s="5" t="s">
        <v>1241</v>
      </c>
      <c r="G221" s="5"/>
      <c r="H221" s="5"/>
      <c r="I221" s="5"/>
      <c r="J221" s="5"/>
      <c r="K221" s="5"/>
      <c r="L221" s="5"/>
      <c r="M221" s="5"/>
      <c r="N221" s="5"/>
      <c r="O221" s="5"/>
      <c r="P221" s="5"/>
      <c r="Q221" s="5"/>
      <c r="AL221" s="7" t="str">
        <f>HYPERLINK("http://dx.doi.org/10.1186/s40462-016-0081-x","http://dx.doi.org/10.1186/s40462-016-0081-x")</f>
        <v>http://dx.doi.org/10.1186/s40462-016-0081-x</v>
      </c>
      <c r="AM221" s="5">
        <v>2</v>
      </c>
      <c r="AN221" s="5">
        <v>2</v>
      </c>
      <c r="AO221" s="5">
        <v>4</v>
      </c>
      <c r="AP221" s="5" t="s">
        <v>16</v>
      </c>
      <c r="AQ221" s="5" t="s">
        <v>16</v>
      </c>
      <c r="AR221" s="5" t="s">
        <v>16</v>
      </c>
      <c r="AS221" s="5">
        <v>16</v>
      </c>
      <c r="AT221" s="5" t="s">
        <v>1239</v>
      </c>
      <c r="AU221" s="5" t="s">
        <v>1240</v>
      </c>
      <c r="AV221" s="5" t="s">
        <v>1242</v>
      </c>
    </row>
    <row r="222" spans="1:48" ht="45" customHeight="1" x14ac:dyDescent="0.15">
      <c r="A222" s="5" t="s">
        <v>1243</v>
      </c>
      <c r="B222" s="5">
        <v>2018</v>
      </c>
      <c r="C222" s="5" t="s">
        <v>1244</v>
      </c>
      <c r="D222" s="5" t="s">
        <v>17</v>
      </c>
      <c r="E222" s="5" t="s">
        <v>18453</v>
      </c>
      <c r="F222" s="5" t="s">
        <v>1247</v>
      </c>
      <c r="G222" s="5"/>
      <c r="H222" s="5"/>
      <c r="I222" s="5"/>
      <c r="J222" s="5"/>
      <c r="K222" s="5"/>
      <c r="L222" s="5"/>
      <c r="M222" s="5"/>
      <c r="N222" s="5"/>
      <c r="O222" s="5"/>
      <c r="P222" s="5"/>
      <c r="Q222" s="5"/>
      <c r="AL222" s="7" t="str">
        <f>HYPERLINK("http://dx.doi.org/10.1111/fwb.13091","http://dx.doi.org/10.1111/fwb.13091")</f>
        <v>http://dx.doi.org/10.1111/fwb.13091</v>
      </c>
      <c r="AM222" s="5">
        <v>20</v>
      </c>
      <c r="AN222" s="5">
        <v>20</v>
      </c>
      <c r="AO222" s="5">
        <v>63</v>
      </c>
      <c r="AP222" s="5">
        <v>5</v>
      </c>
      <c r="AQ222" s="5">
        <v>492</v>
      </c>
      <c r="AR222" s="5">
        <v>502</v>
      </c>
      <c r="AS222" s="5" t="s">
        <v>16</v>
      </c>
      <c r="AT222" s="5" t="s">
        <v>1245</v>
      </c>
      <c r="AU222" s="5" t="s">
        <v>1246</v>
      </c>
      <c r="AV222" s="5" t="s">
        <v>1248</v>
      </c>
    </row>
    <row r="223" spans="1:48" ht="45" customHeight="1" x14ac:dyDescent="0.15">
      <c r="A223" s="5" t="s">
        <v>1249</v>
      </c>
      <c r="B223" s="5">
        <v>2021</v>
      </c>
      <c r="C223" s="5" t="s">
        <v>1250</v>
      </c>
      <c r="D223" s="5" t="s">
        <v>49</v>
      </c>
      <c r="E223" s="5" t="s">
        <v>18453</v>
      </c>
      <c r="F223" s="5" t="s">
        <v>1253</v>
      </c>
      <c r="G223" s="5"/>
      <c r="H223" s="5"/>
      <c r="I223" s="5"/>
      <c r="J223" s="5"/>
      <c r="K223" s="5"/>
      <c r="L223" s="5"/>
      <c r="M223" s="5"/>
      <c r="N223" s="5"/>
      <c r="O223" s="5"/>
      <c r="P223" s="5"/>
      <c r="Q223" s="5"/>
      <c r="AL223" s="7" t="str">
        <f>HYPERLINK("http://dx.doi.org/10.3354/meps13864","http://dx.doi.org/10.3354/meps13864")</f>
        <v>http://dx.doi.org/10.3354/meps13864</v>
      </c>
      <c r="AM223" s="5">
        <v>3</v>
      </c>
      <c r="AN223" s="5">
        <v>3</v>
      </c>
      <c r="AO223" s="5">
        <v>677</v>
      </c>
      <c r="AP223" s="5" t="s">
        <v>16</v>
      </c>
      <c r="AQ223" s="5">
        <v>233</v>
      </c>
      <c r="AR223" s="5">
        <v>244</v>
      </c>
      <c r="AS223" s="5" t="s">
        <v>16</v>
      </c>
      <c r="AT223" s="5" t="s">
        <v>1251</v>
      </c>
      <c r="AU223" s="5" t="s">
        <v>1252</v>
      </c>
      <c r="AV223" s="5" t="s">
        <v>1254</v>
      </c>
    </row>
    <row r="224" spans="1:48" ht="45" customHeight="1" x14ac:dyDescent="0.15">
      <c r="A224" s="5" t="s">
        <v>1255</v>
      </c>
      <c r="B224" s="5">
        <v>2021</v>
      </c>
      <c r="C224" s="5" t="s">
        <v>1256</v>
      </c>
      <c r="D224" s="5" t="s">
        <v>1257</v>
      </c>
      <c r="E224" s="5" t="s">
        <v>18453</v>
      </c>
      <c r="F224" s="5" t="s">
        <v>1260</v>
      </c>
      <c r="G224" s="5"/>
      <c r="H224" s="5"/>
      <c r="I224" s="5"/>
      <c r="J224" s="5"/>
      <c r="K224" s="5"/>
      <c r="L224" s="5"/>
      <c r="M224" s="5"/>
      <c r="N224" s="5"/>
      <c r="O224" s="5"/>
      <c r="P224" s="5"/>
      <c r="Q224" s="5"/>
      <c r="AL224" s="7" t="str">
        <f>HYPERLINK("http://dx.doi.org/10.3389/ffgc.2021.622370","http://dx.doi.org/10.3389/ffgc.2021.622370")</f>
        <v>http://dx.doi.org/10.3389/ffgc.2021.622370</v>
      </c>
      <c r="AM224" s="5">
        <v>9</v>
      </c>
      <c r="AN224" s="5">
        <v>9</v>
      </c>
      <c r="AO224" s="5">
        <v>4</v>
      </c>
      <c r="AP224" s="5" t="s">
        <v>16</v>
      </c>
      <c r="AQ224" s="5" t="s">
        <v>16</v>
      </c>
      <c r="AR224" s="5" t="s">
        <v>16</v>
      </c>
      <c r="AS224" s="5">
        <v>622370</v>
      </c>
      <c r="AT224" s="5" t="s">
        <v>1258</v>
      </c>
      <c r="AU224" s="5" t="s">
        <v>1259</v>
      </c>
      <c r="AV224" s="5" t="s">
        <v>1261</v>
      </c>
    </row>
    <row r="225" spans="1:48" ht="45" customHeight="1" x14ac:dyDescent="0.15">
      <c r="A225" s="5" t="s">
        <v>1262</v>
      </c>
      <c r="B225" s="5">
        <v>2006</v>
      </c>
      <c r="C225" s="5" t="s">
        <v>1263</v>
      </c>
      <c r="D225" s="5" t="s">
        <v>17</v>
      </c>
      <c r="E225" s="5" t="s">
        <v>18453</v>
      </c>
      <c r="F225" s="5" t="s">
        <v>1266</v>
      </c>
      <c r="G225" s="5"/>
      <c r="H225" s="5"/>
      <c r="I225" s="5"/>
      <c r="J225" s="5"/>
      <c r="K225" s="5"/>
      <c r="L225" s="5"/>
      <c r="M225" s="5"/>
      <c r="N225" s="5"/>
      <c r="O225" s="5"/>
      <c r="P225" s="5"/>
      <c r="Q225" s="5"/>
      <c r="AL225" s="7" t="str">
        <f>HYPERLINK("http://dx.doi.org/10.1111/j.1365-2427.2006.01568.x","http://dx.doi.org/10.1111/j.1365-2427.2006.01568.x")</f>
        <v>http://dx.doi.org/10.1111/j.1365-2427.2006.01568.x</v>
      </c>
      <c r="AM225" s="5">
        <v>48</v>
      </c>
      <c r="AN225" s="5">
        <v>50</v>
      </c>
      <c r="AO225" s="5">
        <v>51</v>
      </c>
      <c r="AP225" s="5">
        <v>7</v>
      </c>
      <c r="AQ225" s="5">
        <v>1310</v>
      </c>
      <c r="AR225" s="5">
        <v>1319</v>
      </c>
      <c r="AS225" s="5" t="s">
        <v>16</v>
      </c>
      <c r="AT225" s="5" t="s">
        <v>1264</v>
      </c>
      <c r="AU225" s="5" t="s">
        <v>1265</v>
      </c>
      <c r="AV225" s="5" t="s">
        <v>1267</v>
      </c>
    </row>
    <row r="226" spans="1:48" ht="45" customHeight="1" x14ac:dyDescent="0.15">
      <c r="A226" s="5" t="s">
        <v>1045</v>
      </c>
      <c r="B226" s="5">
        <v>2015</v>
      </c>
      <c r="C226" s="5" t="s">
        <v>1268</v>
      </c>
      <c r="D226" s="5" t="s">
        <v>17</v>
      </c>
      <c r="E226" s="5" t="s">
        <v>18453</v>
      </c>
      <c r="F226" s="5" t="s">
        <v>1271</v>
      </c>
      <c r="G226" s="5"/>
      <c r="H226" s="5"/>
      <c r="I226" s="5"/>
      <c r="J226" s="5"/>
      <c r="K226" s="5"/>
      <c r="L226" s="5"/>
      <c r="M226" s="5"/>
      <c r="N226" s="5"/>
      <c r="O226" s="5"/>
      <c r="P226" s="5"/>
      <c r="Q226" s="5"/>
      <c r="AL226" s="7" t="str">
        <f>HYPERLINK("http://dx.doi.org/10.1111/fwb.12467","http://dx.doi.org/10.1111/fwb.12467")</f>
        <v>http://dx.doi.org/10.1111/fwb.12467</v>
      </c>
      <c r="AM226" s="5">
        <v>9</v>
      </c>
      <c r="AN226" s="5">
        <v>9</v>
      </c>
      <c r="AO226" s="5">
        <v>60</v>
      </c>
      <c r="AP226" s="5">
        <v>1</v>
      </c>
      <c r="AQ226" s="5">
        <v>64</v>
      </c>
      <c r="AR226" s="5">
        <v>77</v>
      </c>
      <c r="AS226" s="5" t="s">
        <v>16</v>
      </c>
      <c r="AT226" s="5" t="s">
        <v>1269</v>
      </c>
      <c r="AU226" s="5" t="s">
        <v>1270</v>
      </c>
      <c r="AV226" s="5" t="s">
        <v>1272</v>
      </c>
    </row>
    <row r="227" spans="1:48" ht="45" customHeight="1" x14ac:dyDescent="0.15">
      <c r="A227" s="5" t="s">
        <v>1273</v>
      </c>
      <c r="B227" s="5">
        <v>2012</v>
      </c>
      <c r="C227" s="5" t="s">
        <v>1274</v>
      </c>
      <c r="D227" s="5" t="s">
        <v>190</v>
      </c>
      <c r="E227" s="5" t="s">
        <v>18453</v>
      </c>
      <c r="F227" s="5" t="s">
        <v>1277</v>
      </c>
      <c r="G227" s="5"/>
      <c r="H227" s="5"/>
      <c r="I227" s="5"/>
      <c r="J227" s="5"/>
      <c r="K227" s="5"/>
      <c r="L227" s="5"/>
      <c r="M227" s="5"/>
      <c r="N227" s="5"/>
      <c r="O227" s="5"/>
      <c r="P227" s="5"/>
      <c r="Q227" s="5"/>
      <c r="AL227" s="7" t="str">
        <f>HYPERLINK("http://dx.doi.org/10.1007/s10530-011-0116-6","http://dx.doi.org/10.1007/s10530-011-0116-6")</f>
        <v>http://dx.doi.org/10.1007/s10530-011-0116-6</v>
      </c>
      <c r="AM227" s="5">
        <v>50</v>
      </c>
      <c r="AN227" s="5">
        <v>55</v>
      </c>
      <c r="AO227" s="5">
        <v>14</v>
      </c>
      <c r="AP227" s="5">
        <v>4</v>
      </c>
      <c r="AQ227" s="5">
        <v>779</v>
      </c>
      <c r="AR227" s="5">
        <v>795</v>
      </c>
      <c r="AS227" s="5" t="s">
        <v>16</v>
      </c>
      <c r="AT227" s="5" t="s">
        <v>1275</v>
      </c>
      <c r="AU227" s="5" t="s">
        <v>1276</v>
      </c>
      <c r="AV227" s="5" t="s">
        <v>1278</v>
      </c>
    </row>
    <row r="228" spans="1:48" ht="45" customHeight="1" x14ac:dyDescent="0.15">
      <c r="A228" s="5" t="s">
        <v>1279</v>
      </c>
      <c r="B228" s="5">
        <v>2022</v>
      </c>
      <c r="C228" s="5" t="s">
        <v>1280</v>
      </c>
      <c r="D228" s="5" t="s">
        <v>82</v>
      </c>
      <c r="E228" s="5" t="s">
        <v>18453</v>
      </c>
      <c r="F228" s="5" t="s">
        <v>1283</v>
      </c>
      <c r="G228" s="5"/>
      <c r="H228" s="5"/>
      <c r="I228" s="5"/>
      <c r="J228" s="5"/>
      <c r="K228" s="5"/>
      <c r="L228" s="5"/>
      <c r="M228" s="5"/>
      <c r="N228" s="5"/>
      <c r="O228" s="5"/>
      <c r="P228" s="5"/>
      <c r="Q228" s="5"/>
      <c r="AL228" s="7" t="str">
        <f>HYPERLINK("http://dx.doi.org/10.1002/eap.2545","http://dx.doi.org/10.1002/eap.2545")</f>
        <v>http://dx.doi.org/10.1002/eap.2545</v>
      </c>
      <c r="AM228" s="5">
        <v>2</v>
      </c>
      <c r="AN228" s="5">
        <v>2</v>
      </c>
      <c r="AO228" s="5">
        <v>32</v>
      </c>
      <c r="AP228" s="5">
        <v>4</v>
      </c>
      <c r="AQ228" s="5" t="s">
        <v>16</v>
      </c>
      <c r="AR228" s="5" t="s">
        <v>16</v>
      </c>
      <c r="AS228" s="5" t="s">
        <v>1284</v>
      </c>
      <c r="AT228" s="5" t="s">
        <v>1281</v>
      </c>
      <c r="AU228" s="5" t="s">
        <v>1282</v>
      </c>
      <c r="AV228" s="5" t="s">
        <v>1285</v>
      </c>
    </row>
    <row r="229" spans="1:48" ht="45" customHeight="1" x14ac:dyDescent="0.15">
      <c r="A229" s="5" t="s">
        <v>1286</v>
      </c>
      <c r="B229" s="5">
        <v>2019</v>
      </c>
      <c r="C229" s="5" t="s">
        <v>1287</v>
      </c>
      <c r="D229" s="5" t="s">
        <v>49</v>
      </c>
      <c r="E229" s="5" t="s">
        <v>18453</v>
      </c>
      <c r="F229" s="5" t="s">
        <v>1290</v>
      </c>
      <c r="G229" s="5"/>
      <c r="H229" s="5"/>
      <c r="I229" s="5"/>
      <c r="J229" s="5"/>
      <c r="K229" s="5"/>
      <c r="L229" s="5"/>
      <c r="M229" s="5"/>
      <c r="N229" s="5"/>
      <c r="O229" s="5"/>
      <c r="P229" s="5"/>
      <c r="Q229" s="5"/>
      <c r="AL229" s="7" t="str">
        <f>HYPERLINK("http://dx.doi.org/10.3354/meps13121","http://dx.doi.org/10.3354/meps13121")</f>
        <v>http://dx.doi.org/10.3354/meps13121</v>
      </c>
      <c r="AM229" s="5">
        <v>5</v>
      </c>
      <c r="AN229" s="5">
        <v>5</v>
      </c>
      <c r="AO229" s="5">
        <v>629</v>
      </c>
      <c r="AP229" s="5" t="s">
        <v>16</v>
      </c>
      <c r="AQ229" s="5">
        <v>67</v>
      </c>
      <c r="AR229" s="5">
        <v>86</v>
      </c>
      <c r="AS229" s="5" t="s">
        <v>16</v>
      </c>
      <c r="AT229" s="5" t="s">
        <v>1288</v>
      </c>
      <c r="AU229" s="5" t="s">
        <v>1289</v>
      </c>
      <c r="AV229" s="5" t="s">
        <v>1291</v>
      </c>
    </row>
    <row r="230" spans="1:48" ht="45" customHeight="1" x14ac:dyDescent="0.15">
      <c r="A230" s="5" t="s">
        <v>1292</v>
      </c>
      <c r="B230" s="5">
        <v>2020</v>
      </c>
      <c r="C230" s="5" t="s">
        <v>1293</v>
      </c>
      <c r="D230" s="5" t="s">
        <v>83</v>
      </c>
      <c r="E230" s="5" t="s">
        <v>18453</v>
      </c>
      <c r="F230" s="5" t="s">
        <v>1296</v>
      </c>
      <c r="G230" s="5"/>
      <c r="H230" s="5"/>
      <c r="I230" s="5"/>
      <c r="J230" s="5"/>
      <c r="K230" s="5"/>
      <c r="L230" s="5"/>
      <c r="M230" s="5"/>
      <c r="N230" s="5"/>
      <c r="O230" s="5"/>
      <c r="P230" s="5"/>
      <c r="Q230" s="5"/>
      <c r="AL230" s="7" t="str">
        <f>HYPERLINK("http://dx.doi.org/10.1007/s10646-020-02249-6","http://dx.doi.org/10.1007/s10646-020-02249-6")</f>
        <v>http://dx.doi.org/10.1007/s10646-020-02249-6</v>
      </c>
      <c r="AM230" s="5">
        <v>4</v>
      </c>
      <c r="AN230" s="5">
        <v>4</v>
      </c>
      <c r="AO230" s="5">
        <v>29</v>
      </c>
      <c r="AP230" s="5">
        <v>7</v>
      </c>
      <c r="AQ230" s="5">
        <v>876</v>
      </c>
      <c r="AR230" s="5">
        <v>891</v>
      </c>
      <c r="AS230" s="5" t="s">
        <v>16</v>
      </c>
      <c r="AT230" s="5" t="s">
        <v>1294</v>
      </c>
      <c r="AU230" s="5" t="s">
        <v>1295</v>
      </c>
      <c r="AV230" s="5" t="s">
        <v>1297</v>
      </c>
    </row>
    <row r="231" spans="1:48" ht="45" customHeight="1" x14ac:dyDescent="0.15">
      <c r="A231" s="5" t="s">
        <v>1298</v>
      </c>
      <c r="B231" s="5">
        <v>2014</v>
      </c>
      <c r="C231" s="5" t="s">
        <v>1299</v>
      </c>
      <c r="D231" s="5" t="s">
        <v>49</v>
      </c>
      <c r="E231" s="5" t="s">
        <v>18453</v>
      </c>
      <c r="F231" s="5" t="s">
        <v>1302</v>
      </c>
      <c r="G231" s="5"/>
      <c r="H231" s="5"/>
      <c r="I231" s="5"/>
      <c r="J231" s="5"/>
      <c r="K231" s="5"/>
      <c r="L231" s="5"/>
      <c r="M231" s="5"/>
      <c r="N231" s="5"/>
      <c r="O231" s="5"/>
      <c r="P231" s="5"/>
      <c r="Q231" s="5"/>
      <c r="AL231" s="7" t="str">
        <f>HYPERLINK("http://dx.doi.org/10.3354/meps11002","http://dx.doi.org/10.3354/meps11002")</f>
        <v>http://dx.doi.org/10.3354/meps11002</v>
      </c>
      <c r="AM231" s="5">
        <v>9</v>
      </c>
      <c r="AN231" s="5">
        <v>9</v>
      </c>
      <c r="AO231" s="5">
        <v>514</v>
      </c>
      <c r="AP231" s="5" t="s">
        <v>16</v>
      </c>
      <c r="AQ231" s="5">
        <v>163</v>
      </c>
      <c r="AR231" s="5">
        <v>174</v>
      </c>
      <c r="AS231" s="5" t="s">
        <v>16</v>
      </c>
      <c r="AT231" s="5" t="s">
        <v>1300</v>
      </c>
      <c r="AU231" s="5" t="s">
        <v>1301</v>
      </c>
      <c r="AV231" s="5" t="s">
        <v>1303</v>
      </c>
    </row>
    <row r="232" spans="1:48" ht="45" customHeight="1" x14ac:dyDescent="0.15">
      <c r="A232" s="5" t="s">
        <v>1304</v>
      </c>
      <c r="B232" s="5">
        <v>2019</v>
      </c>
      <c r="C232" s="5" t="s">
        <v>1305</v>
      </c>
      <c r="D232" s="5" t="s">
        <v>190</v>
      </c>
      <c r="E232" s="5" t="s">
        <v>18453</v>
      </c>
      <c r="F232" s="5" t="s">
        <v>1307</v>
      </c>
      <c r="G232" s="5"/>
      <c r="H232" s="5"/>
      <c r="I232" s="5"/>
      <c r="J232" s="5"/>
      <c r="K232" s="5"/>
      <c r="L232" s="5"/>
      <c r="M232" s="5"/>
      <c r="N232" s="5"/>
      <c r="O232" s="5"/>
      <c r="P232" s="5"/>
      <c r="Q232" s="5"/>
      <c r="AL232" s="7" t="str">
        <f>HYPERLINK("http://dx.doi.org/10.1007/s10530-018-1869-y","http://dx.doi.org/10.1007/s10530-018-1869-y")</f>
        <v>http://dx.doi.org/10.1007/s10530-018-1869-y</v>
      </c>
      <c r="AM232" s="5">
        <v>19</v>
      </c>
      <c r="AN232" s="5">
        <v>20</v>
      </c>
      <c r="AO232" s="5">
        <v>21</v>
      </c>
      <c r="AP232" s="5">
        <v>3</v>
      </c>
      <c r="AQ232" s="5">
        <v>911</v>
      </c>
      <c r="AR232" s="5">
        <v>923</v>
      </c>
      <c r="AS232" s="5" t="s">
        <v>16</v>
      </c>
      <c r="AT232" s="5" t="s">
        <v>1306</v>
      </c>
      <c r="AU232" s="5" t="s">
        <v>16</v>
      </c>
      <c r="AV232" s="5" t="s">
        <v>1308</v>
      </c>
    </row>
    <row r="233" spans="1:48" ht="45" customHeight="1" x14ac:dyDescent="0.15">
      <c r="A233" s="5" t="s">
        <v>1309</v>
      </c>
      <c r="B233" s="5">
        <v>2021</v>
      </c>
      <c r="C233" s="5" t="s">
        <v>1310</v>
      </c>
      <c r="D233" s="5" t="s">
        <v>312</v>
      </c>
      <c r="E233" s="5" t="s">
        <v>18453</v>
      </c>
      <c r="F233" s="5" t="s">
        <v>1313</v>
      </c>
      <c r="G233" s="5"/>
      <c r="H233" s="5"/>
      <c r="I233" s="5"/>
      <c r="J233" s="5"/>
      <c r="K233" s="5"/>
      <c r="L233" s="5"/>
      <c r="M233" s="5"/>
      <c r="N233" s="5"/>
      <c r="O233" s="5"/>
      <c r="P233" s="5"/>
      <c r="Q233" s="5"/>
      <c r="AL233" s="7" t="str">
        <f>HYPERLINK("http://dx.doi.org/10.1016/j.ecolmodel.2021.109729","http://dx.doi.org/10.1016/j.ecolmodel.2021.109729")</f>
        <v>http://dx.doi.org/10.1016/j.ecolmodel.2021.109729</v>
      </c>
      <c r="AM233" s="5">
        <v>8</v>
      </c>
      <c r="AN233" s="5">
        <v>8</v>
      </c>
      <c r="AO233" s="5">
        <v>459</v>
      </c>
      <c r="AP233" s="5" t="s">
        <v>16</v>
      </c>
      <c r="AQ233" s="5" t="s">
        <v>16</v>
      </c>
      <c r="AR233" s="5" t="s">
        <v>16</v>
      </c>
      <c r="AS233" s="5">
        <v>109729</v>
      </c>
      <c r="AT233" s="5" t="s">
        <v>1311</v>
      </c>
      <c r="AU233" s="5" t="s">
        <v>1312</v>
      </c>
      <c r="AV233" s="5" t="s">
        <v>1314</v>
      </c>
    </row>
    <row r="234" spans="1:48" ht="45" customHeight="1" x14ac:dyDescent="0.15">
      <c r="A234" s="5" t="s">
        <v>1315</v>
      </c>
      <c r="B234" s="5">
        <v>2012</v>
      </c>
      <c r="C234" s="5" t="s">
        <v>1316</v>
      </c>
      <c r="D234" s="5" t="s">
        <v>17</v>
      </c>
      <c r="E234" s="5" t="s">
        <v>18453</v>
      </c>
      <c r="F234" s="5" t="s">
        <v>1319</v>
      </c>
      <c r="G234" s="5"/>
      <c r="H234" s="5"/>
      <c r="I234" s="5"/>
      <c r="J234" s="5"/>
      <c r="K234" s="5"/>
      <c r="L234" s="5"/>
      <c r="M234" s="5"/>
      <c r="N234" s="5"/>
      <c r="O234" s="5"/>
      <c r="P234" s="5"/>
      <c r="Q234" s="5"/>
      <c r="AL234" s="7" t="str">
        <f>HYPERLINK("http://dx.doi.org/10.1111/fwb.12014","http://dx.doi.org/10.1111/fwb.12014")</f>
        <v>http://dx.doi.org/10.1111/fwb.12014</v>
      </c>
      <c r="AM234" s="5">
        <v>58</v>
      </c>
      <c r="AN234" s="5">
        <v>58</v>
      </c>
      <c r="AO234" s="5">
        <v>57</v>
      </c>
      <c r="AP234" s="5">
        <v>11</v>
      </c>
      <c r="AQ234" s="5">
        <v>2342</v>
      </c>
      <c r="AR234" s="5">
        <v>2355</v>
      </c>
      <c r="AS234" s="5" t="s">
        <v>16</v>
      </c>
      <c r="AT234" s="5" t="s">
        <v>1317</v>
      </c>
      <c r="AU234" s="5" t="s">
        <v>1318</v>
      </c>
      <c r="AV234" s="5" t="s">
        <v>1320</v>
      </c>
    </row>
    <row r="235" spans="1:48" ht="45" customHeight="1" x14ac:dyDescent="0.15">
      <c r="A235" s="5" t="s">
        <v>1327</v>
      </c>
      <c r="B235" s="5">
        <v>2010</v>
      </c>
      <c r="C235" s="5" t="s">
        <v>1328</v>
      </c>
      <c r="D235" s="5" t="s">
        <v>33</v>
      </c>
      <c r="E235" s="5" t="s">
        <v>18453</v>
      </c>
      <c r="F235" s="5" t="s">
        <v>1331</v>
      </c>
      <c r="G235" s="5"/>
      <c r="H235" s="5"/>
      <c r="I235" s="5"/>
      <c r="J235" s="5"/>
      <c r="K235" s="5"/>
      <c r="L235" s="5"/>
      <c r="M235" s="5"/>
      <c r="N235" s="5"/>
      <c r="O235" s="5"/>
      <c r="P235" s="5"/>
      <c r="Q235" s="5"/>
      <c r="AL235" s="7" t="str">
        <f>HYPERLINK("http://dx.doi.org/10.1111/j.1365-2486.2009.02008.x","http://dx.doi.org/10.1111/j.1365-2486.2009.02008.x")</f>
        <v>http://dx.doi.org/10.1111/j.1365-2486.2009.02008.x</v>
      </c>
      <c r="AM235" s="5">
        <v>54</v>
      </c>
      <c r="AN235" s="5">
        <v>59</v>
      </c>
      <c r="AO235" s="5">
        <v>16</v>
      </c>
      <c r="AP235" s="5">
        <v>3</v>
      </c>
      <c r="AQ235" s="5">
        <v>1003</v>
      </c>
      <c r="AR235" s="5">
        <v>1018</v>
      </c>
      <c r="AS235" s="5" t="s">
        <v>16</v>
      </c>
      <c r="AT235" s="5" t="s">
        <v>1329</v>
      </c>
      <c r="AU235" s="5" t="s">
        <v>1330</v>
      </c>
      <c r="AV235" s="5" t="s">
        <v>1332</v>
      </c>
    </row>
    <row r="236" spans="1:48" ht="45" customHeight="1" x14ac:dyDescent="0.15">
      <c r="A236" s="5" t="s">
        <v>1333</v>
      </c>
      <c r="B236" s="5">
        <v>2010</v>
      </c>
      <c r="C236" s="5" t="s">
        <v>1334</v>
      </c>
      <c r="D236" s="5" t="s">
        <v>17</v>
      </c>
      <c r="E236" s="5" t="s">
        <v>18453</v>
      </c>
      <c r="F236" s="5" t="s">
        <v>1337</v>
      </c>
      <c r="G236" s="5"/>
      <c r="H236" s="5"/>
      <c r="I236" s="5"/>
      <c r="J236" s="5"/>
      <c r="K236" s="5"/>
      <c r="L236" s="5"/>
      <c r="M236" s="5"/>
      <c r="N236" s="5"/>
      <c r="O236" s="5"/>
      <c r="P236" s="5"/>
      <c r="Q236" s="5"/>
      <c r="AL236" s="7" t="str">
        <f>HYPERLINK("http://dx.doi.org/10.1111/j.1365-2427.2010.02440.x","http://dx.doi.org/10.1111/j.1365-2427.2010.02440.x")</f>
        <v>http://dx.doi.org/10.1111/j.1365-2427.2010.02440.x</v>
      </c>
      <c r="AM236" s="5">
        <v>33</v>
      </c>
      <c r="AN236" s="5">
        <v>34</v>
      </c>
      <c r="AO236" s="5">
        <v>55</v>
      </c>
      <c r="AP236" s="5">
        <v>11</v>
      </c>
      <c r="AQ236" s="5">
        <v>2401</v>
      </c>
      <c r="AR236" s="5">
        <v>2413</v>
      </c>
      <c r="AS236" s="5" t="s">
        <v>16</v>
      </c>
      <c r="AT236" s="5" t="s">
        <v>1335</v>
      </c>
      <c r="AU236" s="5" t="s">
        <v>1336</v>
      </c>
      <c r="AV236" s="5" t="s">
        <v>1338</v>
      </c>
    </row>
    <row r="237" spans="1:48" ht="45" customHeight="1" x14ac:dyDescent="0.15">
      <c r="A237" s="5" t="s">
        <v>1339</v>
      </c>
      <c r="B237" s="5">
        <v>2012</v>
      </c>
      <c r="C237" s="5" t="s">
        <v>1340</v>
      </c>
      <c r="D237" s="5" t="s">
        <v>49</v>
      </c>
      <c r="E237" s="5" t="s">
        <v>18453</v>
      </c>
      <c r="F237" s="5" t="s">
        <v>1343</v>
      </c>
      <c r="G237" s="5"/>
      <c r="H237" s="5"/>
      <c r="I237" s="5"/>
      <c r="J237" s="5"/>
      <c r="K237" s="5"/>
      <c r="L237" s="5"/>
      <c r="M237" s="5"/>
      <c r="N237" s="5"/>
      <c r="O237" s="5"/>
      <c r="P237" s="5"/>
      <c r="Q237" s="5"/>
      <c r="AL237" s="7" t="str">
        <f>HYPERLINK("http://dx.doi.org/10.3354/meps09929","http://dx.doi.org/10.3354/meps09929")</f>
        <v>http://dx.doi.org/10.3354/meps09929</v>
      </c>
      <c r="AM237" s="5">
        <v>15</v>
      </c>
      <c r="AN237" s="5">
        <v>15</v>
      </c>
      <c r="AO237" s="5">
        <v>466</v>
      </c>
      <c r="AP237" s="5" t="s">
        <v>16</v>
      </c>
      <c r="AQ237" s="5">
        <v>205</v>
      </c>
      <c r="AR237" s="5">
        <v>214</v>
      </c>
      <c r="AS237" s="5" t="s">
        <v>16</v>
      </c>
      <c r="AT237" s="5" t="s">
        <v>1341</v>
      </c>
      <c r="AU237" s="5" t="s">
        <v>1342</v>
      </c>
      <c r="AV237" s="5" t="s">
        <v>1344</v>
      </c>
    </row>
    <row r="238" spans="1:48" ht="45" customHeight="1" x14ac:dyDescent="0.15">
      <c r="A238" s="5" t="s">
        <v>1345</v>
      </c>
      <c r="B238" s="5">
        <v>2015</v>
      </c>
      <c r="C238" s="5" t="s">
        <v>1346</v>
      </c>
      <c r="D238" s="5" t="s">
        <v>251</v>
      </c>
      <c r="E238" s="5" t="s">
        <v>18453</v>
      </c>
      <c r="F238" s="5" t="s">
        <v>1349</v>
      </c>
      <c r="G238" s="5"/>
      <c r="H238" s="5"/>
      <c r="I238" s="5"/>
      <c r="J238" s="5"/>
      <c r="K238" s="5"/>
      <c r="L238" s="5"/>
      <c r="M238" s="5"/>
      <c r="N238" s="5"/>
      <c r="O238" s="5"/>
      <c r="P238" s="5"/>
      <c r="Q238" s="5"/>
      <c r="AL238" s="7" t="str">
        <f>HYPERLINK("http://dx.doi.org/10.1016/j.biocon.2015.09.009","http://dx.doi.org/10.1016/j.biocon.2015.09.009")</f>
        <v>http://dx.doi.org/10.1016/j.biocon.2015.09.009</v>
      </c>
      <c r="AM238" s="5">
        <v>43</v>
      </c>
      <c r="AN238" s="5">
        <v>44</v>
      </c>
      <c r="AO238" s="5">
        <v>192</v>
      </c>
      <c r="AP238" s="5" t="s">
        <v>16</v>
      </c>
      <c r="AQ238" s="5">
        <v>130</v>
      </c>
      <c r="AR238" s="5">
        <v>134</v>
      </c>
      <c r="AS238" s="5" t="s">
        <v>16</v>
      </c>
      <c r="AT238" s="5" t="s">
        <v>1347</v>
      </c>
      <c r="AU238" s="5" t="s">
        <v>1348</v>
      </c>
      <c r="AV238" s="5" t="s">
        <v>1350</v>
      </c>
    </row>
    <row r="239" spans="1:48" ht="45" customHeight="1" x14ac:dyDescent="0.15">
      <c r="A239" s="5" t="s">
        <v>1351</v>
      </c>
      <c r="B239" s="5">
        <v>2017</v>
      </c>
      <c r="C239" s="5" t="s">
        <v>1352</v>
      </c>
      <c r="D239" s="5" t="s">
        <v>17</v>
      </c>
      <c r="E239" s="5" t="s">
        <v>18453</v>
      </c>
      <c r="F239" s="5" t="s">
        <v>1355</v>
      </c>
      <c r="G239" s="5"/>
      <c r="H239" s="5"/>
      <c r="I239" s="5"/>
      <c r="J239" s="5"/>
      <c r="K239" s="5"/>
      <c r="L239" s="5"/>
      <c r="M239" s="5"/>
      <c r="N239" s="5"/>
      <c r="O239" s="5"/>
      <c r="P239" s="5"/>
      <c r="Q239" s="5"/>
      <c r="AL239" s="7" t="str">
        <f>HYPERLINK("http://dx.doi.org/10.1111/fwb.12893","http://dx.doi.org/10.1111/fwb.12893")</f>
        <v>http://dx.doi.org/10.1111/fwb.12893</v>
      </c>
      <c r="AM239" s="5">
        <v>20</v>
      </c>
      <c r="AN239" s="5">
        <v>21</v>
      </c>
      <c r="AO239" s="5">
        <v>62</v>
      </c>
      <c r="AP239" s="5">
        <v>4</v>
      </c>
      <c r="AQ239" s="5">
        <v>681</v>
      </c>
      <c r="AR239" s="5">
        <v>694</v>
      </c>
      <c r="AS239" s="5" t="s">
        <v>16</v>
      </c>
      <c r="AT239" s="5" t="s">
        <v>1353</v>
      </c>
      <c r="AU239" s="5" t="s">
        <v>1354</v>
      </c>
      <c r="AV239" s="5" t="s">
        <v>1356</v>
      </c>
    </row>
    <row r="240" spans="1:48" ht="45" customHeight="1" x14ac:dyDescent="0.15">
      <c r="A240" s="5" t="s">
        <v>1357</v>
      </c>
      <c r="B240" s="5">
        <v>2018</v>
      </c>
      <c r="C240" s="5" t="s">
        <v>1358</v>
      </c>
      <c r="D240" s="5" t="s">
        <v>172</v>
      </c>
      <c r="E240" s="5" t="s">
        <v>18453</v>
      </c>
      <c r="F240" s="5" t="s">
        <v>1361</v>
      </c>
      <c r="G240" s="5"/>
      <c r="H240" s="5"/>
      <c r="I240" s="5"/>
      <c r="J240" s="5"/>
      <c r="K240" s="5"/>
      <c r="L240" s="5"/>
      <c r="M240" s="5"/>
      <c r="N240" s="5"/>
      <c r="O240" s="5"/>
      <c r="P240" s="5"/>
      <c r="Q240" s="5"/>
      <c r="AL240" s="7" t="str">
        <f>HYPERLINK("http://dx.doi.org/10.1007/s00442-018-4192-5","http://dx.doi.org/10.1007/s00442-018-4192-5")</f>
        <v>http://dx.doi.org/10.1007/s00442-018-4192-5</v>
      </c>
      <c r="AM240" s="5">
        <v>64</v>
      </c>
      <c r="AN240" s="5">
        <v>64</v>
      </c>
      <c r="AO240" s="5">
        <v>187</v>
      </c>
      <c r="AP240" s="5">
        <v>4</v>
      </c>
      <c r="AQ240" s="5">
        <v>1025</v>
      </c>
      <c r="AR240" s="5">
        <v>1039</v>
      </c>
      <c r="AS240" s="5" t="s">
        <v>16</v>
      </c>
      <c r="AT240" s="5" t="s">
        <v>1359</v>
      </c>
      <c r="AU240" s="5" t="s">
        <v>1360</v>
      </c>
      <c r="AV240" s="5" t="s">
        <v>1362</v>
      </c>
    </row>
    <row r="241" spans="1:48" ht="45" customHeight="1" x14ac:dyDescent="0.15">
      <c r="A241" s="5" t="s">
        <v>1363</v>
      </c>
      <c r="B241" s="5">
        <v>2013</v>
      </c>
      <c r="C241" s="5" t="s">
        <v>1364</v>
      </c>
      <c r="D241" s="5" t="s">
        <v>33</v>
      </c>
      <c r="E241" s="5" t="s">
        <v>18453</v>
      </c>
      <c r="F241" s="5" t="s">
        <v>1367</v>
      </c>
      <c r="G241" s="5"/>
      <c r="H241" s="5"/>
      <c r="I241" s="5"/>
      <c r="J241" s="5"/>
      <c r="K241" s="5"/>
      <c r="L241" s="5"/>
      <c r="M241" s="5"/>
      <c r="N241" s="5"/>
      <c r="O241" s="5"/>
      <c r="P241" s="5"/>
      <c r="Q241" s="5"/>
      <c r="AL241" s="7" t="str">
        <f>HYPERLINK("http://dx.doi.org/10.1111/gcb.12268","http://dx.doi.org/10.1111/gcb.12268")</f>
        <v>http://dx.doi.org/10.1111/gcb.12268</v>
      </c>
      <c r="AM241" s="5">
        <v>234</v>
      </c>
      <c r="AN241" s="5">
        <v>235</v>
      </c>
      <c r="AO241" s="5">
        <v>19</v>
      </c>
      <c r="AP241" s="5">
        <v>10</v>
      </c>
      <c r="AQ241" s="5">
        <v>3184</v>
      </c>
      <c r="AR241" s="5">
        <v>3199</v>
      </c>
      <c r="AS241" s="5" t="s">
        <v>16</v>
      </c>
      <c r="AT241" s="5" t="s">
        <v>1365</v>
      </c>
      <c r="AU241" s="5" t="s">
        <v>1366</v>
      </c>
      <c r="AV241" s="5" t="s">
        <v>1368</v>
      </c>
    </row>
    <row r="242" spans="1:48" ht="45" customHeight="1" x14ac:dyDescent="0.15">
      <c r="A242" s="5" t="s">
        <v>1369</v>
      </c>
      <c r="B242" s="5">
        <v>2010</v>
      </c>
      <c r="C242" s="5" t="s">
        <v>1370</v>
      </c>
      <c r="D242" s="5" t="s">
        <v>33</v>
      </c>
      <c r="E242" s="5" t="s">
        <v>18453</v>
      </c>
      <c r="F242" s="5" t="s">
        <v>1373</v>
      </c>
      <c r="G242" s="5"/>
      <c r="H242" s="5"/>
      <c r="I242" s="5"/>
      <c r="J242" s="5"/>
      <c r="K242" s="5"/>
      <c r="L242" s="5"/>
      <c r="M242" s="5"/>
      <c r="N242" s="5"/>
      <c r="O242" s="5"/>
      <c r="P242" s="5"/>
      <c r="Q242" s="5"/>
      <c r="AL242" s="7" t="str">
        <f>HYPERLINK("http://dx.doi.org/10.1111/j.1365-2486.2010.02168.x","http://dx.doi.org/10.1111/j.1365-2486.2010.02168.x")</f>
        <v>http://dx.doi.org/10.1111/j.1365-2486.2010.02168.x</v>
      </c>
      <c r="AM242" s="5">
        <v>27</v>
      </c>
      <c r="AN242" s="5">
        <v>30</v>
      </c>
      <c r="AO242" s="5">
        <v>16</v>
      </c>
      <c r="AP242" s="5">
        <v>6</v>
      </c>
      <c r="AQ242" s="5">
        <v>1860</v>
      </c>
      <c r="AR242" s="5">
        <v>1869</v>
      </c>
      <c r="AS242" s="5" t="s">
        <v>16</v>
      </c>
      <c r="AT242" s="5" t="s">
        <v>1371</v>
      </c>
      <c r="AU242" s="5" t="s">
        <v>1372</v>
      </c>
      <c r="AV242" s="5" t="s">
        <v>1374</v>
      </c>
    </row>
    <row r="243" spans="1:48" ht="45" customHeight="1" x14ac:dyDescent="0.15">
      <c r="A243" s="5" t="s">
        <v>1375</v>
      </c>
      <c r="B243" s="5">
        <v>2016</v>
      </c>
      <c r="C243" s="5" t="s">
        <v>1376</v>
      </c>
      <c r="D243" s="5" t="s">
        <v>27</v>
      </c>
      <c r="E243" s="5" t="s">
        <v>18453</v>
      </c>
      <c r="F243" s="5" t="s">
        <v>1379</v>
      </c>
      <c r="G243" s="5"/>
      <c r="H243" s="5"/>
      <c r="I243" s="5"/>
      <c r="J243" s="5"/>
      <c r="K243" s="5"/>
      <c r="L243" s="5"/>
      <c r="M243" s="5"/>
      <c r="N243" s="5"/>
      <c r="O243" s="5"/>
      <c r="P243" s="5"/>
      <c r="Q243" s="5"/>
      <c r="AL243" s="7" t="str">
        <f>HYPERLINK("http://dx.doi.org/10.1890/15-0900.1","http://dx.doi.org/10.1890/15-0900.1")</f>
        <v>http://dx.doi.org/10.1890/15-0900.1</v>
      </c>
      <c r="AM243" s="5">
        <v>10</v>
      </c>
      <c r="AN243" s="5">
        <v>10</v>
      </c>
      <c r="AO243" s="5">
        <v>97</v>
      </c>
      <c r="AP243" s="5">
        <v>2</v>
      </c>
      <c r="AQ243" s="5">
        <v>338</v>
      </c>
      <c r="AR243" s="5">
        <v>346</v>
      </c>
      <c r="AS243" s="5" t="s">
        <v>16</v>
      </c>
      <c r="AT243" s="5" t="s">
        <v>1377</v>
      </c>
      <c r="AU243" s="5" t="s">
        <v>1378</v>
      </c>
      <c r="AV243" s="5" t="s">
        <v>1380</v>
      </c>
    </row>
    <row r="244" spans="1:48" ht="45" customHeight="1" x14ac:dyDescent="0.15">
      <c r="A244" s="5" t="s">
        <v>1381</v>
      </c>
      <c r="B244" s="5">
        <v>2018</v>
      </c>
      <c r="C244" s="5" t="s">
        <v>1382</v>
      </c>
      <c r="D244" s="5" t="s">
        <v>249</v>
      </c>
      <c r="E244" s="5" t="s">
        <v>18453</v>
      </c>
      <c r="F244" s="5" t="s">
        <v>1385</v>
      </c>
      <c r="G244" s="5"/>
      <c r="H244" s="5"/>
      <c r="I244" s="5"/>
      <c r="J244" s="5"/>
      <c r="K244" s="5"/>
      <c r="L244" s="5"/>
      <c r="M244" s="5"/>
      <c r="N244" s="5"/>
      <c r="O244" s="5"/>
      <c r="P244" s="5"/>
      <c r="Q244" s="5"/>
      <c r="AL244" s="7" t="str">
        <f>HYPERLINK("http://dx.doi.org/10.1016/j.jaridenv.2017.09.008","http://dx.doi.org/10.1016/j.jaridenv.2017.09.008")</f>
        <v>http://dx.doi.org/10.1016/j.jaridenv.2017.09.008</v>
      </c>
      <c r="AM244" s="5">
        <v>5</v>
      </c>
      <c r="AN244" s="5">
        <v>5</v>
      </c>
      <c r="AO244" s="5">
        <v>148</v>
      </c>
      <c r="AP244" s="5" t="s">
        <v>16</v>
      </c>
      <c r="AQ244" s="5">
        <v>6</v>
      </c>
      <c r="AR244" s="5">
        <v>13</v>
      </c>
      <c r="AS244" s="5" t="s">
        <v>16</v>
      </c>
      <c r="AT244" s="5" t="s">
        <v>1383</v>
      </c>
      <c r="AU244" s="5" t="s">
        <v>1384</v>
      </c>
      <c r="AV244" s="5" t="s">
        <v>1386</v>
      </c>
    </row>
    <row r="245" spans="1:48" ht="45" customHeight="1" x14ac:dyDescent="0.15">
      <c r="A245" s="5" t="s">
        <v>1387</v>
      </c>
      <c r="B245" s="5">
        <v>2018</v>
      </c>
      <c r="C245" s="5" t="s">
        <v>1388</v>
      </c>
      <c r="D245" s="5" t="s">
        <v>18</v>
      </c>
      <c r="E245" s="5" t="s">
        <v>18453</v>
      </c>
      <c r="F245" s="5" t="s">
        <v>1391</v>
      </c>
      <c r="G245" s="5"/>
      <c r="H245" s="5"/>
      <c r="I245" s="5"/>
      <c r="J245" s="5"/>
      <c r="K245" s="5"/>
      <c r="L245" s="5"/>
      <c r="M245" s="5"/>
      <c r="N245" s="5"/>
      <c r="O245" s="5"/>
      <c r="P245" s="5"/>
      <c r="Q245" s="5"/>
      <c r="AL245" s="7" t="str">
        <f>HYPERLINK("http://dx.doi.org/10.1002/ecs2.2180","http://dx.doi.org/10.1002/ecs2.2180")</f>
        <v>http://dx.doi.org/10.1002/ecs2.2180</v>
      </c>
      <c r="AM245" s="5">
        <v>6</v>
      </c>
      <c r="AN245" s="5">
        <v>6</v>
      </c>
      <c r="AO245" s="5">
        <v>9</v>
      </c>
      <c r="AP245" s="5">
        <v>4</v>
      </c>
      <c r="AQ245" s="5" t="s">
        <v>16</v>
      </c>
      <c r="AR245" s="5" t="s">
        <v>16</v>
      </c>
      <c r="AS245" s="5" t="s">
        <v>1392</v>
      </c>
      <c r="AT245" s="5" t="s">
        <v>1389</v>
      </c>
      <c r="AU245" s="5" t="s">
        <v>1390</v>
      </c>
      <c r="AV245" s="5" t="s">
        <v>1393</v>
      </c>
    </row>
    <row r="246" spans="1:48" ht="45" customHeight="1" x14ac:dyDescent="0.15">
      <c r="A246" s="5" t="s">
        <v>1394</v>
      </c>
      <c r="B246" s="5">
        <v>2015</v>
      </c>
      <c r="C246" s="5" t="s">
        <v>1395</v>
      </c>
      <c r="D246" s="5" t="s">
        <v>189</v>
      </c>
      <c r="E246" s="5" t="s">
        <v>18453</v>
      </c>
      <c r="F246" s="5" t="s">
        <v>1397</v>
      </c>
      <c r="G246" s="5"/>
      <c r="H246" s="5"/>
      <c r="I246" s="5"/>
      <c r="J246" s="5"/>
      <c r="K246" s="5"/>
      <c r="L246" s="5"/>
      <c r="M246" s="5"/>
      <c r="N246" s="5"/>
      <c r="O246" s="5"/>
      <c r="P246" s="5"/>
      <c r="Q246" s="5"/>
      <c r="AL246" s="7" t="str">
        <f>HYPERLINK("http://dx.doi.org/10.1111/ecog.00585","http://dx.doi.org/10.1111/ecog.00585")</f>
        <v>http://dx.doi.org/10.1111/ecog.00585</v>
      </c>
      <c r="AM246" s="5">
        <v>32</v>
      </c>
      <c r="AN246" s="5">
        <v>33</v>
      </c>
      <c r="AO246" s="5">
        <v>38</v>
      </c>
      <c r="AP246" s="5">
        <v>3</v>
      </c>
      <c r="AQ246" s="5">
        <v>221</v>
      </c>
      <c r="AR246" s="5">
        <v>230</v>
      </c>
      <c r="AS246" s="5" t="s">
        <v>16</v>
      </c>
      <c r="AT246" s="5" t="s">
        <v>16</v>
      </c>
      <c r="AU246" s="5" t="s">
        <v>1396</v>
      </c>
      <c r="AV246" s="5" t="s">
        <v>1398</v>
      </c>
    </row>
    <row r="247" spans="1:48" ht="45" customHeight="1" x14ac:dyDescent="0.15">
      <c r="A247" s="5" t="s">
        <v>1399</v>
      </c>
      <c r="B247" s="5">
        <v>2014</v>
      </c>
      <c r="C247" s="5" t="s">
        <v>1400</v>
      </c>
      <c r="D247" s="5" t="s">
        <v>49</v>
      </c>
      <c r="E247" s="5" t="s">
        <v>18453</v>
      </c>
      <c r="F247" s="5" t="s">
        <v>1403</v>
      </c>
      <c r="G247" s="5"/>
      <c r="H247" s="5"/>
      <c r="I247" s="5"/>
      <c r="J247" s="5"/>
      <c r="K247" s="5"/>
      <c r="L247" s="5"/>
      <c r="M247" s="5"/>
      <c r="N247" s="5"/>
      <c r="O247" s="5"/>
      <c r="P247" s="5"/>
      <c r="Q247" s="5"/>
      <c r="AL247" s="7" t="str">
        <f>HYPERLINK("http://dx.doi.org/10.3354/meps11079","http://dx.doi.org/10.3354/meps11079")</f>
        <v>http://dx.doi.org/10.3354/meps11079</v>
      </c>
      <c r="AM247" s="5">
        <v>7</v>
      </c>
      <c r="AN247" s="5">
        <v>7</v>
      </c>
      <c r="AO247" s="5">
        <v>516</v>
      </c>
      <c r="AP247" s="5" t="s">
        <v>16</v>
      </c>
      <c r="AQ247" s="5">
        <v>1</v>
      </c>
      <c r="AR247" s="5">
        <v>6</v>
      </c>
      <c r="AS247" s="5" t="s">
        <v>16</v>
      </c>
      <c r="AT247" s="5" t="s">
        <v>1401</v>
      </c>
      <c r="AU247" s="5" t="s">
        <v>1402</v>
      </c>
      <c r="AV247" s="5" t="s">
        <v>1404</v>
      </c>
    </row>
    <row r="248" spans="1:48" ht="45" customHeight="1" x14ac:dyDescent="0.15">
      <c r="A248" s="5" t="s">
        <v>1405</v>
      </c>
      <c r="B248" s="5">
        <v>2015</v>
      </c>
      <c r="C248" s="5" t="s">
        <v>1406</v>
      </c>
      <c r="D248" s="5" t="s">
        <v>33</v>
      </c>
      <c r="E248" s="5" t="s">
        <v>18453</v>
      </c>
      <c r="F248" s="5" t="s">
        <v>1409</v>
      </c>
      <c r="G248" s="5"/>
      <c r="H248" s="5"/>
      <c r="I248" s="5"/>
      <c r="J248" s="5"/>
      <c r="K248" s="5"/>
      <c r="L248" s="5"/>
      <c r="M248" s="5"/>
      <c r="N248" s="5"/>
      <c r="O248" s="5"/>
      <c r="P248" s="5"/>
      <c r="Q248" s="5"/>
      <c r="AL248" s="7" t="str">
        <f>HYPERLINK("http://dx.doi.org/10.1111/gcb.12853","http://dx.doi.org/10.1111/gcb.12853")</f>
        <v>http://dx.doi.org/10.1111/gcb.12853</v>
      </c>
      <c r="AM248" s="5">
        <v>35</v>
      </c>
      <c r="AN248" s="5">
        <v>35</v>
      </c>
      <c r="AO248" s="5">
        <v>21</v>
      </c>
      <c r="AP248" s="5">
        <v>6</v>
      </c>
      <c r="AQ248" s="5">
        <v>2227</v>
      </c>
      <c r="AR248" s="5">
        <v>2237</v>
      </c>
      <c r="AS248" s="5" t="s">
        <v>16</v>
      </c>
      <c r="AT248" s="5" t="s">
        <v>1407</v>
      </c>
      <c r="AU248" s="5" t="s">
        <v>1408</v>
      </c>
      <c r="AV248" s="5" t="s">
        <v>1410</v>
      </c>
    </row>
    <row r="249" spans="1:48" ht="45" customHeight="1" x14ac:dyDescent="0.15">
      <c r="A249" s="5" t="s">
        <v>1411</v>
      </c>
      <c r="B249" s="5">
        <v>2020</v>
      </c>
      <c r="C249" s="5" t="s">
        <v>1412</v>
      </c>
      <c r="D249" s="5" t="s">
        <v>33</v>
      </c>
      <c r="E249" s="5" t="s">
        <v>18453</v>
      </c>
      <c r="F249" s="5" t="s">
        <v>1415</v>
      </c>
      <c r="G249" s="5"/>
      <c r="H249" s="5"/>
      <c r="I249" s="5"/>
      <c r="J249" s="5"/>
      <c r="K249" s="5"/>
      <c r="L249" s="5"/>
      <c r="M249" s="5"/>
      <c r="N249" s="5"/>
      <c r="O249" s="5"/>
      <c r="P249" s="5"/>
      <c r="Q249" s="5"/>
      <c r="AL249" s="7" t="str">
        <f>HYPERLINK("http://dx.doi.org/10.1111/gcb.14858","http://dx.doi.org/10.1111/gcb.14858")</f>
        <v>http://dx.doi.org/10.1111/gcb.14858</v>
      </c>
      <c r="AM249" s="5">
        <v>30</v>
      </c>
      <c r="AN249" s="5">
        <v>30</v>
      </c>
      <c r="AO249" s="5">
        <v>26</v>
      </c>
      <c r="AP249" s="5">
        <v>2</v>
      </c>
      <c r="AQ249" s="5">
        <v>458</v>
      </c>
      <c r="AR249" s="5">
        <v>470</v>
      </c>
      <c r="AS249" s="5" t="s">
        <v>16</v>
      </c>
      <c r="AT249" s="5" t="s">
        <v>1413</v>
      </c>
      <c r="AU249" s="5" t="s">
        <v>1414</v>
      </c>
      <c r="AV249" s="5" t="s">
        <v>1416</v>
      </c>
    </row>
    <row r="250" spans="1:48" ht="45" customHeight="1" x14ac:dyDescent="0.15">
      <c r="A250" s="5" t="s">
        <v>1417</v>
      </c>
      <c r="B250" s="5">
        <v>2019</v>
      </c>
      <c r="C250" s="5" t="s">
        <v>1418</v>
      </c>
      <c r="D250" s="5" t="s">
        <v>1419</v>
      </c>
      <c r="E250" s="5" t="s">
        <v>18453</v>
      </c>
      <c r="F250" s="5" t="s">
        <v>1422</v>
      </c>
      <c r="G250" s="5"/>
      <c r="H250" s="5"/>
      <c r="I250" s="5"/>
      <c r="J250" s="5"/>
      <c r="K250" s="5"/>
      <c r="L250" s="5"/>
      <c r="M250" s="5"/>
      <c r="N250" s="5"/>
      <c r="O250" s="5"/>
      <c r="P250" s="5"/>
      <c r="Q250" s="5"/>
      <c r="AL250" s="7" t="str">
        <f>HYPERLINK("http://dx.doi.org/10.1016/j.fooweb.2019.e00125","http://dx.doi.org/10.1016/j.fooweb.2019.e00125")</f>
        <v>http://dx.doi.org/10.1016/j.fooweb.2019.e00125</v>
      </c>
      <c r="AM250" s="5">
        <v>20</v>
      </c>
      <c r="AN250" s="5">
        <v>20</v>
      </c>
      <c r="AO250" s="5">
        <v>21</v>
      </c>
      <c r="AP250" s="5" t="s">
        <v>16</v>
      </c>
      <c r="AQ250" s="5" t="s">
        <v>16</v>
      </c>
      <c r="AR250" s="5" t="s">
        <v>16</v>
      </c>
      <c r="AS250" s="5" t="s">
        <v>1423</v>
      </c>
      <c r="AT250" s="5" t="s">
        <v>1420</v>
      </c>
      <c r="AU250" s="5" t="s">
        <v>1421</v>
      </c>
      <c r="AV250" s="5" t="s">
        <v>1424</v>
      </c>
    </row>
    <row r="251" spans="1:48" ht="45" customHeight="1" x14ac:dyDescent="0.15">
      <c r="A251" s="5" t="s">
        <v>1425</v>
      </c>
      <c r="B251" s="5">
        <v>2003</v>
      </c>
      <c r="C251" s="5" t="s">
        <v>1426</v>
      </c>
      <c r="D251" s="5" t="s">
        <v>62</v>
      </c>
      <c r="E251" s="5" t="s">
        <v>18453</v>
      </c>
      <c r="F251" s="5" t="s">
        <v>1429</v>
      </c>
      <c r="G251" s="5"/>
      <c r="H251" s="5"/>
      <c r="I251" s="5"/>
      <c r="J251" s="5"/>
      <c r="K251" s="5"/>
      <c r="L251" s="5"/>
      <c r="M251" s="5"/>
      <c r="N251" s="5"/>
      <c r="O251" s="5"/>
      <c r="P251" s="5"/>
      <c r="Q251" s="5"/>
      <c r="AL251" s="7" t="str">
        <f>HYPERLINK("http://dx.doi.org/10.1007/s10021-002-0205-6","http://dx.doi.org/10.1007/s10021-002-0205-6")</f>
        <v>http://dx.doi.org/10.1007/s10021-002-0205-6</v>
      </c>
      <c r="AM251" s="5">
        <v>49</v>
      </c>
      <c r="AN251" s="5">
        <v>52</v>
      </c>
      <c r="AO251" s="5">
        <v>6</v>
      </c>
      <c r="AP251" s="5">
        <v>3</v>
      </c>
      <c r="AQ251" s="5">
        <v>289</v>
      </c>
      <c r="AR251" s="5">
        <v>299</v>
      </c>
      <c r="AS251" s="5" t="s">
        <v>16</v>
      </c>
      <c r="AT251" s="5" t="s">
        <v>1427</v>
      </c>
      <c r="AU251" s="5" t="s">
        <v>1428</v>
      </c>
      <c r="AV251" s="5" t="s">
        <v>1430</v>
      </c>
    </row>
    <row r="252" spans="1:48" ht="45" customHeight="1" x14ac:dyDescent="0.15">
      <c r="A252" s="5" t="s">
        <v>1431</v>
      </c>
      <c r="B252" s="5">
        <v>2019</v>
      </c>
      <c r="C252" s="5" t="s">
        <v>1432</v>
      </c>
      <c r="D252" s="5" t="s">
        <v>49</v>
      </c>
      <c r="E252" s="5" t="s">
        <v>18453</v>
      </c>
      <c r="F252" s="5" t="s">
        <v>1435</v>
      </c>
      <c r="G252" s="5"/>
      <c r="H252" s="5"/>
      <c r="I252" s="5"/>
      <c r="J252" s="5"/>
      <c r="K252" s="5"/>
      <c r="L252" s="5"/>
      <c r="M252" s="5"/>
      <c r="N252" s="5"/>
      <c r="O252" s="5"/>
      <c r="P252" s="5"/>
      <c r="Q252" s="5"/>
      <c r="AL252" s="7" t="str">
        <f>HYPERLINK("http://dx.doi.org/10.3354/meps13152","http://dx.doi.org/10.3354/meps13152")</f>
        <v>http://dx.doi.org/10.3354/meps13152</v>
      </c>
      <c r="AM252" s="5">
        <v>8</v>
      </c>
      <c r="AN252" s="5">
        <v>8</v>
      </c>
      <c r="AO252" s="5">
        <v>632</v>
      </c>
      <c r="AP252" s="5" t="s">
        <v>16</v>
      </c>
      <c r="AQ252" s="5">
        <v>131</v>
      </c>
      <c r="AR252" s="5">
        <v>144</v>
      </c>
      <c r="AS252" s="5" t="s">
        <v>16</v>
      </c>
      <c r="AT252" s="5" t="s">
        <v>1433</v>
      </c>
      <c r="AU252" s="5" t="s">
        <v>1434</v>
      </c>
      <c r="AV252" s="5" t="s">
        <v>1436</v>
      </c>
    </row>
    <row r="253" spans="1:48" ht="45" customHeight="1" x14ac:dyDescent="0.15">
      <c r="A253" s="5" t="s">
        <v>1437</v>
      </c>
      <c r="B253" s="5">
        <v>2014</v>
      </c>
      <c r="C253" s="5" t="s">
        <v>1438</v>
      </c>
      <c r="D253" s="5" t="s">
        <v>172</v>
      </c>
      <c r="E253" s="5" t="s">
        <v>18453</v>
      </c>
      <c r="F253" s="5" t="s">
        <v>1441</v>
      </c>
      <c r="G253" s="5"/>
      <c r="H253" s="5"/>
      <c r="I253" s="5"/>
      <c r="J253" s="5"/>
      <c r="K253" s="5"/>
      <c r="L253" s="5"/>
      <c r="M253" s="5"/>
      <c r="N253" s="5"/>
      <c r="O253" s="5"/>
      <c r="P253" s="5"/>
      <c r="Q253" s="5"/>
      <c r="AL253" s="7" t="str">
        <f>HYPERLINK("http://dx.doi.org/10.1007/s00442-014-3044-1","http://dx.doi.org/10.1007/s00442-014-3044-1")</f>
        <v>http://dx.doi.org/10.1007/s00442-014-3044-1</v>
      </c>
      <c r="AM253" s="5">
        <v>4</v>
      </c>
      <c r="AN253" s="5">
        <v>4</v>
      </c>
      <c r="AO253" s="5">
        <v>176</v>
      </c>
      <c r="AP253" s="5">
        <v>3</v>
      </c>
      <c r="AQ253" s="5">
        <v>781</v>
      </c>
      <c r="AR253" s="5">
        <v>788</v>
      </c>
      <c r="AS253" s="5" t="s">
        <v>16</v>
      </c>
      <c r="AT253" s="5" t="s">
        <v>1439</v>
      </c>
      <c r="AU253" s="5" t="s">
        <v>1440</v>
      </c>
      <c r="AV253" s="5" t="s">
        <v>1442</v>
      </c>
    </row>
    <row r="254" spans="1:48" ht="45" customHeight="1" x14ac:dyDescent="0.15">
      <c r="A254" s="5" t="s">
        <v>1443</v>
      </c>
      <c r="B254" s="5">
        <v>2019</v>
      </c>
      <c r="C254" s="5" t="s">
        <v>1444</v>
      </c>
      <c r="D254" s="5" t="s">
        <v>1445</v>
      </c>
      <c r="E254" s="5" t="s">
        <v>18453</v>
      </c>
      <c r="F254" s="5" t="s">
        <v>1448</v>
      </c>
      <c r="G254" s="5"/>
      <c r="H254" s="5"/>
      <c r="I254" s="5"/>
      <c r="J254" s="5"/>
      <c r="K254" s="5"/>
      <c r="L254" s="5"/>
      <c r="M254" s="5"/>
      <c r="N254" s="5"/>
      <c r="O254" s="5"/>
      <c r="P254" s="5"/>
      <c r="Q254" s="5"/>
      <c r="AL254" s="7" t="str">
        <f>HYPERLINK("http://dx.doi.org/10.1080/02705060.2018.1529637","http://dx.doi.org/10.1080/02705060.2018.1529637")</f>
        <v>http://dx.doi.org/10.1080/02705060.2018.1529637</v>
      </c>
      <c r="AM254" s="5">
        <v>8</v>
      </c>
      <c r="AN254" s="5">
        <v>9</v>
      </c>
      <c r="AO254" s="5">
        <v>34</v>
      </c>
      <c r="AP254" s="5">
        <v>1</v>
      </c>
      <c r="AQ254" s="5">
        <v>27</v>
      </c>
      <c r="AR254" s="5">
        <v>36</v>
      </c>
      <c r="AS254" s="5" t="s">
        <v>16</v>
      </c>
      <c r="AT254" s="5" t="s">
        <v>1446</v>
      </c>
      <c r="AU254" s="5" t="s">
        <v>1447</v>
      </c>
      <c r="AV254" s="5" t="s">
        <v>1449</v>
      </c>
    </row>
    <row r="255" spans="1:48" ht="45" customHeight="1" x14ac:dyDescent="0.15">
      <c r="A255" s="5" t="s">
        <v>1450</v>
      </c>
      <c r="B255" s="5">
        <v>2017</v>
      </c>
      <c r="C255" s="5" t="s">
        <v>1451</v>
      </c>
      <c r="D255" s="5" t="s">
        <v>49</v>
      </c>
      <c r="E255" s="5" t="s">
        <v>18453</v>
      </c>
      <c r="F255" s="5" t="s">
        <v>1454</v>
      </c>
      <c r="G255" s="5"/>
      <c r="H255" s="5"/>
      <c r="I255" s="5"/>
      <c r="J255" s="5"/>
      <c r="K255" s="5"/>
      <c r="L255" s="5"/>
      <c r="M255" s="5"/>
      <c r="N255" s="5"/>
      <c r="O255" s="5"/>
      <c r="P255" s="5"/>
      <c r="Q255" s="5"/>
      <c r="AL255" s="7" t="str">
        <f>HYPERLINK("http://dx.doi.org/10.3354/meps12281","http://dx.doi.org/10.3354/meps12281")</f>
        <v>http://dx.doi.org/10.3354/meps12281</v>
      </c>
      <c r="AM255" s="5">
        <v>13</v>
      </c>
      <c r="AN255" s="5">
        <v>14</v>
      </c>
      <c r="AO255" s="5">
        <v>579</v>
      </c>
      <c r="AP255" s="5" t="s">
        <v>16</v>
      </c>
      <c r="AQ255" s="5">
        <v>201</v>
      </c>
      <c r="AR255" s="5">
        <v>212</v>
      </c>
      <c r="AS255" s="5" t="s">
        <v>16</v>
      </c>
      <c r="AT255" s="5" t="s">
        <v>1452</v>
      </c>
      <c r="AU255" s="5" t="s">
        <v>1453</v>
      </c>
      <c r="AV255" s="5" t="s">
        <v>1455</v>
      </c>
    </row>
    <row r="256" spans="1:48" ht="45" customHeight="1" x14ac:dyDescent="0.15">
      <c r="A256" s="5" t="s">
        <v>1456</v>
      </c>
      <c r="B256" s="5">
        <v>2004</v>
      </c>
      <c r="C256" s="5" t="s">
        <v>1457</v>
      </c>
      <c r="D256" s="5" t="s">
        <v>33</v>
      </c>
      <c r="E256" s="5" t="s">
        <v>18453</v>
      </c>
      <c r="F256" s="5" t="s">
        <v>1460</v>
      </c>
      <c r="G256" s="5"/>
      <c r="H256" s="5"/>
      <c r="I256" s="5"/>
      <c r="J256" s="5"/>
      <c r="K256" s="5"/>
      <c r="L256" s="5"/>
      <c r="M256" s="5"/>
      <c r="N256" s="5"/>
      <c r="O256" s="5"/>
      <c r="P256" s="5"/>
      <c r="Q256" s="5"/>
      <c r="AL256" s="7" t="str">
        <f>HYPERLINK("http://dx.doi.org/10.1111/j.1365-2486.2004.00738.x","http://dx.doi.org/10.1111/j.1365-2486.2004.00738.x")</f>
        <v>http://dx.doi.org/10.1111/j.1365-2486.2004.00738.x</v>
      </c>
      <c r="AM256" s="5">
        <v>53</v>
      </c>
      <c r="AN256" s="5">
        <v>58</v>
      </c>
      <c r="AO256" s="5">
        <v>10</v>
      </c>
      <c r="AP256" s="5">
        <v>4</v>
      </c>
      <c r="AQ256" s="5">
        <v>452</v>
      </c>
      <c r="AR256" s="5">
        <v>472</v>
      </c>
      <c r="AS256" s="5" t="s">
        <v>16</v>
      </c>
      <c r="AT256" s="5" t="s">
        <v>1458</v>
      </c>
      <c r="AU256" s="5" t="s">
        <v>1459</v>
      </c>
      <c r="AV256" s="5" t="s">
        <v>1461</v>
      </c>
    </row>
    <row r="257" spans="1:48" ht="45" customHeight="1" x14ac:dyDescent="0.15">
      <c r="A257" s="5" t="s">
        <v>1462</v>
      </c>
      <c r="B257" s="5">
        <v>2021</v>
      </c>
      <c r="C257" s="5" t="s">
        <v>1463</v>
      </c>
      <c r="D257" s="5" t="s">
        <v>18</v>
      </c>
      <c r="E257" s="5" t="s">
        <v>18453</v>
      </c>
      <c r="F257" s="5" t="s">
        <v>1466</v>
      </c>
      <c r="G257" s="5"/>
      <c r="H257" s="5"/>
      <c r="I257" s="5"/>
      <c r="J257" s="5"/>
      <c r="K257" s="5"/>
      <c r="L257" s="5"/>
      <c r="M257" s="5"/>
      <c r="N257" s="5"/>
      <c r="O257" s="5"/>
      <c r="P257" s="5"/>
      <c r="Q257" s="5"/>
      <c r="AL257" s="7" t="str">
        <f>HYPERLINK("http://dx.doi.org/10.1002/ecs2.3479","http://dx.doi.org/10.1002/ecs2.3479")</f>
        <v>http://dx.doi.org/10.1002/ecs2.3479</v>
      </c>
      <c r="AM257" s="5">
        <v>7</v>
      </c>
      <c r="AN257" s="5">
        <v>7</v>
      </c>
      <c r="AO257" s="5">
        <v>12</v>
      </c>
      <c r="AP257" s="5">
        <v>6</v>
      </c>
      <c r="AQ257" s="5" t="s">
        <v>16</v>
      </c>
      <c r="AR257" s="5" t="s">
        <v>16</v>
      </c>
      <c r="AS257" s="5" t="s">
        <v>1467</v>
      </c>
      <c r="AT257" s="5" t="s">
        <v>1464</v>
      </c>
      <c r="AU257" s="5" t="s">
        <v>1465</v>
      </c>
      <c r="AV257" s="5" t="s">
        <v>1468</v>
      </c>
    </row>
    <row r="258" spans="1:48" ht="45" customHeight="1" x14ac:dyDescent="0.15">
      <c r="A258" s="5" t="s">
        <v>1469</v>
      </c>
      <c r="B258" s="5">
        <v>2023</v>
      </c>
      <c r="C258" s="5" t="s">
        <v>1470</v>
      </c>
      <c r="D258" s="5" t="s">
        <v>190</v>
      </c>
      <c r="E258" s="5" t="s">
        <v>18453</v>
      </c>
      <c r="F258" s="5" t="s">
        <v>1473</v>
      </c>
      <c r="G258" s="5"/>
      <c r="H258" s="5"/>
      <c r="I258" s="5"/>
      <c r="J258" s="5"/>
      <c r="K258" s="5"/>
      <c r="L258" s="5"/>
      <c r="M258" s="5"/>
      <c r="N258" s="5"/>
      <c r="O258" s="5"/>
      <c r="P258" s="5"/>
      <c r="Q258" s="5"/>
      <c r="AL258" s="7" t="str">
        <f>HYPERLINK("http://dx.doi.org/10.1007/s10530-023-03029-z","http://dx.doi.org/10.1007/s10530-023-03029-z")</f>
        <v>http://dx.doi.org/10.1007/s10530-023-03029-z</v>
      </c>
      <c r="AM258" s="5">
        <v>0</v>
      </c>
      <c r="AN258" s="5">
        <v>0</v>
      </c>
      <c r="AO258" s="5">
        <v>25</v>
      </c>
      <c r="AP258" s="5">
        <v>7</v>
      </c>
      <c r="AQ258" s="5">
        <v>2143</v>
      </c>
      <c r="AR258" s="5">
        <v>2157</v>
      </c>
      <c r="AS258" s="5" t="s">
        <v>16</v>
      </c>
      <c r="AT258" s="5" t="s">
        <v>1471</v>
      </c>
      <c r="AU258" s="5" t="s">
        <v>1472</v>
      </c>
      <c r="AV258" s="5" t="s">
        <v>1474</v>
      </c>
    </row>
    <row r="259" spans="1:48" ht="45" customHeight="1" x14ac:dyDescent="0.15">
      <c r="A259" s="5" t="s">
        <v>1475</v>
      </c>
      <c r="B259" s="5">
        <v>2008</v>
      </c>
      <c r="C259" s="5" t="s">
        <v>1476</v>
      </c>
      <c r="D259" s="5" t="s">
        <v>49</v>
      </c>
      <c r="E259" s="5" t="s">
        <v>18453</v>
      </c>
      <c r="F259" s="5" t="s">
        <v>1479</v>
      </c>
      <c r="G259" s="5"/>
      <c r="H259" s="5"/>
      <c r="I259" s="5"/>
      <c r="J259" s="5"/>
      <c r="K259" s="5"/>
      <c r="L259" s="5"/>
      <c r="M259" s="5"/>
      <c r="N259" s="5"/>
      <c r="O259" s="5"/>
      <c r="P259" s="5"/>
      <c r="Q259" s="5"/>
      <c r="AL259" s="7" t="str">
        <f>HYPERLINK("http://dx.doi.org/10.3354/meps07602","http://dx.doi.org/10.3354/meps07602")</f>
        <v>http://dx.doi.org/10.3354/meps07602</v>
      </c>
      <c r="AM259" s="5">
        <v>93</v>
      </c>
      <c r="AN259" s="5">
        <v>94</v>
      </c>
      <c r="AO259" s="5">
        <v>368</v>
      </c>
      <c r="AP259" s="5" t="s">
        <v>16</v>
      </c>
      <c r="AQ259" s="5">
        <v>231</v>
      </c>
      <c r="AR259" s="5">
        <v>239</v>
      </c>
      <c r="AS259" s="5" t="s">
        <v>16</v>
      </c>
      <c r="AT259" s="5" t="s">
        <v>1477</v>
      </c>
      <c r="AU259" s="5" t="s">
        <v>1478</v>
      </c>
      <c r="AV259" s="5" t="s">
        <v>1480</v>
      </c>
    </row>
    <row r="260" spans="1:48" ht="45" customHeight="1" x14ac:dyDescent="0.15">
      <c r="A260" s="5" t="s">
        <v>1481</v>
      </c>
      <c r="B260" s="5">
        <v>2020</v>
      </c>
      <c r="C260" s="5" t="s">
        <v>1482</v>
      </c>
      <c r="D260" s="5" t="s">
        <v>1084</v>
      </c>
      <c r="E260" s="5" t="s">
        <v>18453</v>
      </c>
      <c r="F260" s="5" t="s">
        <v>1485</v>
      </c>
      <c r="G260" s="5"/>
      <c r="H260" s="5"/>
      <c r="I260" s="5"/>
      <c r="J260" s="5"/>
      <c r="K260" s="5"/>
      <c r="L260" s="5"/>
      <c r="M260" s="5"/>
      <c r="N260" s="5"/>
      <c r="O260" s="5"/>
      <c r="P260" s="5"/>
      <c r="Q260" s="5"/>
      <c r="AL260" s="7" t="str">
        <f>HYPERLINK("http://dx.doi.org/10.1016/j.jnc.2020.125892","http://dx.doi.org/10.1016/j.jnc.2020.125892")</f>
        <v>http://dx.doi.org/10.1016/j.jnc.2020.125892</v>
      </c>
      <c r="AM260" s="5">
        <v>3</v>
      </c>
      <c r="AN260" s="5">
        <v>3</v>
      </c>
      <c r="AO260" s="5">
        <v>57</v>
      </c>
      <c r="AP260" s="5" t="s">
        <v>16</v>
      </c>
      <c r="AQ260" s="5" t="s">
        <v>16</v>
      </c>
      <c r="AR260" s="5" t="s">
        <v>16</v>
      </c>
      <c r="AS260" s="5">
        <v>125892</v>
      </c>
      <c r="AT260" s="5" t="s">
        <v>1483</v>
      </c>
      <c r="AU260" s="5" t="s">
        <v>1484</v>
      </c>
      <c r="AV260" s="5" t="s">
        <v>1486</v>
      </c>
    </row>
    <row r="261" spans="1:48" ht="45" customHeight="1" x14ac:dyDescent="0.15">
      <c r="A261" s="5" t="s">
        <v>1487</v>
      </c>
      <c r="B261" s="5">
        <v>2009</v>
      </c>
      <c r="C261" s="5" t="s">
        <v>1488</v>
      </c>
      <c r="D261" s="5" t="s">
        <v>41</v>
      </c>
      <c r="E261" s="5" t="s">
        <v>18453</v>
      </c>
      <c r="F261" s="5" t="s">
        <v>1491</v>
      </c>
      <c r="G261" s="5"/>
      <c r="H261" s="5"/>
      <c r="I261" s="5"/>
      <c r="J261" s="5"/>
      <c r="K261" s="5"/>
      <c r="L261" s="5"/>
      <c r="M261" s="5"/>
      <c r="N261" s="5"/>
      <c r="O261" s="5"/>
      <c r="P261" s="5"/>
      <c r="Q261" s="5"/>
      <c r="AL261" s="7" t="str">
        <f>HYPERLINK("http://dx.doi.org/10.1016/j.actao.2009.03.007","http://dx.doi.org/10.1016/j.actao.2009.03.007")</f>
        <v>http://dx.doi.org/10.1016/j.actao.2009.03.007</v>
      </c>
      <c r="AM261" s="5">
        <v>29</v>
      </c>
      <c r="AN261" s="5">
        <v>31</v>
      </c>
      <c r="AO261" s="5">
        <v>35</v>
      </c>
      <c r="AP261" s="5">
        <v>4</v>
      </c>
      <c r="AQ261" s="5">
        <v>513</v>
      </c>
      <c r="AR261" s="5">
        <v>522</v>
      </c>
      <c r="AS261" s="5" t="s">
        <v>16</v>
      </c>
      <c r="AT261" s="5" t="s">
        <v>1489</v>
      </c>
      <c r="AU261" s="5" t="s">
        <v>1490</v>
      </c>
      <c r="AV261" s="5" t="s">
        <v>1492</v>
      </c>
    </row>
    <row r="262" spans="1:48" ht="45" customHeight="1" x14ac:dyDescent="0.15">
      <c r="A262" s="5" t="s">
        <v>1493</v>
      </c>
      <c r="B262" s="5">
        <v>2022</v>
      </c>
      <c r="C262" s="5" t="s">
        <v>1494</v>
      </c>
      <c r="D262" s="5" t="s">
        <v>49</v>
      </c>
      <c r="E262" s="5" t="s">
        <v>18453</v>
      </c>
      <c r="F262" s="5" t="s">
        <v>1497</v>
      </c>
      <c r="G262" s="5"/>
      <c r="H262" s="5"/>
      <c r="I262" s="5"/>
      <c r="J262" s="5"/>
      <c r="K262" s="5"/>
      <c r="L262" s="5"/>
      <c r="M262" s="5"/>
      <c r="N262" s="5"/>
      <c r="O262" s="5"/>
      <c r="P262" s="5"/>
      <c r="Q262" s="5"/>
      <c r="AL262" s="7" t="str">
        <f>HYPERLINK("http://dx.doi.org/10.3354/meps14167","http://dx.doi.org/10.3354/meps14167")</f>
        <v>http://dx.doi.org/10.3354/meps14167</v>
      </c>
      <c r="AM262" s="5">
        <v>0</v>
      </c>
      <c r="AN262" s="5">
        <v>0</v>
      </c>
      <c r="AO262" s="5">
        <v>699</v>
      </c>
      <c r="AP262" s="5" t="s">
        <v>16</v>
      </c>
      <c r="AQ262" s="5">
        <v>117</v>
      </c>
      <c r="AR262" s="5">
        <v>134</v>
      </c>
      <c r="AS262" s="5" t="s">
        <v>16</v>
      </c>
      <c r="AT262" s="5" t="s">
        <v>1495</v>
      </c>
      <c r="AU262" s="5" t="s">
        <v>1496</v>
      </c>
      <c r="AV262" s="5" t="s">
        <v>1498</v>
      </c>
    </row>
    <row r="263" spans="1:48" ht="45" customHeight="1" x14ac:dyDescent="0.15">
      <c r="A263" s="5" t="s">
        <v>1499</v>
      </c>
      <c r="B263" s="5">
        <v>2020</v>
      </c>
      <c r="C263" s="5" t="s">
        <v>1500</v>
      </c>
      <c r="D263" s="5" t="s">
        <v>513</v>
      </c>
      <c r="E263" s="5" t="s">
        <v>18453</v>
      </c>
      <c r="F263" s="5" t="s">
        <v>1503</v>
      </c>
      <c r="G263" s="5"/>
      <c r="H263" s="5"/>
      <c r="I263" s="5"/>
      <c r="J263" s="5"/>
      <c r="K263" s="5"/>
      <c r="L263" s="5"/>
      <c r="M263" s="5"/>
      <c r="N263" s="5"/>
      <c r="O263" s="5"/>
      <c r="P263" s="5"/>
      <c r="Q263" s="5"/>
      <c r="AL263" s="7" t="str">
        <f>HYPERLINK("http://dx.doi.org/10.1016/j.ecoleng.2020.105947","http://dx.doi.org/10.1016/j.ecoleng.2020.105947")</f>
        <v>http://dx.doi.org/10.1016/j.ecoleng.2020.105947</v>
      </c>
      <c r="AM263" s="5">
        <v>3</v>
      </c>
      <c r="AN263" s="5">
        <v>5</v>
      </c>
      <c r="AO263" s="5">
        <v>155</v>
      </c>
      <c r="AP263" s="5" t="s">
        <v>16</v>
      </c>
      <c r="AQ263" s="5" t="s">
        <v>16</v>
      </c>
      <c r="AR263" s="5" t="s">
        <v>16</v>
      </c>
      <c r="AS263" s="5">
        <v>105947</v>
      </c>
      <c r="AT263" s="5" t="s">
        <v>1501</v>
      </c>
      <c r="AU263" s="5" t="s">
        <v>1502</v>
      </c>
      <c r="AV263" s="5" t="s">
        <v>1504</v>
      </c>
    </row>
    <row r="264" spans="1:48" ht="45" customHeight="1" x14ac:dyDescent="0.15">
      <c r="A264" s="5" t="s">
        <v>1505</v>
      </c>
      <c r="B264" s="5">
        <v>2009</v>
      </c>
      <c r="C264" s="5" t="s">
        <v>1506</v>
      </c>
      <c r="D264" s="5" t="s">
        <v>172</v>
      </c>
      <c r="E264" s="5" t="s">
        <v>18453</v>
      </c>
      <c r="F264" s="5" t="s">
        <v>1509</v>
      </c>
      <c r="G264" s="5"/>
      <c r="H264" s="5"/>
      <c r="I264" s="5"/>
      <c r="J264" s="5"/>
      <c r="K264" s="5"/>
      <c r="L264" s="5"/>
      <c r="M264" s="5"/>
      <c r="N264" s="5"/>
      <c r="O264" s="5"/>
      <c r="P264" s="5"/>
      <c r="Q264" s="5"/>
      <c r="AL264" s="7" t="str">
        <f>HYPERLINK("http://dx.doi.org/10.1007/s00442-009-1290-4","http://dx.doi.org/10.1007/s00442-009-1290-4")</f>
        <v>http://dx.doi.org/10.1007/s00442-009-1290-4</v>
      </c>
      <c r="AM264" s="5">
        <v>46</v>
      </c>
      <c r="AN264" s="5">
        <v>46</v>
      </c>
      <c r="AO264" s="5">
        <v>160</v>
      </c>
      <c r="AP264" s="5">
        <v>2</v>
      </c>
      <c r="AQ264" s="5">
        <v>353</v>
      </c>
      <c r="AR264" s="5">
        <v>365</v>
      </c>
      <c r="AS264" s="5" t="s">
        <v>16</v>
      </c>
      <c r="AT264" s="5" t="s">
        <v>1507</v>
      </c>
      <c r="AU264" s="5" t="s">
        <v>1508</v>
      </c>
      <c r="AV264" s="5" t="s">
        <v>1510</v>
      </c>
    </row>
    <row r="265" spans="1:48" ht="45" customHeight="1" x14ac:dyDescent="0.15">
      <c r="A265" s="5" t="s">
        <v>1511</v>
      </c>
      <c r="B265" s="5">
        <v>2017</v>
      </c>
      <c r="C265" s="5" t="s">
        <v>1512</v>
      </c>
      <c r="D265" s="5" t="s">
        <v>17</v>
      </c>
      <c r="E265" s="5" t="s">
        <v>18453</v>
      </c>
      <c r="F265" s="5" t="s">
        <v>1515</v>
      </c>
      <c r="G265" s="5"/>
      <c r="H265" s="5"/>
      <c r="I265" s="5"/>
      <c r="J265" s="5"/>
      <c r="K265" s="5"/>
      <c r="L265" s="5"/>
      <c r="M265" s="5"/>
      <c r="N265" s="5"/>
      <c r="O265" s="5"/>
      <c r="P265" s="5"/>
      <c r="Q265" s="5"/>
      <c r="AL265" s="7" t="str">
        <f>HYPERLINK("http://dx.doi.org/10.1111/fwb.13032","http://dx.doi.org/10.1111/fwb.13032")</f>
        <v>http://dx.doi.org/10.1111/fwb.13032</v>
      </c>
      <c r="AM265" s="5">
        <v>12</v>
      </c>
      <c r="AN265" s="5">
        <v>13</v>
      </c>
      <c r="AO265" s="5">
        <v>62</v>
      </c>
      <c r="AP265" s="5">
        <v>11</v>
      </c>
      <c r="AQ265" s="5">
        <v>1891</v>
      </c>
      <c r="AR265" s="5">
        <v>1907</v>
      </c>
      <c r="AS265" s="5" t="s">
        <v>16</v>
      </c>
      <c r="AT265" s="5" t="s">
        <v>1513</v>
      </c>
      <c r="AU265" s="5" t="s">
        <v>1514</v>
      </c>
      <c r="AV265" s="5" t="s">
        <v>1516</v>
      </c>
    </row>
    <row r="266" spans="1:48" ht="45" customHeight="1" x14ac:dyDescent="0.15">
      <c r="A266" s="5" t="s">
        <v>1517</v>
      </c>
      <c r="B266" s="5">
        <v>2017</v>
      </c>
      <c r="C266" s="5" t="s">
        <v>1518</v>
      </c>
      <c r="D266" s="5" t="s">
        <v>17</v>
      </c>
      <c r="E266" s="5" t="s">
        <v>18453</v>
      </c>
      <c r="F266" s="5" t="s">
        <v>1521</v>
      </c>
      <c r="G266" s="5"/>
      <c r="H266" s="5"/>
      <c r="I266" s="5"/>
      <c r="J266" s="5"/>
      <c r="K266" s="5"/>
      <c r="L266" s="5"/>
      <c r="M266" s="5"/>
      <c r="N266" s="5"/>
      <c r="O266" s="5"/>
      <c r="P266" s="5"/>
      <c r="Q266" s="5"/>
      <c r="AL266" s="7" t="str">
        <f>HYPERLINK("http://dx.doi.org/10.1111/fwb.12950","http://dx.doi.org/10.1111/fwb.12950")</f>
        <v>http://dx.doi.org/10.1111/fwb.12950</v>
      </c>
      <c r="AM266" s="5">
        <v>13</v>
      </c>
      <c r="AN266" s="5">
        <v>13</v>
      </c>
      <c r="AO266" s="5">
        <v>62</v>
      </c>
      <c r="AP266" s="5">
        <v>8</v>
      </c>
      <c r="AQ266" s="5">
        <v>1377</v>
      </c>
      <c r="AR266" s="5">
        <v>1388</v>
      </c>
      <c r="AS266" s="5" t="s">
        <v>16</v>
      </c>
      <c r="AT266" s="5" t="s">
        <v>1519</v>
      </c>
      <c r="AU266" s="5" t="s">
        <v>1520</v>
      </c>
      <c r="AV266" s="5" t="s">
        <v>1522</v>
      </c>
    </row>
    <row r="267" spans="1:48" ht="45" customHeight="1" x14ac:dyDescent="0.15">
      <c r="A267" s="5" t="s">
        <v>1523</v>
      </c>
      <c r="B267" s="5">
        <v>2018</v>
      </c>
      <c r="C267" s="5" t="s">
        <v>1524</v>
      </c>
      <c r="D267" s="5" t="s">
        <v>1134</v>
      </c>
      <c r="E267" s="5" t="s">
        <v>18453</v>
      </c>
      <c r="F267" s="5" t="s">
        <v>1527</v>
      </c>
      <c r="G267" s="5"/>
      <c r="H267" s="5"/>
      <c r="I267" s="5"/>
      <c r="J267" s="5"/>
      <c r="K267" s="5"/>
      <c r="L267" s="5"/>
      <c r="M267" s="5"/>
      <c r="N267" s="5"/>
      <c r="O267" s="5"/>
      <c r="P267" s="5"/>
      <c r="Q267" s="5"/>
      <c r="AL267" s="7" t="str">
        <f>HYPERLINK("http://dx.doi.org/10.1080/17451000.2017.1398404","http://dx.doi.org/10.1080/17451000.2017.1398404")</f>
        <v>http://dx.doi.org/10.1080/17451000.2017.1398404</v>
      </c>
      <c r="AM267" s="5">
        <v>9</v>
      </c>
      <c r="AN267" s="5">
        <v>9</v>
      </c>
      <c r="AO267" s="5">
        <v>14</v>
      </c>
      <c r="AP267" s="5">
        <v>3</v>
      </c>
      <c r="AQ267" s="5">
        <v>287</v>
      </c>
      <c r="AR267" s="5">
        <v>306</v>
      </c>
      <c r="AS267" s="5" t="s">
        <v>16</v>
      </c>
      <c r="AT267" s="5" t="s">
        <v>1525</v>
      </c>
      <c r="AU267" s="5" t="s">
        <v>1526</v>
      </c>
      <c r="AV267" s="5" t="s">
        <v>1528</v>
      </c>
    </row>
    <row r="268" spans="1:48" ht="45" customHeight="1" x14ac:dyDescent="0.15">
      <c r="A268" s="5" t="s">
        <v>1529</v>
      </c>
      <c r="B268" s="5">
        <v>1991</v>
      </c>
      <c r="C268" s="5" t="s">
        <v>1530</v>
      </c>
      <c r="D268" s="5" t="s">
        <v>1531</v>
      </c>
      <c r="E268" s="5" t="s">
        <v>18453</v>
      </c>
      <c r="F268" s="5" t="s">
        <v>1533</v>
      </c>
      <c r="G268" s="5"/>
      <c r="H268" s="5"/>
      <c r="I268" s="5"/>
      <c r="J268" s="5"/>
      <c r="K268" s="5"/>
      <c r="L268" s="5"/>
      <c r="M268" s="5"/>
      <c r="N268" s="5"/>
      <c r="O268" s="5"/>
      <c r="P268" s="5"/>
      <c r="Q268" s="5"/>
      <c r="AL268" s="7" t="str">
        <f>HYPERLINK("http://dx.doi.org/10.2307/1467576","http://dx.doi.org/10.2307/1467576")</f>
        <v>http://dx.doi.org/10.2307/1467576</v>
      </c>
      <c r="AM268" s="5">
        <v>11</v>
      </c>
      <c r="AN268" s="5">
        <v>13</v>
      </c>
      <c r="AO268" s="5">
        <v>10</v>
      </c>
      <c r="AP268" s="5">
        <v>2</v>
      </c>
      <c r="AQ268" s="5">
        <v>165</v>
      </c>
      <c r="AR268" s="5">
        <v>176</v>
      </c>
      <c r="AS268" s="5" t="s">
        <v>16</v>
      </c>
      <c r="AT268" s="5" t="s">
        <v>1532</v>
      </c>
      <c r="AU268" s="5" t="s">
        <v>16</v>
      </c>
      <c r="AV268" s="5" t="s">
        <v>1534</v>
      </c>
    </row>
    <row r="269" spans="1:48" ht="45" customHeight="1" x14ac:dyDescent="0.15">
      <c r="A269" s="5" t="s">
        <v>1535</v>
      </c>
      <c r="B269" s="5">
        <v>2020</v>
      </c>
      <c r="C269" s="5" t="s">
        <v>1536</v>
      </c>
      <c r="D269" s="5" t="s">
        <v>111</v>
      </c>
      <c r="E269" s="5" t="s">
        <v>18453</v>
      </c>
      <c r="F269" s="5" t="s">
        <v>1539</v>
      </c>
      <c r="G269" s="5"/>
      <c r="H269" s="5"/>
      <c r="I269" s="5"/>
      <c r="J269" s="5"/>
      <c r="K269" s="5"/>
      <c r="L269" s="5"/>
      <c r="M269" s="5"/>
      <c r="N269" s="5"/>
      <c r="O269" s="5"/>
      <c r="P269" s="5"/>
      <c r="Q269" s="5"/>
      <c r="AL269" s="7" t="str">
        <f>HYPERLINK("http://dx.doi.org/10.1007/s10452-020-09801-w","http://dx.doi.org/10.1007/s10452-020-09801-w")</f>
        <v>http://dx.doi.org/10.1007/s10452-020-09801-w</v>
      </c>
      <c r="AM269" s="5">
        <v>7</v>
      </c>
      <c r="AN269" s="5">
        <v>7</v>
      </c>
      <c r="AO269" s="5">
        <v>54</v>
      </c>
      <c r="AP269" s="5">
        <v>4</v>
      </c>
      <c r="AQ269" s="5">
        <v>1169</v>
      </c>
      <c r="AR269" s="5">
        <v>1183</v>
      </c>
      <c r="AS269" s="5" t="s">
        <v>16</v>
      </c>
      <c r="AT269" s="5" t="s">
        <v>1537</v>
      </c>
      <c r="AU269" s="5" t="s">
        <v>1538</v>
      </c>
      <c r="AV269" s="5" t="s">
        <v>1540</v>
      </c>
    </row>
    <row r="270" spans="1:48" ht="45" customHeight="1" x14ac:dyDescent="0.15">
      <c r="A270" s="5" t="s">
        <v>1541</v>
      </c>
      <c r="B270" s="5">
        <v>2010</v>
      </c>
      <c r="C270" s="5" t="s">
        <v>1542</v>
      </c>
      <c r="D270" s="5" t="s">
        <v>33</v>
      </c>
      <c r="E270" s="5" t="s">
        <v>18453</v>
      </c>
      <c r="F270" s="5" t="s">
        <v>1545</v>
      </c>
      <c r="G270" s="5"/>
      <c r="H270" s="5"/>
      <c r="I270" s="5"/>
      <c r="J270" s="5"/>
      <c r="K270" s="5"/>
      <c r="L270" s="5"/>
      <c r="M270" s="5"/>
      <c r="N270" s="5"/>
      <c r="O270" s="5"/>
      <c r="P270" s="5"/>
      <c r="Q270" s="5"/>
      <c r="AL270" s="7" t="str">
        <f>HYPERLINK("http://dx.doi.org/10.1111/j.1365-2486.2009.02014.x","http://dx.doi.org/10.1111/j.1365-2486.2009.02014.x")</f>
        <v>http://dx.doi.org/10.1111/j.1365-2486.2009.02014.x</v>
      </c>
      <c r="AM270" s="5">
        <v>381</v>
      </c>
      <c r="AN270" s="5">
        <v>385</v>
      </c>
      <c r="AO270" s="5">
        <v>16</v>
      </c>
      <c r="AP270" s="5">
        <v>2</v>
      </c>
      <c r="AQ270" s="5">
        <v>587</v>
      </c>
      <c r="AR270" s="5">
        <v>598</v>
      </c>
      <c r="AS270" s="5" t="s">
        <v>16</v>
      </c>
      <c r="AT270" s="5" t="s">
        <v>1543</v>
      </c>
      <c r="AU270" s="5" t="s">
        <v>1544</v>
      </c>
      <c r="AV270" s="5" t="s">
        <v>1546</v>
      </c>
    </row>
    <row r="271" spans="1:48" ht="45" customHeight="1" x14ac:dyDescent="0.15">
      <c r="A271" s="5" t="s">
        <v>1547</v>
      </c>
      <c r="B271" s="5">
        <v>2013</v>
      </c>
      <c r="C271" s="5" t="s">
        <v>1548</v>
      </c>
      <c r="D271" s="5" t="s">
        <v>49</v>
      </c>
      <c r="E271" s="5" t="s">
        <v>18453</v>
      </c>
      <c r="F271" s="5" t="s">
        <v>1551</v>
      </c>
      <c r="G271" s="5"/>
      <c r="H271" s="5"/>
      <c r="I271" s="5"/>
      <c r="J271" s="5"/>
      <c r="K271" s="5"/>
      <c r="L271" s="5"/>
      <c r="M271" s="5"/>
      <c r="N271" s="5"/>
      <c r="O271" s="5"/>
      <c r="P271" s="5"/>
      <c r="Q271" s="5"/>
      <c r="AL271" s="7" t="str">
        <f>HYPERLINK("http://dx.doi.org/10.3354/meps10436","http://dx.doi.org/10.3354/meps10436")</f>
        <v>http://dx.doi.org/10.3354/meps10436</v>
      </c>
      <c r="AM271" s="5">
        <v>21</v>
      </c>
      <c r="AN271" s="5">
        <v>21</v>
      </c>
      <c r="AO271" s="5">
        <v>490</v>
      </c>
      <c r="AP271" s="5" t="s">
        <v>16</v>
      </c>
      <c r="AQ271" s="5">
        <v>255</v>
      </c>
      <c r="AR271" s="5">
        <v>266</v>
      </c>
      <c r="AS271" s="5" t="s">
        <v>16</v>
      </c>
      <c r="AT271" s="5" t="s">
        <v>1549</v>
      </c>
      <c r="AU271" s="5" t="s">
        <v>1550</v>
      </c>
      <c r="AV271" s="5" t="s">
        <v>1552</v>
      </c>
    </row>
    <row r="272" spans="1:48" ht="45" customHeight="1" x14ac:dyDescent="0.15">
      <c r="A272" s="5" t="s">
        <v>1553</v>
      </c>
      <c r="B272" s="5">
        <v>2019</v>
      </c>
      <c r="C272" s="5" t="s">
        <v>1554</v>
      </c>
      <c r="D272" s="5" t="s">
        <v>161</v>
      </c>
      <c r="E272" s="5" t="s">
        <v>18453</v>
      </c>
      <c r="F272" s="5" t="s">
        <v>1557</v>
      </c>
      <c r="G272" s="5"/>
      <c r="H272" s="5"/>
      <c r="I272" s="5"/>
      <c r="J272" s="5"/>
      <c r="K272" s="5"/>
      <c r="L272" s="5"/>
      <c r="M272" s="5"/>
      <c r="N272" s="5"/>
      <c r="O272" s="5"/>
      <c r="P272" s="5"/>
      <c r="Q272" s="5"/>
      <c r="AL272" s="7" t="str">
        <f>HYPERLINK("http://dx.doi.org/10.1111/geb.12933","http://dx.doi.org/10.1111/geb.12933")</f>
        <v>http://dx.doi.org/10.1111/geb.12933</v>
      </c>
      <c r="AM272" s="5">
        <v>25</v>
      </c>
      <c r="AN272" s="5">
        <v>25</v>
      </c>
      <c r="AO272" s="5">
        <v>28</v>
      </c>
      <c r="AP272" s="5">
        <v>9</v>
      </c>
      <c r="AQ272" s="5">
        <v>1295</v>
      </c>
      <c r="AR272" s="5">
        <v>1309</v>
      </c>
      <c r="AS272" s="5" t="s">
        <v>16</v>
      </c>
      <c r="AT272" s="5" t="s">
        <v>1555</v>
      </c>
      <c r="AU272" s="5" t="s">
        <v>1556</v>
      </c>
      <c r="AV272" s="5" t="s">
        <v>1558</v>
      </c>
    </row>
    <row r="273" spans="1:48" ht="45" customHeight="1" x14ac:dyDescent="0.15">
      <c r="A273" s="5" t="s">
        <v>1559</v>
      </c>
      <c r="B273" s="5">
        <v>2007</v>
      </c>
      <c r="C273" s="5" t="s">
        <v>1560</v>
      </c>
      <c r="D273" s="5" t="s">
        <v>172</v>
      </c>
      <c r="E273" s="5" t="s">
        <v>18453</v>
      </c>
      <c r="F273" s="5" t="s">
        <v>1563</v>
      </c>
      <c r="G273" s="5"/>
      <c r="H273" s="5"/>
      <c r="I273" s="5"/>
      <c r="J273" s="5"/>
      <c r="K273" s="5"/>
      <c r="L273" s="5"/>
      <c r="M273" s="5"/>
      <c r="N273" s="5"/>
      <c r="O273" s="5"/>
      <c r="P273" s="5"/>
      <c r="Q273" s="5"/>
      <c r="AL273" s="7" t="str">
        <f>HYPERLINK("http://dx.doi.org/10.1007/s00442-007-0743-x","http://dx.doi.org/10.1007/s00442-007-0743-x")</f>
        <v>http://dx.doi.org/10.1007/s00442-007-0743-x</v>
      </c>
      <c r="AM273" s="5">
        <v>92</v>
      </c>
      <c r="AN273" s="5">
        <v>95</v>
      </c>
      <c r="AO273" s="5">
        <v>153</v>
      </c>
      <c r="AP273" s="5">
        <v>2</v>
      </c>
      <c r="AQ273" s="5">
        <v>461</v>
      </c>
      <c r="AR273" s="5">
        <v>470</v>
      </c>
      <c r="AS273" s="5" t="s">
        <v>16</v>
      </c>
      <c r="AT273" s="5" t="s">
        <v>1561</v>
      </c>
      <c r="AU273" s="5" t="s">
        <v>1562</v>
      </c>
      <c r="AV273" s="5" t="s">
        <v>1564</v>
      </c>
    </row>
    <row r="274" spans="1:48" ht="45" customHeight="1" x14ac:dyDescent="0.15">
      <c r="A274" s="5" t="s">
        <v>1565</v>
      </c>
      <c r="B274" s="5">
        <v>2022</v>
      </c>
      <c r="C274" s="5" t="s">
        <v>1566</v>
      </c>
      <c r="D274" s="5" t="s">
        <v>17</v>
      </c>
      <c r="E274" s="5" t="s">
        <v>18453</v>
      </c>
      <c r="F274" s="5" t="s">
        <v>1569</v>
      </c>
      <c r="G274" s="5"/>
      <c r="H274" s="5"/>
      <c r="I274" s="5"/>
      <c r="J274" s="5"/>
      <c r="K274" s="5"/>
      <c r="L274" s="5"/>
      <c r="M274" s="5"/>
      <c r="N274" s="5"/>
      <c r="O274" s="5"/>
      <c r="P274" s="5"/>
      <c r="Q274" s="5"/>
      <c r="AL274" s="7" t="str">
        <f>HYPERLINK("http://dx.doi.org/10.1111/fwb.13897","http://dx.doi.org/10.1111/fwb.13897")</f>
        <v>http://dx.doi.org/10.1111/fwb.13897</v>
      </c>
      <c r="AM274" s="5">
        <v>1</v>
      </c>
      <c r="AN274" s="5">
        <v>1</v>
      </c>
      <c r="AO274" s="5">
        <v>67</v>
      </c>
      <c r="AP274" s="5">
        <v>6</v>
      </c>
      <c r="AQ274" s="5">
        <v>1005</v>
      </c>
      <c r="AR274" s="5">
        <v>1019</v>
      </c>
      <c r="AS274" s="5" t="s">
        <v>16</v>
      </c>
      <c r="AT274" s="5" t="s">
        <v>1567</v>
      </c>
      <c r="AU274" s="5" t="s">
        <v>1568</v>
      </c>
      <c r="AV274" s="5" t="s">
        <v>1570</v>
      </c>
    </row>
    <row r="275" spans="1:48" ht="45" customHeight="1" x14ac:dyDescent="0.15">
      <c r="A275" s="5" t="s">
        <v>1571</v>
      </c>
      <c r="B275" s="5">
        <v>2012</v>
      </c>
      <c r="C275" s="5" t="s">
        <v>1572</v>
      </c>
      <c r="D275" s="5" t="s">
        <v>295</v>
      </c>
      <c r="E275" s="5" t="s">
        <v>18453</v>
      </c>
      <c r="F275" s="5" t="s">
        <v>1575</v>
      </c>
      <c r="G275" s="5"/>
      <c r="H275" s="5"/>
      <c r="I275" s="5"/>
      <c r="J275" s="5"/>
      <c r="K275" s="5"/>
      <c r="L275" s="5"/>
      <c r="M275" s="5"/>
      <c r="N275" s="5"/>
      <c r="O275" s="5"/>
      <c r="P275" s="5"/>
      <c r="Q275" s="5"/>
      <c r="AL275" s="7" t="str">
        <f>HYPERLINK("http://dx.doi.org/10.1016/j.jembe.2011.12.007","http://dx.doi.org/10.1016/j.jembe.2011.12.007")</f>
        <v>http://dx.doi.org/10.1016/j.jembe.2011.12.007</v>
      </c>
      <c r="AM275" s="5">
        <v>57</v>
      </c>
      <c r="AN275" s="5">
        <v>57</v>
      </c>
      <c r="AO275" s="5">
        <v>413</v>
      </c>
      <c r="AP275" s="5" t="s">
        <v>16</v>
      </c>
      <c r="AQ275" s="5">
        <v>150</v>
      </c>
      <c r="AR275" s="5">
        <v>158</v>
      </c>
      <c r="AS275" s="5" t="s">
        <v>16</v>
      </c>
      <c r="AT275" s="5" t="s">
        <v>1573</v>
      </c>
      <c r="AU275" s="5" t="s">
        <v>1574</v>
      </c>
      <c r="AV275" s="5" t="s">
        <v>1576</v>
      </c>
    </row>
    <row r="276" spans="1:48" ht="45" customHeight="1" x14ac:dyDescent="0.15">
      <c r="A276" s="5" t="s">
        <v>1577</v>
      </c>
      <c r="B276" s="5">
        <v>2020</v>
      </c>
      <c r="C276" s="5" t="s">
        <v>1578</v>
      </c>
      <c r="D276" s="5" t="s">
        <v>33</v>
      </c>
      <c r="E276" s="5" t="s">
        <v>18453</v>
      </c>
      <c r="F276" s="5" t="s">
        <v>1581</v>
      </c>
      <c r="G276" s="5"/>
      <c r="H276" s="5"/>
      <c r="I276" s="5"/>
      <c r="J276" s="5"/>
      <c r="K276" s="5"/>
      <c r="L276" s="5"/>
      <c r="M276" s="5"/>
      <c r="N276" s="5"/>
      <c r="O276" s="5"/>
      <c r="P276" s="5"/>
      <c r="Q276" s="5"/>
      <c r="AL276" s="7" t="str">
        <f>HYPERLINK("http://dx.doi.org/10.1111/gcb.15258","http://dx.doi.org/10.1111/gcb.15258")</f>
        <v>http://dx.doi.org/10.1111/gcb.15258</v>
      </c>
      <c r="AM276" s="5">
        <v>19</v>
      </c>
      <c r="AN276" s="5">
        <v>20</v>
      </c>
      <c r="AO276" s="5">
        <v>26</v>
      </c>
      <c r="AP276" s="5">
        <v>10</v>
      </c>
      <c r="AQ276" s="5">
        <v>5475</v>
      </c>
      <c r="AR276" s="5">
        <v>5491</v>
      </c>
      <c r="AS276" s="5" t="s">
        <v>16</v>
      </c>
      <c r="AT276" s="5" t="s">
        <v>1579</v>
      </c>
      <c r="AU276" s="5" t="s">
        <v>1580</v>
      </c>
      <c r="AV276" s="5" t="s">
        <v>1582</v>
      </c>
    </row>
    <row r="277" spans="1:48" ht="45" customHeight="1" x14ac:dyDescent="0.15">
      <c r="A277" s="5" t="s">
        <v>1583</v>
      </c>
      <c r="B277" s="5">
        <v>2019</v>
      </c>
      <c r="C277" s="5" t="s">
        <v>1584</v>
      </c>
      <c r="D277" s="5" t="s">
        <v>172</v>
      </c>
      <c r="E277" s="5" t="s">
        <v>18453</v>
      </c>
      <c r="F277" s="5" t="s">
        <v>1587</v>
      </c>
      <c r="G277" s="5"/>
      <c r="H277" s="5"/>
      <c r="I277" s="5"/>
      <c r="J277" s="5"/>
      <c r="K277" s="5"/>
      <c r="L277" s="5"/>
      <c r="M277" s="5"/>
      <c r="N277" s="5"/>
      <c r="O277" s="5"/>
      <c r="P277" s="5"/>
      <c r="Q277" s="5"/>
      <c r="AL277" s="7" t="str">
        <f>HYPERLINK("http://dx.doi.org/10.1007/s00442-018-04330-8","http://dx.doi.org/10.1007/s00442-018-04330-8")</f>
        <v>http://dx.doi.org/10.1007/s00442-018-04330-8</v>
      </c>
      <c r="AM277" s="5">
        <v>6</v>
      </c>
      <c r="AN277" s="5">
        <v>6</v>
      </c>
      <c r="AO277" s="5">
        <v>189</v>
      </c>
      <c r="AP277" s="5">
        <v>2</v>
      </c>
      <c r="AQ277" s="5">
        <v>395</v>
      </c>
      <c r="AR277" s="5">
        <v>406</v>
      </c>
      <c r="AS277" s="5" t="s">
        <v>16</v>
      </c>
      <c r="AT277" s="5" t="s">
        <v>1585</v>
      </c>
      <c r="AU277" s="5" t="s">
        <v>1586</v>
      </c>
      <c r="AV277" s="5" t="s">
        <v>1588</v>
      </c>
    </row>
    <row r="278" spans="1:48" ht="45" customHeight="1" x14ac:dyDescent="0.15">
      <c r="A278" s="5" t="s">
        <v>1589</v>
      </c>
      <c r="B278" s="5">
        <v>2013</v>
      </c>
      <c r="C278" s="5" t="s">
        <v>1590</v>
      </c>
      <c r="D278" s="5" t="s">
        <v>172</v>
      </c>
      <c r="E278" s="5" t="s">
        <v>18453</v>
      </c>
      <c r="F278" s="5" t="s">
        <v>1593</v>
      </c>
      <c r="G278" s="5"/>
      <c r="H278" s="5"/>
      <c r="I278" s="5"/>
      <c r="J278" s="5"/>
      <c r="K278" s="5"/>
      <c r="L278" s="5"/>
      <c r="M278" s="5"/>
      <c r="N278" s="5"/>
      <c r="O278" s="5"/>
      <c r="P278" s="5"/>
      <c r="Q278" s="5"/>
      <c r="AL278" s="7" t="str">
        <f>HYPERLINK("http://dx.doi.org/10.1007/s00442-013-2678-8","http://dx.doi.org/10.1007/s00442-013-2678-8")</f>
        <v>http://dx.doi.org/10.1007/s00442-013-2678-8</v>
      </c>
      <c r="AM278" s="5">
        <v>25</v>
      </c>
      <c r="AN278" s="5">
        <v>26</v>
      </c>
      <c r="AO278" s="5">
        <v>173</v>
      </c>
      <c r="AP278" s="5">
        <v>3</v>
      </c>
      <c r="AQ278" s="5">
        <v>731</v>
      </c>
      <c r="AR278" s="5">
        <v>743</v>
      </c>
      <c r="AS278" s="5" t="s">
        <v>16</v>
      </c>
      <c r="AT278" s="5" t="s">
        <v>1591</v>
      </c>
      <c r="AU278" s="5" t="s">
        <v>1592</v>
      </c>
      <c r="AV278" s="5" t="s">
        <v>1594</v>
      </c>
    </row>
    <row r="279" spans="1:48" ht="45" customHeight="1" x14ac:dyDescent="0.15">
      <c r="A279" s="5" t="s">
        <v>1595</v>
      </c>
      <c r="B279" s="5">
        <v>2019</v>
      </c>
      <c r="C279" s="5" t="s">
        <v>1596</v>
      </c>
      <c r="D279" s="5" t="s">
        <v>17</v>
      </c>
      <c r="E279" s="5" t="s">
        <v>18453</v>
      </c>
      <c r="F279" s="5" t="s">
        <v>1599</v>
      </c>
      <c r="G279" s="5"/>
      <c r="H279" s="5"/>
      <c r="I279" s="5"/>
      <c r="J279" s="5"/>
      <c r="K279" s="5"/>
      <c r="L279" s="5"/>
      <c r="M279" s="5"/>
      <c r="N279" s="5"/>
      <c r="O279" s="5"/>
      <c r="P279" s="5"/>
      <c r="Q279" s="5"/>
      <c r="AL279" s="7" t="str">
        <f>HYPERLINK("http://dx.doi.org/10.1111/fwb.13294","http://dx.doi.org/10.1111/fwb.13294")</f>
        <v>http://dx.doi.org/10.1111/fwb.13294</v>
      </c>
      <c r="AM279" s="5">
        <v>14</v>
      </c>
      <c r="AN279" s="5">
        <v>14</v>
      </c>
      <c r="AO279" s="5">
        <v>64</v>
      </c>
      <c r="AP279" s="5">
        <v>6</v>
      </c>
      <c r="AQ279" s="5">
        <v>1183</v>
      </c>
      <c r="AR279" s="5">
        <v>1195</v>
      </c>
      <c r="AS279" s="5" t="s">
        <v>16</v>
      </c>
      <c r="AT279" s="5" t="s">
        <v>1597</v>
      </c>
      <c r="AU279" s="5" t="s">
        <v>1598</v>
      </c>
      <c r="AV279" s="5" t="s">
        <v>1600</v>
      </c>
    </row>
    <row r="280" spans="1:48" ht="45" customHeight="1" x14ac:dyDescent="0.15">
      <c r="A280" s="5" t="s">
        <v>1601</v>
      </c>
      <c r="B280" s="5">
        <v>2017</v>
      </c>
      <c r="C280" s="5" t="s">
        <v>1602</v>
      </c>
      <c r="D280" s="5" t="s">
        <v>62</v>
      </c>
      <c r="E280" s="5" t="s">
        <v>18453</v>
      </c>
      <c r="F280" s="5" t="s">
        <v>1605</v>
      </c>
      <c r="G280" s="5"/>
      <c r="H280" s="5"/>
      <c r="I280" s="5"/>
      <c r="J280" s="5"/>
      <c r="K280" s="5"/>
      <c r="L280" s="5"/>
      <c r="M280" s="5"/>
      <c r="N280" s="5"/>
      <c r="O280" s="5"/>
      <c r="P280" s="5"/>
      <c r="Q280" s="5"/>
      <c r="AL280" s="7" t="str">
        <f>HYPERLINK("http://dx.doi.org/10.1007/s10021-016-0050-7","http://dx.doi.org/10.1007/s10021-016-0050-7")</f>
        <v>http://dx.doi.org/10.1007/s10021-016-0050-7</v>
      </c>
      <c r="AM280" s="5">
        <v>71</v>
      </c>
      <c r="AN280" s="5">
        <v>74</v>
      </c>
      <c r="AO280" s="5">
        <v>20</v>
      </c>
      <c r="AP280" s="5">
        <v>1</v>
      </c>
      <c r="AQ280" s="5">
        <v>78</v>
      </c>
      <c r="AR280" s="5">
        <v>93</v>
      </c>
      <c r="AS280" s="5" t="s">
        <v>16</v>
      </c>
      <c r="AT280" s="5" t="s">
        <v>1603</v>
      </c>
      <c r="AU280" s="5" t="s">
        <v>1604</v>
      </c>
      <c r="AV280" s="5" t="s">
        <v>1606</v>
      </c>
    </row>
    <row r="281" spans="1:48" ht="45" customHeight="1" x14ac:dyDescent="0.15">
      <c r="A281" s="5" t="s">
        <v>1607</v>
      </c>
      <c r="B281" s="5">
        <v>2010</v>
      </c>
      <c r="C281" s="5" t="s">
        <v>1608</v>
      </c>
      <c r="D281" s="5" t="s">
        <v>1004</v>
      </c>
      <c r="E281" s="5" t="s">
        <v>18453</v>
      </c>
      <c r="F281" s="5" t="s">
        <v>1611</v>
      </c>
      <c r="G281" s="5"/>
      <c r="H281" s="5"/>
      <c r="I281" s="5"/>
      <c r="J281" s="5"/>
      <c r="K281" s="5"/>
      <c r="L281" s="5"/>
      <c r="M281" s="5"/>
      <c r="N281" s="5"/>
      <c r="O281" s="5"/>
      <c r="P281" s="5"/>
      <c r="Q281" s="5"/>
      <c r="AL281" s="7" t="str">
        <f>HYPERLINK("http://dx.doi.org/10.1111/j.1365-2028.2009.01163.x","http://dx.doi.org/10.1111/j.1365-2028.2009.01163.x")</f>
        <v>http://dx.doi.org/10.1111/j.1365-2028.2009.01163.x</v>
      </c>
      <c r="AM281" s="5">
        <v>9</v>
      </c>
      <c r="AN281" s="5">
        <v>10</v>
      </c>
      <c r="AO281" s="5">
        <v>48</v>
      </c>
      <c r="AP281" s="5">
        <v>3</v>
      </c>
      <c r="AQ281" s="5">
        <v>667</v>
      </c>
      <c r="AR281" s="5">
        <v>675</v>
      </c>
      <c r="AS281" s="5" t="s">
        <v>16</v>
      </c>
      <c r="AT281" s="5" t="s">
        <v>1609</v>
      </c>
      <c r="AU281" s="5" t="s">
        <v>1610</v>
      </c>
      <c r="AV281" s="5" t="s">
        <v>1612</v>
      </c>
    </row>
    <row r="282" spans="1:48" ht="45" customHeight="1" x14ac:dyDescent="0.15">
      <c r="A282" s="5" t="s">
        <v>1613</v>
      </c>
      <c r="B282" s="5">
        <v>2019</v>
      </c>
      <c r="C282" s="5" t="s">
        <v>1614</v>
      </c>
      <c r="D282" s="5" t="s">
        <v>49</v>
      </c>
      <c r="E282" s="5" t="s">
        <v>18453</v>
      </c>
      <c r="F282" s="5" t="s">
        <v>1617</v>
      </c>
      <c r="G282" s="5"/>
      <c r="H282" s="5"/>
      <c r="I282" s="5"/>
      <c r="J282" s="5"/>
      <c r="K282" s="5"/>
      <c r="L282" s="5"/>
      <c r="M282" s="5"/>
      <c r="N282" s="5"/>
      <c r="O282" s="5"/>
      <c r="P282" s="5"/>
      <c r="Q282" s="5"/>
      <c r="AL282" s="7" t="str">
        <f>HYPERLINK("http://dx.doi.org/10.3354/meps13117","http://dx.doi.org/10.3354/meps13117")</f>
        <v>http://dx.doi.org/10.3354/meps13117</v>
      </c>
      <c r="AM282" s="5">
        <v>5</v>
      </c>
      <c r="AN282" s="5">
        <v>6</v>
      </c>
      <c r="AO282" s="5">
        <v>632</v>
      </c>
      <c r="AP282" s="5" t="s">
        <v>16</v>
      </c>
      <c r="AQ282" s="5">
        <v>205</v>
      </c>
      <c r="AR282" s="5">
        <v>219</v>
      </c>
      <c r="AS282" s="5" t="s">
        <v>16</v>
      </c>
      <c r="AT282" s="5" t="s">
        <v>1615</v>
      </c>
      <c r="AU282" s="5" t="s">
        <v>1616</v>
      </c>
      <c r="AV282" s="5" t="s">
        <v>1618</v>
      </c>
    </row>
    <row r="283" spans="1:48" ht="45" customHeight="1" x14ac:dyDescent="0.15">
      <c r="A283" s="5" t="s">
        <v>1619</v>
      </c>
      <c r="B283" s="5">
        <v>2021</v>
      </c>
      <c r="C283" s="5" t="s">
        <v>1620</v>
      </c>
      <c r="D283" s="5" t="s">
        <v>1621</v>
      </c>
      <c r="E283" s="5" t="s">
        <v>18453</v>
      </c>
      <c r="F283" s="5" t="s">
        <v>1624</v>
      </c>
      <c r="G283" s="5"/>
      <c r="H283" s="5"/>
      <c r="I283" s="5"/>
      <c r="J283" s="5"/>
      <c r="K283" s="5"/>
      <c r="L283" s="5"/>
      <c r="M283" s="5"/>
      <c r="N283" s="5"/>
      <c r="O283" s="5"/>
      <c r="P283" s="5"/>
      <c r="Q283" s="5"/>
      <c r="AL283" s="7" t="str">
        <f>HYPERLINK("http://dx.doi.org/10.1093/conphys/coaa115","http://dx.doi.org/10.1093/conphys/coaa115")</f>
        <v>http://dx.doi.org/10.1093/conphys/coaa115</v>
      </c>
      <c r="AM283" s="5">
        <v>9</v>
      </c>
      <c r="AN283" s="5">
        <v>9</v>
      </c>
      <c r="AO283" s="5">
        <v>9</v>
      </c>
      <c r="AP283" s="5" t="s">
        <v>16</v>
      </c>
      <c r="AQ283" s="5" t="s">
        <v>16</v>
      </c>
      <c r="AR283" s="5" t="s">
        <v>16</v>
      </c>
      <c r="AS283" s="5" t="s">
        <v>1625</v>
      </c>
      <c r="AT283" s="5" t="s">
        <v>1622</v>
      </c>
      <c r="AU283" s="5" t="s">
        <v>1623</v>
      </c>
      <c r="AV283" s="5" t="s">
        <v>1626</v>
      </c>
    </row>
    <row r="284" spans="1:48" ht="45" customHeight="1" x14ac:dyDescent="0.15">
      <c r="A284" s="5" t="s">
        <v>1627</v>
      </c>
      <c r="B284" s="5">
        <v>2017</v>
      </c>
      <c r="C284" s="5" t="s">
        <v>1628</v>
      </c>
      <c r="D284" s="5" t="s">
        <v>27</v>
      </c>
      <c r="E284" s="5" t="s">
        <v>18453</v>
      </c>
      <c r="F284" s="5" t="s">
        <v>1631</v>
      </c>
      <c r="G284" s="5"/>
      <c r="H284" s="5"/>
      <c r="I284" s="5"/>
      <c r="J284" s="5"/>
      <c r="K284" s="5"/>
      <c r="L284" s="5"/>
      <c r="M284" s="5"/>
      <c r="N284" s="5"/>
      <c r="O284" s="5"/>
      <c r="P284" s="5"/>
      <c r="Q284" s="5"/>
      <c r="AL284" s="7" t="str">
        <f>HYPERLINK("http://dx.doi.org/10.1002/ecy.1836","http://dx.doi.org/10.1002/ecy.1836")</f>
        <v>http://dx.doi.org/10.1002/ecy.1836</v>
      </c>
      <c r="AM284" s="5">
        <v>31</v>
      </c>
      <c r="AN284" s="5">
        <v>31</v>
      </c>
      <c r="AO284" s="5">
        <v>98</v>
      </c>
      <c r="AP284" s="5">
        <v>6</v>
      </c>
      <c r="AQ284" s="5">
        <v>1681</v>
      </c>
      <c r="AR284" s="5">
        <v>1692</v>
      </c>
      <c r="AS284" s="5" t="s">
        <v>16</v>
      </c>
      <c r="AT284" s="5" t="s">
        <v>1629</v>
      </c>
      <c r="AU284" s="5" t="s">
        <v>1630</v>
      </c>
      <c r="AV284" s="5" t="s">
        <v>1632</v>
      </c>
    </row>
    <row r="285" spans="1:48" ht="45" customHeight="1" x14ac:dyDescent="0.15">
      <c r="A285" s="5" t="s">
        <v>1633</v>
      </c>
      <c r="B285" s="5">
        <v>2022</v>
      </c>
      <c r="C285" s="5" t="s">
        <v>1634</v>
      </c>
      <c r="D285" s="5" t="s">
        <v>259</v>
      </c>
      <c r="E285" s="5" t="s">
        <v>18453</v>
      </c>
      <c r="F285" s="5" t="s">
        <v>1637</v>
      </c>
      <c r="G285" s="5"/>
      <c r="H285" s="5"/>
      <c r="I285" s="5"/>
      <c r="J285" s="5"/>
      <c r="K285" s="5"/>
      <c r="L285" s="5"/>
      <c r="M285" s="5"/>
      <c r="N285" s="5"/>
      <c r="O285" s="5"/>
      <c r="P285" s="5"/>
      <c r="Q285" s="5"/>
      <c r="AL285" s="7" t="str">
        <f>HYPERLINK("http://dx.doi.org/10.1002/jwmg.22218","http://dx.doi.org/10.1002/jwmg.22218")</f>
        <v>http://dx.doi.org/10.1002/jwmg.22218</v>
      </c>
      <c r="AM285" s="5">
        <v>1</v>
      </c>
      <c r="AN285" s="5">
        <v>1</v>
      </c>
      <c r="AO285" s="5">
        <v>86</v>
      </c>
      <c r="AP285" s="5">
        <v>5</v>
      </c>
      <c r="AQ285" s="5" t="s">
        <v>16</v>
      </c>
      <c r="AR285" s="5" t="s">
        <v>16</v>
      </c>
      <c r="AS285" s="5" t="s">
        <v>1638</v>
      </c>
      <c r="AT285" s="5" t="s">
        <v>1635</v>
      </c>
      <c r="AU285" s="5" t="s">
        <v>1636</v>
      </c>
      <c r="AV285" s="5" t="s">
        <v>1639</v>
      </c>
    </row>
    <row r="286" spans="1:48" ht="45" customHeight="1" x14ac:dyDescent="0.15">
      <c r="A286" s="5" t="s">
        <v>1640</v>
      </c>
      <c r="B286" s="5">
        <v>2019</v>
      </c>
      <c r="C286" s="5" t="s">
        <v>1641</v>
      </c>
      <c r="D286" s="5" t="s">
        <v>190</v>
      </c>
      <c r="E286" s="5" t="s">
        <v>18453</v>
      </c>
      <c r="F286" s="5" t="s">
        <v>1644</v>
      </c>
      <c r="G286" s="5"/>
      <c r="H286" s="5"/>
      <c r="I286" s="5"/>
      <c r="J286" s="5"/>
      <c r="K286" s="5"/>
      <c r="L286" s="5"/>
      <c r="M286" s="5"/>
      <c r="N286" s="5"/>
      <c r="O286" s="5"/>
      <c r="P286" s="5"/>
      <c r="Q286" s="5"/>
      <c r="AL286" s="7" t="str">
        <f>HYPERLINK("http://dx.doi.org/10.1007/s10530-018-1824-y","http://dx.doi.org/10.1007/s10530-018-1824-y")</f>
        <v>http://dx.doi.org/10.1007/s10530-018-1824-y</v>
      </c>
      <c r="AM286" s="5">
        <v>7</v>
      </c>
      <c r="AN286" s="5">
        <v>7</v>
      </c>
      <c r="AO286" s="5">
        <v>21</v>
      </c>
      <c r="AP286" s="5">
        <v>1</v>
      </c>
      <c r="AQ286" s="5">
        <v>261</v>
      </c>
      <c r="AR286" s="5">
        <v>275</v>
      </c>
      <c r="AS286" s="5" t="s">
        <v>16</v>
      </c>
      <c r="AT286" s="5" t="s">
        <v>1642</v>
      </c>
      <c r="AU286" s="5" t="s">
        <v>1643</v>
      </c>
      <c r="AV286" s="5" t="s">
        <v>1645</v>
      </c>
    </row>
    <row r="287" spans="1:48" ht="45" customHeight="1" x14ac:dyDescent="0.15">
      <c r="A287" s="5" t="s">
        <v>1646</v>
      </c>
      <c r="B287" s="5">
        <v>2022</v>
      </c>
      <c r="C287" s="5" t="s">
        <v>1647</v>
      </c>
      <c r="D287" s="5" t="s">
        <v>49</v>
      </c>
      <c r="E287" s="5" t="s">
        <v>18453</v>
      </c>
      <c r="F287" s="5" t="s">
        <v>1650</v>
      </c>
      <c r="G287" s="5"/>
      <c r="H287" s="5"/>
      <c r="I287" s="5"/>
      <c r="J287" s="5"/>
      <c r="K287" s="5"/>
      <c r="L287" s="5"/>
      <c r="M287" s="5"/>
      <c r="N287" s="5"/>
      <c r="O287" s="5"/>
      <c r="P287" s="5"/>
      <c r="Q287" s="5"/>
      <c r="AL287" s="7" t="str">
        <f>HYPERLINK("http://dx.doi.org/10.3354/meps14036","http://dx.doi.org/10.3354/meps14036")</f>
        <v>http://dx.doi.org/10.3354/meps14036</v>
      </c>
      <c r="AM287" s="5">
        <v>2</v>
      </c>
      <c r="AN287" s="5">
        <v>2</v>
      </c>
      <c r="AO287" s="5">
        <v>690</v>
      </c>
      <c r="AP287" s="5" t="s">
        <v>16</v>
      </c>
      <c r="AQ287" s="5">
        <v>147</v>
      </c>
      <c r="AR287" s="5">
        <v>163</v>
      </c>
      <c r="AS287" s="5" t="s">
        <v>16</v>
      </c>
      <c r="AT287" s="5" t="s">
        <v>1648</v>
      </c>
      <c r="AU287" s="5" t="s">
        <v>1649</v>
      </c>
      <c r="AV287" s="5" t="s">
        <v>1651</v>
      </c>
    </row>
    <row r="288" spans="1:48" ht="45" customHeight="1" x14ac:dyDescent="0.15">
      <c r="A288" s="5" t="s">
        <v>1652</v>
      </c>
      <c r="B288" s="5">
        <v>2004</v>
      </c>
      <c r="C288" s="5" t="s">
        <v>1653</v>
      </c>
      <c r="D288" s="5" t="s">
        <v>172</v>
      </c>
      <c r="E288" s="5" t="s">
        <v>18453</v>
      </c>
      <c r="F288" s="5" t="s">
        <v>1656</v>
      </c>
      <c r="G288" s="5"/>
      <c r="H288" s="5"/>
      <c r="I288" s="5"/>
      <c r="J288" s="5"/>
      <c r="K288" s="5"/>
      <c r="L288" s="5"/>
      <c r="M288" s="5"/>
      <c r="N288" s="5"/>
      <c r="O288" s="5"/>
      <c r="P288" s="5"/>
      <c r="Q288" s="5"/>
      <c r="AL288" s="7" t="str">
        <f>HYPERLINK("http://dx.doi.org/10.1007/s00442-003-1406-1","http://dx.doi.org/10.1007/s00442-003-1406-1")</f>
        <v>http://dx.doi.org/10.1007/s00442-003-1406-1</v>
      </c>
      <c r="AM288" s="5">
        <v>21</v>
      </c>
      <c r="AN288" s="5">
        <v>21</v>
      </c>
      <c r="AO288" s="5">
        <v>138</v>
      </c>
      <c r="AP288" s="5">
        <v>1</v>
      </c>
      <c r="AQ288" s="5">
        <v>74</v>
      </c>
      <c r="AR288" s="5">
        <v>82</v>
      </c>
      <c r="AS288" s="5" t="s">
        <v>16</v>
      </c>
      <c r="AT288" s="5" t="s">
        <v>1654</v>
      </c>
      <c r="AU288" s="5" t="s">
        <v>1655</v>
      </c>
      <c r="AV288" s="5" t="s">
        <v>1657</v>
      </c>
    </row>
    <row r="289" spans="1:48" ht="45" customHeight="1" x14ac:dyDescent="0.15">
      <c r="A289" s="5" t="s">
        <v>1658</v>
      </c>
      <c r="B289" s="5">
        <v>2011</v>
      </c>
      <c r="C289" s="5" t="s">
        <v>1659</v>
      </c>
      <c r="D289" s="5" t="s">
        <v>1660</v>
      </c>
      <c r="E289" s="5" t="s">
        <v>18453</v>
      </c>
      <c r="F289" s="5" t="s">
        <v>1662</v>
      </c>
      <c r="G289" s="5"/>
      <c r="H289" s="5"/>
      <c r="I289" s="5"/>
      <c r="J289" s="5"/>
      <c r="K289" s="5"/>
      <c r="L289" s="5"/>
      <c r="M289" s="5"/>
      <c r="N289" s="5"/>
      <c r="O289" s="5"/>
      <c r="P289" s="5"/>
      <c r="Q289" s="5"/>
      <c r="AL289" s="7" t="str">
        <f>HYPERLINK("http://dx.doi.org/10.1890/100001","http://dx.doi.org/10.1890/100001")</f>
        <v>http://dx.doi.org/10.1890/100001</v>
      </c>
      <c r="AM289" s="5">
        <v>171</v>
      </c>
      <c r="AN289" s="5">
        <v>181</v>
      </c>
      <c r="AO289" s="5">
        <v>9</v>
      </c>
      <c r="AP289" s="5">
        <v>1</v>
      </c>
      <c r="AQ289" s="5">
        <v>61</v>
      </c>
      <c r="AR289" s="5">
        <v>67</v>
      </c>
      <c r="AS289" s="5" t="s">
        <v>16</v>
      </c>
      <c r="AT289" s="5" t="s">
        <v>16</v>
      </c>
      <c r="AU289" s="5" t="s">
        <v>1661</v>
      </c>
      <c r="AV289" s="5" t="s">
        <v>1663</v>
      </c>
    </row>
    <row r="290" spans="1:48" ht="45" customHeight="1" x14ac:dyDescent="0.15">
      <c r="A290" s="5" t="s">
        <v>1664</v>
      </c>
      <c r="B290" s="5">
        <v>2011</v>
      </c>
      <c r="C290" s="5" t="s">
        <v>1665</v>
      </c>
      <c r="D290" s="5" t="s">
        <v>145</v>
      </c>
      <c r="E290" s="5" t="s">
        <v>18453</v>
      </c>
      <c r="F290" s="5" t="s">
        <v>1668</v>
      </c>
      <c r="G290" s="5"/>
      <c r="H290" s="5"/>
      <c r="I290" s="5"/>
      <c r="J290" s="5"/>
      <c r="K290" s="5"/>
      <c r="L290" s="5"/>
      <c r="M290" s="5"/>
      <c r="N290" s="5"/>
      <c r="O290" s="5"/>
      <c r="P290" s="5"/>
      <c r="Q290" s="5"/>
      <c r="AL290" s="7" t="str">
        <f>HYPERLINK("http://dx.doi.org/10.1007/s12080-010-0090-0","http://dx.doi.org/10.1007/s12080-010-0090-0")</f>
        <v>http://dx.doi.org/10.1007/s12080-010-0090-0</v>
      </c>
      <c r="AM290" s="5">
        <v>20</v>
      </c>
      <c r="AN290" s="5">
        <v>20</v>
      </c>
      <c r="AO290" s="5">
        <v>4</v>
      </c>
      <c r="AP290" s="5">
        <v>4</v>
      </c>
      <c r="AQ290" s="5">
        <v>479</v>
      </c>
      <c r="AR290" s="5">
        <v>494</v>
      </c>
      <c r="AS290" s="5" t="s">
        <v>16</v>
      </c>
      <c r="AT290" s="5" t="s">
        <v>1666</v>
      </c>
      <c r="AU290" s="5" t="s">
        <v>1667</v>
      </c>
      <c r="AV290" s="5" t="s">
        <v>1669</v>
      </c>
    </row>
    <row r="291" spans="1:48" ht="45" customHeight="1" x14ac:dyDescent="0.15">
      <c r="A291" s="5" t="s">
        <v>1670</v>
      </c>
      <c r="B291" s="5">
        <v>2008</v>
      </c>
      <c r="C291" s="5" t="s">
        <v>1671</v>
      </c>
      <c r="D291" s="5" t="s">
        <v>49</v>
      </c>
      <c r="E291" s="5" t="s">
        <v>18453</v>
      </c>
      <c r="F291" s="5" t="s">
        <v>1674</v>
      </c>
      <c r="G291" s="5"/>
      <c r="H291" s="5"/>
      <c r="I291" s="5"/>
      <c r="J291" s="5"/>
      <c r="K291" s="5"/>
      <c r="L291" s="5"/>
      <c r="M291" s="5"/>
      <c r="N291" s="5"/>
      <c r="O291" s="5"/>
      <c r="P291" s="5"/>
      <c r="Q291" s="5"/>
      <c r="AL291" s="7" t="str">
        <f>HYPERLINK("http://dx.doi.org/10.3354/meps07477","http://dx.doi.org/10.3354/meps07477")</f>
        <v>http://dx.doi.org/10.3354/meps07477</v>
      </c>
      <c r="AM291" s="5">
        <v>34</v>
      </c>
      <c r="AN291" s="5">
        <v>35</v>
      </c>
      <c r="AO291" s="5">
        <v>363</v>
      </c>
      <c r="AP291" s="5" t="s">
        <v>16</v>
      </c>
      <c r="AQ291" s="5">
        <v>287</v>
      </c>
      <c r="AR291" s="5">
        <v>298</v>
      </c>
      <c r="AS291" s="5" t="s">
        <v>16</v>
      </c>
      <c r="AT291" s="5" t="s">
        <v>1672</v>
      </c>
      <c r="AU291" s="5" t="s">
        <v>1673</v>
      </c>
      <c r="AV291" s="5" t="s">
        <v>1675</v>
      </c>
    </row>
    <row r="292" spans="1:48" ht="45" customHeight="1" x14ac:dyDescent="0.15">
      <c r="A292" s="5" t="s">
        <v>1676</v>
      </c>
      <c r="B292" s="5">
        <v>2009</v>
      </c>
      <c r="C292" s="5" t="s">
        <v>1677</v>
      </c>
      <c r="D292" s="5" t="s">
        <v>262</v>
      </c>
      <c r="E292" s="5" t="s">
        <v>18453</v>
      </c>
      <c r="F292" s="5" t="s">
        <v>1679</v>
      </c>
      <c r="G292" s="5"/>
      <c r="H292" s="5"/>
      <c r="I292" s="5"/>
      <c r="J292" s="5"/>
      <c r="K292" s="5"/>
      <c r="L292" s="5"/>
      <c r="M292" s="5"/>
      <c r="N292" s="5"/>
      <c r="O292" s="5"/>
      <c r="P292" s="5"/>
      <c r="Q292" s="5"/>
      <c r="AL292" s="7" t="str">
        <f>HYPERLINK("http://dx.doi.org/10.1111/j.1600-0706.2008.17171.x","http://dx.doi.org/10.1111/j.1600-0706.2008.17171.x")</f>
        <v>http://dx.doi.org/10.1111/j.1600-0706.2008.17171.x</v>
      </c>
      <c r="AM292" s="5">
        <v>42</v>
      </c>
      <c r="AN292" s="5">
        <v>45</v>
      </c>
      <c r="AO292" s="5">
        <v>118</v>
      </c>
      <c r="AP292" s="5">
        <v>1</v>
      </c>
      <c r="AQ292" s="5">
        <v>138</v>
      </c>
      <c r="AR292" s="5">
        <v>144</v>
      </c>
      <c r="AS292" s="5" t="s">
        <v>16</v>
      </c>
      <c r="AT292" s="5" t="s">
        <v>16</v>
      </c>
      <c r="AU292" s="5" t="s">
        <v>1678</v>
      </c>
      <c r="AV292" s="5" t="s">
        <v>1680</v>
      </c>
    </row>
    <row r="293" spans="1:48" ht="45" customHeight="1" x14ac:dyDescent="0.15">
      <c r="A293" s="5" t="s">
        <v>1681</v>
      </c>
      <c r="B293" s="5">
        <v>2017</v>
      </c>
      <c r="C293" s="5" t="s">
        <v>1682</v>
      </c>
      <c r="D293" s="5" t="s">
        <v>82</v>
      </c>
      <c r="E293" s="5" t="s">
        <v>18453</v>
      </c>
      <c r="F293" s="5" t="s">
        <v>1685</v>
      </c>
      <c r="G293" s="5"/>
      <c r="H293" s="5"/>
      <c r="I293" s="5"/>
      <c r="J293" s="5"/>
      <c r="K293" s="5"/>
      <c r="L293" s="5"/>
      <c r="M293" s="5"/>
      <c r="N293" s="5"/>
      <c r="O293" s="5"/>
      <c r="P293" s="5"/>
      <c r="Q293" s="5"/>
      <c r="AL293" s="7" t="str">
        <f>HYPERLINK("http://dx.doi.org/10.1002/eap.1487","http://dx.doi.org/10.1002/eap.1487")</f>
        <v>http://dx.doi.org/10.1002/eap.1487</v>
      </c>
      <c r="AM293" s="5">
        <v>83</v>
      </c>
      <c r="AN293" s="5">
        <v>84</v>
      </c>
      <c r="AO293" s="5">
        <v>27</v>
      </c>
      <c r="AP293" s="5">
        <v>3</v>
      </c>
      <c r="AQ293" s="5">
        <v>833</v>
      </c>
      <c r="AR293" s="5">
        <v>844</v>
      </c>
      <c r="AS293" s="5" t="s">
        <v>16</v>
      </c>
      <c r="AT293" s="5" t="s">
        <v>1683</v>
      </c>
      <c r="AU293" s="5" t="s">
        <v>1684</v>
      </c>
      <c r="AV293" s="5" t="s">
        <v>1686</v>
      </c>
    </row>
    <row r="294" spans="1:48" ht="45" customHeight="1" x14ac:dyDescent="0.15">
      <c r="A294" s="5" t="s">
        <v>1687</v>
      </c>
      <c r="B294" s="5">
        <v>2016</v>
      </c>
      <c r="C294" s="5" t="s">
        <v>1688</v>
      </c>
      <c r="D294" s="5" t="s">
        <v>77</v>
      </c>
      <c r="E294" s="5" t="s">
        <v>18453</v>
      </c>
      <c r="F294" s="5" t="s">
        <v>1691</v>
      </c>
      <c r="G294" s="5"/>
      <c r="H294" s="5"/>
      <c r="I294" s="5"/>
      <c r="J294" s="5"/>
      <c r="K294" s="5"/>
      <c r="L294" s="5"/>
      <c r="M294" s="5"/>
      <c r="N294" s="5"/>
      <c r="O294" s="5"/>
      <c r="P294" s="5"/>
      <c r="Q294" s="5"/>
      <c r="AL294" s="7" t="str">
        <f>HYPERLINK("http://dx.doi.org/10.1111/1365-2656.12504","http://dx.doi.org/10.1111/1365-2656.12504")</f>
        <v>http://dx.doi.org/10.1111/1365-2656.12504</v>
      </c>
      <c r="AM294" s="5">
        <v>29</v>
      </c>
      <c r="AN294" s="5">
        <v>30</v>
      </c>
      <c r="AO294" s="5">
        <v>85</v>
      </c>
      <c r="AP294" s="5">
        <v>3</v>
      </c>
      <c r="AQ294" s="5">
        <v>681</v>
      </c>
      <c r="AR294" s="5">
        <v>691</v>
      </c>
      <c r="AS294" s="5" t="s">
        <v>16</v>
      </c>
      <c r="AT294" s="5" t="s">
        <v>1689</v>
      </c>
      <c r="AU294" s="5" t="s">
        <v>1690</v>
      </c>
      <c r="AV294" s="5" t="s">
        <v>1692</v>
      </c>
    </row>
    <row r="295" spans="1:48" ht="45" customHeight="1" x14ac:dyDescent="0.15">
      <c r="A295" s="5" t="s">
        <v>1693</v>
      </c>
      <c r="B295" s="5">
        <v>2019</v>
      </c>
      <c r="C295" s="5" t="s">
        <v>1694</v>
      </c>
      <c r="D295" s="5" t="s">
        <v>49</v>
      </c>
      <c r="E295" s="5" t="s">
        <v>18453</v>
      </c>
      <c r="F295" s="5" t="s">
        <v>1697</v>
      </c>
      <c r="G295" s="5"/>
      <c r="H295" s="5"/>
      <c r="I295" s="5"/>
      <c r="J295" s="5"/>
      <c r="K295" s="5"/>
      <c r="L295" s="5"/>
      <c r="M295" s="5"/>
      <c r="N295" s="5"/>
      <c r="O295" s="5"/>
      <c r="P295" s="5"/>
      <c r="Q295" s="5"/>
      <c r="AL295" s="7" t="str">
        <f>HYPERLINK("http://dx.doi.org/10.3354/meps12933","http://dx.doi.org/10.3354/meps12933")</f>
        <v>http://dx.doi.org/10.3354/meps12933</v>
      </c>
      <c r="AM295" s="5">
        <v>10</v>
      </c>
      <c r="AN295" s="5">
        <v>10</v>
      </c>
      <c r="AO295" s="5">
        <v>619</v>
      </c>
      <c r="AP295" s="5" t="s">
        <v>16</v>
      </c>
      <c r="AQ295" s="5">
        <v>187</v>
      </c>
      <c r="AR295" s="5">
        <v>199</v>
      </c>
      <c r="AS295" s="5" t="s">
        <v>16</v>
      </c>
      <c r="AT295" s="5" t="s">
        <v>1695</v>
      </c>
      <c r="AU295" s="5" t="s">
        <v>1696</v>
      </c>
      <c r="AV295" s="5" t="s">
        <v>1698</v>
      </c>
    </row>
    <row r="296" spans="1:48" ht="45" customHeight="1" x14ac:dyDescent="0.15">
      <c r="A296" s="5" t="s">
        <v>1699</v>
      </c>
      <c r="B296" s="5">
        <v>2019</v>
      </c>
      <c r="C296" s="5" t="s">
        <v>1700</v>
      </c>
      <c r="D296" s="5" t="s">
        <v>44</v>
      </c>
      <c r="E296" s="5" t="s">
        <v>18453</v>
      </c>
      <c r="F296" s="5" t="s">
        <v>1703</v>
      </c>
      <c r="G296" s="5"/>
      <c r="H296" s="5"/>
      <c r="I296" s="5"/>
      <c r="J296" s="5"/>
      <c r="K296" s="5"/>
      <c r="L296" s="5"/>
      <c r="M296" s="5"/>
      <c r="N296" s="5"/>
      <c r="O296" s="5"/>
      <c r="P296" s="5"/>
      <c r="Q296" s="5"/>
      <c r="AL296" s="7" t="str">
        <f>HYPERLINK("http://dx.doi.org/10.3389/fevo.2019.00355","http://dx.doi.org/10.3389/fevo.2019.00355")</f>
        <v>http://dx.doi.org/10.3389/fevo.2019.00355</v>
      </c>
      <c r="AM296" s="5">
        <v>20</v>
      </c>
      <c r="AN296" s="5">
        <v>21</v>
      </c>
      <c r="AO296" s="5">
        <v>7</v>
      </c>
      <c r="AP296" s="5" t="s">
        <v>16</v>
      </c>
      <c r="AQ296" s="5" t="s">
        <v>16</v>
      </c>
      <c r="AR296" s="5" t="s">
        <v>16</v>
      </c>
      <c r="AS296" s="5">
        <v>355</v>
      </c>
      <c r="AT296" s="5" t="s">
        <v>1701</v>
      </c>
      <c r="AU296" s="5" t="s">
        <v>1702</v>
      </c>
      <c r="AV296" s="5" t="s">
        <v>1704</v>
      </c>
    </row>
    <row r="297" spans="1:48" ht="45" customHeight="1" x14ac:dyDescent="0.15">
      <c r="A297" s="5" t="s">
        <v>1705</v>
      </c>
      <c r="B297" s="5">
        <v>2020</v>
      </c>
      <c r="C297" s="5" t="s">
        <v>1706</v>
      </c>
      <c r="D297" s="5" t="s">
        <v>49</v>
      </c>
      <c r="E297" s="5" t="s">
        <v>18453</v>
      </c>
      <c r="F297" s="5" t="s">
        <v>1709</v>
      </c>
      <c r="G297" s="5"/>
      <c r="H297" s="5"/>
      <c r="I297" s="5"/>
      <c r="J297" s="5"/>
      <c r="K297" s="5"/>
      <c r="L297" s="5"/>
      <c r="M297" s="5"/>
      <c r="N297" s="5"/>
      <c r="O297" s="5"/>
      <c r="P297" s="5"/>
      <c r="Q297" s="5"/>
      <c r="AL297" s="7" t="str">
        <f>HYPERLINK("http://dx.doi.org/10.3354/meps13374","http://dx.doi.org/10.3354/meps13374")</f>
        <v>http://dx.doi.org/10.3354/meps13374</v>
      </c>
      <c r="AM297" s="5">
        <v>5</v>
      </c>
      <c r="AN297" s="5">
        <v>6</v>
      </c>
      <c r="AO297" s="5">
        <v>650</v>
      </c>
      <c r="AP297" s="5" t="s">
        <v>16</v>
      </c>
      <c r="AQ297" s="5">
        <v>253</v>
      </c>
      <c r="AR297" s="5">
        <v>267</v>
      </c>
      <c r="AS297" s="5" t="s">
        <v>16</v>
      </c>
      <c r="AT297" s="5" t="s">
        <v>1707</v>
      </c>
      <c r="AU297" s="5" t="s">
        <v>1708</v>
      </c>
      <c r="AV297" s="5" t="s">
        <v>1710</v>
      </c>
    </row>
    <row r="298" spans="1:48" ht="45" customHeight="1" x14ac:dyDescent="0.15">
      <c r="A298" s="5" t="s">
        <v>1711</v>
      </c>
      <c r="B298" s="5">
        <v>2023</v>
      </c>
      <c r="C298" s="5" t="s">
        <v>1712</v>
      </c>
      <c r="D298" s="5" t="s">
        <v>1084</v>
      </c>
      <c r="E298" s="5" t="s">
        <v>18453</v>
      </c>
      <c r="F298" s="5" t="s">
        <v>1715</v>
      </c>
      <c r="G298" s="5"/>
      <c r="H298" s="5"/>
      <c r="I298" s="5"/>
      <c r="J298" s="5"/>
      <c r="K298" s="5"/>
      <c r="L298" s="5"/>
      <c r="M298" s="5"/>
      <c r="N298" s="5"/>
      <c r="O298" s="5"/>
      <c r="P298" s="5"/>
      <c r="Q298" s="5"/>
      <c r="AL298" s="7" t="str">
        <f>HYPERLINK("http://dx.doi.org/10.1016/j.jnc.2023.126408","http://dx.doi.org/10.1016/j.jnc.2023.126408")</f>
        <v>http://dx.doi.org/10.1016/j.jnc.2023.126408</v>
      </c>
      <c r="AM298" s="5">
        <v>0</v>
      </c>
      <c r="AN298" s="5">
        <v>0</v>
      </c>
      <c r="AO298" s="5">
        <v>73</v>
      </c>
      <c r="AP298" s="5" t="s">
        <v>16</v>
      </c>
      <c r="AQ298" s="5" t="s">
        <v>16</v>
      </c>
      <c r="AR298" s="5" t="s">
        <v>16</v>
      </c>
      <c r="AS298" s="5">
        <v>126408</v>
      </c>
      <c r="AT298" s="5" t="s">
        <v>1713</v>
      </c>
      <c r="AU298" s="5" t="s">
        <v>1714</v>
      </c>
      <c r="AV298" s="5" t="s">
        <v>1716</v>
      </c>
    </row>
    <row r="299" spans="1:48" ht="45" customHeight="1" x14ac:dyDescent="0.15">
      <c r="A299" s="5" t="s">
        <v>1717</v>
      </c>
      <c r="B299" s="5">
        <v>2020</v>
      </c>
      <c r="C299" s="5" t="s">
        <v>1718</v>
      </c>
      <c r="D299" s="5" t="s">
        <v>49</v>
      </c>
      <c r="E299" s="5" t="s">
        <v>18453</v>
      </c>
      <c r="F299" s="5" t="s">
        <v>1721</v>
      </c>
      <c r="G299" s="5"/>
      <c r="H299" s="5"/>
      <c r="I299" s="5"/>
      <c r="J299" s="5"/>
      <c r="K299" s="5"/>
      <c r="L299" s="5"/>
      <c r="M299" s="5"/>
      <c r="N299" s="5"/>
      <c r="O299" s="5"/>
      <c r="P299" s="5"/>
      <c r="Q299" s="5"/>
      <c r="AL299" s="7" t="str">
        <f>HYPERLINK("http://dx.doi.org/10.3354/meps13166","http://dx.doi.org/10.3354/meps13166")</f>
        <v>http://dx.doi.org/10.3354/meps13166</v>
      </c>
      <c r="AM299" s="5">
        <v>10</v>
      </c>
      <c r="AN299" s="5">
        <v>10</v>
      </c>
      <c r="AO299" s="5">
        <v>633</v>
      </c>
      <c r="AP299" s="5" t="s">
        <v>16</v>
      </c>
      <c r="AQ299" s="5">
        <v>127</v>
      </c>
      <c r="AR299" s="5">
        <v>140</v>
      </c>
      <c r="AS299" s="5" t="s">
        <v>16</v>
      </c>
      <c r="AT299" s="5" t="s">
        <v>1719</v>
      </c>
      <c r="AU299" s="5" t="s">
        <v>1720</v>
      </c>
      <c r="AV299" s="5" t="s">
        <v>1722</v>
      </c>
    </row>
    <row r="300" spans="1:48" ht="45" customHeight="1" x14ac:dyDescent="0.15">
      <c r="A300" s="5" t="s">
        <v>1723</v>
      </c>
      <c r="B300" s="5">
        <v>2022</v>
      </c>
      <c r="C300" s="5" t="s">
        <v>1724</v>
      </c>
      <c r="D300" s="5" t="s">
        <v>1725</v>
      </c>
      <c r="E300" s="5" t="s">
        <v>18453</v>
      </c>
      <c r="F300" s="5" t="s">
        <v>1728</v>
      </c>
      <c r="G300" s="5"/>
      <c r="H300" s="5"/>
      <c r="I300" s="5"/>
      <c r="J300" s="5"/>
      <c r="K300" s="5"/>
      <c r="L300" s="5"/>
      <c r="M300" s="5"/>
      <c r="N300" s="5"/>
      <c r="O300" s="5"/>
      <c r="P300" s="5"/>
      <c r="Q300" s="5"/>
      <c r="AL300" s="7" t="str">
        <f>HYPERLINK("http://dx.doi.org/10.1111/mam.12300","http://dx.doi.org/10.1111/mam.12300")</f>
        <v>http://dx.doi.org/10.1111/mam.12300</v>
      </c>
      <c r="AM300" s="5">
        <v>2</v>
      </c>
      <c r="AN300" s="5">
        <v>2</v>
      </c>
      <c r="AO300" s="5">
        <v>52</v>
      </c>
      <c r="AP300" s="5">
        <v>4</v>
      </c>
      <c r="AQ300" s="5">
        <v>471</v>
      </c>
      <c r="AR300" s="5">
        <v>479</v>
      </c>
      <c r="AS300" s="5" t="s">
        <v>16</v>
      </c>
      <c r="AT300" s="5" t="s">
        <v>1726</v>
      </c>
      <c r="AU300" s="5" t="s">
        <v>1727</v>
      </c>
      <c r="AV300" s="5" t="s">
        <v>1729</v>
      </c>
    </row>
    <row r="301" spans="1:48" ht="45" customHeight="1" x14ac:dyDescent="0.15">
      <c r="A301" s="5" t="s">
        <v>1730</v>
      </c>
      <c r="B301" s="5">
        <v>2018</v>
      </c>
      <c r="C301" s="5" t="s">
        <v>1731</v>
      </c>
      <c r="D301" s="5" t="s">
        <v>92</v>
      </c>
      <c r="E301" s="5" t="s">
        <v>18453</v>
      </c>
      <c r="F301" s="5" t="s">
        <v>1734</v>
      </c>
      <c r="G301" s="5"/>
      <c r="H301" s="5"/>
      <c r="I301" s="5"/>
      <c r="J301" s="5"/>
      <c r="K301" s="5"/>
      <c r="L301" s="5"/>
      <c r="M301" s="5"/>
      <c r="N301" s="5"/>
      <c r="O301" s="5"/>
      <c r="P301" s="5"/>
      <c r="Q301" s="5"/>
      <c r="AL301" s="7" t="str">
        <f>HYPERLINK("http://dx.doi.org/10.1086/696126","http://dx.doi.org/10.1086/696126")</f>
        <v>http://dx.doi.org/10.1086/696126</v>
      </c>
      <c r="AM301" s="5">
        <v>1</v>
      </c>
      <c r="AN301" s="5">
        <v>1</v>
      </c>
      <c r="AO301" s="5">
        <v>37</v>
      </c>
      <c r="AP301" s="5">
        <v>1</v>
      </c>
      <c r="AQ301" s="5">
        <v>23</v>
      </c>
      <c r="AR301" s="5">
        <v>30</v>
      </c>
      <c r="AS301" s="5" t="s">
        <v>16</v>
      </c>
      <c r="AT301" s="5" t="s">
        <v>1732</v>
      </c>
      <c r="AU301" s="5" t="s">
        <v>1733</v>
      </c>
      <c r="AV301" s="5" t="s">
        <v>1735</v>
      </c>
    </row>
    <row r="302" spans="1:48" ht="45" customHeight="1" x14ac:dyDescent="0.15">
      <c r="A302" s="5" t="s">
        <v>1736</v>
      </c>
      <c r="B302" s="5">
        <v>2011</v>
      </c>
      <c r="C302" s="5" t="s">
        <v>1737</v>
      </c>
      <c r="D302" s="5" t="s">
        <v>295</v>
      </c>
      <c r="E302" s="5" t="s">
        <v>18453</v>
      </c>
      <c r="F302" s="5" t="s">
        <v>1740</v>
      </c>
      <c r="G302" s="5"/>
      <c r="H302" s="5"/>
      <c r="I302" s="5"/>
      <c r="J302" s="5"/>
      <c r="K302" s="5"/>
      <c r="L302" s="5"/>
      <c r="M302" s="5"/>
      <c r="N302" s="5"/>
      <c r="O302" s="5"/>
      <c r="P302" s="5"/>
      <c r="Q302" s="5"/>
      <c r="AL302" s="7" t="str">
        <f>HYPERLINK("http://dx.doi.org/10.1016/j.jembe.2011.06.010","http://dx.doi.org/10.1016/j.jembe.2011.06.010")</f>
        <v>http://dx.doi.org/10.1016/j.jembe.2011.06.010</v>
      </c>
      <c r="AM302" s="5">
        <v>27</v>
      </c>
      <c r="AN302" s="5">
        <v>29</v>
      </c>
      <c r="AO302" s="5">
        <v>406</v>
      </c>
      <c r="AP302" s="5" t="s">
        <v>778</v>
      </c>
      <c r="AQ302" s="5">
        <v>21</v>
      </c>
      <c r="AR302" s="5">
        <v>28</v>
      </c>
      <c r="AS302" s="5" t="s">
        <v>16</v>
      </c>
      <c r="AT302" s="5" t="s">
        <v>1738</v>
      </c>
      <c r="AU302" s="5" t="s">
        <v>1739</v>
      </c>
      <c r="AV302" s="5" t="s">
        <v>1741</v>
      </c>
    </row>
    <row r="303" spans="1:48" ht="45" customHeight="1" x14ac:dyDescent="0.15">
      <c r="A303" s="5" t="s">
        <v>1742</v>
      </c>
      <c r="B303" s="5">
        <v>2022</v>
      </c>
      <c r="C303" s="5" t="s">
        <v>1743</v>
      </c>
      <c r="D303" s="5" t="s">
        <v>18</v>
      </c>
      <c r="E303" s="5" t="s">
        <v>18453</v>
      </c>
      <c r="F303" s="5" t="s">
        <v>1746</v>
      </c>
      <c r="G303" s="5"/>
      <c r="H303" s="5"/>
      <c r="I303" s="5"/>
      <c r="J303" s="5"/>
      <c r="K303" s="5"/>
      <c r="L303" s="5"/>
      <c r="M303" s="5"/>
      <c r="N303" s="5"/>
      <c r="O303" s="5"/>
      <c r="P303" s="5"/>
      <c r="Q303" s="5"/>
      <c r="AL303" s="7" t="str">
        <f>HYPERLINK("http://dx.doi.org/10.1002/ecs2.4303","http://dx.doi.org/10.1002/ecs2.4303")</f>
        <v>http://dx.doi.org/10.1002/ecs2.4303</v>
      </c>
      <c r="AM303" s="5">
        <v>1</v>
      </c>
      <c r="AN303" s="5">
        <v>1</v>
      </c>
      <c r="AO303" s="5">
        <v>13</v>
      </c>
      <c r="AP303" s="5">
        <v>12</v>
      </c>
      <c r="AQ303" s="5" t="s">
        <v>16</v>
      </c>
      <c r="AR303" s="5" t="s">
        <v>16</v>
      </c>
      <c r="AS303" s="5" t="s">
        <v>1747</v>
      </c>
      <c r="AT303" s="5" t="s">
        <v>1744</v>
      </c>
      <c r="AU303" s="5" t="s">
        <v>1745</v>
      </c>
      <c r="AV303" s="5" t="s">
        <v>1748</v>
      </c>
    </row>
    <row r="304" spans="1:48" ht="45" customHeight="1" x14ac:dyDescent="0.15">
      <c r="A304" s="5" t="s">
        <v>1749</v>
      </c>
      <c r="B304" s="5">
        <v>2023</v>
      </c>
      <c r="C304" s="5" t="s">
        <v>1750</v>
      </c>
      <c r="D304" s="5" t="s">
        <v>18</v>
      </c>
      <c r="E304" s="5" t="s">
        <v>18453</v>
      </c>
      <c r="F304" s="5" t="s">
        <v>1753</v>
      </c>
      <c r="G304" s="5"/>
      <c r="H304" s="5"/>
      <c r="I304" s="5"/>
      <c r="J304" s="5"/>
      <c r="K304" s="5"/>
      <c r="L304" s="5"/>
      <c r="M304" s="5"/>
      <c r="N304" s="5"/>
      <c r="O304" s="5"/>
      <c r="P304" s="5"/>
      <c r="Q304" s="5"/>
      <c r="AL304" s="7" t="str">
        <f>HYPERLINK("http://dx.doi.org/10.1002/ecs2.4480","http://dx.doi.org/10.1002/ecs2.4480")</f>
        <v>http://dx.doi.org/10.1002/ecs2.4480</v>
      </c>
      <c r="AM304" s="5">
        <v>0</v>
      </c>
      <c r="AN304" s="5">
        <v>0</v>
      </c>
      <c r="AO304" s="5">
        <v>14</v>
      </c>
      <c r="AP304" s="5">
        <v>3</v>
      </c>
      <c r="AQ304" s="5" t="s">
        <v>16</v>
      </c>
      <c r="AR304" s="5" t="s">
        <v>16</v>
      </c>
      <c r="AS304" s="5" t="s">
        <v>1754</v>
      </c>
      <c r="AT304" s="5" t="s">
        <v>1751</v>
      </c>
      <c r="AU304" s="5" t="s">
        <v>1752</v>
      </c>
      <c r="AV304" s="5" t="s">
        <v>1755</v>
      </c>
    </row>
    <row r="305" spans="1:48" ht="45" customHeight="1" x14ac:dyDescent="0.15">
      <c r="A305" s="5" t="s">
        <v>1756</v>
      </c>
      <c r="B305" s="5">
        <v>2019</v>
      </c>
      <c r="C305" s="5" t="s">
        <v>1757</v>
      </c>
      <c r="D305" s="5" t="s">
        <v>1758</v>
      </c>
      <c r="E305" s="5" t="s">
        <v>18453</v>
      </c>
      <c r="F305" s="5" t="s">
        <v>1761</v>
      </c>
      <c r="G305" s="5"/>
      <c r="H305" s="5"/>
      <c r="I305" s="5"/>
      <c r="J305" s="5"/>
      <c r="K305" s="5"/>
      <c r="L305" s="5"/>
      <c r="M305" s="5"/>
      <c r="N305" s="5"/>
      <c r="O305" s="5"/>
      <c r="P305" s="5"/>
      <c r="Q305" s="5"/>
      <c r="AL305" s="7" t="str">
        <f>HYPERLINK("http://dx.doi.org/10.1007/s13157-018-1119-1","http://dx.doi.org/10.1007/s13157-018-1119-1")</f>
        <v>http://dx.doi.org/10.1007/s13157-018-1119-1</v>
      </c>
      <c r="AM305" s="5">
        <v>0</v>
      </c>
      <c r="AN305" s="5">
        <v>0</v>
      </c>
      <c r="AO305" s="5">
        <v>39</v>
      </c>
      <c r="AP305" s="5">
        <v>2</v>
      </c>
      <c r="AQ305" s="5">
        <v>361</v>
      </c>
      <c r="AR305" s="5">
        <v>370</v>
      </c>
      <c r="AS305" s="5" t="s">
        <v>16</v>
      </c>
      <c r="AT305" s="5" t="s">
        <v>1759</v>
      </c>
      <c r="AU305" s="5" t="s">
        <v>1760</v>
      </c>
      <c r="AV305" s="5" t="s">
        <v>1762</v>
      </c>
    </row>
    <row r="306" spans="1:48" ht="45" customHeight="1" x14ac:dyDescent="0.15">
      <c r="A306" s="5" t="s">
        <v>1763</v>
      </c>
      <c r="B306" s="5">
        <v>2020</v>
      </c>
      <c r="C306" s="5" t="s">
        <v>1764</v>
      </c>
      <c r="D306" s="5" t="s">
        <v>1765</v>
      </c>
      <c r="E306" s="5" t="s">
        <v>18453</v>
      </c>
      <c r="F306" s="5" t="s">
        <v>1768</v>
      </c>
      <c r="G306" s="5"/>
      <c r="H306" s="5"/>
      <c r="I306" s="5"/>
      <c r="J306" s="5"/>
      <c r="K306" s="5"/>
      <c r="L306" s="5"/>
      <c r="M306" s="5"/>
      <c r="N306" s="5"/>
      <c r="O306" s="5"/>
      <c r="P306" s="5"/>
      <c r="Q306" s="5"/>
      <c r="AL306" s="7" t="str">
        <f>HYPERLINK("http://dx.doi.org/10.1016/j.agee.2019.106790","http://dx.doi.org/10.1016/j.agee.2019.106790")</f>
        <v>http://dx.doi.org/10.1016/j.agee.2019.106790</v>
      </c>
      <c r="AM306" s="5">
        <v>44</v>
      </c>
      <c r="AN306" s="5">
        <v>46</v>
      </c>
      <c r="AO306" s="5">
        <v>291</v>
      </c>
      <c r="AP306" s="5" t="s">
        <v>16</v>
      </c>
      <c r="AQ306" s="5" t="s">
        <v>16</v>
      </c>
      <c r="AR306" s="5" t="s">
        <v>16</v>
      </c>
      <c r="AS306" s="5">
        <v>106790</v>
      </c>
      <c r="AT306" s="5" t="s">
        <v>1766</v>
      </c>
      <c r="AU306" s="5" t="s">
        <v>1767</v>
      </c>
      <c r="AV306" s="5" t="s">
        <v>1769</v>
      </c>
    </row>
    <row r="307" spans="1:48" ht="45" customHeight="1" x14ac:dyDescent="0.15">
      <c r="A307" s="5" t="s">
        <v>1770</v>
      </c>
      <c r="B307" s="5">
        <v>2009</v>
      </c>
      <c r="C307" s="5" t="s">
        <v>1771</v>
      </c>
      <c r="D307" s="5" t="s">
        <v>249</v>
      </c>
      <c r="E307" s="5" t="s">
        <v>18453</v>
      </c>
      <c r="F307" s="5" t="s">
        <v>1774</v>
      </c>
      <c r="G307" s="5"/>
      <c r="H307" s="5"/>
      <c r="I307" s="5"/>
      <c r="J307" s="5"/>
      <c r="K307" s="5"/>
      <c r="L307" s="5"/>
      <c r="M307" s="5"/>
      <c r="N307" s="5"/>
      <c r="O307" s="5"/>
      <c r="P307" s="5"/>
      <c r="Q307" s="5"/>
      <c r="AL307" s="7" t="str">
        <f>HYPERLINK("http://dx.doi.org/10.1016/j.jaridenv.2008.12.003","http://dx.doi.org/10.1016/j.jaridenv.2008.12.003")</f>
        <v>http://dx.doi.org/10.1016/j.jaridenv.2008.12.003</v>
      </c>
      <c r="AM307" s="5">
        <v>11</v>
      </c>
      <c r="AN307" s="5">
        <v>11</v>
      </c>
      <c r="AO307" s="5">
        <v>73</v>
      </c>
      <c r="AP307" s="5" t="s">
        <v>1775</v>
      </c>
      <c r="AQ307" s="5">
        <v>449</v>
      </c>
      <c r="AR307" s="5">
        <v>457</v>
      </c>
      <c r="AS307" s="5" t="s">
        <v>16</v>
      </c>
      <c r="AT307" s="5" t="s">
        <v>1772</v>
      </c>
      <c r="AU307" s="5" t="s">
        <v>1773</v>
      </c>
      <c r="AV307" s="5" t="s">
        <v>1776</v>
      </c>
    </row>
    <row r="308" spans="1:48" ht="45" customHeight="1" x14ac:dyDescent="0.15">
      <c r="A308" s="5" t="s">
        <v>1777</v>
      </c>
      <c r="B308" s="5">
        <v>2017</v>
      </c>
      <c r="C308" s="5" t="s">
        <v>1778</v>
      </c>
      <c r="D308" s="5" t="s">
        <v>49</v>
      </c>
      <c r="E308" s="5" t="s">
        <v>18453</v>
      </c>
      <c r="F308" s="5" t="s">
        <v>1781</v>
      </c>
      <c r="G308" s="5"/>
      <c r="H308" s="5"/>
      <c r="I308" s="5"/>
      <c r="J308" s="5"/>
      <c r="K308" s="5"/>
      <c r="L308" s="5"/>
      <c r="M308" s="5"/>
      <c r="N308" s="5"/>
      <c r="O308" s="5"/>
      <c r="P308" s="5"/>
      <c r="Q308" s="5"/>
      <c r="AL308" s="7" t="str">
        <f>HYPERLINK("http://dx.doi.org/10.3354/meps12166","http://dx.doi.org/10.3354/meps12166")</f>
        <v>http://dx.doi.org/10.3354/meps12166</v>
      </c>
      <c r="AM308" s="5">
        <v>16</v>
      </c>
      <c r="AN308" s="5">
        <v>16</v>
      </c>
      <c r="AO308" s="5">
        <v>575</v>
      </c>
      <c r="AP308" s="5" t="s">
        <v>16</v>
      </c>
      <c r="AQ308" s="5">
        <v>137</v>
      </c>
      <c r="AR308" s="5">
        <v>152</v>
      </c>
      <c r="AS308" s="5" t="s">
        <v>16</v>
      </c>
      <c r="AT308" s="5" t="s">
        <v>1779</v>
      </c>
      <c r="AU308" s="5" t="s">
        <v>1780</v>
      </c>
      <c r="AV308" s="5" t="s">
        <v>1782</v>
      </c>
    </row>
    <row r="309" spans="1:48" ht="45" customHeight="1" x14ac:dyDescent="0.15">
      <c r="A309" s="5" t="s">
        <v>1783</v>
      </c>
      <c r="B309" s="5">
        <v>2019</v>
      </c>
      <c r="C309" s="5" t="s">
        <v>1784</v>
      </c>
      <c r="D309" s="5" t="s">
        <v>1785</v>
      </c>
      <c r="E309" s="5" t="s">
        <v>18453</v>
      </c>
      <c r="F309" s="5" t="s">
        <v>1788</v>
      </c>
      <c r="G309" s="5"/>
      <c r="H309" s="5"/>
      <c r="I309" s="5"/>
      <c r="J309" s="5"/>
      <c r="K309" s="5"/>
      <c r="L309" s="5"/>
      <c r="M309" s="5"/>
      <c r="N309" s="5"/>
      <c r="O309" s="5"/>
      <c r="P309" s="5"/>
      <c r="Q309" s="5"/>
      <c r="AL309" s="7" t="str">
        <f>HYPERLINK("http://dx.doi.org/10.5751/ACE-01389-140203","http://dx.doi.org/10.5751/ACE-01389-140203")</f>
        <v>http://dx.doi.org/10.5751/ACE-01389-140203</v>
      </c>
      <c r="AM309" s="5">
        <v>5</v>
      </c>
      <c r="AN309" s="5">
        <v>5</v>
      </c>
      <c r="AO309" s="5">
        <v>14</v>
      </c>
      <c r="AP309" s="5">
        <v>2</v>
      </c>
      <c r="AQ309" s="5" t="s">
        <v>16</v>
      </c>
      <c r="AR309" s="5" t="s">
        <v>16</v>
      </c>
      <c r="AS309" s="5">
        <v>3</v>
      </c>
      <c r="AT309" s="5" t="s">
        <v>1786</v>
      </c>
      <c r="AU309" s="5" t="s">
        <v>1787</v>
      </c>
      <c r="AV309" s="5" t="s">
        <v>1789</v>
      </c>
    </row>
    <row r="310" spans="1:48" ht="45" customHeight="1" x14ac:dyDescent="0.15">
      <c r="A310" s="5" t="s">
        <v>1790</v>
      </c>
      <c r="B310" s="5">
        <v>2014</v>
      </c>
      <c r="C310" s="5" t="s">
        <v>1791</v>
      </c>
      <c r="D310" s="5" t="s">
        <v>17</v>
      </c>
      <c r="E310" s="5" t="s">
        <v>18453</v>
      </c>
      <c r="F310" s="5" t="s">
        <v>1794</v>
      </c>
      <c r="G310" s="5"/>
      <c r="H310" s="5"/>
      <c r="I310" s="5"/>
      <c r="J310" s="5"/>
      <c r="K310" s="5"/>
      <c r="L310" s="5"/>
      <c r="M310" s="5"/>
      <c r="N310" s="5"/>
      <c r="O310" s="5"/>
      <c r="P310" s="5"/>
      <c r="Q310" s="5"/>
      <c r="AL310" s="7" t="str">
        <f>HYPERLINK("http://dx.doi.org/10.1111/fwb.12358","http://dx.doi.org/10.1111/fwb.12358")</f>
        <v>http://dx.doi.org/10.1111/fwb.12358</v>
      </c>
      <c r="AM310" s="5">
        <v>36</v>
      </c>
      <c r="AN310" s="5">
        <v>36</v>
      </c>
      <c r="AO310" s="5">
        <v>59</v>
      </c>
      <c r="AP310" s="5">
        <v>7</v>
      </c>
      <c r="AQ310" s="5">
        <v>1462</v>
      </c>
      <c r="AR310" s="5">
        <v>1473</v>
      </c>
      <c r="AS310" s="5" t="s">
        <v>16</v>
      </c>
      <c r="AT310" s="5" t="s">
        <v>1792</v>
      </c>
      <c r="AU310" s="5" t="s">
        <v>1793</v>
      </c>
      <c r="AV310" s="5" t="s">
        <v>1795</v>
      </c>
    </row>
    <row r="311" spans="1:48" ht="45" customHeight="1" x14ac:dyDescent="0.15">
      <c r="A311" s="5" t="s">
        <v>1796</v>
      </c>
      <c r="B311" s="5">
        <v>2023</v>
      </c>
      <c r="C311" s="5" t="s">
        <v>1797</v>
      </c>
      <c r="D311" s="5" t="s">
        <v>172</v>
      </c>
      <c r="E311" s="5" t="s">
        <v>18453</v>
      </c>
      <c r="F311" s="5" t="s">
        <v>1800</v>
      </c>
      <c r="G311" s="5"/>
      <c r="H311" s="5"/>
      <c r="I311" s="5"/>
      <c r="J311" s="5"/>
      <c r="K311" s="5"/>
      <c r="L311" s="5"/>
      <c r="M311" s="5"/>
      <c r="N311" s="5"/>
      <c r="O311" s="5"/>
      <c r="P311" s="5"/>
      <c r="Q311" s="5"/>
      <c r="AL311" s="7" t="str">
        <f>HYPERLINK("http://dx.doi.org/10.1007/s00442-023-05337-6","http://dx.doi.org/10.1007/s00442-023-05337-6")</f>
        <v>http://dx.doi.org/10.1007/s00442-023-05337-6</v>
      </c>
      <c r="AM311" s="5">
        <v>0</v>
      </c>
      <c r="AN311" s="5">
        <v>0</v>
      </c>
      <c r="AO311" s="5">
        <v>201</v>
      </c>
      <c r="AP311" s="5">
        <v>3</v>
      </c>
      <c r="AQ311" s="5">
        <v>721</v>
      </c>
      <c r="AR311" s="5">
        <v>732</v>
      </c>
      <c r="AS311" s="5" t="s">
        <v>16</v>
      </c>
      <c r="AT311" s="5" t="s">
        <v>1798</v>
      </c>
      <c r="AU311" s="5" t="s">
        <v>1799</v>
      </c>
      <c r="AV311" s="5" t="s">
        <v>1801</v>
      </c>
    </row>
    <row r="312" spans="1:48" ht="45" customHeight="1" x14ac:dyDescent="0.15">
      <c r="A312" s="5" t="s">
        <v>1802</v>
      </c>
      <c r="B312" s="5">
        <v>2015</v>
      </c>
      <c r="C312" s="5" t="s">
        <v>1803</v>
      </c>
      <c r="D312" s="5" t="s">
        <v>172</v>
      </c>
      <c r="E312" s="5" t="s">
        <v>18453</v>
      </c>
      <c r="F312" s="5" t="s">
        <v>1806</v>
      </c>
      <c r="G312" s="5"/>
      <c r="H312" s="5"/>
      <c r="I312" s="5"/>
      <c r="J312" s="5"/>
      <c r="K312" s="5"/>
      <c r="L312" s="5"/>
      <c r="M312" s="5"/>
      <c r="N312" s="5"/>
      <c r="O312" s="5"/>
      <c r="P312" s="5"/>
      <c r="Q312" s="5"/>
      <c r="AL312" s="7" t="str">
        <f>HYPERLINK("http://dx.doi.org/10.1007/s00442-015-3287-5","http://dx.doi.org/10.1007/s00442-015-3287-5")</f>
        <v>http://dx.doi.org/10.1007/s00442-015-3287-5</v>
      </c>
      <c r="AM312" s="5">
        <v>65</v>
      </c>
      <c r="AN312" s="5">
        <v>72</v>
      </c>
      <c r="AO312" s="5">
        <v>178</v>
      </c>
      <c r="AP312" s="5">
        <v>2</v>
      </c>
      <c r="AQ312" s="5">
        <v>317</v>
      </c>
      <c r="AR312" s="5">
        <v>327</v>
      </c>
      <c r="AS312" s="5" t="s">
        <v>16</v>
      </c>
      <c r="AT312" s="5" t="s">
        <v>1804</v>
      </c>
      <c r="AU312" s="5" t="s">
        <v>1805</v>
      </c>
      <c r="AV312" s="5" t="s">
        <v>1807</v>
      </c>
    </row>
    <row r="313" spans="1:48" ht="45" customHeight="1" x14ac:dyDescent="0.15">
      <c r="A313" s="5" t="s">
        <v>1808</v>
      </c>
      <c r="B313" s="5">
        <v>2009</v>
      </c>
      <c r="C313" s="5" t="s">
        <v>1809</v>
      </c>
      <c r="D313" s="5" t="s">
        <v>162</v>
      </c>
      <c r="E313" s="5" t="s">
        <v>18453</v>
      </c>
      <c r="F313" s="5" t="s">
        <v>1812</v>
      </c>
      <c r="G313" s="5"/>
      <c r="H313" s="5"/>
      <c r="I313" s="5"/>
      <c r="J313" s="5"/>
      <c r="K313" s="5"/>
      <c r="L313" s="5"/>
      <c r="M313" s="5"/>
      <c r="N313" s="5"/>
      <c r="O313" s="5"/>
      <c r="P313" s="5"/>
      <c r="Q313" s="5"/>
      <c r="AL313" s="7" t="str">
        <f>HYPERLINK("http://dx.doi.org/10.1111/j.1365-2435.2009.01553.x","http://dx.doi.org/10.1111/j.1365-2435.2009.01553.x")</f>
        <v>http://dx.doi.org/10.1111/j.1365-2435.2009.01553.x</v>
      </c>
      <c r="AM313" s="5">
        <v>48</v>
      </c>
      <c r="AN313" s="5">
        <v>48</v>
      </c>
      <c r="AO313" s="5">
        <v>23</v>
      </c>
      <c r="AP313" s="5">
        <v>4</v>
      </c>
      <c r="AQ313" s="5">
        <v>733</v>
      </c>
      <c r="AR313" s="5">
        <v>744</v>
      </c>
      <c r="AS313" s="5" t="s">
        <v>16</v>
      </c>
      <c r="AT313" s="5" t="s">
        <v>1810</v>
      </c>
      <c r="AU313" s="5" t="s">
        <v>1811</v>
      </c>
      <c r="AV313" s="5" t="s">
        <v>1813</v>
      </c>
    </row>
    <row r="314" spans="1:48" ht="45" customHeight="1" x14ac:dyDescent="0.15">
      <c r="A314" s="5" t="s">
        <v>1814</v>
      </c>
      <c r="B314" s="5">
        <v>2007</v>
      </c>
      <c r="C314" s="5" t="s">
        <v>1815</v>
      </c>
      <c r="D314" s="5" t="s">
        <v>77</v>
      </c>
      <c r="E314" s="5" t="s">
        <v>18453</v>
      </c>
      <c r="F314" s="5" t="s">
        <v>1818</v>
      </c>
      <c r="G314" s="5"/>
      <c r="H314" s="5"/>
      <c r="I314" s="5"/>
      <c r="J314" s="5"/>
      <c r="K314" s="5"/>
      <c r="L314" s="5"/>
      <c r="M314" s="5"/>
      <c r="N314" s="5"/>
      <c r="O314" s="5"/>
      <c r="P314" s="5"/>
      <c r="Q314" s="5"/>
      <c r="AL314" s="7" t="str">
        <f>HYPERLINK("http://dx.doi.org/10.1111/j.1365-2656.2007.01226.x","http://dx.doi.org/10.1111/j.1365-2656.2007.01226.x")</f>
        <v>http://dx.doi.org/10.1111/j.1365-2656.2007.01226.x</v>
      </c>
      <c r="AM314" s="5">
        <v>32</v>
      </c>
      <c r="AN314" s="5">
        <v>33</v>
      </c>
      <c r="AO314" s="5">
        <v>76</v>
      </c>
      <c r="AP314" s="5">
        <v>3</v>
      </c>
      <c r="AQ314" s="5">
        <v>538</v>
      </c>
      <c r="AR314" s="5">
        <v>551</v>
      </c>
      <c r="AS314" s="5" t="s">
        <v>16</v>
      </c>
      <c r="AT314" s="5" t="s">
        <v>1816</v>
      </c>
      <c r="AU314" s="5" t="s">
        <v>1817</v>
      </c>
      <c r="AV314" s="5" t="s">
        <v>1819</v>
      </c>
    </row>
    <row r="315" spans="1:48" ht="45" customHeight="1" x14ac:dyDescent="0.15">
      <c r="A315" s="5" t="s">
        <v>1820</v>
      </c>
      <c r="B315" s="5">
        <v>2007</v>
      </c>
      <c r="C315" s="5" t="s">
        <v>1821</v>
      </c>
      <c r="D315" s="5" t="s">
        <v>49</v>
      </c>
      <c r="E315" s="5" t="s">
        <v>18453</v>
      </c>
      <c r="F315" s="5" t="s">
        <v>1824</v>
      </c>
      <c r="G315" s="5"/>
      <c r="H315" s="5"/>
      <c r="I315" s="5"/>
      <c r="J315" s="5"/>
      <c r="K315" s="5"/>
      <c r="L315" s="5"/>
      <c r="M315" s="5"/>
      <c r="N315" s="5"/>
      <c r="O315" s="5"/>
      <c r="P315" s="5"/>
      <c r="Q315" s="5"/>
      <c r="AL315" s="7" t="str">
        <f>HYPERLINK("http://dx.doi.org/10.3354/meps342069","http://dx.doi.org/10.3354/meps342069")</f>
        <v>http://dx.doi.org/10.3354/meps342069</v>
      </c>
      <c r="AM315" s="5">
        <v>43</v>
      </c>
      <c r="AN315" s="5">
        <v>45</v>
      </c>
      <c r="AO315" s="5">
        <v>342</v>
      </c>
      <c r="AP315" s="5" t="s">
        <v>16</v>
      </c>
      <c r="AQ315" s="5">
        <v>69</v>
      </c>
      <c r="AR315" s="5">
        <v>83</v>
      </c>
      <c r="AS315" s="5" t="s">
        <v>16</v>
      </c>
      <c r="AT315" s="5" t="s">
        <v>1822</v>
      </c>
      <c r="AU315" s="5" t="s">
        <v>1823</v>
      </c>
      <c r="AV315" s="5" t="s">
        <v>1825</v>
      </c>
    </row>
    <row r="316" spans="1:48" ht="45" customHeight="1" x14ac:dyDescent="0.15">
      <c r="A316" s="5" t="s">
        <v>1826</v>
      </c>
      <c r="B316" s="5">
        <v>2022</v>
      </c>
      <c r="C316" s="5" t="s">
        <v>1827</v>
      </c>
      <c r="D316" s="5" t="s">
        <v>62</v>
      </c>
      <c r="E316" s="5" t="s">
        <v>18453</v>
      </c>
      <c r="F316" s="5" t="s">
        <v>1830</v>
      </c>
      <c r="G316" s="5"/>
      <c r="H316" s="5"/>
      <c r="I316" s="5"/>
      <c r="J316" s="5"/>
      <c r="K316" s="5"/>
      <c r="L316" s="5"/>
      <c r="M316" s="5"/>
      <c r="N316" s="5"/>
      <c r="O316" s="5"/>
      <c r="P316" s="5"/>
      <c r="Q316" s="5"/>
      <c r="AL316" s="7" t="str">
        <f>HYPERLINK("http://dx.doi.org/10.1007/s10021-022-00753-w","http://dx.doi.org/10.1007/s10021-022-00753-w")</f>
        <v>http://dx.doi.org/10.1007/s10021-022-00753-w</v>
      </c>
      <c r="AM316" s="5">
        <v>1</v>
      </c>
      <c r="AN316" s="5">
        <v>1</v>
      </c>
      <c r="AO316" s="5" t="s">
        <v>16</v>
      </c>
      <c r="AP316" s="5" t="s">
        <v>16</v>
      </c>
      <c r="AQ316" s="5" t="s">
        <v>16</v>
      </c>
      <c r="AR316" s="5" t="s">
        <v>16</v>
      </c>
      <c r="AS316" s="5" t="s">
        <v>16</v>
      </c>
      <c r="AT316" s="5" t="s">
        <v>1828</v>
      </c>
      <c r="AU316" s="5" t="s">
        <v>1829</v>
      </c>
      <c r="AV316" s="5" t="s">
        <v>1831</v>
      </c>
    </row>
    <row r="317" spans="1:48" ht="45" customHeight="1" x14ac:dyDescent="0.15">
      <c r="A317" s="5" t="s">
        <v>1832</v>
      </c>
      <c r="B317" s="5">
        <v>2012</v>
      </c>
      <c r="C317" s="5" t="s">
        <v>1833</v>
      </c>
      <c r="D317" s="5" t="s">
        <v>57</v>
      </c>
      <c r="E317" s="5" t="s">
        <v>18453</v>
      </c>
      <c r="F317" s="5" t="s">
        <v>1836</v>
      </c>
      <c r="G317" s="5"/>
      <c r="H317" s="5"/>
      <c r="I317" s="5"/>
      <c r="J317" s="5"/>
      <c r="K317" s="5"/>
      <c r="L317" s="5"/>
      <c r="M317" s="5"/>
      <c r="N317" s="5"/>
      <c r="O317" s="5"/>
      <c r="P317" s="5"/>
      <c r="Q317" s="5"/>
      <c r="AL317" s="7" t="str">
        <f>HYPERLINK("http://dx.doi.org/10.1098/rsbl.2012.0537","http://dx.doi.org/10.1098/rsbl.2012.0537")</f>
        <v>http://dx.doi.org/10.1098/rsbl.2012.0537</v>
      </c>
      <c r="AM317" s="5">
        <v>15</v>
      </c>
      <c r="AN317" s="5">
        <v>20</v>
      </c>
      <c r="AO317" s="5">
        <v>8</v>
      </c>
      <c r="AP317" s="5">
        <v>6</v>
      </c>
      <c r="AQ317" s="5">
        <v>956</v>
      </c>
      <c r="AR317" s="5">
        <v>959</v>
      </c>
      <c r="AS317" s="5" t="s">
        <v>16</v>
      </c>
      <c r="AT317" s="5" t="s">
        <v>1834</v>
      </c>
      <c r="AU317" s="5" t="s">
        <v>1835</v>
      </c>
      <c r="AV317" s="5" t="s">
        <v>1837</v>
      </c>
    </row>
    <row r="318" spans="1:48" ht="45" customHeight="1" x14ac:dyDescent="0.15">
      <c r="A318" s="5" t="s">
        <v>1838</v>
      </c>
      <c r="B318" s="5">
        <v>2019</v>
      </c>
      <c r="C318" s="5" t="s">
        <v>1839</v>
      </c>
      <c r="D318" s="5" t="s">
        <v>15</v>
      </c>
      <c r="E318" s="5" t="s">
        <v>18453</v>
      </c>
      <c r="F318" s="5" t="s">
        <v>1842</v>
      </c>
      <c r="G318" s="5"/>
      <c r="H318" s="5"/>
      <c r="I318" s="5"/>
      <c r="J318" s="5"/>
      <c r="K318" s="5"/>
      <c r="L318" s="5"/>
      <c r="M318" s="5"/>
      <c r="N318" s="5"/>
      <c r="O318" s="5"/>
      <c r="P318" s="5"/>
      <c r="Q318" s="5"/>
      <c r="AL318" s="7" t="str">
        <f>HYPERLINK("http://dx.doi.org/10.1002/ece3.5380","http://dx.doi.org/10.1002/ece3.5380")</f>
        <v>http://dx.doi.org/10.1002/ece3.5380</v>
      </c>
      <c r="AM318" s="5">
        <v>4</v>
      </c>
      <c r="AN318" s="5">
        <v>4</v>
      </c>
      <c r="AO318" s="5">
        <v>9</v>
      </c>
      <c r="AP318" s="5">
        <v>14</v>
      </c>
      <c r="AQ318" s="5">
        <v>8119</v>
      </c>
      <c r="AR318" s="5">
        <v>8132</v>
      </c>
      <c r="AS318" s="5" t="s">
        <v>16</v>
      </c>
      <c r="AT318" s="5" t="s">
        <v>1840</v>
      </c>
      <c r="AU318" s="5" t="s">
        <v>1841</v>
      </c>
      <c r="AV318" s="5" t="s">
        <v>1843</v>
      </c>
    </row>
    <row r="319" spans="1:48" ht="45" customHeight="1" x14ac:dyDescent="0.15">
      <c r="A319" s="5" t="s">
        <v>1844</v>
      </c>
      <c r="B319" s="5">
        <v>2019</v>
      </c>
      <c r="C319" s="5" t="s">
        <v>1845</v>
      </c>
      <c r="D319" s="5" t="s">
        <v>33</v>
      </c>
      <c r="E319" s="5" t="s">
        <v>18453</v>
      </c>
      <c r="F319" s="5" t="s">
        <v>1848</v>
      </c>
      <c r="G319" s="5"/>
      <c r="H319" s="5"/>
      <c r="I319" s="5"/>
      <c r="J319" s="5"/>
      <c r="K319" s="5"/>
      <c r="L319" s="5"/>
      <c r="M319" s="5"/>
      <c r="N319" s="5"/>
      <c r="O319" s="5"/>
      <c r="P319" s="5"/>
      <c r="Q319" s="5"/>
      <c r="AL319" s="7" t="str">
        <f>HYPERLINK("http://dx.doi.org/10.1111/gcb.14790","http://dx.doi.org/10.1111/gcb.14790")</f>
        <v>http://dx.doi.org/10.1111/gcb.14790</v>
      </c>
      <c r="AM319" s="5">
        <v>11</v>
      </c>
      <c r="AN319" s="5">
        <v>12</v>
      </c>
      <c r="AO319" s="5">
        <v>25</v>
      </c>
      <c r="AP319" s="5">
        <v>11</v>
      </c>
      <c r="AQ319" s="5">
        <v>3669</v>
      </c>
      <c r="AR319" s="5">
        <v>3679</v>
      </c>
      <c r="AS319" s="5" t="s">
        <v>16</v>
      </c>
      <c r="AT319" s="5" t="s">
        <v>1846</v>
      </c>
      <c r="AU319" s="5" t="s">
        <v>1847</v>
      </c>
      <c r="AV319" s="5" t="s">
        <v>1849</v>
      </c>
    </row>
    <row r="320" spans="1:48" ht="45" customHeight="1" x14ac:dyDescent="0.15">
      <c r="A320" s="5" t="s">
        <v>1850</v>
      </c>
      <c r="B320" s="5">
        <v>2019</v>
      </c>
      <c r="C320" s="5" t="s">
        <v>1851</v>
      </c>
      <c r="D320" s="5" t="s">
        <v>49</v>
      </c>
      <c r="E320" s="5" t="s">
        <v>18453</v>
      </c>
      <c r="F320" s="5" t="s">
        <v>1854</v>
      </c>
      <c r="G320" s="5"/>
      <c r="H320" s="5"/>
      <c r="I320" s="5"/>
      <c r="J320" s="5"/>
      <c r="K320" s="5"/>
      <c r="L320" s="5"/>
      <c r="M320" s="5"/>
      <c r="N320" s="5"/>
      <c r="O320" s="5"/>
      <c r="P320" s="5"/>
      <c r="Q320" s="5"/>
      <c r="AL320" s="7" t="str">
        <f>HYPERLINK("http://dx.doi.org/10.3354/meps12932","http://dx.doi.org/10.3354/meps12932")</f>
        <v>http://dx.doi.org/10.3354/meps12932</v>
      </c>
      <c r="AM320" s="5">
        <v>8</v>
      </c>
      <c r="AN320" s="5">
        <v>8</v>
      </c>
      <c r="AO320" s="5">
        <v>616</v>
      </c>
      <c r="AP320" s="5" t="s">
        <v>16</v>
      </c>
      <c r="AQ320" s="5">
        <v>13</v>
      </c>
      <c r="AR320" s="5">
        <v>24</v>
      </c>
      <c r="AS320" s="5" t="s">
        <v>16</v>
      </c>
      <c r="AT320" s="5" t="s">
        <v>1852</v>
      </c>
      <c r="AU320" s="5" t="s">
        <v>1853</v>
      </c>
      <c r="AV320" s="5" t="s">
        <v>1855</v>
      </c>
    </row>
    <row r="321" spans="1:48" ht="45" customHeight="1" x14ac:dyDescent="0.15">
      <c r="A321" s="5" t="s">
        <v>1856</v>
      </c>
      <c r="B321" s="5">
        <v>2001</v>
      </c>
      <c r="C321" s="5" t="s">
        <v>1857</v>
      </c>
      <c r="D321" s="5" t="s">
        <v>49</v>
      </c>
      <c r="E321" s="5" t="s">
        <v>18453</v>
      </c>
      <c r="F321" s="5" t="s">
        <v>1860</v>
      </c>
      <c r="G321" s="5"/>
      <c r="H321" s="5"/>
      <c r="I321" s="5"/>
      <c r="J321" s="5"/>
      <c r="K321" s="5"/>
      <c r="L321" s="5"/>
      <c r="M321" s="5"/>
      <c r="N321" s="5"/>
      <c r="O321" s="5"/>
      <c r="P321" s="5"/>
      <c r="Q321" s="5"/>
      <c r="AL321" s="7" t="str">
        <f>HYPERLINK("http://dx.doi.org/10.3354/meps210203","http://dx.doi.org/10.3354/meps210203")</f>
        <v>http://dx.doi.org/10.3354/meps210203</v>
      </c>
      <c r="AM321" s="5">
        <v>137</v>
      </c>
      <c r="AN321" s="5">
        <v>142</v>
      </c>
      <c r="AO321" s="5">
        <v>210</v>
      </c>
      <c r="AP321" s="5" t="s">
        <v>16</v>
      </c>
      <c r="AQ321" s="5">
        <v>203</v>
      </c>
      <c r="AR321" s="5">
        <v>221</v>
      </c>
      <c r="AS321" s="5" t="s">
        <v>16</v>
      </c>
      <c r="AT321" s="5" t="s">
        <v>1858</v>
      </c>
      <c r="AU321" s="5" t="s">
        <v>1859</v>
      </c>
      <c r="AV321" s="5" t="s">
        <v>1861</v>
      </c>
    </row>
    <row r="322" spans="1:48" ht="45" customHeight="1" x14ac:dyDescent="0.15">
      <c r="A322" s="5" t="s">
        <v>1862</v>
      </c>
      <c r="B322" s="5">
        <v>2021</v>
      </c>
      <c r="C322" s="5" t="s">
        <v>1863</v>
      </c>
      <c r="D322" s="5" t="s">
        <v>17</v>
      </c>
      <c r="E322" s="5" t="s">
        <v>18453</v>
      </c>
      <c r="F322" s="5" t="s">
        <v>1866</v>
      </c>
      <c r="G322" s="5"/>
      <c r="H322" s="5"/>
      <c r="I322" s="5"/>
      <c r="J322" s="5"/>
      <c r="K322" s="5"/>
      <c r="L322" s="5"/>
      <c r="M322" s="5"/>
      <c r="N322" s="5"/>
      <c r="O322" s="5"/>
      <c r="P322" s="5"/>
      <c r="Q322" s="5"/>
      <c r="AL322" s="7" t="str">
        <f>HYPERLINK("http://dx.doi.org/10.1111/fwb.13620","http://dx.doi.org/10.1111/fwb.13620")</f>
        <v>http://dx.doi.org/10.1111/fwb.13620</v>
      </c>
      <c r="AM322" s="5">
        <v>1</v>
      </c>
      <c r="AN322" s="5">
        <v>1</v>
      </c>
      <c r="AO322" s="5">
        <v>66</v>
      </c>
      <c r="AP322" s="5">
        <v>1</v>
      </c>
      <c r="AQ322" s="5">
        <v>102</v>
      </c>
      <c r="AR322" s="5">
        <v>113</v>
      </c>
      <c r="AS322" s="5" t="s">
        <v>16</v>
      </c>
      <c r="AT322" s="5" t="s">
        <v>1864</v>
      </c>
      <c r="AU322" s="5" t="s">
        <v>1865</v>
      </c>
      <c r="AV322" s="5" t="s">
        <v>1867</v>
      </c>
    </row>
    <row r="323" spans="1:48" ht="45" customHeight="1" x14ac:dyDescent="0.15">
      <c r="A323" s="5" t="s">
        <v>1868</v>
      </c>
      <c r="B323" s="5">
        <v>2020</v>
      </c>
      <c r="C323" s="5" t="s">
        <v>1869</v>
      </c>
      <c r="D323" s="5" t="s">
        <v>942</v>
      </c>
      <c r="E323" s="5" t="s">
        <v>18453</v>
      </c>
      <c r="F323" s="5" t="s">
        <v>1872</v>
      </c>
      <c r="G323" s="5"/>
      <c r="H323" s="5"/>
      <c r="I323" s="5"/>
      <c r="J323" s="5"/>
      <c r="K323" s="5"/>
      <c r="L323" s="5"/>
      <c r="M323" s="5"/>
      <c r="N323" s="5"/>
      <c r="O323" s="5"/>
      <c r="P323" s="5"/>
      <c r="Q323" s="5"/>
      <c r="AL323" s="7" t="str">
        <f>HYPERLINK("http://dx.doi.org/10.1016/j.rsma.2020.101261","http://dx.doi.org/10.1016/j.rsma.2020.101261")</f>
        <v>http://dx.doi.org/10.1016/j.rsma.2020.101261</v>
      </c>
      <c r="AM323" s="5">
        <v>4</v>
      </c>
      <c r="AN323" s="5">
        <v>4</v>
      </c>
      <c r="AO323" s="5">
        <v>36</v>
      </c>
      <c r="AP323" s="5" t="s">
        <v>16</v>
      </c>
      <c r="AQ323" s="5" t="s">
        <v>16</v>
      </c>
      <c r="AR323" s="5" t="s">
        <v>16</v>
      </c>
      <c r="AS323" s="5">
        <v>101261</v>
      </c>
      <c r="AT323" s="5" t="s">
        <v>1870</v>
      </c>
      <c r="AU323" s="5" t="s">
        <v>1871</v>
      </c>
      <c r="AV323" s="5" t="s">
        <v>1873</v>
      </c>
    </row>
    <row r="324" spans="1:48" ht="45" customHeight="1" x14ac:dyDescent="0.15">
      <c r="A324" s="5" t="s">
        <v>1874</v>
      </c>
      <c r="B324" s="5">
        <v>2012</v>
      </c>
      <c r="C324" s="5" t="s">
        <v>1875</v>
      </c>
      <c r="D324" s="5" t="s">
        <v>49</v>
      </c>
      <c r="E324" s="5" t="s">
        <v>18453</v>
      </c>
      <c r="F324" s="5" t="s">
        <v>1878</v>
      </c>
      <c r="G324" s="5"/>
      <c r="H324" s="5"/>
      <c r="I324" s="5"/>
      <c r="J324" s="5"/>
      <c r="K324" s="5"/>
      <c r="L324" s="5"/>
      <c r="M324" s="5"/>
      <c r="N324" s="5"/>
      <c r="O324" s="5"/>
      <c r="P324" s="5"/>
      <c r="Q324" s="5"/>
      <c r="AL324" s="7" t="str">
        <f>HYPERLINK("http://dx.doi.org/10.3354/meps09772","http://dx.doi.org/10.3354/meps09772")</f>
        <v>http://dx.doi.org/10.3354/meps09772</v>
      </c>
      <c r="AM324" s="5">
        <v>14</v>
      </c>
      <c r="AN324" s="5">
        <v>14</v>
      </c>
      <c r="AO324" s="5">
        <v>460</v>
      </c>
      <c r="AP324" s="5" t="s">
        <v>16</v>
      </c>
      <c r="AQ324" s="5">
        <v>155</v>
      </c>
      <c r="AR324" s="5">
        <v>167</v>
      </c>
      <c r="AS324" s="5" t="s">
        <v>16</v>
      </c>
      <c r="AT324" s="5" t="s">
        <v>1876</v>
      </c>
      <c r="AU324" s="5" t="s">
        <v>1877</v>
      </c>
      <c r="AV324" s="5" t="s">
        <v>1879</v>
      </c>
    </row>
    <row r="325" spans="1:48" ht="45" customHeight="1" x14ac:dyDescent="0.15">
      <c r="A325" s="5" t="s">
        <v>1880</v>
      </c>
      <c r="B325" s="5">
        <v>2014</v>
      </c>
      <c r="C325" s="5" t="s">
        <v>1881</v>
      </c>
      <c r="D325" s="5" t="s">
        <v>49</v>
      </c>
      <c r="E325" s="5" t="s">
        <v>18453</v>
      </c>
      <c r="F325" s="5" t="s">
        <v>1884</v>
      </c>
      <c r="G325" s="5"/>
      <c r="H325" s="5"/>
      <c r="I325" s="5"/>
      <c r="J325" s="5"/>
      <c r="K325" s="5"/>
      <c r="L325" s="5"/>
      <c r="M325" s="5"/>
      <c r="N325" s="5"/>
      <c r="O325" s="5"/>
      <c r="P325" s="5"/>
      <c r="Q325" s="5"/>
      <c r="AL325" s="7" t="str">
        <f>HYPERLINK("http://dx.doi.org/10.3354/meps10566","http://dx.doi.org/10.3354/meps10566")</f>
        <v>http://dx.doi.org/10.3354/meps10566</v>
      </c>
      <c r="AM325" s="5">
        <v>101</v>
      </c>
      <c r="AN325" s="5">
        <v>102</v>
      </c>
      <c r="AO325" s="5">
        <v>495</v>
      </c>
      <c r="AP325" s="5" t="s">
        <v>16</v>
      </c>
      <c r="AQ325" s="5">
        <v>39</v>
      </c>
      <c r="AR325" s="5" t="s">
        <v>260</v>
      </c>
      <c r="AS325" s="5" t="s">
        <v>16</v>
      </c>
      <c r="AT325" s="5" t="s">
        <v>1882</v>
      </c>
      <c r="AU325" s="5" t="s">
        <v>1883</v>
      </c>
      <c r="AV325" s="5" t="s">
        <v>1885</v>
      </c>
    </row>
    <row r="326" spans="1:48" ht="45" customHeight="1" x14ac:dyDescent="0.15">
      <c r="A326" s="5" t="s">
        <v>1886</v>
      </c>
      <c r="B326" s="5">
        <v>2020</v>
      </c>
      <c r="C326" s="5" t="s">
        <v>1887</v>
      </c>
      <c r="D326" s="5" t="s">
        <v>1765</v>
      </c>
      <c r="E326" s="5" t="s">
        <v>18453</v>
      </c>
      <c r="F326" s="5" t="s">
        <v>1890</v>
      </c>
      <c r="G326" s="5"/>
      <c r="H326" s="5"/>
      <c r="I326" s="5"/>
      <c r="J326" s="5"/>
      <c r="K326" s="5"/>
      <c r="L326" s="5"/>
      <c r="M326" s="5"/>
      <c r="N326" s="5"/>
      <c r="O326" s="5"/>
      <c r="P326" s="5"/>
      <c r="Q326" s="5"/>
      <c r="AL326" s="7" t="str">
        <f>HYPERLINK("http://dx.doi.org/10.1016/j.agee.2020.106936","http://dx.doi.org/10.1016/j.agee.2020.106936")</f>
        <v>http://dx.doi.org/10.1016/j.agee.2020.106936</v>
      </c>
      <c r="AM326" s="5">
        <v>26</v>
      </c>
      <c r="AN326" s="5">
        <v>33</v>
      </c>
      <c r="AO326" s="5">
        <v>297</v>
      </c>
      <c r="AP326" s="5" t="s">
        <v>16</v>
      </c>
      <c r="AQ326" s="5" t="s">
        <v>16</v>
      </c>
      <c r="AR326" s="5" t="s">
        <v>16</v>
      </c>
      <c r="AS326" s="5">
        <v>106936</v>
      </c>
      <c r="AT326" s="5" t="s">
        <v>1888</v>
      </c>
      <c r="AU326" s="5" t="s">
        <v>1889</v>
      </c>
      <c r="AV326" s="5" t="s">
        <v>1891</v>
      </c>
    </row>
    <row r="327" spans="1:48" ht="45" customHeight="1" x14ac:dyDescent="0.15">
      <c r="A327" s="5" t="s">
        <v>1892</v>
      </c>
      <c r="B327" s="5">
        <v>2020</v>
      </c>
      <c r="C327" s="5" t="s">
        <v>1893</v>
      </c>
      <c r="D327" s="5" t="s">
        <v>1765</v>
      </c>
      <c r="E327" s="5" t="s">
        <v>18453</v>
      </c>
      <c r="F327" s="5" t="s">
        <v>1896</v>
      </c>
      <c r="G327" s="5"/>
      <c r="H327" s="5"/>
      <c r="I327" s="5"/>
      <c r="J327" s="5"/>
      <c r="K327" s="5"/>
      <c r="L327" s="5"/>
      <c r="M327" s="5"/>
      <c r="N327" s="5"/>
      <c r="O327" s="5"/>
      <c r="P327" s="5"/>
      <c r="Q327" s="5"/>
      <c r="AL327" s="7" t="str">
        <f>HYPERLINK("http://dx.doi.org/10.1016/j.agee.2020.106859","http://dx.doi.org/10.1016/j.agee.2020.106859")</f>
        <v>http://dx.doi.org/10.1016/j.agee.2020.106859</v>
      </c>
      <c r="AM327" s="5">
        <v>42</v>
      </c>
      <c r="AN327" s="5">
        <v>42</v>
      </c>
      <c r="AO327" s="5">
        <v>294</v>
      </c>
      <c r="AP327" s="5" t="s">
        <v>16</v>
      </c>
      <c r="AQ327" s="5" t="s">
        <v>16</v>
      </c>
      <c r="AR327" s="5" t="s">
        <v>16</v>
      </c>
      <c r="AS327" s="5">
        <v>106859</v>
      </c>
      <c r="AT327" s="5" t="s">
        <v>1894</v>
      </c>
      <c r="AU327" s="5" t="s">
        <v>1895</v>
      </c>
      <c r="AV327" s="5" t="s">
        <v>1897</v>
      </c>
    </row>
    <row r="328" spans="1:48" ht="45" customHeight="1" x14ac:dyDescent="0.15">
      <c r="A328" s="5" t="s">
        <v>1898</v>
      </c>
      <c r="B328" s="5">
        <v>2012</v>
      </c>
      <c r="C328" s="5" t="s">
        <v>1899</v>
      </c>
      <c r="D328" s="5" t="s">
        <v>1900</v>
      </c>
      <c r="E328" s="5" t="s">
        <v>18453</v>
      </c>
      <c r="F328" s="5" t="s">
        <v>1902</v>
      </c>
      <c r="G328" s="5"/>
      <c r="H328" s="5"/>
      <c r="I328" s="5"/>
      <c r="J328" s="5"/>
      <c r="K328" s="5"/>
      <c r="L328" s="5"/>
      <c r="M328" s="5"/>
      <c r="N328" s="5"/>
      <c r="O328" s="5"/>
      <c r="P328" s="5"/>
      <c r="Q328" s="5"/>
      <c r="AL328" s="7" t="str">
        <f>HYPERLINK("http://dx.doi.org/10.1656/058.011.0403","http://dx.doi.org/10.1656/058.011.0403")</f>
        <v>http://dx.doi.org/10.1656/058.011.0403</v>
      </c>
      <c r="AM328" s="5">
        <v>13</v>
      </c>
      <c r="AN328" s="5">
        <v>15</v>
      </c>
      <c r="AO328" s="5">
        <v>11</v>
      </c>
      <c r="AP328" s="5">
        <v>4</v>
      </c>
      <c r="AQ328" s="5">
        <v>575</v>
      </c>
      <c r="AR328" s="5">
        <v>588</v>
      </c>
      <c r="AS328" s="5" t="s">
        <v>16</v>
      </c>
      <c r="AT328" s="5" t="s">
        <v>16</v>
      </c>
      <c r="AU328" s="5" t="s">
        <v>1901</v>
      </c>
      <c r="AV328" s="5" t="s">
        <v>1903</v>
      </c>
    </row>
    <row r="329" spans="1:48" ht="45" customHeight="1" x14ac:dyDescent="0.15">
      <c r="A329" s="5" t="s">
        <v>1904</v>
      </c>
      <c r="B329" s="5">
        <v>2013</v>
      </c>
      <c r="C329" s="5" t="s">
        <v>1905</v>
      </c>
      <c r="D329" s="5" t="s">
        <v>15</v>
      </c>
      <c r="E329" s="5" t="s">
        <v>18453</v>
      </c>
      <c r="F329" s="5" t="s">
        <v>1908</v>
      </c>
      <c r="G329" s="5"/>
      <c r="H329" s="5"/>
      <c r="I329" s="5"/>
      <c r="J329" s="5"/>
      <c r="K329" s="5"/>
      <c r="L329" s="5"/>
      <c r="M329" s="5"/>
      <c r="N329" s="5"/>
      <c r="O329" s="5"/>
      <c r="P329" s="5"/>
      <c r="Q329" s="5"/>
      <c r="AL329" s="7" t="str">
        <f>HYPERLINK("http://dx.doi.org/10.1002/ece3.678","http://dx.doi.org/10.1002/ece3.678")</f>
        <v>http://dx.doi.org/10.1002/ece3.678</v>
      </c>
      <c r="AM329" s="5">
        <v>41</v>
      </c>
      <c r="AN329" s="5">
        <v>42</v>
      </c>
      <c r="AO329" s="5">
        <v>3</v>
      </c>
      <c r="AP329" s="5">
        <v>9</v>
      </c>
      <c r="AQ329" s="5">
        <v>2994</v>
      </c>
      <c r="AR329" s="5">
        <v>3004</v>
      </c>
      <c r="AS329" s="5" t="s">
        <v>16</v>
      </c>
      <c r="AT329" s="5" t="s">
        <v>1906</v>
      </c>
      <c r="AU329" s="5" t="s">
        <v>1907</v>
      </c>
      <c r="AV329" s="5" t="s">
        <v>1909</v>
      </c>
    </row>
    <row r="330" spans="1:48" ht="45" customHeight="1" x14ac:dyDescent="0.15">
      <c r="A330" s="5" t="s">
        <v>1910</v>
      </c>
      <c r="B330" s="5">
        <v>2015</v>
      </c>
      <c r="C330" s="5" t="s">
        <v>1911</v>
      </c>
      <c r="D330" s="5" t="s">
        <v>15</v>
      </c>
      <c r="E330" s="5" t="s">
        <v>18453</v>
      </c>
      <c r="F330" s="5" t="s">
        <v>1914</v>
      </c>
      <c r="G330" s="5"/>
      <c r="H330" s="5"/>
      <c r="I330" s="5"/>
      <c r="J330" s="5"/>
      <c r="K330" s="5"/>
      <c r="L330" s="5"/>
      <c r="M330" s="5"/>
      <c r="N330" s="5"/>
      <c r="O330" s="5"/>
      <c r="P330" s="5"/>
      <c r="Q330" s="5"/>
      <c r="AL330" s="7" t="str">
        <f>HYPERLINK("http://dx.doi.org/10.1002/ece3.1491","http://dx.doi.org/10.1002/ece3.1491")</f>
        <v>http://dx.doi.org/10.1002/ece3.1491</v>
      </c>
      <c r="AM330" s="5">
        <v>55</v>
      </c>
      <c r="AN330" s="5">
        <v>55</v>
      </c>
      <c r="AO330" s="5">
        <v>5</v>
      </c>
      <c r="AP330" s="5">
        <v>10</v>
      </c>
      <c r="AQ330" s="5">
        <v>2048</v>
      </c>
      <c r="AR330" s="5">
        <v>2059</v>
      </c>
      <c r="AS330" s="5" t="s">
        <v>16</v>
      </c>
      <c r="AT330" s="5" t="s">
        <v>1912</v>
      </c>
      <c r="AU330" s="5" t="s">
        <v>1913</v>
      </c>
      <c r="AV330" s="5" t="s">
        <v>1915</v>
      </c>
    </row>
    <row r="331" spans="1:48" ht="45" customHeight="1" x14ac:dyDescent="0.15">
      <c r="A331" s="5" t="s">
        <v>1916</v>
      </c>
      <c r="B331" s="5">
        <v>2019</v>
      </c>
      <c r="C331" s="5" t="s">
        <v>1917</v>
      </c>
      <c r="D331" s="5" t="s">
        <v>383</v>
      </c>
      <c r="E331" s="5" t="s">
        <v>18453</v>
      </c>
      <c r="F331" s="5" t="s">
        <v>1920</v>
      </c>
      <c r="G331" s="5"/>
      <c r="H331" s="5"/>
      <c r="I331" s="5"/>
      <c r="J331" s="5"/>
      <c r="K331" s="5"/>
      <c r="L331" s="5"/>
      <c r="M331" s="5"/>
      <c r="N331" s="5"/>
      <c r="O331" s="5"/>
      <c r="P331" s="5"/>
      <c r="Q331" s="5"/>
      <c r="AL331" s="7" t="str">
        <f>HYPERLINK("http://dx.doi.org/10.1111/1440-1703.12056","http://dx.doi.org/10.1111/1440-1703.12056")</f>
        <v>http://dx.doi.org/10.1111/1440-1703.12056</v>
      </c>
      <c r="AM331" s="5">
        <v>1</v>
      </c>
      <c r="AN331" s="5">
        <v>1</v>
      </c>
      <c r="AO331" s="5">
        <v>34</v>
      </c>
      <c r="AP331" s="5">
        <v>6</v>
      </c>
      <c r="AQ331" s="5">
        <v>864</v>
      </c>
      <c r="AR331" s="5">
        <v>871</v>
      </c>
      <c r="AS331" s="5" t="s">
        <v>16</v>
      </c>
      <c r="AT331" s="5" t="s">
        <v>1918</v>
      </c>
      <c r="AU331" s="5" t="s">
        <v>1919</v>
      </c>
      <c r="AV331" s="5" t="s">
        <v>1921</v>
      </c>
    </row>
    <row r="332" spans="1:48" ht="45" customHeight="1" x14ac:dyDescent="0.15">
      <c r="A332" s="5" t="s">
        <v>1922</v>
      </c>
      <c r="B332" s="5">
        <v>2005</v>
      </c>
      <c r="C332" s="5" t="s">
        <v>1923</v>
      </c>
      <c r="D332" s="5" t="s">
        <v>249</v>
      </c>
      <c r="E332" s="5" t="s">
        <v>18453</v>
      </c>
      <c r="F332" s="5" t="s">
        <v>1926</v>
      </c>
      <c r="G332" s="5"/>
      <c r="H332" s="5"/>
      <c r="I332" s="5"/>
      <c r="J332" s="5"/>
      <c r="K332" s="5"/>
      <c r="L332" s="5"/>
      <c r="M332" s="5"/>
      <c r="N332" s="5"/>
      <c r="O332" s="5"/>
      <c r="P332" s="5"/>
      <c r="Q332" s="5"/>
      <c r="AL332" s="7" t="str">
        <f>HYPERLINK("http://dx.doi.org/10.1016/j.jaridenv.2004.07.003","http://dx.doi.org/10.1016/j.jaridenv.2004.07.003")</f>
        <v>http://dx.doi.org/10.1016/j.jaridenv.2004.07.003</v>
      </c>
      <c r="AM332" s="5">
        <v>114</v>
      </c>
      <c r="AN332" s="5">
        <v>131</v>
      </c>
      <c r="AO332" s="5">
        <v>60</v>
      </c>
      <c r="AP332" s="5">
        <v>4</v>
      </c>
      <c r="AQ332" s="5">
        <v>547</v>
      </c>
      <c r="AR332" s="5">
        <v>566</v>
      </c>
      <c r="AS332" s="5" t="s">
        <v>16</v>
      </c>
      <c r="AT332" s="5" t="s">
        <v>1924</v>
      </c>
      <c r="AU332" s="5" t="s">
        <v>1925</v>
      </c>
      <c r="AV332" s="5" t="s">
        <v>1927</v>
      </c>
    </row>
    <row r="333" spans="1:48" ht="45" customHeight="1" x14ac:dyDescent="0.15">
      <c r="A333" s="5" t="s">
        <v>1928</v>
      </c>
      <c r="B333" s="5">
        <v>2016</v>
      </c>
      <c r="C333" s="5" t="s">
        <v>1929</v>
      </c>
      <c r="D333" s="5" t="s">
        <v>33</v>
      </c>
      <c r="E333" s="5" t="s">
        <v>18453</v>
      </c>
      <c r="F333" s="5" t="s">
        <v>1932</v>
      </c>
      <c r="G333" s="5"/>
      <c r="H333" s="5"/>
      <c r="I333" s="5"/>
      <c r="J333" s="5"/>
      <c r="K333" s="5"/>
      <c r="L333" s="5"/>
      <c r="M333" s="5"/>
      <c r="N333" s="5"/>
      <c r="O333" s="5"/>
      <c r="P333" s="5"/>
      <c r="Q333" s="5"/>
      <c r="AL333" s="7" t="str">
        <f>HYPERLINK("http://dx.doi.org/10.1111/gcb.13121","http://dx.doi.org/10.1111/gcb.13121")</f>
        <v>http://dx.doi.org/10.1111/gcb.13121</v>
      </c>
      <c r="AM333" s="5">
        <v>32</v>
      </c>
      <c r="AN333" s="5">
        <v>36</v>
      </c>
      <c r="AO333" s="5">
        <v>22</v>
      </c>
      <c r="AP333" s="5">
        <v>2</v>
      </c>
      <c r="AQ333" s="5">
        <v>782</v>
      </c>
      <c r="AR333" s="5">
        <v>791</v>
      </c>
      <c r="AS333" s="5" t="s">
        <v>16</v>
      </c>
      <c r="AT333" s="5" t="s">
        <v>1930</v>
      </c>
      <c r="AU333" s="5" t="s">
        <v>1931</v>
      </c>
      <c r="AV333" s="5" t="s">
        <v>1933</v>
      </c>
    </row>
    <row r="334" spans="1:48" ht="45" customHeight="1" x14ac:dyDescent="0.15">
      <c r="A334" s="5" t="s">
        <v>1934</v>
      </c>
      <c r="B334" s="5">
        <v>2009</v>
      </c>
      <c r="C334" s="5" t="s">
        <v>1935</v>
      </c>
      <c r="D334" s="5" t="s">
        <v>49</v>
      </c>
      <c r="E334" s="5" t="s">
        <v>18453</v>
      </c>
      <c r="F334" s="5" t="s">
        <v>1938</v>
      </c>
      <c r="G334" s="5"/>
      <c r="H334" s="5"/>
      <c r="I334" s="5"/>
      <c r="J334" s="5"/>
      <c r="K334" s="5"/>
      <c r="L334" s="5"/>
      <c r="M334" s="5"/>
      <c r="N334" s="5"/>
      <c r="O334" s="5"/>
      <c r="P334" s="5"/>
      <c r="Q334" s="5"/>
      <c r="AL334" s="7" t="str">
        <f>HYPERLINK("http://dx.doi.org/10.3354/meps08017","http://dx.doi.org/10.3354/meps08017")</f>
        <v>http://dx.doi.org/10.3354/meps08017</v>
      </c>
      <c r="AM334" s="5">
        <v>63</v>
      </c>
      <c r="AN334" s="5">
        <v>64</v>
      </c>
      <c r="AO334" s="5">
        <v>384</v>
      </c>
      <c r="AP334" s="5" t="s">
        <v>16</v>
      </c>
      <c r="AQ334" s="5">
        <v>273</v>
      </c>
      <c r="AR334" s="5">
        <v>286</v>
      </c>
      <c r="AS334" s="5" t="s">
        <v>16</v>
      </c>
      <c r="AT334" s="5" t="s">
        <v>1936</v>
      </c>
      <c r="AU334" s="5" t="s">
        <v>1937</v>
      </c>
      <c r="AV334" s="5" t="s">
        <v>1939</v>
      </c>
    </row>
    <row r="335" spans="1:48" ht="45" customHeight="1" x14ac:dyDescent="0.15">
      <c r="A335" s="5" t="s">
        <v>1940</v>
      </c>
      <c r="B335" s="5">
        <v>2019</v>
      </c>
      <c r="C335" s="5" t="s">
        <v>1941</v>
      </c>
      <c r="D335" s="5" t="s">
        <v>17</v>
      </c>
      <c r="E335" s="5" t="s">
        <v>18453</v>
      </c>
      <c r="F335" s="5" t="s">
        <v>1944</v>
      </c>
      <c r="G335" s="5"/>
      <c r="H335" s="5"/>
      <c r="I335" s="5"/>
      <c r="J335" s="5"/>
      <c r="K335" s="5"/>
      <c r="L335" s="5"/>
      <c r="M335" s="5"/>
      <c r="N335" s="5"/>
      <c r="O335" s="5"/>
      <c r="P335" s="5"/>
      <c r="Q335" s="5"/>
      <c r="AL335" s="7" t="str">
        <f>HYPERLINK("http://dx.doi.org/10.1111/fwb.13295","http://dx.doi.org/10.1111/fwb.13295")</f>
        <v>http://dx.doi.org/10.1111/fwb.13295</v>
      </c>
      <c r="AM335" s="5">
        <v>14</v>
      </c>
      <c r="AN335" s="5">
        <v>14</v>
      </c>
      <c r="AO335" s="5">
        <v>64</v>
      </c>
      <c r="AP335" s="5">
        <v>6</v>
      </c>
      <c r="AQ335" s="5">
        <v>1196</v>
      </c>
      <c r="AR335" s="5">
        <v>1209</v>
      </c>
      <c r="AS335" s="5" t="s">
        <v>16</v>
      </c>
      <c r="AT335" s="5" t="s">
        <v>1942</v>
      </c>
      <c r="AU335" s="5" t="s">
        <v>1943</v>
      </c>
      <c r="AV335" s="5" t="s">
        <v>1945</v>
      </c>
    </row>
    <row r="336" spans="1:48" ht="45" customHeight="1" x14ac:dyDescent="0.15">
      <c r="A336" s="5" t="s">
        <v>1946</v>
      </c>
      <c r="B336" s="5">
        <v>2017</v>
      </c>
      <c r="C336" s="5" t="s">
        <v>1947</v>
      </c>
      <c r="D336" s="5" t="s">
        <v>49</v>
      </c>
      <c r="E336" s="5" t="s">
        <v>18453</v>
      </c>
      <c r="F336" s="5" t="s">
        <v>1950</v>
      </c>
      <c r="G336" s="5"/>
      <c r="H336" s="5"/>
      <c r="I336" s="5"/>
      <c r="J336" s="5"/>
      <c r="K336" s="5"/>
      <c r="L336" s="5"/>
      <c r="M336" s="5"/>
      <c r="N336" s="5"/>
      <c r="O336" s="5"/>
      <c r="P336" s="5"/>
      <c r="Q336" s="5"/>
      <c r="AL336" s="7" t="str">
        <f>HYPERLINK("http://dx.doi.org/10.3354/meps12129","http://dx.doi.org/10.3354/meps12129")</f>
        <v>http://dx.doi.org/10.3354/meps12129</v>
      </c>
      <c r="AM336" s="5">
        <v>13</v>
      </c>
      <c r="AN336" s="5">
        <v>13</v>
      </c>
      <c r="AO336" s="5">
        <v>571</v>
      </c>
      <c r="AP336" s="5" t="s">
        <v>16</v>
      </c>
      <c r="AQ336" s="5">
        <v>253</v>
      </c>
      <c r="AR336" s="5">
        <v>257</v>
      </c>
      <c r="AS336" s="5" t="s">
        <v>16</v>
      </c>
      <c r="AT336" s="5" t="s">
        <v>1948</v>
      </c>
      <c r="AU336" s="5" t="s">
        <v>1949</v>
      </c>
      <c r="AV336" s="5" t="s">
        <v>1951</v>
      </c>
    </row>
    <row r="337" spans="1:48" ht="45" customHeight="1" x14ac:dyDescent="0.15">
      <c r="A337" s="5" t="s">
        <v>1952</v>
      </c>
      <c r="B337" s="5">
        <v>2020</v>
      </c>
      <c r="C337" s="5" t="s">
        <v>1953</v>
      </c>
      <c r="D337" s="5" t="s">
        <v>1954</v>
      </c>
      <c r="E337" s="5" t="s">
        <v>18453</v>
      </c>
      <c r="F337" s="5" t="s">
        <v>1956</v>
      </c>
      <c r="G337" s="5"/>
      <c r="H337" s="5"/>
      <c r="I337" s="5"/>
      <c r="J337" s="5"/>
      <c r="K337" s="5"/>
      <c r="L337" s="5"/>
      <c r="M337" s="5"/>
      <c r="N337" s="5"/>
      <c r="O337" s="5"/>
      <c r="P337" s="5"/>
      <c r="Q337" s="5"/>
      <c r="AL337" s="7" t="str">
        <f>HYPERLINK("http://dx.doi.org/10.3897/neobiota.63.57925","http://dx.doi.org/10.3897/neobiota.63.57925")</f>
        <v>http://dx.doi.org/10.3897/neobiota.63.57925</v>
      </c>
      <c r="AM337" s="5">
        <v>7</v>
      </c>
      <c r="AN337" s="5">
        <v>7</v>
      </c>
      <c r="AO337" s="5" t="s">
        <v>16</v>
      </c>
      <c r="AP337" s="5">
        <v>63</v>
      </c>
      <c r="AQ337" s="5">
        <v>155</v>
      </c>
      <c r="AR337" s="5">
        <v>175</v>
      </c>
      <c r="AS337" s="5" t="s">
        <v>16</v>
      </c>
      <c r="AT337" s="5" t="s">
        <v>1955</v>
      </c>
      <c r="AU337" s="5" t="s">
        <v>16</v>
      </c>
      <c r="AV337" s="5" t="s">
        <v>1957</v>
      </c>
    </row>
    <row r="338" spans="1:48" ht="45" customHeight="1" x14ac:dyDescent="0.15">
      <c r="A338" s="5" t="s">
        <v>1958</v>
      </c>
      <c r="B338" s="5">
        <v>2021</v>
      </c>
      <c r="C338" s="5" t="s">
        <v>1959</v>
      </c>
      <c r="D338" s="5" t="s">
        <v>269</v>
      </c>
      <c r="E338" s="5" t="s">
        <v>18453</v>
      </c>
      <c r="F338" s="5" t="s">
        <v>1962</v>
      </c>
      <c r="G338" s="5"/>
      <c r="H338" s="5"/>
      <c r="I338" s="5"/>
      <c r="J338" s="5"/>
      <c r="K338" s="5"/>
      <c r="L338" s="5"/>
      <c r="M338" s="5"/>
      <c r="N338" s="5"/>
      <c r="O338" s="5"/>
      <c r="P338" s="5"/>
      <c r="Q338" s="5"/>
      <c r="AL338" s="7" t="str">
        <f>HYPERLINK("http://dx.doi.org/10.14321/aehm.024.02.05","http://dx.doi.org/10.14321/aehm.024.02.05")</f>
        <v>http://dx.doi.org/10.14321/aehm.024.02.05</v>
      </c>
      <c r="AM338" s="5">
        <v>4</v>
      </c>
      <c r="AN338" s="5">
        <v>4</v>
      </c>
      <c r="AO338" s="5">
        <v>24</v>
      </c>
      <c r="AP338" s="5">
        <v>2</v>
      </c>
      <c r="AQ338" s="5">
        <v>13</v>
      </c>
      <c r="AR338" s="5">
        <v>23</v>
      </c>
      <c r="AS338" s="5" t="s">
        <v>16</v>
      </c>
      <c r="AT338" s="5" t="s">
        <v>1960</v>
      </c>
      <c r="AU338" s="5" t="s">
        <v>1961</v>
      </c>
      <c r="AV338" s="5" t="s">
        <v>1963</v>
      </c>
    </row>
    <row r="339" spans="1:48" ht="45" customHeight="1" x14ac:dyDescent="0.15">
      <c r="A339" s="5" t="s">
        <v>1964</v>
      </c>
      <c r="B339" s="5">
        <v>2012</v>
      </c>
      <c r="C339" s="5" t="s">
        <v>1965</v>
      </c>
      <c r="D339" s="5" t="s">
        <v>17</v>
      </c>
      <c r="E339" s="5" t="s">
        <v>18453</v>
      </c>
      <c r="F339" s="5" t="s">
        <v>1968</v>
      </c>
      <c r="G339" s="5"/>
      <c r="H339" s="5"/>
      <c r="I339" s="5"/>
      <c r="J339" s="5"/>
      <c r="K339" s="5"/>
      <c r="L339" s="5"/>
      <c r="M339" s="5"/>
      <c r="N339" s="5"/>
      <c r="O339" s="5"/>
      <c r="P339" s="5"/>
      <c r="Q339" s="5"/>
      <c r="AL339" s="7" t="str">
        <f>HYPERLINK("http://dx.doi.org/10.1111/j.1365-2427.2012.02843.x","http://dx.doi.org/10.1111/j.1365-2427.2012.02843.x")</f>
        <v>http://dx.doi.org/10.1111/j.1365-2427.2012.02843.x</v>
      </c>
      <c r="AM339" s="5">
        <v>13</v>
      </c>
      <c r="AN339" s="5">
        <v>15</v>
      </c>
      <c r="AO339" s="5">
        <v>57</v>
      </c>
      <c r="AP339" s="5">
        <v>9</v>
      </c>
      <c r="AQ339" s="5">
        <v>1839</v>
      </c>
      <c r="AR339" s="5">
        <v>1853</v>
      </c>
      <c r="AS339" s="5" t="s">
        <v>16</v>
      </c>
      <c r="AT339" s="5" t="s">
        <v>1966</v>
      </c>
      <c r="AU339" s="5" t="s">
        <v>1967</v>
      </c>
      <c r="AV339" s="5" t="s">
        <v>1969</v>
      </c>
    </row>
    <row r="340" spans="1:48" ht="45" customHeight="1" x14ac:dyDescent="0.15">
      <c r="A340" s="5" t="s">
        <v>1970</v>
      </c>
      <c r="B340" s="5">
        <v>2018</v>
      </c>
      <c r="C340" s="5" t="s">
        <v>1971</v>
      </c>
      <c r="D340" s="5" t="s">
        <v>33</v>
      </c>
      <c r="E340" s="5" t="s">
        <v>18453</v>
      </c>
      <c r="F340" s="5" t="s">
        <v>1974</v>
      </c>
      <c r="G340" s="5"/>
      <c r="H340" s="5"/>
      <c r="I340" s="5"/>
      <c r="J340" s="5"/>
      <c r="K340" s="5"/>
      <c r="L340" s="5"/>
      <c r="M340" s="5"/>
      <c r="N340" s="5"/>
      <c r="O340" s="5"/>
      <c r="P340" s="5"/>
      <c r="Q340" s="5"/>
      <c r="AL340" s="7" t="str">
        <f>HYPERLINK("http://dx.doi.org/10.1111/gcb.14435","http://dx.doi.org/10.1111/gcb.14435")</f>
        <v>http://dx.doi.org/10.1111/gcb.14435</v>
      </c>
      <c r="AM340" s="5">
        <v>29</v>
      </c>
      <c r="AN340" s="5">
        <v>29</v>
      </c>
      <c r="AO340" s="5">
        <v>24</v>
      </c>
      <c r="AP340" s="5">
        <v>12</v>
      </c>
      <c r="AQ340" s="5">
        <v>5607</v>
      </c>
      <c r="AR340" s="5">
        <v>5621</v>
      </c>
      <c r="AS340" s="5" t="s">
        <v>16</v>
      </c>
      <c r="AT340" s="5" t="s">
        <v>1972</v>
      </c>
      <c r="AU340" s="5" t="s">
        <v>1973</v>
      </c>
      <c r="AV340" s="5" t="s">
        <v>1975</v>
      </c>
    </row>
    <row r="341" spans="1:48" ht="45" customHeight="1" x14ac:dyDescent="0.15">
      <c r="A341" s="5" t="s">
        <v>1976</v>
      </c>
      <c r="B341" s="5">
        <v>2019</v>
      </c>
      <c r="C341" s="5" t="s">
        <v>1977</v>
      </c>
      <c r="D341" s="5" t="s">
        <v>27</v>
      </c>
      <c r="E341" s="5" t="s">
        <v>18453</v>
      </c>
      <c r="F341" s="5" t="s">
        <v>1980</v>
      </c>
      <c r="G341" s="5"/>
      <c r="H341" s="5"/>
      <c r="I341" s="5"/>
      <c r="J341" s="5"/>
      <c r="K341" s="5"/>
      <c r="L341" s="5"/>
      <c r="M341" s="5"/>
      <c r="N341" s="5"/>
      <c r="O341" s="5"/>
      <c r="P341" s="5"/>
      <c r="Q341" s="5"/>
      <c r="AL341" s="7" t="str">
        <f>HYPERLINK("http://dx.doi.org/10.1002/ecy.2570","http://dx.doi.org/10.1002/ecy.2570")</f>
        <v>http://dx.doi.org/10.1002/ecy.2570</v>
      </c>
      <c r="AM341" s="5">
        <v>28</v>
      </c>
      <c r="AN341" s="5">
        <v>28</v>
      </c>
      <c r="AO341" s="5">
        <v>100</v>
      </c>
      <c r="AP341" s="5">
        <v>2</v>
      </c>
      <c r="AQ341" s="5" t="s">
        <v>16</v>
      </c>
      <c r="AR341" s="5" t="s">
        <v>16</v>
      </c>
      <c r="AS341" s="5" t="s">
        <v>1981</v>
      </c>
      <c r="AT341" s="5" t="s">
        <v>1978</v>
      </c>
      <c r="AU341" s="5" t="s">
        <v>1979</v>
      </c>
      <c r="AV341" s="5" t="s">
        <v>1982</v>
      </c>
    </row>
    <row r="342" spans="1:48" ht="45" customHeight="1" x14ac:dyDescent="0.15">
      <c r="A342" s="5" t="s">
        <v>1983</v>
      </c>
      <c r="B342" s="5">
        <v>2018</v>
      </c>
      <c r="C342" s="5" t="s">
        <v>1984</v>
      </c>
      <c r="D342" s="5" t="s">
        <v>33</v>
      </c>
      <c r="E342" s="5" t="s">
        <v>18453</v>
      </c>
      <c r="F342" s="5" t="s">
        <v>1987</v>
      </c>
      <c r="G342" s="5"/>
      <c r="H342" s="5"/>
      <c r="I342" s="5"/>
      <c r="J342" s="5"/>
      <c r="K342" s="5"/>
      <c r="L342" s="5"/>
      <c r="M342" s="5"/>
      <c r="N342" s="5"/>
      <c r="O342" s="5"/>
      <c r="P342" s="5"/>
      <c r="Q342" s="5"/>
      <c r="AL342" s="7" t="str">
        <f>HYPERLINK("http://dx.doi.org/10.1111/gcb.14116","http://dx.doi.org/10.1111/gcb.14116")</f>
        <v>http://dx.doi.org/10.1111/gcb.14116</v>
      </c>
      <c r="AM342" s="5">
        <v>29</v>
      </c>
      <c r="AN342" s="5">
        <v>29</v>
      </c>
      <c r="AO342" s="5">
        <v>24</v>
      </c>
      <c r="AP342" s="5">
        <v>7</v>
      </c>
      <c r="AQ342" s="5">
        <v>3130</v>
      </c>
      <c r="AR342" s="5">
        <v>3144</v>
      </c>
      <c r="AS342" s="5" t="s">
        <v>16</v>
      </c>
      <c r="AT342" s="5" t="s">
        <v>1985</v>
      </c>
      <c r="AU342" s="5" t="s">
        <v>1986</v>
      </c>
      <c r="AV342" s="5" t="s">
        <v>1988</v>
      </c>
    </row>
    <row r="343" spans="1:48" ht="45" customHeight="1" x14ac:dyDescent="0.15">
      <c r="A343" s="5" t="s">
        <v>1989</v>
      </c>
      <c r="B343" s="5">
        <v>2002</v>
      </c>
      <c r="C343" s="5" t="s">
        <v>1990</v>
      </c>
      <c r="D343" s="5" t="s">
        <v>172</v>
      </c>
      <c r="E343" s="5" t="s">
        <v>18453</v>
      </c>
      <c r="F343" s="5" t="s">
        <v>1993</v>
      </c>
      <c r="G343" s="5"/>
      <c r="H343" s="5"/>
      <c r="I343" s="5"/>
      <c r="J343" s="5"/>
      <c r="K343" s="5"/>
      <c r="L343" s="5"/>
      <c r="M343" s="5"/>
      <c r="N343" s="5"/>
      <c r="O343" s="5"/>
      <c r="P343" s="5"/>
      <c r="Q343" s="5"/>
      <c r="AL343" s="7" t="str">
        <f>HYPERLINK("http://dx.doi.org/10.1007/s00442-002-1004-7","http://dx.doi.org/10.1007/s00442-002-1004-7")</f>
        <v>http://dx.doi.org/10.1007/s00442-002-1004-7</v>
      </c>
      <c r="AM343" s="5">
        <v>91</v>
      </c>
      <c r="AN343" s="5">
        <v>95</v>
      </c>
      <c r="AO343" s="5">
        <v>133</v>
      </c>
      <c r="AP343" s="5">
        <v>1</v>
      </c>
      <c r="AQ343" s="5">
        <v>70</v>
      </c>
      <c r="AR343" s="5">
        <v>77</v>
      </c>
      <c r="AS343" s="5" t="s">
        <v>16</v>
      </c>
      <c r="AT343" s="5" t="s">
        <v>1991</v>
      </c>
      <c r="AU343" s="5" t="s">
        <v>1992</v>
      </c>
      <c r="AV343" s="5" t="s">
        <v>1994</v>
      </c>
    </row>
    <row r="344" spans="1:48" ht="45" customHeight="1" x14ac:dyDescent="0.15">
      <c r="A344" s="5" t="s">
        <v>1995</v>
      </c>
      <c r="B344" s="5">
        <v>2022</v>
      </c>
      <c r="C344" s="5" t="s">
        <v>1996</v>
      </c>
      <c r="D344" s="5" t="s">
        <v>161</v>
      </c>
      <c r="E344" s="5" t="s">
        <v>18453</v>
      </c>
      <c r="F344" s="5" t="s">
        <v>1999</v>
      </c>
      <c r="G344" s="5"/>
      <c r="H344" s="5"/>
      <c r="I344" s="5"/>
      <c r="J344" s="5"/>
      <c r="K344" s="5"/>
      <c r="L344" s="5"/>
      <c r="M344" s="5"/>
      <c r="N344" s="5"/>
      <c r="O344" s="5"/>
      <c r="P344" s="5"/>
      <c r="Q344" s="5"/>
      <c r="AL344" s="7" t="str">
        <f>HYPERLINK("http://dx.doi.org/10.1111/geb.13448","http://dx.doi.org/10.1111/geb.13448")</f>
        <v>http://dx.doi.org/10.1111/geb.13448</v>
      </c>
      <c r="AM344" s="5">
        <v>5</v>
      </c>
      <c r="AN344" s="5">
        <v>5</v>
      </c>
      <c r="AO344" s="5">
        <v>31</v>
      </c>
      <c r="AP344" s="5">
        <v>4</v>
      </c>
      <c r="AQ344" s="5">
        <v>621</v>
      </c>
      <c r="AR344" s="5">
        <v>635</v>
      </c>
      <c r="AS344" s="5" t="s">
        <v>16</v>
      </c>
      <c r="AT344" s="5" t="s">
        <v>1997</v>
      </c>
      <c r="AU344" s="5" t="s">
        <v>1998</v>
      </c>
      <c r="AV344" s="5" t="s">
        <v>2000</v>
      </c>
    </row>
    <row r="345" spans="1:48" ht="45" customHeight="1" x14ac:dyDescent="0.15">
      <c r="A345" s="5" t="s">
        <v>2001</v>
      </c>
      <c r="B345" s="5">
        <v>2007</v>
      </c>
      <c r="C345" s="5" t="s">
        <v>2002</v>
      </c>
      <c r="D345" s="5" t="s">
        <v>1785</v>
      </c>
      <c r="E345" s="5" t="s">
        <v>18453</v>
      </c>
      <c r="F345" s="5" t="s">
        <v>2005</v>
      </c>
      <c r="G345" s="5"/>
      <c r="H345" s="5"/>
      <c r="I345" s="5"/>
      <c r="J345" s="5"/>
      <c r="K345" s="5"/>
      <c r="L345" s="5"/>
      <c r="M345" s="5"/>
      <c r="N345" s="5"/>
      <c r="O345" s="5"/>
      <c r="P345" s="5"/>
      <c r="Q345" s="5"/>
      <c r="AL345" s="5" t="s">
        <v>16</v>
      </c>
      <c r="AM345" s="5">
        <v>18</v>
      </c>
      <c r="AN345" s="5">
        <v>18</v>
      </c>
      <c r="AO345" s="5">
        <v>2</v>
      </c>
      <c r="AP345" s="5">
        <v>2</v>
      </c>
      <c r="AQ345" s="5" t="s">
        <v>16</v>
      </c>
      <c r="AR345" s="5" t="s">
        <v>16</v>
      </c>
      <c r="AS345" s="5">
        <v>3</v>
      </c>
      <c r="AT345" s="5" t="s">
        <v>2003</v>
      </c>
      <c r="AU345" s="5" t="s">
        <v>2004</v>
      </c>
      <c r="AV345" s="5" t="s">
        <v>16</v>
      </c>
    </row>
    <row r="346" spans="1:48" ht="45" customHeight="1" x14ac:dyDescent="0.15">
      <c r="A346" s="5" t="s">
        <v>2006</v>
      </c>
      <c r="B346" s="5">
        <v>2009</v>
      </c>
      <c r="C346" s="5" t="s">
        <v>2007</v>
      </c>
      <c r="D346" s="5" t="s">
        <v>17</v>
      </c>
      <c r="E346" s="5" t="s">
        <v>18453</v>
      </c>
      <c r="F346" s="5" t="s">
        <v>2010</v>
      </c>
      <c r="G346" s="5"/>
      <c r="H346" s="5"/>
      <c r="I346" s="5"/>
      <c r="J346" s="5"/>
      <c r="K346" s="5"/>
      <c r="L346" s="5"/>
      <c r="M346" s="5"/>
      <c r="N346" s="5"/>
      <c r="O346" s="5"/>
      <c r="P346" s="5"/>
      <c r="Q346" s="5"/>
      <c r="AL346" s="7" t="str">
        <f>HYPERLINK("http://dx.doi.org/10.1111/j.1365-2427.2008.02118.x","http://dx.doi.org/10.1111/j.1365-2427.2008.02118.x")</f>
        <v>http://dx.doi.org/10.1111/j.1365-2427.2008.02118.x</v>
      </c>
      <c r="AM346" s="5">
        <v>90</v>
      </c>
      <c r="AN346" s="5">
        <v>104</v>
      </c>
      <c r="AO346" s="5">
        <v>54</v>
      </c>
      <c r="AP346" s="5">
        <v>2</v>
      </c>
      <c r="AQ346" s="5">
        <v>331</v>
      </c>
      <c r="AR346" s="5">
        <v>344</v>
      </c>
      <c r="AS346" s="5" t="s">
        <v>16</v>
      </c>
      <c r="AT346" s="5" t="s">
        <v>2008</v>
      </c>
      <c r="AU346" s="5" t="s">
        <v>2009</v>
      </c>
      <c r="AV346" s="5" t="s">
        <v>2011</v>
      </c>
    </row>
    <row r="347" spans="1:48" ht="45" customHeight="1" x14ac:dyDescent="0.15">
      <c r="A347" s="5" t="s">
        <v>2012</v>
      </c>
      <c r="B347" s="5">
        <v>2020</v>
      </c>
      <c r="C347" s="5" t="s">
        <v>2013</v>
      </c>
      <c r="D347" s="5" t="s">
        <v>1758</v>
      </c>
      <c r="E347" s="5" t="s">
        <v>18453</v>
      </c>
      <c r="F347" s="5" t="s">
        <v>2016</v>
      </c>
      <c r="G347" s="5"/>
      <c r="H347" s="5"/>
      <c r="I347" s="5"/>
      <c r="J347" s="5"/>
      <c r="K347" s="5"/>
      <c r="L347" s="5"/>
      <c r="M347" s="5"/>
      <c r="N347" s="5"/>
      <c r="O347" s="5"/>
      <c r="P347" s="5"/>
      <c r="Q347" s="5"/>
      <c r="AL347" s="7" t="str">
        <f>HYPERLINK("http://dx.doi.org/10.1007/s13157-020-01278-5","http://dx.doi.org/10.1007/s13157-020-01278-5")</f>
        <v>http://dx.doi.org/10.1007/s13157-020-01278-5</v>
      </c>
      <c r="AM347" s="5">
        <v>9</v>
      </c>
      <c r="AN347" s="5">
        <v>9</v>
      </c>
      <c r="AO347" s="5">
        <v>40</v>
      </c>
      <c r="AP347" s="5">
        <v>5</v>
      </c>
      <c r="AQ347" s="5">
        <v>1229</v>
      </c>
      <c r="AR347" s="5">
        <v>1239</v>
      </c>
      <c r="AS347" s="5" t="s">
        <v>16</v>
      </c>
      <c r="AT347" s="5" t="s">
        <v>2014</v>
      </c>
      <c r="AU347" s="5" t="s">
        <v>2015</v>
      </c>
      <c r="AV347" s="5" t="s">
        <v>2017</v>
      </c>
    </row>
    <row r="348" spans="1:48" ht="45" customHeight="1" x14ac:dyDescent="0.15">
      <c r="A348" s="5" t="s">
        <v>2018</v>
      </c>
      <c r="B348" s="5">
        <v>2016</v>
      </c>
      <c r="C348" s="5" t="s">
        <v>2019</v>
      </c>
      <c r="D348" s="5" t="s">
        <v>2020</v>
      </c>
      <c r="E348" s="5" t="s">
        <v>18453</v>
      </c>
      <c r="F348" s="5" t="s">
        <v>2023</v>
      </c>
      <c r="G348" s="5"/>
      <c r="H348" s="5"/>
      <c r="I348" s="5"/>
      <c r="J348" s="5"/>
      <c r="K348" s="5"/>
      <c r="L348" s="5"/>
      <c r="M348" s="5"/>
      <c r="N348" s="5"/>
      <c r="O348" s="5"/>
      <c r="P348" s="5"/>
      <c r="Q348" s="5"/>
      <c r="AL348" s="7" t="str">
        <f>HYPERLINK("http://dx.doi.org/10.5751/ES-08729-210406","http://dx.doi.org/10.5751/ES-08729-210406")</f>
        <v>http://dx.doi.org/10.5751/ES-08729-210406</v>
      </c>
      <c r="AM348" s="5">
        <v>18</v>
      </c>
      <c r="AN348" s="5">
        <v>19</v>
      </c>
      <c r="AO348" s="5">
        <v>21</v>
      </c>
      <c r="AP348" s="5">
        <v>4</v>
      </c>
      <c r="AQ348" s="5" t="s">
        <v>16</v>
      </c>
      <c r="AR348" s="5" t="s">
        <v>16</v>
      </c>
      <c r="AS348" s="5">
        <v>6</v>
      </c>
      <c r="AT348" s="5" t="s">
        <v>2021</v>
      </c>
      <c r="AU348" s="5" t="s">
        <v>2022</v>
      </c>
      <c r="AV348" s="5" t="s">
        <v>2024</v>
      </c>
    </row>
    <row r="349" spans="1:48" ht="45" customHeight="1" x14ac:dyDescent="0.15">
      <c r="A349" s="5" t="s">
        <v>2025</v>
      </c>
      <c r="B349" s="5">
        <v>2003</v>
      </c>
      <c r="C349" s="5" t="s">
        <v>2026</v>
      </c>
      <c r="D349" s="5" t="s">
        <v>77</v>
      </c>
      <c r="E349" s="5" t="s">
        <v>18453</v>
      </c>
      <c r="F349" s="5" t="s">
        <v>2029</v>
      </c>
      <c r="G349" s="5"/>
      <c r="H349" s="5"/>
      <c r="I349" s="5"/>
      <c r="J349" s="5"/>
      <c r="K349" s="5"/>
      <c r="L349" s="5"/>
      <c r="M349" s="5"/>
      <c r="N349" s="5"/>
      <c r="O349" s="5"/>
      <c r="P349" s="5"/>
      <c r="Q349" s="5"/>
      <c r="AL349" s="7" t="str">
        <f>HYPERLINK("http://dx.doi.org/10.1046/j.1365-2656.2003.00730.x","http://dx.doi.org/10.1046/j.1365-2656.2003.00730.x")</f>
        <v>http://dx.doi.org/10.1046/j.1365-2656.2003.00730.x</v>
      </c>
      <c r="AM349" s="5">
        <v>142</v>
      </c>
      <c r="AN349" s="5">
        <v>150</v>
      </c>
      <c r="AO349" s="5">
        <v>72</v>
      </c>
      <c r="AP349" s="5">
        <v>4</v>
      </c>
      <c r="AQ349" s="5">
        <v>608</v>
      </c>
      <c r="AR349" s="5">
        <v>617</v>
      </c>
      <c r="AS349" s="5" t="s">
        <v>16</v>
      </c>
      <c r="AT349" s="5" t="s">
        <v>2027</v>
      </c>
      <c r="AU349" s="5" t="s">
        <v>2028</v>
      </c>
      <c r="AV349" s="5" t="s">
        <v>2030</v>
      </c>
    </row>
    <row r="350" spans="1:48" ht="45" customHeight="1" x14ac:dyDescent="0.15">
      <c r="A350" s="5" t="s">
        <v>2031</v>
      </c>
      <c r="B350" s="5">
        <v>2020</v>
      </c>
      <c r="C350" s="5" t="s">
        <v>2032</v>
      </c>
      <c r="D350" s="5" t="s">
        <v>82</v>
      </c>
      <c r="E350" s="5" t="s">
        <v>18453</v>
      </c>
      <c r="F350" s="5" t="s">
        <v>2035</v>
      </c>
      <c r="G350" s="5"/>
      <c r="H350" s="5"/>
      <c r="I350" s="5"/>
      <c r="J350" s="5"/>
      <c r="K350" s="5"/>
      <c r="L350" s="5"/>
      <c r="M350" s="5"/>
      <c r="N350" s="5"/>
      <c r="O350" s="5"/>
      <c r="P350" s="5"/>
      <c r="Q350" s="5"/>
      <c r="AL350" s="7" t="str">
        <f>HYPERLINK("http://dx.doi.org/10.1002/eap.2135","http://dx.doi.org/10.1002/eap.2135")</f>
        <v>http://dx.doi.org/10.1002/eap.2135</v>
      </c>
      <c r="AM350" s="5">
        <v>2</v>
      </c>
      <c r="AN350" s="5">
        <v>2</v>
      </c>
      <c r="AO350" s="5">
        <v>30</v>
      </c>
      <c r="AP350" s="5">
        <v>6</v>
      </c>
      <c r="AQ350" s="5" t="s">
        <v>16</v>
      </c>
      <c r="AR350" s="5" t="s">
        <v>16</v>
      </c>
      <c r="AS350" s="5" t="s">
        <v>16</v>
      </c>
      <c r="AT350" s="5" t="s">
        <v>2033</v>
      </c>
      <c r="AU350" s="5" t="s">
        <v>2034</v>
      </c>
      <c r="AV350" s="5" t="s">
        <v>2036</v>
      </c>
    </row>
    <row r="351" spans="1:48" ht="45" customHeight="1" x14ac:dyDescent="0.15">
      <c r="A351" s="5" t="s">
        <v>2037</v>
      </c>
      <c r="B351" s="5">
        <v>2022</v>
      </c>
      <c r="C351" s="5" t="s">
        <v>2038</v>
      </c>
      <c r="D351" s="5" t="s">
        <v>189</v>
      </c>
      <c r="E351" s="5" t="s">
        <v>18453</v>
      </c>
      <c r="F351" s="5" t="s">
        <v>2041</v>
      </c>
      <c r="G351" s="5"/>
      <c r="H351" s="5"/>
      <c r="I351" s="5"/>
      <c r="J351" s="5"/>
      <c r="K351" s="5"/>
      <c r="L351" s="5"/>
      <c r="M351" s="5"/>
      <c r="N351" s="5"/>
      <c r="O351" s="5"/>
      <c r="P351" s="5"/>
      <c r="Q351" s="5"/>
      <c r="AL351" s="7" t="str">
        <f>HYPERLINK("http://dx.doi.org/10.1111/ecog.06089","http://dx.doi.org/10.1111/ecog.06089")</f>
        <v>http://dx.doi.org/10.1111/ecog.06089</v>
      </c>
      <c r="AM351" s="5">
        <v>1</v>
      </c>
      <c r="AN351" s="5">
        <v>1</v>
      </c>
      <c r="AO351" s="5">
        <v>2022</v>
      </c>
      <c r="AP351" s="5">
        <v>1</v>
      </c>
      <c r="AQ351" s="5" t="s">
        <v>16</v>
      </c>
      <c r="AR351" s="5" t="s">
        <v>16</v>
      </c>
      <c r="AS351" s="5" t="s">
        <v>16</v>
      </c>
      <c r="AT351" s="5" t="s">
        <v>2039</v>
      </c>
      <c r="AU351" s="5" t="s">
        <v>2040</v>
      </c>
      <c r="AV351" s="5" t="s">
        <v>2042</v>
      </c>
    </row>
    <row r="352" spans="1:48" ht="45" customHeight="1" x14ac:dyDescent="0.15">
      <c r="A352" s="5" t="s">
        <v>2043</v>
      </c>
      <c r="B352" s="5">
        <v>2021</v>
      </c>
      <c r="C352" s="5" t="s">
        <v>2044</v>
      </c>
      <c r="D352" s="5" t="s">
        <v>154</v>
      </c>
      <c r="E352" s="5" t="s">
        <v>18453</v>
      </c>
      <c r="F352" s="5" t="s">
        <v>2047</v>
      </c>
      <c r="G352" s="5"/>
      <c r="H352" s="5"/>
      <c r="I352" s="5"/>
      <c r="J352" s="5"/>
      <c r="K352" s="5"/>
      <c r="L352" s="5"/>
      <c r="M352" s="5"/>
      <c r="N352" s="5"/>
      <c r="O352" s="5"/>
      <c r="P352" s="5"/>
      <c r="Q352" s="5"/>
      <c r="AL352" s="7" t="str">
        <f>HYPERLINK("http://dx.doi.org/10.1186/s13717-021-00344-y","http://dx.doi.org/10.1186/s13717-021-00344-y")</f>
        <v>http://dx.doi.org/10.1186/s13717-021-00344-y</v>
      </c>
      <c r="AM352" s="5">
        <v>0</v>
      </c>
      <c r="AN352" s="5">
        <v>0</v>
      </c>
      <c r="AO352" s="5">
        <v>10</v>
      </c>
      <c r="AP352" s="5">
        <v>1</v>
      </c>
      <c r="AQ352" s="5" t="s">
        <v>16</v>
      </c>
      <c r="AR352" s="5" t="s">
        <v>16</v>
      </c>
      <c r="AS352" s="5">
        <v>72</v>
      </c>
      <c r="AT352" s="5" t="s">
        <v>2045</v>
      </c>
      <c r="AU352" s="5" t="s">
        <v>2046</v>
      </c>
      <c r="AV352" s="5" t="s">
        <v>2048</v>
      </c>
    </row>
    <row r="353" spans="1:48" ht="45" customHeight="1" x14ac:dyDescent="0.15">
      <c r="A353" s="5" t="s">
        <v>2049</v>
      </c>
      <c r="B353" s="5">
        <v>2022</v>
      </c>
      <c r="C353" s="5" t="s">
        <v>2050</v>
      </c>
      <c r="D353" s="5" t="s">
        <v>49</v>
      </c>
      <c r="E353" s="5" t="s">
        <v>18453</v>
      </c>
      <c r="F353" s="5" t="s">
        <v>2053</v>
      </c>
      <c r="G353" s="5"/>
      <c r="H353" s="5"/>
      <c r="I353" s="5"/>
      <c r="J353" s="5"/>
      <c r="K353" s="5"/>
      <c r="L353" s="5"/>
      <c r="M353" s="5"/>
      <c r="N353" s="5"/>
      <c r="O353" s="5"/>
      <c r="P353" s="5"/>
      <c r="Q353" s="5"/>
      <c r="AL353" s="7" t="str">
        <f>HYPERLINK("http://dx.doi.org/10.3354/meps14079","http://dx.doi.org/10.3354/meps14079")</f>
        <v>http://dx.doi.org/10.3354/meps14079</v>
      </c>
      <c r="AM353" s="5">
        <v>4</v>
      </c>
      <c r="AN353" s="5">
        <v>4</v>
      </c>
      <c r="AO353" s="5">
        <v>692</v>
      </c>
      <c r="AP353" s="5" t="s">
        <v>16</v>
      </c>
      <c r="AQ353" s="5">
        <v>81</v>
      </c>
      <c r="AR353" s="5">
        <v>97</v>
      </c>
      <c r="AS353" s="5" t="s">
        <v>16</v>
      </c>
      <c r="AT353" s="5" t="s">
        <v>2051</v>
      </c>
      <c r="AU353" s="5" t="s">
        <v>2052</v>
      </c>
      <c r="AV353" s="5" t="s">
        <v>2054</v>
      </c>
    </row>
    <row r="354" spans="1:48" ht="45" customHeight="1" x14ac:dyDescent="0.15">
      <c r="A354" s="5" t="s">
        <v>2062</v>
      </c>
      <c r="B354" s="5">
        <v>2010</v>
      </c>
      <c r="C354" s="5" t="s">
        <v>2063</v>
      </c>
      <c r="D354" s="5" t="s">
        <v>868</v>
      </c>
      <c r="E354" s="5" t="s">
        <v>18453</v>
      </c>
      <c r="F354" s="5" t="s">
        <v>2066</v>
      </c>
      <c r="G354" s="5"/>
      <c r="H354" s="5"/>
      <c r="I354" s="5"/>
      <c r="J354" s="5"/>
      <c r="K354" s="5"/>
      <c r="L354" s="5"/>
      <c r="M354" s="5"/>
      <c r="N354" s="5"/>
      <c r="O354" s="5"/>
      <c r="P354" s="5"/>
      <c r="Q354" s="5"/>
      <c r="AL354" s="5" t="s">
        <v>16</v>
      </c>
      <c r="AM354" s="5">
        <v>8</v>
      </c>
      <c r="AN354" s="5">
        <v>10</v>
      </c>
      <c r="AO354" s="5">
        <v>58</v>
      </c>
      <c r="AP354" s="5">
        <v>4</v>
      </c>
      <c r="AQ354" s="5">
        <v>783</v>
      </c>
      <c r="AR354" s="5">
        <v>791</v>
      </c>
      <c r="AS354" s="5" t="s">
        <v>16</v>
      </c>
      <c r="AT354" s="5" t="s">
        <v>2064</v>
      </c>
      <c r="AU354" s="5" t="s">
        <v>2065</v>
      </c>
      <c r="AV354" s="5" t="s">
        <v>16</v>
      </c>
    </row>
    <row r="355" spans="1:48" ht="45" customHeight="1" x14ac:dyDescent="0.15">
      <c r="A355" s="5" t="s">
        <v>2067</v>
      </c>
      <c r="B355" s="5">
        <v>2008</v>
      </c>
      <c r="C355" s="5" t="s">
        <v>2068</v>
      </c>
      <c r="D355" s="5" t="s">
        <v>295</v>
      </c>
      <c r="E355" s="5" t="s">
        <v>18453</v>
      </c>
      <c r="F355" s="5" t="s">
        <v>2071</v>
      </c>
      <c r="G355" s="5"/>
      <c r="H355" s="5"/>
      <c r="I355" s="5"/>
      <c r="J355" s="5"/>
      <c r="K355" s="5"/>
      <c r="L355" s="5"/>
      <c r="M355" s="5"/>
      <c r="N355" s="5"/>
      <c r="O355" s="5"/>
      <c r="P355" s="5"/>
      <c r="Q355" s="5"/>
      <c r="AL355" s="7" t="str">
        <f>HYPERLINK("http://dx.doi.org/10.1016/j.jembe.2008.04.013","http://dx.doi.org/10.1016/j.jembe.2008.04.013")</f>
        <v>http://dx.doi.org/10.1016/j.jembe.2008.04.013</v>
      </c>
      <c r="AM355" s="5">
        <v>22</v>
      </c>
      <c r="AN355" s="5">
        <v>24</v>
      </c>
      <c r="AO355" s="5">
        <v>361</v>
      </c>
      <c r="AP355" s="5">
        <v>2</v>
      </c>
      <c r="AQ355" s="5">
        <v>75</v>
      </c>
      <c r="AR355" s="5">
        <v>82</v>
      </c>
      <c r="AS355" s="5" t="s">
        <v>16</v>
      </c>
      <c r="AT355" s="5" t="s">
        <v>2069</v>
      </c>
      <c r="AU355" s="5" t="s">
        <v>2070</v>
      </c>
      <c r="AV355" s="5" t="s">
        <v>2072</v>
      </c>
    </row>
    <row r="356" spans="1:48" ht="45" customHeight="1" x14ac:dyDescent="0.15">
      <c r="A356" s="5" t="s">
        <v>2073</v>
      </c>
      <c r="B356" s="5">
        <v>2014</v>
      </c>
      <c r="C356" s="5" t="s">
        <v>2074</v>
      </c>
      <c r="D356" s="5" t="s">
        <v>270</v>
      </c>
      <c r="E356" s="5" t="s">
        <v>18453</v>
      </c>
      <c r="F356" s="5" t="s">
        <v>2077</v>
      </c>
      <c r="G356" s="5"/>
      <c r="H356" s="5"/>
      <c r="I356" s="5"/>
      <c r="J356" s="5"/>
      <c r="K356" s="5"/>
      <c r="L356" s="5"/>
      <c r="M356" s="5"/>
      <c r="N356" s="5"/>
      <c r="O356" s="5"/>
      <c r="P356" s="5"/>
      <c r="Q356" s="5"/>
      <c r="AL356" s="7" t="str">
        <f>HYPERLINK("http://dx.doi.org/10.3391/ai.2014.9.2.04","http://dx.doi.org/10.3391/ai.2014.9.2.04")</f>
        <v>http://dx.doi.org/10.3391/ai.2014.9.2.04</v>
      </c>
      <c r="AM356" s="5">
        <v>17</v>
      </c>
      <c r="AN356" s="5">
        <v>18</v>
      </c>
      <c r="AO356" s="5">
        <v>9</v>
      </c>
      <c r="AP356" s="5">
        <v>2</v>
      </c>
      <c r="AQ356" s="5">
        <v>157</v>
      </c>
      <c r="AR356" s="5">
        <v>166</v>
      </c>
      <c r="AS356" s="5" t="s">
        <v>16</v>
      </c>
      <c r="AT356" s="5" t="s">
        <v>2075</v>
      </c>
      <c r="AU356" s="5" t="s">
        <v>2076</v>
      </c>
      <c r="AV356" s="5" t="s">
        <v>2078</v>
      </c>
    </row>
    <row r="357" spans="1:48" ht="45" customHeight="1" x14ac:dyDescent="0.15">
      <c r="A357" s="5" t="s">
        <v>2079</v>
      </c>
      <c r="B357" s="5">
        <v>2008</v>
      </c>
      <c r="C357" s="5" t="s">
        <v>2080</v>
      </c>
      <c r="D357" s="5" t="s">
        <v>49</v>
      </c>
      <c r="E357" s="5" t="s">
        <v>18453</v>
      </c>
      <c r="F357" s="5" t="s">
        <v>2083</v>
      </c>
      <c r="G357" s="5"/>
      <c r="H357" s="5"/>
      <c r="I357" s="5"/>
      <c r="J357" s="5"/>
      <c r="K357" s="5"/>
      <c r="L357" s="5"/>
      <c r="M357" s="5"/>
      <c r="N357" s="5"/>
      <c r="O357" s="5"/>
      <c r="P357" s="5"/>
      <c r="Q357" s="5"/>
      <c r="AL357" s="7" t="str">
        <f>HYPERLINK("http://dx.doi.org/10.3354/meps07263","http://dx.doi.org/10.3354/meps07263")</f>
        <v>http://dx.doi.org/10.3354/meps07263</v>
      </c>
      <c r="AM357" s="5">
        <v>30</v>
      </c>
      <c r="AN357" s="5">
        <v>30</v>
      </c>
      <c r="AO357" s="5">
        <v>354</v>
      </c>
      <c r="AP357" s="5" t="s">
        <v>16</v>
      </c>
      <c r="AQ357" s="5">
        <v>267</v>
      </c>
      <c r="AR357" s="5">
        <v>276</v>
      </c>
      <c r="AS357" s="5" t="s">
        <v>16</v>
      </c>
      <c r="AT357" s="5" t="s">
        <v>2081</v>
      </c>
      <c r="AU357" s="5" t="s">
        <v>2082</v>
      </c>
      <c r="AV357" s="5" t="s">
        <v>2084</v>
      </c>
    </row>
    <row r="358" spans="1:48" ht="45" customHeight="1" x14ac:dyDescent="0.15">
      <c r="A358" s="5" t="s">
        <v>2085</v>
      </c>
      <c r="B358" s="5">
        <v>2020</v>
      </c>
      <c r="C358" s="5" t="s">
        <v>2086</v>
      </c>
      <c r="D358" s="5" t="s">
        <v>2087</v>
      </c>
      <c r="E358" s="5" t="s">
        <v>18453</v>
      </c>
      <c r="F358" s="5" t="s">
        <v>2090</v>
      </c>
      <c r="G358" s="5"/>
      <c r="H358" s="5"/>
      <c r="I358" s="5"/>
      <c r="J358" s="5"/>
      <c r="K358" s="5"/>
      <c r="L358" s="5"/>
      <c r="M358" s="5"/>
      <c r="N358" s="5"/>
      <c r="O358" s="5"/>
      <c r="P358" s="5"/>
      <c r="Q358" s="5"/>
      <c r="AL358" s="7" t="str">
        <f>HYPERLINK("http://dx.doi.org/10.1002/eco.2248","http://dx.doi.org/10.1002/eco.2248")</f>
        <v>http://dx.doi.org/10.1002/eco.2248</v>
      </c>
      <c r="AM358" s="5">
        <v>6</v>
      </c>
      <c r="AN358" s="5">
        <v>6</v>
      </c>
      <c r="AO358" s="5">
        <v>13</v>
      </c>
      <c r="AP358" s="5">
        <v>8</v>
      </c>
      <c r="AQ358" s="5" t="s">
        <v>16</v>
      </c>
      <c r="AR358" s="5" t="s">
        <v>16</v>
      </c>
      <c r="AS358" s="5" t="s">
        <v>2091</v>
      </c>
      <c r="AT358" s="5" t="s">
        <v>2088</v>
      </c>
      <c r="AU358" s="5" t="s">
        <v>2089</v>
      </c>
      <c r="AV358" s="5" t="s">
        <v>2092</v>
      </c>
    </row>
    <row r="359" spans="1:48" ht="45" customHeight="1" x14ac:dyDescent="0.15">
      <c r="A359" s="5" t="s">
        <v>2093</v>
      </c>
      <c r="B359" s="5">
        <v>2009</v>
      </c>
      <c r="C359" s="5" t="s">
        <v>2094</v>
      </c>
      <c r="D359" s="5" t="s">
        <v>82</v>
      </c>
      <c r="E359" s="5" t="s">
        <v>18453</v>
      </c>
      <c r="F359" s="5" t="s">
        <v>2097</v>
      </c>
      <c r="G359" s="5"/>
      <c r="H359" s="5"/>
      <c r="I359" s="5"/>
      <c r="J359" s="5"/>
      <c r="K359" s="5"/>
      <c r="L359" s="5"/>
      <c r="M359" s="5"/>
      <c r="N359" s="5"/>
      <c r="O359" s="5"/>
      <c r="P359" s="5"/>
      <c r="Q359" s="5"/>
      <c r="AL359" s="7" t="str">
        <f>HYPERLINK("http://dx.doi.org/10.1890/08-0327.1","http://dx.doi.org/10.1890/08-0327.1")</f>
        <v>http://dx.doi.org/10.1890/08-0327.1</v>
      </c>
      <c r="AM359" s="5">
        <v>71</v>
      </c>
      <c r="AN359" s="5">
        <v>76</v>
      </c>
      <c r="AO359" s="5">
        <v>19</v>
      </c>
      <c r="AP359" s="5">
        <v>5</v>
      </c>
      <c r="AQ359" s="5">
        <v>1127</v>
      </c>
      <c r="AR359" s="5">
        <v>1134</v>
      </c>
      <c r="AS359" s="5" t="s">
        <v>16</v>
      </c>
      <c r="AT359" s="5" t="s">
        <v>2095</v>
      </c>
      <c r="AU359" s="5" t="s">
        <v>2096</v>
      </c>
      <c r="AV359" s="5" t="s">
        <v>2098</v>
      </c>
    </row>
    <row r="360" spans="1:48" ht="45" customHeight="1" x14ac:dyDescent="0.15">
      <c r="A360" s="5" t="s">
        <v>2099</v>
      </c>
      <c r="B360" s="5">
        <v>2019</v>
      </c>
      <c r="C360" s="5" t="s">
        <v>2100</v>
      </c>
      <c r="D360" s="5" t="s">
        <v>44</v>
      </c>
      <c r="E360" s="5" t="s">
        <v>18453</v>
      </c>
      <c r="F360" s="5" t="s">
        <v>2103</v>
      </c>
      <c r="G360" s="5"/>
      <c r="H360" s="5"/>
      <c r="I360" s="5"/>
      <c r="J360" s="5"/>
      <c r="K360" s="5"/>
      <c r="L360" s="5"/>
      <c r="M360" s="5"/>
      <c r="N360" s="5"/>
      <c r="O360" s="5"/>
      <c r="P360" s="5"/>
      <c r="Q360" s="5"/>
      <c r="AL360" s="7" t="str">
        <f>HYPERLINK("http://dx.doi.org/10.3389/fevo.2019.00224","http://dx.doi.org/10.3389/fevo.2019.00224")</f>
        <v>http://dx.doi.org/10.3389/fevo.2019.00224</v>
      </c>
      <c r="AM360" s="5">
        <v>10</v>
      </c>
      <c r="AN360" s="5">
        <v>10</v>
      </c>
      <c r="AO360" s="5">
        <v>7</v>
      </c>
      <c r="AP360" s="5" t="s">
        <v>16</v>
      </c>
      <c r="AQ360" s="5" t="s">
        <v>16</v>
      </c>
      <c r="AR360" s="5" t="s">
        <v>16</v>
      </c>
      <c r="AS360" s="5">
        <v>224</v>
      </c>
      <c r="AT360" s="5" t="s">
        <v>2101</v>
      </c>
      <c r="AU360" s="5" t="s">
        <v>2102</v>
      </c>
      <c r="AV360" s="5" t="s">
        <v>2104</v>
      </c>
    </row>
    <row r="361" spans="1:48" ht="45" customHeight="1" x14ac:dyDescent="0.15">
      <c r="A361" s="5" t="s">
        <v>2105</v>
      </c>
      <c r="B361" s="5">
        <v>1997</v>
      </c>
      <c r="C361" s="5" t="s">
        <v>2106</v>
      </c>
      <c r="D361" s="5" t="s">
        <v>82</v>
      </c>
      <c r="E361" s="5" t="s">
        <v>18453</v>
      </c>
      <c r="F361" s="5" t="s">
        <v>2109</v>
      </c>
      <c r="G361" s="5"/>
      <c r="H361" s="5"/>
      <c r="I361" s="5"/>
      <c r="J361" s="5"/>
      <c r="K361" s="5"/>
      <c r="L361" s="5"/>
      <c r="M361" s="5"/>
      <c r="N361" s="5"/>
      <c r="O361" s="5"/>
      <c r="P361" s="5"/>
      <c r="Q361" s="5"/>
      <c r="AL361" s="5" t="s">
        <v>16</v>
      </c>
      <c r="AM361" s="5">
        <v>74</v>
      </c>
      <c r="AN361" s="5">
        <v>85</v>
      </c>
      <c r="AO361" s="5">
        <v>7</v>
      </c>
      <c r="AP361" s="5">
        <v>3</v>
      </c>
      <c r="AQ361" s="5">
        <v>854</v>
      </c>
      <c r="AR361" s="5">
        <v>863</v>
      </c>
      <c r="AS361" s="5" t="s">
        <v>16</v>
      </c>
      <c r="AT361" s="5" t="s">
        <v>2107</v>
      </c>
      <c r="AU361" s="5" t="s">
        <v>2108</v>
      </c>
      <c r="AV361" s="5" t="s">
        <v>16</v>
      </c>
    </row>
    <row r="362" spans="1:48" ht="45" customHeight="1" x14ac:dyDescent="0.15">
      <c r="A362" s="5" t="s">
        <v>2110</v>
      </c>
      <c r="B362" s="5">
        <v>2017</v>
      </c>
      <c r="C362" s="5" t="s">
        <v>2111</v>
      </c>
      <c r="D362" s="5" t="s">
        <v>17</v>
      </c>
      <c r="E362" s="5" t="s">
        <v>18453</v>
      </c>
      <c r="F362" s="5" t="s">
        <v>2114</v>
      </c>
      <c r="G362" s="5"/>
      <c r="H362" s="5"/>
      <c r="I362" s="5"/>
      <c r="J362" s="5"/>
      <c r="K362" s="5"/>
      <c r="L362" s="5"/>
      <c r="M362" s="5"/>
      <c r="N362" s="5"/>
      <c r="O362" s="5"/>
      <c r="P362" s="5"/>
      <c r="Q362" s="5"/>
      <c r="AL362" s="7" t="str">
        <f>HYPERLINK("http://dx.doi.org/10.1111/fwb.12882","http://dx.doi.org/10.1111/fwb.12882")</f>
        <v>http://dx.doi.org/10.1111/fwb.12882</v>
      </c>
      <c r="AM362" s="5">
        <v>26</v>
      </c>
      <c r="AN362" s="5">
        <v>27</v>
      </c>
      <c r="AO362" s="5">
        <v>62</v>
      </c>
      <c r="AP362" s="5">
        <v>3</v>
      </c>
      <c r="AQ362" s="5">
        <v>519</v>
      </c>
      <c r="AR362" s="5">
        <v>529</v>
      </c>
      <c r="AS362" s="5" t="s">
        <v>16</v>
      </c>
      <c r="AT362" s="5" t="s">
        <v>2112</v>
      </c>
      <c r="AU362" s="5" t="s">
        <v>2113</v>
      </c>
      <c r="AV362" s="5" t="s">
        <v>2115</v>
      </c>
    </row>
    <row r="363" spans="1:48" ht="45" customHeight="1" x14ac:dyDescent="0.15">
      <c r="A363" s="5" t="s">
        <v>2116</v>
      </c>
      <c r="B363" s="5">
        <v>2021</v>
      </c>
      <c r="C363" s="5" t="s">
        <v>2117</v>
      </c>
      <c r="D363" s="5" t="s">
        <v>49</v>
      </c>
      <c r="E363" s="5" t="s">
        <v>18453</v>
      </c>
      <c r="F363" s="5" t="s">
        <v>2120</v>
      </c>
      <c r="G363" s="5"/>
      <c r="H363" s="5"/>
      <c r="I363" s="5"/>
      <c r="J363" s="5"/>
      <c r="K363" s="5"/>
      <c r="L363" s="5"/>
      <c r="M363" s="5"/>
      <c r="N363" s="5"/>
      <c r="O363" s="5"/>
      <c r="P363" s="5"/>
      <c r="Q363" s="5"/>
      <c r="AL363" s="7" t="str">
        <f>HYPERLINK("http://dx.doi.org/10.3354/meps13601","http://dx.doi.org/10.3354/meps13601")</f>
        <v>http://dx.doi.org/10.3354/meps13601</v>
      </c>
      <c r="AM363" s="5">
        <v>5</v>
      </c>
      <c r="AN363" s="5">
        <v>5</v>
      </c>
      <c r="AO363" s="5">
        <v>661</v>
      </c>
      <c r="AP363" s="5" t="s">
        <v>16</v>
      </c>
      <c r="AQ363" s="5">
        <v>187</v>
      </c>
      <c r="AR363" s="5">
        <v>201</v>
      </c>
      <c r="AS363" s="5" t="s">
        <v>16</v>
      </c>
      <c r="AT363" s="5" t="s">
        <v>2118</v>
      </c>
      <c r="AU363" s="5" t="s">
        <v>2119</v>
      </c>
      <c r="AV363" s="5" t="s">
        <v>2121</v>
      </c>
    </row>
    <row r="364" spans="1:48" ht="45" customHeight="1" x14ac:dyDescent="0.15">
      <c r="A364" s="5" t="s">
        <v>2122</v>
      </c>
      <c r="B364" s="5">
        <v>2023</v>
      </c>
      <c r="C364" s="5" t="s">
        <v>2123</v>
      </c>
      <c r="D364" s="5" t="s">
        <v>33</v>
      </c>
      <c r="E364" s="5" t="s">
        <v>18453</v>
      </c>
      <c r="F364" s="5" t="s">
        <v>2126</v>
      </c>
      <c r="G364" s="5"/>
      <c r="H364" s="5"/>
      <c r="I364" s="5"/>
      <c r="J364" s="5"/>
      <c r="K364" s="5"/>
      <c r="L364" s="5"/>
      <c r="M364" s="5"/>
      <c r="N364" s="5"/>
      <c r="O364" s="5"/>
      <c r="P364" s="5"/>
      <c r="Q364" s="5"/>
      <c r="AL364" s="7" t="str">
        <f>HYPERLINK("http://dx.doi.org/10.1111/gcb.16642","http://dx.doi.org/10.1111/gcb.16642")</f>
        <v>http://dx.doi.org/10.1111/gcb.16642</v>
      </c>
      <c r="AM364" s="5">
        <v>0</v>
      </c>
      <c r="AN364" s="5">
        <v>0</v>
      </c>
      <c r="AO364" s="5">
        <v>29</v>
      </c>
      <c r="AP364" s="5">
        <v>9</v>
      </c>
      <c r="AQ364" s="5">
        <v>2450</v>
      </c>
      <c r="AR364" s="5">
        <v>2465</v>
      </c>
      <c r="AS364" s="5" t="s">
        <v>16</v>
      </c>
      <c r="AT364" s="5" t="s">
        <v>2124</v>
      </c>
      <c r="AU364" s="5" t="s">
        <v>2125</v>
      </c>
      <c r="AV364" s="5" t="s">
        <v>2127</v>
      </c>
    </row>
    <row r="365" spans="1:48" ht="45" customHeight="1" x14ac:dyDescent="0.15">
      <c r="A365" s="5" t="s">
        <v>2128</v>
      </c>
      <c r="B365" s="5">
        <v>2009</v>
      </c>
      <c r="C365" s="5" t="s">
        <v>2129</v>
      </c>
      <c r="D365" s="5" t="s">
        <v>160</v>
      </c>
      <c r="E365" s="5" t="s">
        <v>18453</v>
      </c>
      <c r="F365" s="5" t="s">
        <v>2132</v>
      </c>
      <c r="G365" s="5"/>
      <c r="H365" s="5"/>
      <c r="I365" s="5"/>
      <c r="J365" s="5"/>
      <c r="K365" s="5"/>
      <c r="L365" s="5"/>
      <c r="M365" s="5"/>
      <c r="N365" s="5"/>
      <c r="O365" s="5"/>
      <c r="P365" s="5"/>
      <c r="Q365" s="5"/>
      <c r="AL365" s="7" t="str">
        <f>HYPERLINK("http://dx.doi.org/10.1111/j.1365-2664.2009.01651.x","http://dx.doi.org/10.1111/j.1365-2664.2009.01651.x")</f>
        <v>http://dx.doi.org/10.1111/j.1365-2664.2009.01651.x</v>
      </c>
      <c r="AM365" s="5">
        <v>65</v>
      </c>
      <c r="AN365" s="5">
        <v>68</v>
      </c>
      <c r="AO365" s="5">
        <v>46</v>
      </c>
      <c r="AP365" s="5">
        <v>3</v>
      </c>
      <c r="AQ365" s="5">
        <v>572</v>
      </c>
      <c r="AR365" s="5">
        <v>581</v>
      </c>
      <c r="AS365" s="5" t="s">
        <v>16</v>
      </c>
      <c r="AT365" s="5" t="s">
        <v>2130</v>
      </c>
      <c r="AU365" s="5" t="s">
        <v>2131</v>
      </c>
      <c r="AV365" s="5" t="s">
        <v>2133</v>
      </c>
    </row>
    <row r="366" spans="1:48" ht="45" customHeight="1" x14ac:dyDescent="0.15">
      <c r="A366" s="5" t="s">
        <v>2134</v>
      </c>
      <c r="B366" s="5">
        <v>2007</v>
      </c>
      <c r="C366" s="5" t="s">
        <v>2135</v>
      </c>
      <c r="D366" s="5" t="s">
        <v>49</v>
      </c>
      <c r="E366" s="5" t="s">
        <v>18453</v>
      </c>
      <c r="F366" s="5" t="s">
        <v>2138</v>
      </c>
      <c r="G366" s="5"/>
      <c r="H366" s="5"/>
      <c r="I366" s="5"/>
      <c r="J366" s="5"/>
      <c r="K366" s="5"/>
      <c r="L366" s="5"/>
      <c r="M366" s="5"/>
      <c r="N366" s="5"/>
      <c r="O366" s="5"/>
      <c r="P366" s="5"/>
      <c r="Q366" s="5"/>
      <c r="AL366" s="7" t="str">
        <f>HYPERLINK("http://dx.doi.org/10.3354/meps336001","http://dx.doi.org/10.3354/meps336001")</f>
        <v>http://dx.doi.org/10.3354/meps336001</v>
      </c>
      <c r="AM366" s="5">
        <v>43</v>
      </c>
      <c r="AN366" s="5">
        <v>48</v>
      </c>
      <c r="AO366" s="5">
        <v>336</v>
      </c>
      <c r="AP366" s="5" t="s">
        <v>16</v>
      </c>
      <c r="AQ366" s="5">
        <v>1</v>
      </c>
      <c r="AR366" s="5">
        <v>14</v>
      </c>
      <c r="AS366" s="5" t="s">
        <v>16</v>
      </c>
      <c r="AT366" s="5" t="s">
        <v>2136</v>
      </c>
      <c r="AU366" s="5" t="s">
        <v>2137</v>
      </c>
      <c r="AV366" s="5" t="s">
        <v>2139</v>
      </c>
    </row>
    <row r="367" spans="1:48" ht="45" customHeight="1" x14ac:dyDescent="0.15">
      <c r="A367" s="5" t="s">
        <v>2140</v>
      </c>
      <c r="B367" s="5">
        <v>2019</v>
      </c>
      <c r="C367" s="5" t="s">
        <v>2141</v>
      </c>
      <c r="D367" s="5" t="s">
        <v>172</v>
      </c>
      <c r="E367" s="5" t="s">
        <v>18453</v>
      </c>
      <c r="F367" s="5" t="s">
        <v>2144</v>
      </c>
      <c r="G367" s="5"/>
      <c r="H367" s="5"/>
      <c r="I367" s="5"/>
      <c r="J367" s="5"/>
      <c r="K367" s="5"/>
      <c r="L367" s="5"/>
      <c r="M367" s="5"/>
      <c r="N367" s="5"/>
      <c r="O367" s="5"/>
      <c r="P367" s="5"/>
      <c r="Q367" s="5"/>
      <c r="AL367" s="7" t="str">
        <f>HYPERLINK("http://dx.doi.org/10.1007/s00442-019-04457-2","http://dx.doi.org/10.1007/s00442-019-04457-2")</f>
        <v>http://dx.doi.org/10.1007/s00442-019-04457-2</v>
      </c>
      <c r="AM367" s="5">
        <v>7</v>
      </c>
      <c r="AN367" s="5">
        <v>7</v>
      </c>
      <c r="AO367" s="5">
        <v>190</v>
      </c>
      <c r="AP367" s="5">
        <v>4</v>
      </c>
      <c r="AQ367" s="5">
        <v>769</v>
      </c>
      <c r="AR367" s="5">
        <v>781</v>
      </c>
      <c r="AS367" s="5" t="s">
        <v>16</v>
      </c>
      <c r="AT367" s="5" t="s">
        <v>2142</v>
      </c>
      <c r="AU367" s="5" t="s">
        <v>2143</v>
      </c>
      <c r="AV367" s="5" t="s">
        <v>2145</v>
      </c>
    </row>
    <row r="368" spans="1:48" ht="45" customHeight="1" x14ac:dyDescent="0.15">
      <c r="A368" s="5" t="s">
        <v>2146</v>
      </c>
      <c r="B368" s="5">
        <v>2020</v>
      </c>
      <c r="C368" s="5" t="s">
        <v>2147</v>
      </c>
      <c r="D368" s="5" t="s">
        <v>15</v>
      </c>
      <c r="E368" s="5" t="s">
        <v>18453</v>
      </c>
      <c r="F368" s="5" t="s">
        <v>2150</v>
      </c>
      <c r="G368" s="5"/>
      <c r="H368" s="5"/>
      <c r="I368" s="5"/>
      <c r="J368" s="5"/>
      <c r="K368" s="5"/>
      <c r="L368" s="5"/>
      <c r="M368" s="5"/>
      <c r="N368" s="5"/>
      <c r="O368" s="5"/>
      <c r="P368" s="5"/>
      <c r="Q368" s="5"/>
      <c r="AL368" s="7" t="str">
        <f>HYPERLINK("http://dx.doi.org/10.1002/ece3.6142","http://dx.doi.org/10.1002/ece3.6142")</f>
        <v>http://dx.doi.org/10.1002/ece3.6142</v>
      </c>
      <c r="AM368" s="5">
        <v>13</v>
      </c>
      <c r="AN368" s="5">
        <v>13</v>
      </c>
      <c r="AO368" s="5">
        <v>10</v>
      </c>
      <c r="AP368" s="5">
        <v>7</v>
      </c>
      <c r="AQ368" s="5">
        <v>3450</v>
      </c>
      <c r="AR368" s="5">
        <v>3462</v>
      </c>
      <c r="AS368" s="5" t="s">
        <v>16</v>
      </c>
      <c r="AT368" s="5" t="s">
        <v>2148</v>
      </c>
      <c r="AU368" s="5" t="s">
        <v>2149</v>
      </c>
      <c r="AV368" s="5" t="s">
        <v>2151</v>
      </c>
    </row>
    <row r="369" spans="1:48" ht="45" customHeight="1" x14ac:dyDescent="0.15">
      <c r="A369" s="5" t="s">
        <v>2152</v>
      </c>
      <c r="B369" s="5">
        <v>2022</v>
      </c>
      <c r="C369" s="5" t="s">
        <v>2153</v>
      </c>
      <c r="D369" s="5" t="s">
        <v>1419</v>
      </c>
      <c r="E369" s="5" t="s">
        <v>18453</v>
      </c>
      <c r="F369" s="5" t="s">
        <v>2156</v>
      </c>
      <c r="G369" s="5"/>
      <c r="H369" s="5"/>
      <c r="I369" s="5"/>
      <c r="J369" s="5"/>
      <c r="K369" s="5"/>
      <c r="L369" s="5"/>
      <c r="M369" s="5"/>
      <c r="N369" s="5"/>
      <c r="O369" s="5"/>
      <c r="P369" s="5"/>
      <c r="Q369" s="5"/>
      <c r="AL369" s="7" t="str">
        <f>HYPERLINK("http://dx.doi.org/10.1016/j.fooweb.2022.e00259","http://dx.doi.org/10.1016/j.fooweb.2022.e00259")</f>
        <v>http://dx.doi.org/10.1016/j.fooweb.2022.e00259</v>
      </c>
      <c r="AM369" s="5">
        <v>0</v>
      </c>
      <c r="AN369" s="5">
        <v>0</v>
      </c>
      <c r="AO369" s="5">
        <v>33</v>
      </c>
      <c r="AP369" s="5" t="s">
        <v>16</v>
      </c>
      <c r="AQ369" s="5" t="s">
        <v>16</v>
      </c>
      <c r="AR369" s="5" t="s">
        <v>16</v>
      </c>
      <c r="AS369" s="5" t="s">
        <v>2157</v>
      </c>
      <c r="AT369" s="5" t="s">
        <v>2154</v>
      </c>
      <c r="AU369" s="5" t="s">
        <v>2155</v>
      </c>
      <c r="AV369" s="5" t="s">
        <v>2158</v>
      </c>
    </row>
    <row r="370" spans="1:48" ht="45" customHeight="1" x14ac:dyDescent="0.15">
      <c r="A370" s="5" t="s">
        <v>2159</v>
      </c>
      <c r="B370" s="5">
        <v>2012</v>
      </c>
      <c r="C370" s="5" t="s">
        <v>2160</v>
      </c>
      <c r="D370" s="5" t="s">
        <v>17</v>
      </c>
      <c r="E370" s="5" t="s">
        <v>18453</v>
      </c>
      <c r="F370" s="5" t="s">
        <v>2163</v>
      </c>
      <c r="G370" s="5"/>
      <c r="H370" s="5"/>
      <c r="I370" s="5"/>
      <c r="J370" s="5"/>
      <c r="K370" s="5"/>
      <c r="L370" s="5"/>
      <c r="M370" s="5"/>
      <c r="N370" s="5"/>
      <c r="O370" s="5"/>
      <c r="P370" s="5"/>
      <c r="Q370" s="5"/>
      <c r="AL370" s="7" t="str">
        <f>HYPERLINK("http://dx.doi.org/10.1111/j.1365-2427.2011.02607.x","http://dx.doi.org/10.1111/j.1365-2427.2011.02607.x")</f>
        <v>http://dx.doi.org/10.1111/j.1365-2427.2011.02607.x</v>
      </c>
      <c r="AM370" s="5">
        <v>27</v>
      </c>
      <c r="AN370" s="5">
        <v>28</v>
      </c>
      <c r="AO370" s="5">
        <v>57</v>
      </c>
      <c r="AP370" s="5">
        <v>2</v>
      </c>
      <c r="AQ370" s="5">
        <v>373</v>
      </c>
      <c r="AR370" s="5">
        <v>383</v>
      </c>
      <c r="AS370" s="5" t="s">
        <v>16</v>
      </c>
      <c r="AT370" s="5" t="s">
        <v>2161</v>
      </c>
      <c r="AU370" s="5" t="s">
        <v>2162</v>
      </c>
      <c r="AV370" s="5" t="s">
        <v>2164</v>
      </c>
    </row>
    <row r="371" spans="1:48" ht="45" customHeight="1" x14ac:dyDescent="0.15">
      <c r="A371" s="5" t="s">
        <v>2165</v>
      </c>
      <c r="B371" s="5">
        <v>1998</v>
      </c>
      <c r="C371" s="5" t="s">
        <v>2166</v>
      </c>
      <c r="D371" s="5" t="s">
        <v>172</v>
      </c>
      <c r="E371" s="5" t="s">
        <v>18453</v>
      </c>
      <c r="F371" s="5" t="s">
        <v>2169</v>
      </c>
      <c r="G371" s="5"/>
      <c r="H371" s="5"/>
      <c r="I371" s="5"/>
      <c r="J371" s="5"/>
      <c r="K371" s="5"/>
      <c r="L371" s="5"/>
      <c r="M371" s="5"/>
      <c r="N371" s="5"/>
      <c r="O371" s="5"/>
      <c r="P371" s="5"/>
      <c r="Q371" s="5"/>
      <c r="AL371" s="7" t="str">
        <f>HYPERLINK("http://dx.doi.org/10.1007/s004420050468","http://dx.doi.org/10.1007/s004420050468")</f>
        <v>http://dx.doi.org/10.1007/s004420050468</v>
      </c>
      <c r="AM371" s="5">
        <v>390</v>
      </c>
      <c r="AN371" s="5">
        <v>403</v>
      </c>
      <c r="AO371" s="5">
        <v>114</v>
      </c>
      <c r="AP371" s="5">
        <v>4</v>
      </c>
      <c r="AQ371" s="5">
        <v>441</v>
      </c>
      <c r="AR371" s="5">
        <v>454</v>
      </c>
      <c r="AS371" s="5" t="s">
        <v>16</v>
      </c>
      <c r="AT371" s="5" t="s">
        <v>2167</v>
      </c>
      <c r="AU371" s="5" t="s">
        <v>2168</v>
      </c>
      <c r="AV371" s="5" t="s">
        <v>2170</v>
      </c>
    </row>
    <row r="372" spans="1:48" ht="45" customHeight="1" x14ac:dyDescent="0.15">
      <c r="A372" s="5" t="s">
        <v>2171</v>
      </c>
      <c r="B372" s="5">
        <v>2021</v>
      </c>
      <c r="C372" s="5" t="s">
        <v>2172</v>
      </c>
      <c r="D372" s="5" t="s">
        <v>162</v>
      </c>
      <c r="E372" s="5" t="s">
        <v>18453</v>
      </c>
      <c r="F372" s="5" t="s">
        <v>2175</v>
      </c>
      <c r="G372" s="5"/>
      <c r="H372" s="5"/>
      <c r="I372" s="5"/>
      <c r="J372" s="5"/>
      <c r="K372" s="5"/>
      <c r="L372" s="5"/>
      <c r="M372" s="5"/>
      <c r="N372" s="5"/>
      <c r="O372" s="5"/>
      <c r="P372" s="5"/>
      <c r="Q372" s="5"/>
      <c r="AL372" s="7" t="str">
        <f>HYPERLINK("http://dx.doi.org/10.1111/1365-2435.13747","http://dx.doi.org/10.1111/1365-2435.13747")</f>
        <v>http://dx.doi.org/10.1111/1365-2435.13747</v>
      </c>
      <c r="AM372" s="5">
        <v>12</v>
      </c>
      <c r="AN372" s="5">
        <v>12</v>
      </c>
      <c r="AO372" s="5">
        <v>35</v>
      </c>
      <c r="AP372" s="5">
        <v>4</v>
      </c>
      <c r="AQ372" s="5">
        <v>821</v>
      </c>
      <c r="AR372" s="5">
        <v>834</v>
      </c>
      <c r="AS372" s="5" t="s">
        <v>16</v>
      </c>
      <c r="AT372" s="5" t="s">
        <v>2173</v>
      </c>
      <c r="AU372" s="5" t="s">
        <v>2174</v>
      </c>
      <c r="AV372" s="5" t="s">
        <v>2176</v>
      </c>
    </row>
    <row r="373" spans="1:48" ht="45" customHeight="1" x14ac:dyDescent="0.15">
      <c r="A373" s="5" t="s">
        <v>2177</v>
      </c>
      <c r="B373" s="5">
        <v>2018</v>
      </c>
      <c r="C373" s="5" t="s">
        <v>2178</v>
      </c>
      <c r="D373" s="5" t="s">
        <v>33</v>
      </c>
      <c r="E373" s="5" t="s">
        <v>18453</v>
      </c>
      <c r="F373" s="5" t="s">
        <v>2181</v>
      </c>
      <c r="G373" s="5"/>
      <c r="H373" s="5"/>
      <c r="I373" s="5"/>
      <c r="J373" s="5"/>
      <c r="K373" s="5"/>
      <c r="L373" s="5"/>
      <c r="M373" s="5"/>
      <c r="N373" s="5"/>
      <c r="O373" s="5"/>
      <c r="P373" s="5"/>
      <c r="Q373" s="5"/>
      <c r="AL373" s="7" t="str">
        <f>HYPERLINK("http://dx.doi.org/10.1111/gcb.14291","http://dx.doi.org/10.1111/gcb.14291")</f>
        <v>http://dx.doi.org/10.1111/gcb.14291</v>
      </c>
      <c r="AM373" s="5">
        <v>21</v>
      </c>
      <c r="AN373" s="5">
        <v>21</v>
      </c>
      <c r="AO373" s="5">
        <v>24</v>
      </c>
      <c r="AP373" s="5">
        <v>8</v>
      </c>
      <c r="AQ373" s="5">
        <v>3642</v>
      </c>
      <c r="AR373" s="5">
        <v>3653</v>
      </c>
      <c r="AS373" s="5" t="s">
        <v>16</v>
      </c>
      <c r="AT373" s="5" t="s">
        <v>2179</v>
      </c>
      <c r="AU373" s="5" t="s">
        <v>2180</v>
      </c>
      <c r="AV373" s="5" t="s">
        <v>2182</v>
      </c>
    </row>
    <row r="374" spans="1:48" ht="45" customHeight="1" x14ac:dyDescent="0.15">
      <c r="A374" s="5" t="s">
        <v>2183</v>
      </c>
      <c r="B374" s="5">
        <v>2022</v>
      </c>
      <c r="C374" s="5" t="s">
        <v>2184</v>
      </c>
      <c r="D374" s="5" t="s">
        <v>15</v>
      </c>
      <c r="E374" s="5" t="s">
        <v>18453</v>
      </c>
      <c r="F374" s="5" t="s">
        <v>2187</v>
      </c>
      <c r="G374" s="5"/>
      <c r="H374" s="5"/>
      <c r="I374" s="5"/>
      <c r="J374" s="5"/>
      <c r="K374" s="5"/>
      <c r="L374" s="5"/>
      <c r="M374" s="5"/>
      <c r="N374" s="5"/>
      <c r="O374" s="5"/>
      <c r="P374" s="5"/>
      <c r="Q374" s="5"/>
      <c r="AL374" s="7" t="str">
        <f>HYPERLINK("http://dx.doi.org/10.1002/ece3.9092","http://dx.doi.org/10.1002/ece3.9092")</f>
        <v>http://dx.doi.org/10.1002/ece3.9092</v>
      </c>
      <c r="AM374" s="5">
        <v>0</v>
      </c>
      <c r="AN374" s="5">
        <v>0</v>
      </c>
      <c r="AO374" s="5">
        <v>12</v>
      </c>
      <c r="AP374" s="5">
        <v>7</v>
      </c>
      <c r="AQ374" s="5" t="s">
        <v>16</v>
      </c>
      <c r="AR374" s="5" t="s">
        <v>16</v>
      </c>
      <c r="AS374" s="5" t="s">
        <v>2188</v>
      </c>
      <c r="AT374" s="5" t="s">
        <v>2185</v>
      </c>
      <c r="AU374" s="5" t="s">
        <v>2186</v>
      </c>
      <c r="AV374" s="5" t="s">
        <v>2189</v>
      </c>
    </row>
    <row r="375" spans="1:48" ht="45" customHeight="1" x14ac:dyDescent="0.15">
      <c r="A375" s="5" t="s">
        <v>2190</v>
      </c>
      <c r="B375" s="5">
        <v>2012</v>
      </c>
      <c r="C375" s="5" t="s">
        <v>2191</v>
      </c>
      <c r="D375" s="5" t="s">
        <v>49</v>
      </c>
      <c r="E375" s="5" t="s">
        <v>18453</v>
      </c>
      <c r="F375" s="5" t="s">
        <v>2194</v>
      </c>
      <c r="G375" s="5"/>
      <c r="H375" s="5"/>
      <c r="I375" s="5"/>
      <c r="J375" s="5"/>
      <c r="K375" s="5"/>
      <c r="L375" s="5"/>
      <c r="M375" s="5"/>
      <c r="N375" s="5"/>
      <c r="O375" s="5"/>
      <c r="P375" s="5"/>
      <c r="Q375" s="5"/>
      <c r="AL375" s="7" t="str">
        <f>HYPERLINK("http://dx.doi.org/10.3354/meps10004","http://dx.doi.org/10.3354/meps10004")</f>
        <v>http://dx.doi.org/10.3354/meps10004</v>
      </c>
      <c r="AM375" s="5">
        <v>20</v>
      </c>
      <c r="AN375" s="5">
        <v>20</v>
      </c>
      <c r="AO375" s="5">
        <v>469</v>
      </c>
      <c r="AP375" s="5" t="s">
        <v>16</v>
      </c>
      <c r="AQ375" s="5">
        <v>161</v>
      </c>
      <c r="AR375" s="5">
        <v>174</v>
      </c>
      <c r="AS375" s="5" t="s">
        <v>16</v>
      </c>
      <c r="AT375" s="5" t="s">
        <v>2192</v>
      </c>
      <c r="AU375" s="5" t="s">
        <v>2193</v>
      </c>
      <c r="AV375" s="5" t="s">
        <v>2195</v>
      </c>
    </row>
    <row r="376" spans="1:48" ht="45" customHeight="1" x14ac:dyDescent="0.15">
      <c r="A376" s="5" t="s">
        <v>2196</v>
      </c>
      <c r="B376" s="5">
        <v>2020</v>
      </c>
      <c r="C376" s="5" t="s">
        <v>2197</v>
      </c>
      <c r="D376" s="5" t="s">
        <v>33</v>
      </c>
      <c r="E376" s="5" t="s">
        <v>18453</v>
      </c>
      <c r="F376" s="5" t="s">
        <v>2200</v>
      </c>
      <c r="G376" s="5"/>
      <c r="H376" s="5"/>
      <c r="I376" s="5"/>
      <c r="J376" s="5"/>
      <c r="K376" s="5"/>
      <c r="L376" s="5"/>
      <c r="M376" s="5"/>
      <c r="N376" s="5"/>
      <c r="O376" s="5"/>
      <c r="P376" s="5"/>
      <c r="Q376" s="5"/>
      <c r="AL376" s="7" t="str">
        <f>HYPERLINK("http://dx.doi.org/10.1111/gcb.14923","http://dx.doi.org/10.1111/gcb.14923")</f>
        <v>http://dx.doi.org/10.1111/gcb.14923</v>
      </c>
      <c r="AM376" s="5">
        <v>17</v>
      </c>
      <c r="AN376" s="5">
        <v>17</v>
      </c>
      <c r="AO376" s="5">
        <v>26</v>
      </c>
      <c r="AP376" s="5">
        <v>3</v>
      </c>
      <c r="AQ376" s="5">
        <v>1338</v>
      </c>
      <c r="AR376" s="5">
        <v>1353</v>
      </c>
      <c r="AS376" s="5" t="s">
        <v>16</v>
      </c>
      <c r="AT376" s="5" t="s">
        <v>2198</v>
      </c>
      <c r="AU376" s="5" t="s">
        <v>2199</v>
      </c>
      <c r="AV376" s="5" t="s">
        <v>2201</v>
      </c>
    </row>
    <row r="377" spans="1:48" ht="45" customHeight="1" x14ac:dyDescent="0.15">
      <c r="A377" s="5" t="s">
        <v>2202</v>
      </c>
      <c r="B377" s="5">
        <v>2003</v>
      </c>
      <c r="C377" s="5" t="s">
        <v>2203</v>
      </c>
      <c r="D377" s="5" t="s">
        <v>172</v>
      </c>
      <c r="E377" s="5" t="s">
        <v>18453</v>
      </c>
      <c r="F377" s="5" t="s">
        <v>2206</v>
      </c>
      <c r="G377" s="5"/>
      <c r="H377" s="5"/>
      <c r="I377" s="5"/>
      <c r="J377" s="5"/>
      <c r="K377" s="5"/>
      <c r="L377" s="5"/>
      <c r="M377" s="5"/>
      <c r="N377" s="5"/>
      <c r="O377" s="5"/>
      <c r="P377" s="5"/>
      <c r="Q377" s="5"/>
      <c r="AL377" s="7" t="str">
        <f>HYPERLINK("http://dx.doi.org/10.1007/s00442-003-1218-3","http://dx.doi.org/10.1007/s00442-003-1218-3")</f>
        <v>http://dx.doi.org/10.1007/s00442-003-1218-3</v>
      </c>
      <c r="AM377" s="5">
        <v>1540</v>
      </c>
      <c r="AN377" s="5">
        <v>1766</v>
      </c>
      <c r="AO377" s="5">
        <v>136</v>
      </c>
      <c r="AP377" s="5">
        <v>2</v>
      </c>
      <c r="AQ377" s="5">
        <v>261</v>
      </c>
      <c r="AR377" s="5">
        <v>269</v>
      </c>
      <c r="AS377" s="5" t="s">
        <v>16</v>
      </c>
      <c r="AT377" s="5" t="s">
        <v>2204</v>
      </c>
      <c r="AU377" s="5" t="s">
        <v>2205</v>
      </c>
      <c r="AV377" s="5" t="s">
        <v>2207</v>
      </c>
    </row>
    <row r="378" spans="1:48" ht="45" customHeight="1" x14ac:dyDescent="0.15">
      <c r="A378" s="5" t="s">
        <v>2208</v>
      </c>
      <c r="B378" s="5">
        <v>2002</v>
      </c>
      <c r="C378" s="5" t="s">
        <v>2209</v>
      </c>
      <c r="D378" s="5" t="s">
        <v>49</v>
      </c>
      <c r="E378" s="5" t="s">
        <v>18453</v>
      </c>
      <c r="F378" s="5" t="s">
        <v>2212</v>
      </c>
      <c r="G378" s="5"/>
      <c r="H378" s="5"/>
      <c r="I378" s="5"/>
      <c r="J378" s="5"/>
      <c r="K378" s="5"/>
      <c r="L378" s="5"/>
      <c r="M378" s="5"/>
      <c r="N378" s="5"/>
      <c r="O378" s="5"/>
      <c r="P378" s="5"/>
      <c r="Q378" s="5"/>
      <c r="AL378" s="7" t="str">
        <f>HYPERLINK("http://dx.doi.org/10.3354/meps236233","http://dx.doi.org/10.3354/meps236233")</f>
        <v>http://dx.doi.org/10.3354/meps236233</v>
      </c>
      <c r="AM378" s="5">
        <v>136</v>
      </c>
      <c r="AN378" s="5">
        <v>140</v>
      </c>
      <c r="AO378" s="5">
        <v>236</v>
      </c>
      <c r="AP378" s="5" t="s">
        <v>16</v>
      </c>
      <c r="AQ378" s="5">
        <v>233</v>
      </c>
      <c r="AR378" s="5">
        <v>240</v>
      </c>
      <c r="AS378" s="5" t="s">
        <v>16</v>
      </c>
      <c r="AT378" s="5" t="s">
        <v>2210</v>
      </c>
      <c r="AU378" s="5" t="s">
        <v>2211</v>
      </c>
      <c r="AV378" s="5" t="s">
        <v>2213</v>
      </c>
    </row>
    <row r="379" spans="1:48" ht="45" customHeight="1" x14ac:dyDescent="0.15">
      <c r="A379" s="5" t="s">
        <v>2214</v>
      </c>
      <c r="B379" s="5">
        <v>2005</v>
      </c>
      <c r="C379" s="5" t="s">
        <v>2215</v>
      </c>
      <c r="D379" s="5" t="s">
        <v>172</v>
      </c>
      <c r="E379" s="5" t="s">
        <v>18453</v>
      </c>
      <c r="F379" s="5" t="s">
        <v>2218</v>
      </c>
      <c r="G379" s="5"/>
      <c r="H379" s="5"/>
      <c r="I379" s="5"/>
      <c r="J379" s="5"/>
      <c r="K379" s="5"/>
      <c r="L379" s="5"/>
      <c r="M379" s="5"/>
      <c r="N379" s="5"/>
      <c r="O379" s="5"/>
      <c r="P379" s="5"/>
      <c r="Q379" s="5"/>
      <c r="AL379" s="7" t="str">
        <f>HYPERLINK("http://dx.doi.org/10.1007/s00442-005-0152-y","http://dx.doi.org/10.1007/s00442-005-0152-y")</f>
        <v>http://dx.doi.org/10.1007/s00442-005-0152-y</v>
      </c>
      <c r="AM379" s="5">
        <v>110</v>
      </c>
      <c r="AN379" s="5">
        <v>125</v>
      </c>
      <c r="AO379" s="5">
        <v>145</v>
      </c>
      <c r="AP379" s="5">
        <v>4</v>
      </c>
      <c r="AQ379" s="5">
        <v>511</v>
      </c>
      <c r="AR379" s="5">
        <v>521</v>
      </c>
      <c r="AS379" s="5" t="s">
        <v>16</v>
      </c>
      <c r="AT379" s="5" t="s">
        <v>2216</v>
      </c>
      <c r="AU379" s="5" t="s">
        <v>2217</v>
      </c>
      <c r="AV379" s="5" t="s">
        <v>2219</v>
      </c>
    </row>
    <row r="380" spans="1:48" ht="45" customHeight="1" x14ac:dyDescent="0.15">
      <c r="A380" s="5" t="s">
        <v>2220</v>
      </c>
      <c r="B380" s="5">
        <v>2023</v>
      </c>
      <c r="C380" s="5" t="s">
        <v>2221</v>
      </c>
      <c r="D380" s="5" t="s">
        <v>17</v>
      </c>
      <c r="E380" s="5" t="s">
        <v>18453</v>
      </c>
      <c r="F380" s="5" t="s">
        <v>2224</v>
      </c>
      <c r="G380" s="5"/>
      <c r="H380" s="5"/>
      <c r="I380" s="5"/>
      <c r="J380" s="5"/>
      <c r="K380" s="5"/>
      <c r="L380" s="5"/>
      <c r="M380" s="5"/>
      <c r="N380" s="5"/>
      <c r="O380" s="5"/>
      <c r="P380" s="5"/>
      <c r="Q380" s="5"/>
      <c r="AL380" s="7" t="str">
        <f>HYPERLINK("http://dx.doi.org/10.1111/fwb.14041","http://dx.doi.org/10.1111/fwb.14041")</f>
        <v>http://dx.doi.org/10.1111/fwb.14041</v>
      </c>
      <c r="AM380" s="5">
        <v>1</v>
      </c>
      <c r="AN380" s="5">
        <v>1</v>
      </c>
      <c r="AO380" s="5">
        <v>68</v>
      </c>
      <c r="AP380" s="5">
        <v>3</v>
      </c>
      <c r="AQ380" s="5">
        <v>487</v>
      </c>
      <c r="AR380" s="5">
        <v>501</v>
      </c>
      <c r="AS380" s="5" t="s">
        <v>16</v>
      </c>
      <c r="AT380" s="5" t="s">
        <v>2222</v>
      </c>
      <c r="AU380" s="5" t="s">
        <v>2223</v>
      </c>
      <c r="AV380" s="5" t="s">
        <v>2225</v>
      </c>
    </row>
    <row r="381" spans="1:48" ht="45" customHeight="1" x14ac:dyDescent="0.15">
      <c r="A381" s="5" t="s">
        <v>2226</v>
      </c>
      <c r="B381" s="5">
        <v>2022</v>
      </c>
      <c r="C381" s="5" t="s">
        <v>2227</v>
      </c>
      <c r="D381" s="5" t="s">
        <v>15</v>
      </c>
      <c r="E381" s="5" t="s">
        <v>18453</v>
      </c>
      <c r="F381" s="5" t="s">
        <v>2230</v>
      </c>
      <c r="G381" s="5"/>
      <c r="H381" s="5"/>
      <c r="I381" s="5"/>
      <c r="J381" s="5"/>
      <c r="K381" s="5"/>
      <c r="L381" s="5"/>
      <c r="M381" s="5"/>
      <c r="N381" s="5"/>
      <c r="O381" s="5"/>
      <c r="P381" s="5"/>
      <c r="Q381" s="5"/>
      <c r="AL381" s="7" t="str">
        <f>HYPERLINK("http://dx.doi.org/10.1002/ece3.9696","http://dx.doi.org/10.1002/ece3.9696")</f>
        <v>http://dx.doi.org/10.1002/ece3.9696</v>
      </c>
      <c r="AM381" s="5">
        <v>0</v>
      </c>
      <c r="AN381" s="5">
        <v>0</v>
      </c>
      <c r="AO381" s="5">
        <v>12</v>
      </c>
      <c r="AP381" s="5">
        <v>12</v>
      </c>
      <c r="AQ381" s="5" t="s">
        <v>16</v>
      </c>
      <c r="AR381" s="5" t="s">
        <v>16</v>
      </c>
      <c r="AS381" s="5" t="s">
        <v>2231</v>
      </c>
      <c r="AT381" s="5" t="s">
        <v>2228</v>
      </c>
      <c r="AU381" s="5" t="s">
        <v>2229</v>
      </c>
      <c r="AV381" s="5" t="s">
        <v>2232</v>
      </c>
    </row>
    <row r="382" spans="1:48" ht="45" customHeight="1" x14ac:dyDescent="0.15">
      <c r="A382" s="5" t="s">
        <v>2233</v>
      </c>
      <c r="B382" s="5">
        <v>2011</v>
      </c>
      <c r="C382" s="5" t="s">
        <v>2234</v>
      </c>
      <c r="D382" s="5" t="s">
        <v>49</v>
      </c>
      <c r="E382" s="5" t="s">
        <v>18453</v>
      </c>
      <c r="F382" s="5" t="s">
        <v>2237</v>
      </c>
      <c r="G382" s="5"/>
      <c r="H382" s="5"/>
      <c r="I382" s="5"/>
      <c r="J382" s="5"/>
      <c r="K382" s="5"/>
      <c r="L382" s="5"/>
      <c r="M382" s="5"/>
      <c r="N382" s="5"/>
      <c r="O382" s="5"/>
      <c r="P382" s="5"/>
      <c r="Q382" s="5"/>
      <c r="AL382" s="7" t="str">
        <f>HYPERLINK("http://dx.doi.org/10.3354/meps09304","http://dx.doi.org/10.3354/meps09304")</f>
        <v>http://dx.doi.org/10.3354/meps09304</v>
      </c>
      <c r="AM382" s="5">
        <v>24</v>
      </c>
      <c r="AN382" s="5">
        <v>24</v>
      </c>
      <c r="AO382" s="5">
        <v>438</v>
      </c>
      <c r="AP382" s="5" t="s">
        <v>16</v>
      </c>
      <c r="AQ382" s="5">
        <v>175</v>
      </c>
      <c r="AR382" s="5">
        <v>184</v>
      </c>
      <c r="AS382" s="5" t="s">
        <v>16</v>
      </c>
      <c r="AT382" s="5" t="s">
        <v>2235</v>
      </c>
      <c r="AU382" s="5" t="s">
        <v>2236</v>
      </c>
      <c r="AV382" s="5" t="s">
        <v>2238</v>
      </c>
    </row>
    <row r="383" spans="1:48" ht="45" customHeight="1" x14ac:dyDescent="0.15">
      <c r="A383" s="5" t="s">
        <v>2239</v>
      </c>
      <c r="B383" s="5">
        <v>2017</v>
      </c>
      <c r="C383" s="5" t="s">
        <v>2240</v>
      </c>
      <c r="D383" s="5" t="s">
        <v>57</v>
      </c>
      <c r="E383" s="5" t="s">
        <v>18453</v>
      </c>
      <c r="F383" s="5" t="s">
        <v>2243</v>
      </c>
      <c r="G383" s="5"/>
      <c r="H383" s="5"/>
      <c r="I383" s="5"/>
      <c r="J383" s="5"/>
      <c r="K383" s="5"/>
      <c r="L383" s="5"/>
      <c r="M383" s="5"/>
      <c r="N383" s="5"/>
      <c r="O383" s="5"/>
      <c r="P383" s="5"/>
      <c r="Q383" s="5"/>
      <c r="AL383" s="7" t="str">
        <f>HYPERLINK("http://dx.doi.org/10.1098/rsbl.2017.0433","http://dx.doi.org/10.1098/rsbl.2017.0433")</f>
        <v>http://dx.doi.org/10.1098/rsbl.2017.0433</v>
      </c>
      <c r="AM383" s="5">
        <v>21</v>
      </c>
      <c r="AN383" s="5">
        <v>21</v>
      </c>
      <c r="AO383" s="5">
        <v>13</v>
      </c>
      <c r="AP383" s="5">
        <v>11</v>
      </c>
      <c r="AQ383" s="5" t="s">
        <v>16</v>
      </c>
      <c r="AR383" s="5" t="s">
        <v>16</v>
      </c>
      <c r="AS383" s="5">
        <v>20170433</v>
      </c>
      <c r="AT383" s="5" t="s">
        <v>2241</v>
      </c>
      <c r="AU383" s="5" t="s">
        <v>2242</v>
      </c>
      <c r="AV383" s="5" t="s">
        <v>2244</v>
      </c>
    </row>
    <row r="384" spans="1:48" ht="45" customHeight="1" x14ac:dyDescent="0.15">
      <c r="A384" s="5" t="s">
        <v>2245</v>
      </c>
      <c r="B384" s="5">
        <v>2022</v>
      </c>
      <c r="C384" s="5" t="s">
        <v>2246</v>
      </c>
      <c r="D384" s="5" t="s">
        <v>189</v>
      </c>
      <c r="E384" s="5" t="s">
        <v>18453</v>
      </c>
      <c r="F384" s="5" t="s">
        <v>2249</v>
      </c>
      <c r="G384" s="5"/>
      <c r="H384" s="5"/>
      <c r="I384" s="5"/>
      <c r="J384" s="5"/>
      <c r="K384" s="5"/>
      <c r="L384" s="5"/>
      <c r="M384" s="5"/>
      <c r="N384" s="5"/>
      <c r="O384" s="5"/>
      <c r="P384" s="5"/>
      <c r="Q384" s="5"/>
      <c r="AL384" s="7" t="str">
        <f>HYPERLINK("http://dx.doi.org/10.1111/ecog.05778","http://dx.doi.org/10.1111/ecog.05778")</f>
        <v>http://dx.doi.org/10.1111/ecog.05778</v>
      </c>
      <c r="AM384" s="5">
        <v>15</v>
      </c>
      <c r="AN384" s="5">
        <v>15</v>
      </c>
      <c r="AO384" s="5">
        <v>2022</v>
      </c>
      <c r="AP384" s="5">
        <v>4</v>
      </c>
      <c r="AQ384" s="5" t="s">
        <v>16</v>
      </c>
      <c r="AR384" s="5" t="s">
        <v>16</v>
      </c>
      <c r="AS384" s="5" t="s">
        <v>16</v>
      </c>
      <c r="AT384" s="5" t="s">
        <v>2247</v>
      </c>
      <c r="AU384" s="5" t="s">
        <v>2248</v>
      </c>
      <c r="AV384" s="5" t="s">
        <v>2250</v>
      </c>
    </row>
    <row r="385" spans="1:48" ht="45" customHeight="1" x14ac:dyDescent="0.15">
      <c r="A385" s="5" t="s">
        <v>2251</v>
      </c>
      <c r="B385" s="5">
        <v>1995</v>
      </c>
      <c r="C385" s="5" t="s">
        <v>2252</v>
      </c>
      <c r="D385" s="5" t="s">
        <v>262</v>
      </c>
      <c r="E385" s="5" t="s">
        <v>18453</v>
      </c>
      <c r="F385" s="5" t="s">
        <v>2254</v>
      </c>
      <c r="G385" s="5"/>
      <c r="H385" s="5"/>
      <c r="I385" s="5"/>
      <c r="J385" s="5"/>
      <c r="K385" s="5"/>
      <c r="L385" s="5"/>
      <c r="M385" s="5"/>
      <c r="N385" s="5"/>
      <c r="O385" s="5"/>
      <c r="P385" s="5"/>
      <c r="Q385" s="5"/>
      <c r="AL385" s="7" t="str">
        <f>HYPERLINK("http://dx.doi.org/10.2307/3545903","http://dx.doi.org/10.2307/3545903")</f>
        <v>http://dx.doi.org/10.2307/3545903</v>
      </c>
      <c r="AM385" s="5">
        <v>44</v>
      </c>
      <c r="AN385" s="5">
        <v>47</v>
      </c>
      <c r="AO385" s="5">
        <v>73</v>
      </c>
      <c r="AP385" s="5">
        <v>2</v>
      </c>
      <c r="AQ385" s="5">
        <v>148</v>
      </c>
      <c r="AR385" s="5">
        <v>154</v>
      </c>
      <c r="AS385" s="5" t="s">
        <v>16</v>
      </c>
      <c r="AT385" s="5" t="s">
        <v>16</v>
      </c>
      <c r="AU385" s="5" t="s">
        <v>2253</v>
      </c>
      <c r="AV385" s="5" t="s">
        <v>2255</v>
      </c>
    </row>
    <row r="386" spans="1:48" ht="45" customHeight="1" x14ac:dyDescent="0.15">
      <c r="A386" s="5" t="s">
        <v>2256</v>
      </c>
      <c r="B386" s="5">
        <v>2023</v>
      </c>
      <c r="C386" s="5" t="s">
        <v>2257</v>
      </c>
      <c r="D386" s="5" t="s">
        <v>33</v>
      </c>
      <c r="E386" s="5" t="s">
        <v>18453</v>
      </c>
      <c r="F386" s="5" t="s">
        <v>2260</v>
      </c>
      <c r="G386" s="5"/>
      <c r="H386" s="5"/>
      <c r="I386" s="5"/>
      <c r="J386" s="5"/>
      <c r="K386" s="5"/>
      <c r="L386" s="5"/>
      <c r="M386" s="5"/>
      <c r="N386" s="5"/>
      <c r="O386" s="5"/>
      <c r="P386" s="5"/>
      <c r="Q386" s="5"/>
      <c r="AL386" s="7" t="str">
        <f>HYPERLINK("http://dx.doi.org/10.1111/gcb.16835","http://dx.doi.org/10.1111/gcb.16835")</f>
        <v>http://dx.doi.org/10.1111/gcb.16835</v>
      </c>
      <c r="AM386" s="5">
        <v>0</v>
      </c>
      <c r="AN386" s="5">
        <v>0</v>
      </c>
      <c r="AO386" s="5" t="s">
        <v>16</v>
      </c>
      <c r="AP386" s="5" t="s">
        <v>16</v>
      </c>
      <c r="AQ386" s="5" t="s">
        <v>16</v>
      </c>
      <c r="AR386" s="5" t="s">
        <v>16</v>
      </c>
      <c r="AS386" s="5" t="s">
        <v>16</v>
      </c>
      <c r="AT386" s="5" t="s">
        <v>2258</v>
      </c>
      <c r="AU386" s="5" t="s">
        <v>2259</v>
      </c>
      <c r="AV386" s="5" t="s">
        <v>2261</v>
      </c>
    </row>
    <row r="387" spans="1:48" ht="45" customHeight="1" x14ac:dyDescent="0.15">
      <c r="A387" s="5" t="s">
        <v>2268</v>
      </c>
      <c r="B387" s="5">
        <v>2018</v>
      </c>
      <c r="C387" s="5" t="s">
        <v>2269</v>
      </c>
      <c r="D387" s="5" t="s">
        <v>57</v>
      </c>
      <c r="E387" s="5" t="s">
        <v>18453</v>
      </c>
      <c r="F387" s="5" t="s">
        <v>2272</v>
      </c>
      <c r="G387" s="5"/>
      <c r="H387" s="5"/>
      <c r="I387" s="5"/>
      <c r="J387" s="5"/>
      <c r="K387" s="5"/>
      <c r="L387" s="5"/>
      <c r="M387" s="5"/>
      <c r="N387" s="5"/>
      <c r="O387" s="5"/>
      <c r="P387" s="5"/>
      <c r="Q387" s="5"/>
      <c r="AL387" s="7" t="str">
        <f>HYPERLINK("http://dx.doi.org/10.1098/rsbl.2018.0741","http://dx.doi.org/10.1098/rsbl.2018.0741")</f>
        <v>http://dx.doi.org/10.1098/rsbl.2018.0741</v>
      </c>
      <c r="AM387" s="5">
        <v>39</v>
      </c>
      <c r="AN387" s="5">
        <v>40</v>
      </c>
      <c r="AO387" s="5">
        <v>14</v>
      </c>
      <c r="AP387" s="5">
        <v>12</v>
      </c>
      <c r="AQ387" s="5" t="s">
        <v>16</v>
      </c>
      <c r="AR387" s="5" t="s">
        <v>16</v>
      </c>
      <c r="AS387" s="5">
        <v>20180741</v>
      </c>
      <c r="AT387" s="5" t="s">
        <v>2270</v>
      </c>
      <c r="AU387" s="5" t="s">
        <v>2271</v>
      </c>
      <c r="AV387" s="5" t="s">
        <v>2273</v>
      </c>
    </row>
    <row r="388" spans="1:48" ht="45" customHeight="1" x14ac:dyDescent="0.15">
      <c r="A388" s="5" t="s">
        <v>2274</v>
      </c>
      <c r="B388" s="5">
        <v>2021</v>
      </c>
      <c r="C388" s="5" t="s">
        <v>2275</v>
      </c>
      <c r="D388" s="5" t="s">
        <v>15</v>
      </c>
      <c r="E388" s="5" t="s">
        <v>18453</v>
      </c>
      <c r="F388" s="5" t="s">
        <v>2278</v>
      </c>
      <c r="G388" s="5"/>
      <c r="H388" s="5"/>
      <c r="I388" s="5"/>
      <c r="J388" s="5"/>
      <c r="K388" s="5"/>
      <c r="L388" s="5"/>
      <c r="M388" s="5"/>
      <c r="N388" s="5"/>
      <c r="O388" s="5"/>
      <c r="P388" s="5"/>
      <c r="Q388" s="5"/>
      <c r="AL388" s="7" t="str">
        <f>HYPERLINK("http://dx.doi.org/10.1002/ece3.8216","http://dx.doi.org/10.1002/ece3.8216")</f>
        <v>http://dx.doi.org/10.1002/ece3.8216</v>
      </c>
      <c r="AM388" s="5">
        <v>1</v>
      </c>
      <c r="AN388" s="5">
        <v>1</v>
      </c>
      <c r="AO388" s="5">
        <v>11</v>
      </c>
      <c r="AP388" s="5">
        <v>21</v>
      </c>
      <c r="AQ388" s="5">
        <v>15303</v>
      </c>
      <c r="AR388" s="5">
        <v>15311</v>
      </c>
      <c r="AS388" s="5" t="s">
        <v>16</v>
      </c>
      <c r="AT388" s="5" t="s">
        <v>2276</v>
      </c>
      <c r="AU388" s="5" t="s">
        <v>2277</v>
      </c>
      <c r="AV388" s="5" t="s">
        <v>2279</v>
      </c>
    </row>
    <row r="389" spans="1:48" ht="45" customHeight="1" x14ac:dyDescent="0.15">
      <c r="A389" s="5" t="s">
        <v>2280</v>
      </c>
      <c r="B389" s="5">
        <v>2015</v>
      </c>
      <c r="C389" s="5" t="s">
        <v>2281</v>
      </c>
      <c r="D389" s="5" t="s">
        <v>49</v>
      </c>
      <c r="E389" s="5" t="s">
        <v>18453</v>
      </c>
      <c r="F389" s="5" t="s">
        <v>2284</v>
      </c>
      <c r="G389" s="5"/>
      <c r="H389" s="5"/>
      <c r="I389" s="5"/>
      <c r="J389" s="5"/>
      <c r="K389" s="5"/>
      <c r="L389" s="5"/>
      <c r="M389" s="5"/>
      <c r="N389" s="5"/>
      <c r="O389" s="5"/>
      <c r="P389" s="5"/>
      <c r="Q389" s="5"/>
      <c r="AL389" s="7" t="str">
        <f>HYPERLINK("http://dx.doi.org/10.3354/meps11071","http://dx.doi.org/10.3354/meps11071")</f>
        <v>http://dx.doi.org/10.3354/meps11071</v>
      </c>
      <c r="AM389" s="5">
        <v>35</v>
      </c>
      <c r="AN389" s="5">
        <v>36</v>
      </c>
      <c r="AO389" s="5">
        <v>519</v>
      </c>
      <c r="AP389" s="5" t="s">
        <v>16</v>
      </c>
      <c r="AQ389" s="5">
        <v>13</v>
      </c>
      <c r="AR389" s="5">
        <v>27</v>
      </c>
      <c r="AS389" s="5" t="s">
        <v>16</v>
      </c>
      <c r="AT389" s="5" t="s">
        <v>2282</v>
      </c>
      <c r="AU389" s="5" t="s">
        <v>2283</v>
      </c>
      <c r="AV389" s="5" t="s">
        <v>2285</v>
      </c>
    </row>
    <row r="390" spans="1:48" ht="45" customHeight="1" x14ac:dyDescent="0.15">
      <c r="A390" s="5" t="s">
        <v>2286</v>
      </c>
      <c r="B390" s="5">
        <v>2019</v>
      </c>
      <c r="C390" s="5" t="s">
        <v>2287</v>
      </c>
      <c r="D390" s="5" t="s">
        <v>189</v>
      </c>
      <c r="E390" s="5" t="s">
        <v>18453</v>
      </c>
      <c r="F390" s="5" t="s">
        <v>2290</v>
      </c>
      <c r="G390" s="5"/>
      <c r="H390" s="5"/>
      <c r="I390" s="5"/>
      <c r="J390" s="5"/>
      <c r="K390" s="5"/>
      <c r="L390" s="5"/>
      <c r="M390" s="5"/>
      <c r="N390" s="5"/>
      <c r="O390" s="5"/>
      <c r="P390" s="5"/>
      <c r="Q390" s="5"/>
      <c r="AL390" s="7" t="str">
        <f>HYPERLINK("http://dx.doi.org/10.1111/ecog.04560","http://dx.doi.org/10.1111/ecog.04560")</f>
        <v>http://dx.doi.org/10.1111/ecog.04560</v>
      </c>
      <c r="AM390" s="5">
        <v>9</v>
      </c>
      <c r="AN390" s="5">
        <v>9</v>
      </c>
      <c r="AO390" s="5">
        <v>42</v>
      </c>
      <c r="AP390" s="5">
        <v>11</v>
      </c>
      <c r="AQ390" s="5">
        <v>1948</v>
      </c>
      <c r="AR390" s="5">
        <v>1959</v>
      </c>
      <c r="AS390" s="5" t="s">
        <v>16</v>
      </c>
      <c r="AT390" s="5" t="s">
        <v>2288</v>
      </c>
      <c r="AU390" s="5" t="s">
        <v>2289</v>
      </c>
      <c r="AV390" s="5" t="s">
        <v>2291</v>
      </c>
    </row>
    <row r="391" spans="1:48" ht="45" customHeight="1" x14ac:dyDescent="0.15">
      <c r="A391" s="5" t="s">
        <v>2292</v>
      </c>
      <c r="B391" s="5">
        <v>2021</v>
      </c>
      <c r="C391" s="5" t="s">
        <v>2293</v>
      </c>
      <c r="D391" s="5" t="s">
        <v>162</v>
      </c>
      <c r="E391" s="5" t="s">
        <v>18453</v>
      </c>
      <c r="F391" s="5" t="s">
        <v>2296</v>
      </c>
      <c r="G391" s="5"/>
      <c r="H391" s="5"/>
      <c r="I391" s="5"/>
      <c r="J391" s="5"/>
      <c r="K391" s="5"/>
      <c r="L391" s="5"/>
      <c r="M391" s="5"/>
      <c r="N391" s="5"/>
      <c r="O391" s="5"/>
      <c r="P391" s="5"/>
      <c r="Q391" s="5"/>
      <c r="AL391" s="7" t="str">
        <f>HYPERLINK("http://dx.doi.org/10.1111/1365-2435.13876","http://dx.doi.org/10.1111/1365-2435.13876")</f>
        <v>http://dx.doi.org/10.1111/1365-2435.13876</v>
      </c>
      <c r="AM391" s="5">
        <v>3</v>
      </c>
      <c r="AN391" s="5">
        <v>3</v>
      </c>
      <c r="AO391" s="5">
        <v>35</v>
      </c>
      <c r="AP391" s="5">
        <v>10</v>
      </c>
      <c r="AQ391" s="5">
        <v>2316</v>
      </c>
      <c r="AR391" s="5">
        <v>2328</v>
      </c>
      <c r="AS391" s="5" t="s">
        <v>16</v>
      </c>
      <c r="AT391" s="5" t="s">
        <v>2294</v>
      </c>
      <c r="AU391" s="5" t="s">
        <v>2295</v>
      </c>
      <c r="AV391" s="5" t="s">
        <v>2297</v>
      </c>
    </row>
    <row r="392" spans="1:48" ht="45" customHeight="1" x14ac:dyDescent="0.15">
      <c r="A392" s="5" t="s">
        <v>2298</v>
      </c>
      <c r="B392" s="5">
        <v>2012</v>
      </c>
      <c r="C392" s="5" t="s">
        <v>2299</v>
      </c>
      <c r="D392" s="5" t="s">
        <v>212</v>
      </c>
      <c r="E392" s="5" t="s">
        <v>18453</v>
      </c>
      <c r="F392" s="5" t="s">
        <v>2302</v>
      </c>
      <c r="G392" s="5"/>
      <c r="H392" s="5"/>
      <c r="I392" s="5"/>
      <c r="J392" s="5"/>
      <c r="K392" s="5"/>
      <c r="L392" s="5"/>
      <c r="M392" s="5"/>
      <c r="N392" s="5"/>
      <c r="O392" s="5"/>
      <c r="P392" s="5"/>
      <c r="Q392" s="5"/>
      <c r="AL392" s="7" t="str">
        <f>HYPERLINK("http://dx.doi.org/10.1007/s00300-011-1073-3","http://dx.doi.org/10.1007/s00300-011-1073-3")</f>
        <v>http://dx.doi.org/10.1007/s00300-011-1073-3</v>
      </c>
      <c r="AM392" s="5">
        <v>9</v>
      </c>
      <c r="AN392" s="5">
        <v>9</v>
      </c>
      <c r="AO392" s="5">
        <v>35</v>
      </c>
      <c r="AP392" s="5">
        <v>3</v>
      </c>
      <c r="AQ392" s="5">
        <v>447</v>
      </c>
      <c r="AR392" s="5">
        <v>453</v>
      </c>
      <c r="AS392" s="5" t="s">
        <v>16</v>
      </c>
      <c r="AT392" s="5" t="s">
        <v>2300</v>
      </c>
      <c r="AU392" s="5" t="s">
        <v>2301</v>
      </c>
      <c r="AV392" s="5" t="s">
        <v>2303</v>
      </c>
    </row>
    <row r="393" spans="1:48" ht="45" customHeight="1" x14ac:dyDescent="0.15">
      <c r="A393" s="5" t="s">
        <v>2304</v>
      </c>
      <c r="B393" s="5">
        <v>2020</v>
      </c>
      <c r="C393" s="5" t="s">
        <v>2305</v>
      </c>
      <c r="D393" s="5" t="s">
        <v>33</v>
      </c>
      <c r="E393" s="5" t="s">
        <v>18453</v>
      </c>
      <c r="F393" s="5" t="s">
        <v>2308</v>
      </c>
      <c r="G393" s="5"/>
      <c r="H393" s="5"/>
      <c r="I393" s="5"/>
      <c r="J393" s="5"/>
      <c r="K393" s="5"/>
      <c r="L393" s="5"/>
      <c r="M393" s="5"/>
      <c r="N393" s="5"/>
      <c r="O393" s="5"/>
      <c r="P393" s="5"/>
      <c r="Q393" s="5"/>
      <c r="AL393" s="7" t="str">
        <f>HYPERLINK("http://dx.doi.org/10.1111/gcb.15364","http://dx.doi.org/10.1111/gcb.15364")</f>
        <v>http://dx.doi.org/10.1111/gcb.15364</v>
      </c>
      <c r="AM393" s="5">
        <v>26</v>
      </c>
      <c r="AN393" s="5">
        <v>26</v>
      </c>
      <c r="AO393" s="5">
        <v>26</v>
      </c>
      <c r="AP393" s="5">
        <v>12</v>
      </c>
      <c r="AQ393" s="5">
        <v>7158</v>
      </c>
      <c r="AR393" s="5">
        <v>7172</v>
      </c>
      <c r="AS393" s="5" t="s">
        <v>16</v>
      </c>
      <c r="AT393" s="5" t="s">
        <v>2306</v>
      </c>
      <c r="AU393" s="5" t="s">
        <v>2307</v>
      </c>
      <c r="AV393" s="5" t="s">
        <v>2309</v>
      </c>
    </row>
    <row r="394" spans="1:48" ht="45" customHeight="1" x14ac:dyDescent="0.15">
      <c r="A394" s="5" t="s">
        <v>2310</v>
      </c>
      <c r="B394" s="5">
        <v>2021</v>
      </c>
      <c r="C394" s="5" t="s">
        <v>2311</v>
      </c>
      <c r="D394" s="5" t="s">
        <v>162</v>
      </c>
      <c r="E394" s="5" t="s">
        <v>18453</v>
      </c>
      <c r="F394" s="5" t="s">
        <v>2314</v>
      </c>
      <c r="G394" s="5"/>
      <c r="H394" s="5"/>
      <c r="I394" s="5"/>
      <c r="J394" s="5"/>
      <c r="K394" s="5"/>
      <c r="L394" s="5"/>
      <c r="M394" s="5"/>
      <c r="N394" s="5"/>
      <c r="O394" s="5"/>
      <c r="P394" s="5"/>
      <c r="Q394" s="5"/>
      <c r="AL394" s="7" t="str">
        <f>HYPERLINK("http://dx.doi.org/10.1111/1365-2435.13737","http://dx.doi.org/10.1111/1365-2435.13737")</f>
        <v>http://dx.doi.org/10.1111/1365-2435.13737</v>
      </c>
      <c r="AM394" s="5">
        <v>24</v>
      </c>
      <c r="AN394" s="5">
        <v>24</v>
      </c>
      <c r="AO394" s="5">
        <v>35</v>
      </c>
      <c r="AP394" s="5">
        <v>5</v>
      </c>
      <c r="AQ394" s="5">
        <v>1094</v>
      </c>
      <c r="AR394" s="5">
        <v>1108</v>
      </c>
      <c r="AS394" s="5" t="s">
        <v>16</v>
      </c>
      <c r="AT394" s="5" t="s">
        <v>2312</v>
      </c>
      <c r="AU394" s="5" t="s">
        <v>2313</v>
      </c>
      <c r="AV394" s="5" t="s">
        <v>2315</v>
      </c>
    </row>
    <row r="395" spans="1:48" ht="45" customHeight="1" x14ac:dyDescent="0.15">
      <c r="A395" s="5" t="s">
        <v>2316</v>
      </c>
      <c r="B395" s="5">
        <v>2016</v>
      </c>
      <c r="C395" s="5" t="s">
        <v>2317</v>
      </c>
      <c r="D395" s="5" t="s">
        <v>2087</v>
      </c>
      <c r="E395" s="5" t="s">
        <v>18453</v>
      </c>
      <c r="F395" s="5" t="s">
        <v>2320</v>
      </c>
      <c r="G395" s="5"/>
      <c r="H395" s="5"/>
      <c r="I395" s="5"/>
      <c r="J395" s="5"/>
      <c r="K395" s="5"/>
      <c r="L395" s="5"/>
      <c r="M395" s="5"/>
      <c r="N395" s="5"/>
      <c r="O395" s="5"/>
      <c r="P395" s="5"/>
      <c r="Q395" s="5"/>
      <c r="AL395" s="7" t="str">
        <f>HYPERLINK("http://dx.doi.org/10.1002/eco.1698","http://dx.doi.org/10.1002/eco.1698")</f>
        <v>http://dx.doi.org/10.1002/eco.1698</v>
      </c>
      <c r="AM395" s="5">
        <v>8</v>
      </c>
      <c r="AN395" s="5">
        <v>9</v>
      </c>
      <c r="AO395" s="5">
        <v>9</v>
      </c>
      <c r="AP395" s="5">
        <v>6</v>
      </c>
      <c r="AQ395" s="5">
        <v>909</v>
      </c>
      <c r="AR395" s="5">
        <v>917</v>
      </c>
      <c r="AS395" s="5" t="s">
        <v>16</v>
      </c>
      <c r="AT395" s="5" t="s">
        <v>2318</v>
      </c>
      <c r="AU395" s="5" t="s">
        <v>2319</v>
      </c>
      <c r="AV395" s="5" t="s">
        <v>2321</v>
      </c>
    </row>
    <row r="396" spans="1:48" ht="45" customHeight="1" x14ac:dyDescent="0.15">
      <c r="A396" s="5" t="s">
        <v>2322</v>
      </c>
      <c r="B396" s="5">
        <v>2021</v>
      </c>
      <c r="C396" s="5" t="s">
        <v>2323</v>
      </c>
      <c r="D396" s="5" t="s">
        <v>49</v>
      </c>
      <c r="E396" s="5" t="s">
        <v>18453</v>
      </c>
      <c r="F396" s="5" t="s">
        <v>2326</v>
      </c>
      <c r="G396" s="5"/>
      <c r="H396" s="5"/>
      <c r="I396" s="5"/>
      <c r="J396" s="5"/>
      <c r="K396" s="5"/>
      <c r="L396" s="5"/>
      <c r="M396" s="5"/>
      <c r="N396" s="5"/>
      <c r="O396" s="5"/>
      <c r="P396" s="5"/>
      <c r="Q396" s="5"/>
      <c r="AL396" s="7" t="str">
        <f>HYPERLINK("http://dx.doi.org/10.3354/meps13775","http://dx.doi.org/10.3354/meps13775")</f>
        <v>http://dx.doi.org/10.3354/meps13775</v>
      </c>
      <c r="AM396" s="5">
        <v>4</v>
      </c>
      <c r="AN396" s="5">
        <v>4</v>
      </c>
      <c r="AO396" s="5">
        <v>673</v>
      </c>
      <c r="AP396" s="5" t="s">
        <v>16</v>
      </c>
      <c r="AQ396" s="5">
        <v>135</v>
      </c>
      <c r="AR396" s="5">
        <v>149</v>
      </c>
      <c r="AS396" s="5" t="s">
        <v>16</v>
      </c>
      <c r="AT396" s="5" t="s">
        <v>2324</v>
      </c>
      <c r="AU396" s="5" t="s">
        <v>2325</v>
      </c>
      <c r="AV396" s="5" t="s">
        <v>2327</v>
      </c>
    </row>
    <row r="397" spans="1:48" ht="45" customHeight="1" x14ac:dyDescent="0.15">
      <c r="A397" s="5" t="s">
        <v>2328</v>
      </c>
      <c r="B397" s="5">
        <v>2020</v>
      </c>
      <c r="C397" s="5" t="s">
        <v>2329</v>
      </c>
      <c r="D397" s="5" t="s">
        <v>942</v>
      </c>
      <c r="E397" s="5" t="s">
        <v>18453</v>
      </c>
      <c r="F397" s="5" t="s">
        <v>2332</v>
      </c>
      <c r="G397" s="5"/>
      <c r="H397" s="5"/>
      <c r="I397" s="5"/>
      <c r="J397" s="5"/>
      <c r="K397" s="5"/>
      <c r="L397" s="5"/>
      <c r="M397" s="5"/>
      <c r="N397" s="5"/>
      <c r="O397" s="5"/>
      <c r="P397" s="5"/>
      <c r="Q397" s="5"/>
      <c r="AL397" s="7" t="str">
        <f>HYPERLINK("http://dx.doi.org/10.1016/j.rsma.2019.101027","http://dx.doi.org/10.1016/j.rsma.2019.101027")</f>
        <v>http://dx.doi.org/10.1016/j.rsma.2019.101027</v>
      </c>
      <c r="AM397" s="5">
        <v>2</v>
      </c>
      <c r="AN397" s="5">
        <v>2</v>
      </c>
      <c r="AO397" s="5">
        <v>34</v>
      </c>
      <c r="AP397" s="5" t="s">
        <v>16</v>
      </c>
      <c r="AQ397" s="5" t="s">
        <v>16</v>
      </c>
      <c r="AR397" s="5" t="s">
        <v>16</v>
      </c>
      <c r="AS397" s="5">
        <v>101027</v>
      </c>
      <c r="AT397" s="5" t="s">
        <v>2330</v>
      </c>
      <c r="AU397" s="5" t="s">
        <v>2331</v>
      </c>
      <c r="AV397" s="5" t="s">
        <v>2333</v>
      </c>
    </row>
    <row r="398" spans="1:48" ht="45" customHeight="1" x14ac:dyDescent="0.15">
      <c r="A398" s="5" t="s">
        <v>2334</v>
      </c>
      <c r="B398" s="5">
        <v>2004</v>
      </c>
      <c r="C398" s="5" t="s">
        <v>2335</v>
      </c>
      <c r="D398" s="5" t="s">
        <v>296</v>
      </c>
      <c r="E398" s="5" t="s">
        <v>18453</v>
      </c>
      <c r="F398" s="5" t="s">
        <v>2338</v>
      </c>
      <c r="G398" s="5"/>
      <c r="H398" s="5"/>
      <c r="I398" s="5"/>
      <c r="J398" s="5"/>
      <c r="K398" s="5"/>
      <c r="L398" s="5"/>
      <c r="M398" s="5"/>
      <c r="N398" s="5"/>
      <c r="O398" s="5"/>
      <c r="P398" s="5"/>
      <c r="Q398" s="5"/>
      <c r="AL398" s="7" t="str">
        <f>HYPERLINK("http://dx.doi.org/10.1098/rspb.2003.2569","http://dx.doi.org/10.1098/rspb.2003.2569")</f>
        <v>http://dx.doi.org/10.1098/rspb.2003.2569</v>
      </c>
      <c r="AM398" s="5">
        <v>492</v>
      </c>
      <c r="AN398" s="5">
        <v>512</v>
      </c>
      <c r="AO398" s="5">
        <v>271</v>
      </c>
      <c r="AP398" s="5">
        <v>1534</v>
      </c>
      <c r="AQ398" s="5">
        <v>59</v>
      </c>
      <c r="AR398" s="5">
        <v>64</v>
      </c>
      <c r="AS398" s="5" t="s">
        <v>16</v>
      </c>
      <c r="AT398" s="5" t="s">
        <v>2336</v>
      </c>
      <c r="AU398" s="5" t="s">
        <v>2337</v>
      </c>
      <c r="AV398" s="5" t="s">
        <v>2339</v>
      </c>
    </row>
    <row r="399" spans="1:48" ht="45" customHeight="1" x14ac:dyDescent="0.15">
      <c r="A399" s="5" t="s">
        <v>2340</v>
      </c>
      <c r="B399" s="5">
        <v>2022</v>
      </c>
      <c r="C399" s="5" t="s">
        <v>2341</v>
      </c>
      <c r="D399" s="5" t="s">
        <v>49</v>
      </c>
      <c r="E399" s="5" t="s">
        <v>18453</v>
      </c>
      <c r="F399" s="5" t="s">
        <v>2344</v>
      </c>
      <c r="G399" s="5"/>
      <c r="H399" s="5"/>
      <c r="I399" s="5"/>
      <c r="J399" s="5"/>
      <c r="K399" s="5"/>
      <c r="L399" s="5"/>
      <c r="M399" s="5"/>
      <c r="N399" s="5"/>
      <c r="O399" s="5"/>
      <c r="P399" s="5"/>
      <c r="Q399" s="5"/>
      <c r="AL399" s="7" t="str">
        <f>HYPERLINK("http://dx.doi.org/10.3354/meps13955","http://dx.doi.org/10.3354/meps13955")</f>
        <v>http://dx.doi.org/10.3354/meps13955</v>
      </c>
      <c r="AM399" s="5">
        <v>2</v>
      </c>
      <c r="AN399" s="5">
        <v>2</v>
      </c>
      <c r="AO399" s="5">
        <v>684</v>
      </c>
      <c r="AP399" s="5" t="s">
        <v>16</v>
      </c>
      <c r="AQ399" s="5">
        <v>199</v>
      </c>
      <c r="AR399" s="5">
        <v>210</v>
      </c>
      <c r="AS399" s="5" t="s">
        <v>16</v>
      </c>
      <c r="AT399" s="5" t="s">
        <v>2342</v>
      </c>
      <c r="AU399" s="5" t="s">
        <v>2343</v>
      </c>
      <c r="AV399" s="5" t="s">
        <v>2345</v>
      </c>
    </row>
    <row r="400" spans="1:48" ht="45" customHeight="1" x14ac:dyDescent="0.15">
      <c r="A400" s="5" t="s">
        <v>2346</v>
      </c>
      <c r="B400" s="5">
        <v>2016</v>
      </c>
      <c r="C400" s="5" t="s">
        <v>2347</v>
      </c>
      <c r="D400" s="5" t="s">
        <v>270</v>
      </c>
      <c r="E400" s="5" t="s">
        <v>18453</v>
      </c>
      <c r="F400" s="5" t="s">
        <v>2350</v>
      </c>
      <c r="G400" s="5"/>
      <c r="H400" s="5"/>
      <c r="I400" s="5"/>
      <c r="J400" s="5"/>
      <c r="K400" s="5"/>
      <c r="L400" s="5"/>
      <c r="M400" s="5"/>
      <c r="N400" s="5"/>
      <c r="O400" s="5"/>
      <c r="P400" s="5"/>
      <c r="Q400" s="5"/>
      <c r="AL400" s="7" t="str">
        <f>HYPERLINK("http://dx.doi.org/10.3391/ai.2016.11.2.06","http://dx.doi.org/10.3391/ai.2016.11.2.06")</f>
        <v>http://dx.doi.org/10.3391/ai.2016.11.2.06</v>
      </c>
      <c r="AM400" s="5">
        <v>31</v>
      </c>
      <c r="AN400" s="5">
        <v>32</v>
      </c>
      <c r="AO400" s="5">
        <v>11</v>
      </c>
      <c r="AP400" s="5">
        <v>2</v>
      </c>
      <c r="AQ400" s="5">
        <v>167</v>
      </c>
      <c r="AR400" s="5">
        <v>178</v>
      </c>
      <c r="AS400" s="5" t="s">
        <v>16</v>
      </c>
      <c r="AT400" s="5" t="s">
        <v>2348</v>
      </c>
      <c r="AU400" s="5" t="s">
        <v>2349</v>
      </c>
      <c r="AV400" s="5" t="s">
        <v>2351</v>
      </c>
    </row>
    <row r="401" spans="1:48" ht="45" customHeight="1" x14ac:dyDescent="0.15">
      <c r="A401" s="5" t="s">
        <v>2352</v>
      </c>
      <c r="B401" s="5">
        <v>2016</v>
      </c>
      <c r="C401" s="5" t="s">
        <v>2353</v>
      </c>
      <c r="D401" s="5" t="s">
        <v>49</v>
      </c>
      <c r="E401" s="5" t="s">
        <v>18453</v>
      </c>
      <c r="F401" s="5" t="s">
        <v>2356</v>
      </c>
      <c r="G401" s="5"/>
      <c r="H401" s="5"/>
      <c r="I401" s="5"/>
      <c r="J401" s="5"/>
      <c r="K401" s="5"/>
      <c r="L401" s="5"/>
      <c r="M401" s="5"/>
      <c r="N401" s="5"/>
      <c r="O401" s="5"/>
      <c r="P401" s="5"/>
      <c r="Q401" s="5"/>
      <c r="AL401" s="7" t="str">
        <f>HYPERLINK("http://dx.doi.org/10.3354/meps11533","http://dx.doi.org/10.3354/meps11533")</f>
        <v>http://dx.doi.org/10.3354/meps11533</v>
      </c>
      <c r="AM401" s="5">
        <v>39</v>
      </c>
      <c r="AN401" s="5">
        <v>40</v>
      </c>
      <c r="AO401" s="5">
        <v>543</v>
      </c>
      <c r="AP401" s="5" t="s">
        <v>16</v>
      </c>
      <c r="AQ401" s="5">
        <v>107</v>
      </c>
      <c r="AR401" s="5">
        <v>125</v>
      </c>
      <c r="AS401" s="5" t="s">
        <v>16</v>
      </c>
      <c r="AT401" s="5" t="s">
        <v>2354</v>
      </c>
      <c r="AU401" s="5" t="s">
        <v>2355</v>
      </c>
      <c r="AV401" s="5" t="s">
        <v>2357</v>
      </c>
    </row>
    <row r="402" spans="1:48" ht="45" customHeight="1" x14ac:dyDescent="0.15">
      <c r="A402" s="5" t="s">
        <v>2358</v>
      </c>
      <c r="B402" s="5">
        <v>2013</v>
      </c>
      <c r="C402" s="5" t="s">
        <v>2359</v>
      </c>
      <c r="D402" s="5" t="s">
        <v>18</v>
      </c>
      <c r="E402" s="5" t="s">
        <v>18453</v>
      </c>
      <c r="F402" s="5" t="s">
        <v>2362</v>
      </c>
      <c r="G402" s="5"/>
      <c r="H402" s="5"/>
      <c r="I402" s="5"/>
      <c r="J402" s="5"/>
      <c r="K402" s="5"/>
      <c r="L402" s="5"/>
      <c r="M402" s="5"/>
      <c r="N402" s="5"/>
      <c r="O402" s="5"/>
      <c r="P402" s="5"/>
      <c r="Q402" s="5"/>
      <c r="AL402" s="7" t="str">
        <f>HYPERLINK("http://dx.doi.org/10.1890/ES13-00137.1","http://dx.doi.org/10.1890/ES13-00137.1")</f>
        <v>http://dx.doi.org/10.1890/ES13-00137.1</v>
      </c>
      <c r="AM402" s="5">
        <v>23</v>
      </c>
      <c r="AN402" s="5">
        <v>26</v>
      </c>
      <c r="AO402" s="5">
        <v>4</v>
      </c>
      <c r="AP402" s="5">
        <v>6</v>
      </c>
      <c r="AQ402" s="5" t="s">
        <v>16</v>
      </c>
      <c r="AR402" s="5" t="s">
        <v>16</v>
      </c>
      <c r="AS402" s="5">
        <v>71</v>
      </c>
      <c r="AT402" s="5" t="s">
        <v>2360</v>
      </c>
      <c r="AU402" s="5" t="s">
        <v>2361</v>
      </c>
      <c r="AV402" s="5" t="s">
        <v>2363</v>
      </c>
    </row>
    <row r="403" spans="1:48" ht="45" customHeight="1" x14ac:dyDescent="0.15">
      <c r="A403" s="5" t="s">
        <v>2364</v>
      </c>
      <c r="B403" s="5">
        <v>2014</v>
      </c>
      <c r="C403" s="5" t="s">
        <v>2365</v>
      </c>
      <c r="D403" s="5" t="s">
        <v>33</v>
      </c>
      <c r="E403" s="5" t="s">
        <v>18453</v>
      </c>
      <c r="F403" s="5" t="s">
        <v>2368</v>
      </c>
      <c r="G403" s="5"/>
      <c r="H403" s="5"/>
      <c r="I403" s="5"/>
      <c r="J403" s="5"/>
      <c r="K403" s="5"/>
      <c r="L403" s="5"/>
      <c r="M403" s="5"/>
      <c r="N403" s="5"/>
      <c r="O403" s="5"/>
      <c r="P403" s="5"/>
      <c r="Q403" s="5"/>
      <c r="AL403" s="7" t="str">
        <f>HYPERLINK("http://dx.doi.org/10.1111/gcb.12532","http://dx.doi.org/10.1111/gcb.12532")</f>
        <v>http://dx.doi.org/10.1111/gcb.12532</v>
      </c>
      <c r="AM403" s="5">
        <v>91</v>
      </c>
      <c r="AN403" s="5">
        <v>98</v>
      </c>
      <c r="AO403" s="5">
        <v>20</v>
      </c>
      <c r="AP403" s="5">
        <v>8</v>
      </c>
      <c r="AQ403" s="5">
        <v>2663</v>
      </c>
      <c r="AR403" s="5">
        <v>2673</v>
      </c>
      <c r="AS403" s="5" t="s">
        <v>16</v>
      </c>
      <c r="AT403" s="5" t="s">
        <v>2366</v>
      </c>
      <c r="AU403" s="5" t="s">
        <v>2367</v>
      </c>
      <c r="AV403" s="5" t="s">
        <v>2369</v>
      </c>
    </row>
    <row r="404" spans="1:48" ht="45" customHeight="1" x14ac:dyDescent="0.15">
      <c r="A404" s="5" t="s">
        <v>2370</v>
      </c>
      <c r="B404" s="5">
        <v>2021</v>
      </c>
      <c r="C404" s="5" t="s">
        <v>2371</v>
      </c>
      <c r="D404" s="5" t="s">
        <v>190</v>
      </c>
      <c r="E404" s="5" t="s">
        <v>18453</v>
      </c>
      <c r="F404" s="5" t="s">
        <v>2374</v>
      </c>
      <c r="G404" s="5"/>
      <c r="H404" s="5"/>
      <c r="I404" s="5"/>
      <c r="J404" s="5"/>
      <c r="K404" s="5"/>
      <c r="L404" s="5"/>
      <c r="M404" s="5"/>
      <c r="N404" s="5"/>
      <c r="O404" s="5"/>
      <c r="P404" s="5"/>
      <c r="Q404" s="5"/>
      <c r="AL404" s="7" t="str">
        <f>HYPERLINK("http://dx.doi.org/10.1007/s10530-021-02577-6","http://dx.doi.org/10.1007/s10530-021-02577-6")</f>
        <v>http://dx.doi.org/10.1007/s10530-021-02577-6</v>
      </c>
      <c r="AM404" s="5">
        <v>8</v>
      </c>
      <c r="AN404" s="5">
        <v>8</v>
      </c>
      <c r="AO404" s="5">
        <v>23</v>
      </c>
      <c r="AP404" s="5">
        <v>11</v>
      </c>
      <c r="AQ404" s="5">
        <v>3351</v>
      </c>
      <c r="AR404" s="5">
        <v>3368</v>
      </c>
      <c r="AS404" s="5" t="s">
        <v>16</v>
      </c>
      <c r="AT404" s="5" t="s">
        <v>2372</v>
      </c>
      <c r="AU404" s="5" t="s">
        <v>2373</v>
      </c>
      <c r="AV404" s="5" t="s">
        <v>2375</v>
      </c>
    </row>
    <row r="405" spans="1:48" ht="45" customHeight="1" x14ac:dyDescent="0.15">
      <c r="A405" s="5" t="s">
        <v>2382</v>
      </c>
      <c r="B405" s="5">
        <v>2018</v>
      </c>
      <c r="C405" s="5" t="s">
        <v>2383</v>
      </c>
      <c r="D405" s="5" t="s">
        <v>1765</v>
      </c>
      <c r="E405" s="5" t="s">
        <v>18453</v>
      </c>
      <c r="F405" s="5" t="s">
        <v>2386</v>
      </c>
      <c r="G405" s="5"/>
      <c r="H405" s="5"/>
      <c r="I405" s="5"/>
      <c r="J405" s="5"/>
      <c r="K405" s="5"/>
      <c r="L405" s="5"/>
      <c r="M405" s="5"/>
      <c r="N405" s="5"/>
      <c r="O405" s="5"/>
      <c r="P405" s="5"/>
      <c r="Q405" s="5"/>
      <c r="AL405" s="7" t="str">
        <f>HYPERLINK("http://dx.doi.org/10.1016/j.agee.2018.07.001","http://dx.doi.org/10.1016/j.agee.2018.07.001")</f>
        <v>http://dx.doi.org/10.1016/j.agee.2018.07.001</v>
      </c>
      <c r="AM405" s="5">
        <v>38</v>
      </c>
      <c r="AN405" s="5">
        <v>43</v>
      </c>
      <c r="AO405" s="5">
        <v>265</v>
      </c>
      <c r="AP405" s="5" t="s">
        <v>16</v>
      </c>
      <c r="AQ405" s="5">
        <v>444</v>
      </c>
      <c r="AR405" s="5">
        <v>453</v>
      </c>
      <c r="AS405" s="5" t="s">
        <v>16</v>
      </c>
      <c r="AT405" s="5" t="s">
        <v>2384</v>
      </c>
      <c r="AU405" s="5" t="s">
        <v>2385</v>
      </c>
      <c r="AV405" s="5" t="s">
        <v>2387</v>
      </c>
    </row>
    <row r="406" spans="1:48" ht="45" customHeight="1" x14ac:dyDescent="0.15">
      <c r="A406" s="5" t="s">
        <v>2388</v>
      </c>
      <c r="B406" s="5">
        <v>2014</v>
      </c>
      <c r="C406" s="5" t="s">
        <v>2389</v>
      </c>
      <c r="D406" s="5" t="s">
        <v>17</v>
      </c>
      <c r="E406" s="5" t="s">
        <v>18453</v>
      </c>
      <c r="F406" s="5" t="s">
        <v>2392</v>
      </c>
      <c r="G406" s="5"/>
      <c r="H406" s="5"/>
      <c r="I406" s="5"/>
      <c r="J406" s="5"/>
      <c r="K406" s="5"/>
      <c r="L406" s="5"/>
      <c r="M406" s="5"/>
      <c r="N406" s="5"/>
      <c r="O406" s="5"/>
      <c r="P406" s="5"/>
      <c r="Q406" s="5"/>
      <c r="AL406" s="7" t="str">
        <f>HYPERLINK("http://dx.doi.org/10.1111/fwb.12457","http://dx.doi.org/10.1111/fwb.12457")</f>
        <v>http://dx.doi.org/10.1111/fwb.12457</v>
      </c>
      <c r="AM406" s="5">
        <v>18</v>
      </c>
      <c r="AN406" s="5">
        <v>20</v>
      </c>
      <c r="AO406" s="5">
        <v>59</v>
      </c>
      <c r="AP406" s="5">
        <v>12</v>
      </c>
      <c r="AQ406" s="5">
        <v>2605</v>
      </c>
      <c r="AR406" s="5">
        <v>2620</v>
      </c>
      <c r="AS406" s="5" t="s">
        <v>16</v>
      </c>
      <c r="AT406" s="5" t="s">
        <v>2390</v>
      </c>
      <c r="AU406" s="5" t="s">
        <v>2391</v>
      </c>
      <c r="AV406" s="5" t="s">
        <v>2393</v>
      </c>
    </row>
    <row r="407" spans="1:48" ht="45" customHeight="1" x14ac:dyDescent="0.15">
      <c r="A407" s="5" t="s">
        <v>2394</v>
      </c>
      <c r="B407" s="5">
        <v>2018</v>
      </c>
      <c r="C407" s="5" t="s">
        <v>2395</v>
      </c>
      <c r="D407" s="5" t="s">
        <v>33</v>
      </c>
      <c r="E407" s="5" t="s">
        <v>18453</v>
      </c>
      <c r="F407" s="5" t="s">
        <v>2398</v>
      </c>
      <c r="G407" s="5"/>
      <c r="H407" s="5"/>
      <c r="I407" s="5"/>
      <c r="J407" s="5"/>
      <c r="K407" s="5"/>
      <c r="L407" s="5"/>
      <c r="M407" s="5"/>
      <c r="N407" s="5"/>
      <c r="O407" s="5"/>
      <c r="P407" s="5"/>
      <c r="Q407" s="5"/>
      <c r="AL407" s="7" t="str">
        <f>HYPERLINK("http://dx.doi.org/10.1111/gcb.13880","http://dx.doi.org/10.1111/gcb.13880")</f>
        <v>http://dx.doi.org/10.1111/gcb.13880</v>
      </c>
      <c r="AM407" s="5">
        <v>26</v>
      </c>
      <c r="AN407" s="5">
        <v>26</v>
      </c>
      <c r="AO407" s="5">
        <v>24</v>
      </c>
      <c r="AP407" s="5">
        <v>1</v>
      </c>
      <c r="AQ407" s="5">
        <v>490</v>
      </c>
      <c r="AR407" s="5">
        <v>503</v>
      </c>
      <c r="AS407" s="5" t="s">
        <v>16</v>
      </c>
      <c r="AT407" s="5" t="s">
        <v>2396</v>
      </c>
      <c r="AU407" s="5" t="s">
        <v>2397</v>
      </c>
      <c r="AV407" s="5" t="s">
        <v>2399</v>
      </c>
    </row>
    <row r="408" spans="1:48" ht="45" customHeight="1" x14ac:dyDescent="0.15">
      <c r="A408" s="5" t="s">
        <v>2400</v>
      </c>
      <c r="B408" s="5">
        <v>2018</v>
      </c>
      <c r="C408" s="5" t="s">
        <v>2401</v>
      </c>
      <c r="D408" s="5" t="s">
        <v>49</v>
      </c>
      <c r="E408" s="5" t="s">
        <v>18453</v>
      </c>
      <c r="F408" s="5" t="s">
        <v>2404</v>
      </c>
      <c r="G408" s="5"/>
      <c r="H408" s="5"/>
      <c r="I408" s="5"/>
      <c r="J408" s="5"/>
      <c r="K408" s="5"/>
      <c r="L408" s="5"/>
      <c r="M408" s="5"/>
      <c r="N408" s="5"/>
      <c r="O408" s="5"/>
      <c r="P408" s="5"/>
      <c r="Q408" s="5"/>
      <c r="AL408" s="7" t="str">
        <f>HYPERLINK("http://dx.doi.org/10.3354/meps12507","http://dx.doi.org/10.3354/meps12507")</f>
        <v>http://dx.doi.org/10.3354/meps12507</v>
      </c>
      <c r="AM408" s="5">
        <v>9</v>
      </c>
      <c r="AN408" s="5">
        <v>9</v>
      </c>
      <c r="AO408" s="5">
        <v>592</v>
      </c>
      <c r="AP408" s="5" t="s">
        <v>16</v>
      </c>
      <c r="AQ408" s="5">
        <v>141</v>
      </c>
      <c r="AR408" s="5">
        <v>158</v>
      </c>
      <c r="AS408" s="5" t="s">
        <v>16</v>
      </c>
      <c r="AT408" s="5" t="s">
        <v>2402</v>
      </c>
      <c r="AU408" s="5" t="s">
        <v>2403</v>
      </c>
      <c r="AV408" s="5" t="s">
        <v>2405</v>
      </c>
    </row>
    <row r="409" spans="1:48" ht="45" customHeight="1" x14ac:dyDescent="0.15">
      <c r="A409" s="5" t="s">
        <v>2406</v>
      </c>
      <c r="B409" s="5">
        <v>2008</v>
      </c>
      <c r="C409" s="5" t="s">
        <v>2407</v>
      </c>
      <c r="D409" s="5" t="s">
        <v>82</v>
      </c>
      <c r="E409" s="5" t="s">
        <v>18453</v>
      </c>
      <c r="F409" s="5" t="s">
        <v>2410</v>
      </c>
      <c r="G409" s="5"/>
      <c r="H409" s="5"/>
      <c r="I409" s="5"/>
      <c r="J409" s="5"/>
      <c r="K409" s="5"/>
      <c r="L409" s="5"/>
      <c r="M409" s="5"/>
      <c r="N409" s="5"/>
      <c r="O409" s="5"/>
      <c r="P409" s="5"/>
      <c r="Q409" s="5"/>
      <c r="AL409" s="7" t="str">
        <f>HYPERLINK("http://dx.doi.org/10.1890/07-0058.1","http://dx.doi.org/10.1890/07-0058.1")</f>
        <v>http://dx.doi.org/10.1890/07-0058.1</v>
      </c>
      <c r="AM409" s="5">
        <v>77</v>
      </c>
      <c r="AN409" s="5">
        <v>80</v>
      </c>
      <c r="AO409" s="5">
        <v>18</v>
      </c>
      <c r="AP409" s="5">
        <v>2</v>
      </c>
      <c r="AQ409" s="5">
        <v>549</v>
      </c>
      <c r="AR409" s="5">
        <v>559</v>
      </c>
      <c r="AS409" s="5" t="s">
        <v>16</v>
      </c>
      <c r="AT409" s="5" t="s">
        <v>2408</v>
      </c>
      <c r="AU409" s="5" t="s">
        <v>2409</v>
      </c>
      <c r="AV409" s="5" t="s">
        <v>2411</v>
      </c>
    </row>
    <row r="410" spans="1:48" ht="45" customHeight="1" x14ac:dyDescent="0.15">
      <c r="A410" s="5" t="s">
        <v>2412</v>
      </c>
      <c r="B410" s="5">
        <v>2012</v>
      </c>
      <c r="C410" s="5" t="s">
        <v>2413</v>
      </c>
      <c r="D410" s="5" t="s">
        <v>18</v>
      </c>
      <c r="E410" s="5" t="s">
        <v>18453</v>
      </c>
      <c r="F410" s="5" t="s">
        <v>2416</v>
      </c>
      <c r="G410" s="5"/>
      <c r="H410" s="5"/>
      <c r="I410" s="5"/>
      <c r="J410" s="5"/>
      <c r="K410" s="5"/>
      <c r="L410" s="5"/>
      <c r="M410" s="5"/>
      <c r="N410" s="5"/>
      <c r="O410" s="5"/>
      <c r="P410" s="5"/>
      <c r="Q410" s="5"/>
      <c r="AL410" s="7" t="str">
        <f>HYPERLINK("http://dx.doi.org/10.1890/ES12-00220.1","http://dx.doi.org/10.1890/ES12-00220.1")</f>
        <v>http://dx.doi.org/10.1890/ES12-00220.1</v>
      </c>
      <c r="AM410" s="5">
        <v>47</v>
      </c>
      <c r="AN410" s="5">
        <v>48</v>
      </c>
      <c r="AO410" s="5">
        <v>3</v>
      </c>
      <c r="AP410" s="5">
        <v>10</v>
      </c>
      <c r="AQ410" s="5" t="s">
        <v>16</v>
      </c>
      <c r="AR410" s="5" t="s">
        <v>16</v>
      </c>
      <c r="AS410" s="5">
        <v>89</v>
      </c>
      <c r="AT410" s="5" t="s">
        <v>2414</v>
      </c>
      <c r="AU410" s="5" t="s">
        <v>2415</v>
      </c>
      <c r="AV410" s="5" t="s">
        <v>2417</v>
      </c>
    </row>
    <row r="411" spans="1:48" ht="45" customHeight="1" x14ac:dyDescent="0.15">
      <c r="A411" s="5" t="s">
        <v>2418</v>
      </c>
      <c r="B411" s="5">
        <v>2021</v>
      </c>
      <c r="C411" s="5" t="s">
        <v>2419</v>
      </c>
      <c r="D411" s="5" t="s">
        <v>1954</v>
      </c>
      <c r="E411" s="5" t="s">
        <v>18453</v>
      </c>
      <c r="F411" s="5" t="s">
        <v>2421</v>
      </c>
      <c r="G411" s="5"/>
      <c r="H411" s="5"/>
      <c r="I411" s="5"/>
      <c r="J411" s="5"/>
      <c r="K411" s="5"/>
      <c r="L411" s="5"/>
      <c r="M411" s="5"/>
      <c r="N411" s="5"/>
      <c r="O411" s="5"/>
      <c r="P411" s="5"/>
      <c r="Q411" s="5"/>
      <c r="AL411" s="7" t="str">
        <f>HYPERLINK("http://dx.doi.org/10.3897/neobiota.66.63847","http://dx.doi.org/10.3897/neobiota.66.63847")</f>
        <v>http://dx.doi.org/10.3897/neobiota.66.63847</v>
      </c>
      <c r="AM411" s="5">
        <v>2</v>
      </c>
      <c r="AN411" s="5">
        <v>2</v>
      </c>
      <c r="AO411" s="5" t="s">
        <v>16</v>
      </c>
      <c r="AP411" s="5">
        <v>66</v>
      </c>
      <c r="AQ411" s="5">
        <v>75</v>
      </c>
      <c r="AR411" s="5">
        <v>94</v>
      </c>
      <c r="AS411" s="5" t="s">
        <v>16</v>
      </c>
      <c r="AT411" s="5" t="s">
        <v>2420</v>
      </c>
      <c r="AU411" s="5" t="s">
        <v>16</v>
      </c>
      <c r="AV411" s="5" t="s">
        <v>2422</v>
      </c>
    </row>
    <row r="412" spans="1:48" ht="45" customHeight="1" x14ac:dyDescent="0.15">
      <c r="A412" s="5" t="s">
        <v>2423</v>
      </c>
      <c r="B412" s="5">
        <v>2018</v>
      </c>
      <c r="C412" s="5" t="s">
        <v>2424</v>
      </c>
      <c r="D412" s="5" t="s">
        <v>111</v>
      </c>
      <c r="E412" s="5" t="s">
        <v>18453</v>
      </c>
      <c r="F412" s="5" t="s">
        <v>2427</v>
      </c>
      <c r="G412" s="5"/>
      <c r="H412" s="5"/>
      <c r="I412" s="5"/>
      <c r="J412" s="5"/>
      <c r="K412" s="5"/>
      <c r="L412" s="5"/>
      <c r="M412" s="5"/>
      <c r="N412" s="5"/>
      <c r="O412" s="5"/>
      <c r="P412" s="5"/>
      <c r="Q412" s="5"/>
      <c r="AL412" s="7" t="str">
        <f>HYPERLINK("http://dx.doi.org/10.1007/s10452-018-9653-8","http://dx.doi.org/10.1007/s10452-018-9653-8")</f>
        <v>http://dx.doi.org/10.1007/s10452-018-9653-8</v>
      </c>
      <c r="AM412" s="5">
        <v>8</v>
      </c>
      <c r="AN412" s="5">
        <v>8</v>
      </c>
      <c r="AO412" s="5">
        <v>52</v>
      </c>
      <c r="AP412" s="5" t="s">
        <v>68</v>
      </c>
      <c r="AQ412" s="5">
        <v>179</v>
      </c>
      <c r="AR412" s="5">
        <v>190</v>
      </c>
      <c r="AS412" s="5" t="s">
        <v>16</v>
      </c>
      <c r="AT412" s="5" t="s">
        <v>2425</v>
      </c>
      <c r="AU412" s="5" t="s">
        <v>2426</v>
      </c>
      <c r="AV412" s="5" t="s">
        <v>2428</v>
      </c>
    </row>
    <row r="413" spans="1:48" ht="45" customHeight="1" x14ac:dyDescent="0.15">
      <c r="A413" s="5" t="s">
        <v>2429</v>
      </c>
      <c r="B413" s="5">
        <v>2017</v>
      </c>
      <c r="C413" s="5" t="s">
        <v>2430</v>
      </c>
      <c r="D413" s="5" t="s">
        <v>17</v>
      </c>
      <c r="E413" s="5" t="s">
        <v>18453</v>
      </c>
      <c r="F413" s="5" t="s">
        <v>2433</v>
      </c>
      <c r="G413" s="5"/>
      <c r="H413" s="5"/>
      <c r="I413" s="5"/>
      <c r="J413" s="5"/>
      <c r="K413" s="5"/>
      <c r="L413" s="5"/>
      <c r="M413" s="5"/>
      <c r="N413" s="5"/>
      <c r="O413" s="5"/>
      <c r="P413" s="5"/>
      <c r="Q413" s="5"/>
      <c r="AL413" s="7" t="str">
        <f>HYPERLINK("http://dx.doi.org/10.1111/fwb.13042","http://dx.doi.org/10.1111/fwb.13042")</f>
        <v>http://dx.doi.org/10.1111/fwb.13042</v>
      </c>
      <c r="AM413" s="5">
        <v>17</v>
      </c>
      <c r="AN413" s="5">
        <v>17</v>
      </c>
      <c r="AO413" s="5">
        <v>62</v>
      </c>
      <c r="AP413" s="5">
        <v>12</v>
      </c>
      <c r="AQ413" s="5">
        <v>1971</v>
      </c>
      <c r="AR413" s="5">
        <v>1985</v>
      </c>
      <c r="AS413" s="5" t="s">
        <v>16</v>
      </c>
      <c r="AT413" s="5" t="s">
        <v>2431</v>
      </c>
      <c r="AU413" s="5" t="s">
        <v>2432</v>
      </c>
      <c r="AV413" s="5" t="s">
        <v>2434</v>
      </c>
    </row>
    <row r="414" spans="1:48" ht="45" customHeight="1" x14ac:dyDescent="0.15">
      <c r="A414" s="5" t="s">
        <v>2435</v>
      </c>
      <c r="B414" s="5">
        <v>2016</v>
      </c>
      <c r="C414" s="5" t="s">
        <v>2436</v>
      </c>
      <c r="D414" s="5" t="s">
        <v>2437</v>
      </c>
      <c r="E414" s="5" t="s">
        <v>18453</v>
      </c>
      <c r="F414" s="5" t="s">
        <v>2440</v>
      </c>
      <c r="G414" s="5"/>
      <c r="H414" s="5"/>
      <c r="I414" s="5"/>
      <c r="J414" s="5"/>
      <c r="K414" s="5"/>
      <c r="L414" s="5"/>
      <c r="M414" s="5"/>
      <c r="N414" s="5"/>
      <c r="O414" s="5"/>
      <c r="P414" s="5"/>
      <c r="Q414" s="5"/>
      <c r="AL414" s="7" t="str">
        <f>HYPERLINK("http://dx.doi.org/10.1890/15-0288.1","http://dx.doi.org/10.1890/15-0288.1")</f>
        <v>http://dx.doi.org/10.1890/15-0288.1</v>
      </c>
      <c r="AM414" s="5">
        <v>63</v>
      </c>
      <c r="AN414" s="5">
        <v>65</v>
      </c>
      <c r="AO414" s="5">
        <v>86</v>
      </c>
      <c r="AP414" s="5">
        <v>1</v>
      </c>
      <c r="AQ414" s="5">
        <v>4</v>
      </c>
      <c r="AR414" s="5">
        <v>19</v>
      </c>
      <c r="AS414" s="5" t="s">
        <v>16</v>
      </c>
      <c r="AT414" s="5" t="s">
        <v>2438</v>
      </c>
      <c r="AU414" s="5" t="s">
        <v>2439</v>
      </c>
      <c r="AV414" s="5" t="s">
        <v>2441</v>
      </c>
    </row>
    <row r="415" spans="1:48" ht="45" customHeight="1" x14ac:dyDescent="0.15">
      <c r="A415" s="5" t="s">
        <v>2442</v>
      </c>
      <c r="B415" s="5">
        <v>2011</v>
      </c>
      <c r="C415" s="5" t="s">
        <v>2443</v>
      </c>
      <c r="D415" s="5" t="s">
        <v>172</v>
      </c>
      <c r="E415" s="5" t="s">
        <v>18453</v>
      </c>
      <c r="F415" s="5" t="s">
        <v>2446</v>
      </c>
      <c r="G415" s="5"/>
      <c r="H415" s="5"/>
      <c r="I415" s="5"/>
      <c r="J415" s="5"/>
      <c r="K415" s="5"/>
      <c r="L415" s="5"/>
      <c r="M415" s="5"/>
      <c r="N415" s="5"/>
      <c r="O415" s="5"/>
      <c r="P415" s="5"/>
      <c r="Q415" s="5"/>
      <c r="AL415" s="7" t="str">
        <f>HYPERLINK("http://dx.doi.org/10.1007/s00442-011-1974-4","http://dx.doi.org/10.1007/s00442-011-1974-4")</f>
        <v>http://dx.doi.org/10.1007/s00442-011-1974-4</v>
      </c>
      <c r="AM415" s="5">
        <v>63</v>
      </c>
      <c r="AN415" s="5">
        <v>63</v>
      </c>
      <c r="AO415" s="5">
        <v>167</v>
      </c>
      <c r="AP415" s="5">
        <v>1</v>
      </c>
      <c r="AQ415" s="5">
        <v>75</v>
      </c>
      <c r="AR415" s="5">
        <v>84</v>
      </c>
      <c r="AS415" s="5" t="s">
        <v>16</v>
      </c>
      <c r="AT415" s="5" t="s">
        <v>2444</v>
      </c>
      <c r="AU415" s="5" t="s">
        <v>2445</v>
      </c>
      <c r="AV415" s="5" t="s">
        <v>2447</v>
      </c>
    </row>
    <row r="416" spans="1:48" ht="45" customHeight="1" x14ac:dyDescent="0.15">
      <c r="A416" s="5" t="s">
        <v>2448</v>
      </c>
      <c r="B416" s="5">
        <v>2014</v>
      </c>
      <c r="C416" s="5" t="s">
        <v>2449</v>
      </c>
      <c r="D416" s="5" t="s">
        <v>2450</v>
      </c>
      <c r="E416" s="5" t="s">
        <v>18453</v>
      </c>
      <c r="F416" s="5" t="s">
        <v>2453</v>
      </c>
      <c r="G416" s="5"/>
      <c r="H416" s="5"/>
      <c r="I416" s="5"/>
      <c r="J416" s="5"/>
      <c r="K416" s="5"/>
      <c r="L416" s="5"/>
      <c r="M416" s="5"/>
      <c r="N416" s="5"/>
      <c r="O416" s="5"/>
      <c r="P416" s="5"/>
      <c r="Q416" s="5"/>
      <c r="AL416" s="7" t="str">
        <f>HYPERLINK("http://dx.doi.org/10.1016/j.baae.2014.05.005","http://dx.doi.org/10.1016/j.baae.2014.05.005")</f>
        <v>http://dx.doi.org/10.1016/j.baae.2014.05.005</v>
      </c>
      <c r="AM416" s="5">
        <v>16</v>
      </c>
      <c r="AN416" s="5">
        <v>17</v>
      </c>
      <c r="AO416" s="5">
        <v>15</v>
      </c>
      <c r="AP416" s="5">
        <v>4</v>
      </c>
      <c r="AQ416" s="5">
        <v>362</v>
      </c>
      <c r="AR416" s="5">
        <v>369</v>
      </c>
      <c r="AS416" s="5" t="s">
        <v>16</v>
      </c>
      <c r="AT416" s="5" t="s">
        <v>2451</v>
      </c>
      <c r="AU416" s="5" t="s">
        <v>2452</v>
      </c>
      <c r="AV416" s="5" t="s">
        <v>2454</v>
      </c>
    </row>
    <row r="417" spans="1:48" ht="45" customHeight="1" x14ac:dyDescent="0.15">
      <c r="A417" s="5" t="s">
        <v>2455</v>
      </c>
      <c r="B417" s="5">
        <v>2016</v>
      </c>
      <c r="C417" s="5" t="s">
        <v>2456</v>
      </c>
      <c r="D417" s="5" t="s">
        <v>15</v>
      </c>
      <c r="E417" s="5" t="s">
        <v>18453</v>
      </c>
      <c r="F417" s="5" t="s">
        <v>2459</v>
      </c>
      <c r="G417" s="5"/>
      <c r="H417" s="5"/>
      <c r="I417" s="5"/>
      <c r="J417" s="5"/>
      <c r="K417" s="5"/>
      <c r="L417" s="5"/>
      <c r="M417" s="5"/>
      <c r="N417" s="5"/>
      <c r="O417" s="5"/>
      <c r="P417" s="5"/>
      <c r="Q417" s="5"/>
      <c r="AL417" s="7" t="str">
        <f>HYPERLINK("http://dx.doi.org/10.1002/ece3.2213","http://dx.doi.org/10.1002/ece3.2213")</f>
        <v>http://dx.doi.org/10.1002/ece3.2213</v>
      </c>
      <c r="AM417" s="5">
        <v>12</v>
      </c>
      <c r="AN417" s="5">
        <v>12</v>
      </c>
      <c r="AO417" s="5">
        <v>6</v>
      </c>
      <c r="AP417" s="5">
        <v>13</v>
      </c>
      <c r="AQ417" s="5">
        <v>4488</v>
      </c>
      <c r="AR417" s="5">
        <v>4501</v>
      </c>
      <c r="AS417" s="5" t="s">
        <v>16</v>
      </c>
      <c r="AT417" s="5" t="s">
        <v>2457</v>
      </c>
      <c r="AU417" s="5" t="s">
        <v>2458</v>
      </c>
      <c r="AV417" s="5" t="s">
        <v>2460</v>
      </c>
    </row>
    <row r="418" spans="1:48" ht="45" customHeight="1" x14ac:dyDescent="0.15">
      <c r="A418" s="5" t="s">
        <v>2461</v>
      </c>
      <c r="B418" s="5">
        <v>2012</v>
      </c>
      <c r="C418" s="5" t="s">
        <v>2462</v>
      </c>
      <c r="D418" s="5" t="s">
        <v>18</v>
      </c>
      <c r="E418" s="5" t="s">
        <v>18453</v>
      </c>
      <c r="F418" s="5" t="s">
        <v>2465</v>
      </c>
      <c r="G418" s="5"/>
      <c r="H418" s="5"/>
      <c r="I418" s="5"/>
      <c r="J418" s="5"/>
      <c r="K418" s="5"/>
      <c r="L418" s="5"/>
      <c r="M418" s="5"/>
      <c r="N418" s="5"/>
      <c r="O418" s="5"/>
      <c r="P418" s="5"/>
      <c r="Q418" s="5"/>
      <c r="AL418" s="7" t="str">
        <f>HYPERLINK("http://dx.doi.org/10.1890/ES11-00316.1","http://dx.doi.org/10.1890/ES11-00316.1")</f>
        <v>http://dx.doi.org/10.1890/ES11-00316.1</v>
      </c>
      <c r="AM418" s="5">
        <v>14</v>
      </c>
      <c r="AN418" s="5">
        <v>15</v>
      </c>
      <c r="AO418" s="5">
        <v>3</v>
      </c>
      <c r="AP418" s="5">
        <v>4</v>
      </c>
      <c r="AQ418" s="5" t="s">
        <v>16</v>
      </c>
      <c r="AR418" s="5" t="s">
        <v>16</v>
      </c>
      <c r="AS418" s="5">
        <v>35</v>
      </c>
      <c r="AT418" s="5" t="s">
        <v>2463</v>
      </c>
      <c r="AU418" s="5" t="s">
        <v>2464</v>
      </c>
      <c r="AV418" s="5" t="s">
        <v>2466</v>
      </c>
    </row>
    <row r="419" spans="1:48" ht="45" customHeight="1" x14ac:dyDescent="0.15">
      <c r="A419" s="5" t="s">
        <v>2467</v>
      </c>
      <c r="B419" s="5">
        <v>2021</v>
      </c>
      <c r="C419" s="5" t="s">
        <v>2468</v>
      </c>
      <c r="D419" s="5" t="s">
        <v>161</v>
      </c>
      <c r="E419" s="5" t="s">
        <v>18453</v>
      </c>
      <c r="F419" s="5" t="s">
        <v>2471</v>
      </c>
      <c r="G419" s="5"/>
      <c r="H419" s="5"/>
      <c r="I419" s="5"/>
      <c r="J419" s="5"/>
      <c r="K419" s="5"/>
      <c r="L419" s="5"/>
      <c r="M419" s="5"/>
      <c r="N419" s="5"/>
      <c r="O419" s="5"/>
      <c r="P419" s="5"/>
      <c r="Q419" s="5"/>
      <c r="AL419" s="7" t="str">
        <f>HYPERLINK("http://dx.doi.org/10.1111/geb.13348","http://dx.doi.org/10.1111/geb.13348")</f>
        <v>http://dx.doi.org/10.1111/geb.13348</v>
      </c>
      <c r="AM419" s="5">
        <v>6</v>
      </c>
      <c r="AN419" s="5">
        <v>5</v>
      </c>
      <c r="AO419" s="5">
        <v>30</v>
      </c>
      <c r="AP419" s="5">
        <v>9</v>
      </c>
      <c r="AQ419" s="5">
        <v>1822</v>
      </c>
      <c r="AR419" s="5">
        <v>1834</v>
      </c>
      <c r="AS419" s="5" t="s">
        <v>16</v>
      </c>
      <c r="AT419" s="5" t="s">
        <v>2469</v>
      </c>
      <c r="AU419" s="5" t="s">
        <v>2470</v>
      </c>
      <c r="AV419" s="5" t="s">
        <v>2472</v>
      </c>
    </row>
    <row r="420" spans="1:48" ht="45" customHeight="1" x14ac:dyDescent="0.15">
      <c r="A420" s="5" t="s">
        <v>2473</v>
      </c>
      <c r="B420" s="5">
        <v>2006</v>
      </c>
      <c r="C420" s="5" t="s">
        <v>2474</v>
      </c>
      <c r="D420" s="5" t="s">
        <v>1758</v>
      </c>
      <c r="E420" s="5" t="s">
        <v>18453</v>
      </c>
      <c r="F420" s="5" t="s">
        <v>2477</v>
      </c>
      <c r="G420" s="5"/>
      <c r="H420" s="5"/>
      <c r="I420" s="5"/>
      <c r="J420" s="5"/>
      <c r="K420" s="5"/>
      <c r="L420" s="5"/>
      <c r="M420" s="5"/>
      <c r="N420" s="5"/>
      <c r="O420" s="5"/>
      <c r="P420" s="5"/>
      <c r="Q420" s="5"/>
      <c r="AL420" s="7" t="str">
        <f>HYPERLINK("http://dx.doi.org/10.1672/0277-5212(2006)26[951:HANEOF]2.0.CO;2","http://dx.doi.org/10.1672/0277-5212(2006)26[951:HANEOF]2.0.CO;2")</f>
        <v>http://dx.doi.org/10.1672/0277-5212(2006)26[951:HANEOF]2.0.CO;2</v>
      </c>
      <c r="AM420" s="5">
        <v>25</v>
      </c>
      <c r="AN420" s="5">
        <v>25</v>
      </c>
      <c r="AO420" s="5">
        <v>26</v>
      </c>
      <c r="AP420" s="5">
        <v>4</v>
      </c>
      <c r="AQ420" s="5">
        <v>951</v>
      </c>
      <c r="AR420" s="5">
        <v>964</v>
      </c>
      <c r="AS420" s="5" t="s">
        <v>16</v>
      </c>
      <c r="AT420" s="5" t="s">
        <v>2475</v>
      </c>
      <c r="AU420" s="5" t="s">
        <v>2476</v>
      </c>
      <c r="AV420" s="5" t="s">
        <v>2478</v>
      </c>
    </row>
    <row r="421" spans="1:48" ht="45" customHeight="1" x14ac:dyDescent="0.15">
      <c r="A421" s="5" t="s">
        <v>2479</v>
      </c>
      <c r="B421" s="5">
        <v>2002</v>
      </c>
      <c r="C421" s="5" t="s">
        <v>2480</v>
      </c>
      <c r="D421" s="5" t="s">
        <v>49</v>
      </c>
      <c r="E421" s="5" t="s">
        <v>18453</v>
      </c>
      <c r="F421" s="5" t="s">
        <v>2483</v>
      </c>
      <c r="G421" s="5"/>
      <c r="H421" s="5"/>
      <c r="I421" s="5"/>
      <c r="J421" s="5"/>
      <c r="K421" s="5"/>
      <c r="L421" s="5"/>
      <c r="M421" s="5"/>
      <c r="N421" s="5"/>
      <c r="O421" s="5"/>
      <c r="P421" s="5"/>
      <c r="Q421" s="5"/>
      <c r="AL421" s="7" t="str">
        <f>HYPERLINK("http://dx.doi.org/10.3354/meps243261","http://dx.doi.org/10.3354/meps243261")</f>
        <v>http://dx.doi.org/10.3354/meps243261</v>
      </c>
      <c r="AM421" s="5">
        <v>95</v>
      </c>
      <c r="AN421" s="5">
        <v>97</v>
      </c>
      <c r="AO421" s="5">
        <v>243</v>
      </c>
      <c r="AP421" s="5" t="s">
        <v>16</v>
      </c>
      <c r="AQ421" s="5">
        <v>261</v>
      </c>
      <c r="AR421" s="5">
        <v>269</v>
      </c>
      <c r="AS421" s="5" t="s">
        <v>16</v>
      </c>
      <c r="AT421" s="5" t="s">
        <v>2481</v>
      </c>
      <c r="AU421" s="5" t="s">
        <v>2482</v>
      </c>
      <c r="AV421" s="5" t="s">
        <v>2484</v>
      </c>
    </row>
    <row r="422" spans="1:48" ht="45" customHeight="1" x14ac:dyDescent="0.15">
      <c r="A422" s="5" t="s">
        <v>2485</v>
      </c>
      <c r="B422" s="5">
        <v>2014</v>
      </c>
      <c r="C422" s="5" t="s">
        <v>2486</v>
      </c>
      <c r="D422" s="5" t="s">
        <v>217</v>
      </c>
      <c r="E422" s="5" t="s">
        <v>18453</v>
      </c>
      <c r="F422" s="5" t="s">
        <v>2489</v>
      </c>
      <c r="G422" s="5"/>
      <c r="H422" s="5"/>
      <c r="I422" s="5"/>
      <c r="J422" s="5"/>
      <c r="K422" s="5"/>
      <c r="L422" s="5"/>
      <c r="M422" s="5"/>
      <c r="N422" s="5"/>
      <c r="O422" s="5"/>
      <c r="P422" s="5"/>
      <c r="Q422" s="5"/>
      <c r="AL422" s="7" t="str">
        <f>HYPERLINK("http://dx.doi.org/10.1111/2041-210X.12147","http://dx.doi.org/10.1111/2041-210X.12147")</f>
        <v>http://dx.doi.org/10.1111/2041-210X.12147</v>
      </c>
      <c r="AM422" s="5">
        <v>57</v>
      </c>
      <c r="AN422" s="5">
        <v>61</v>
      </c>
      <c r="AO422" s="5">
        <v>5</v>
      </c>
      <c r="AP422" s="5">
        <v>3</v>
      </c>
      <c r="AQ422" s="5">
        <v>201</v>
      </c>
      <c r="AR422" s="5">
        <v>206</v>
      </c>
      <c r="AS422" s="5" t="s">
        <v>16</v>
      </c>
      <c r="AT422" s="5" t="s">
        <v>2487</v>
      </c>
      <c r="AU422" s="5" t="s">
        <v>2488</v>
      </c>
      <c r="AV422" s="5" t="s">
        <v>2490</v>
      </c>
    </row>
    <row r="423" spans="1:48" ht="45" customHeight="1" x14ac:dyDescent="0.15">
      <c r="A423" s="5" t="s">
        <v>2491</v>
      </c>
      <c r="B423" s="5">
        <v>2010</v>
      </c>
      <c r="C423" s="5" t="s">
        <v>2492</v>
      </c>
      <c r="D423" s="5" t="s">
        <v>33</v>
      </c>
      <c r="E423" s="5" t="s">
        <v>18453</v>
      </c>
      <c r="F423" s="5" t="s">
        <v>2495</v>
      </c>
      <c r="G423" s="5"/>
      <c r="H423" s="5"/>
      <c r="I423" s="5"/>
      <c r="J423" s="5"/>
      <c r="K423" s="5"/>
      <c r="L423" s="5"/>
      <c r="M423" s="5"/>
      <c r="N423" s="5"/>
      <c r="O423" s="5"/>
      <c r="P423" s="5"/>
      <c r="Q423" s="5"/>
      <c r="AL423" s="7" t="str">
        <f>HYPERLINK("http://dx.doi.org/10.1111/j.1365-2486.2009.02108.x","http://dx.doi.org/10.1111/j.1365-2486.2009.02108.x")</f>
        <v>http://dx.doi.org/10.1111/j.1365-2486.2009.02108.x</v>
      </c>
      <c r="AM423" s="5">
        <v>236</v>
      </c>
      <c r="AN423" s="5">
        <v>247</v>
      </c>
      <c r="AO423" s="5">
        <v>16</v>
      </c>
      <c r="AP423" s="5">
        <v>9</v>
      </c>
      <c r="AQ423" s="5">
        <v>2624</v>
      </c>
      <c r="AR423" s="5">
        <v>2637</v>
      </c>
      <c r="AS423" s="5" t="s">
        <v>16</v>
      </c>
      <c r="AT423" s="5" t="s">
        <v>2493</v>
      </c>
      <c r="AU423" s="5" t="s">
        <v>2494</v>
      </c>
      <c r="AV423" s="5" t="s">
        <v>2496</v>
      </c>
    </row>
    <row r="424" spans="1:48" ht="45" customHeight="1" x14ac:dyDescent="0.15">
      <c r="A424" s="5" t="s">
        <v>2497</v>
      </c>
      <c r="B424" s="5">
        <v>2009</v>
      </c>
      <c r="C424" s="5" t="s">
        <v>2498</v>
      </c>
      <c r="D424" s="5" t="s">
        <v>1134</v>
      </c>
      <c r="E424" s="5" t="s">
        <v>18453</v>
      </c>
      <c r="F424" s="5" t="s">
        <v>2501</v>
      </c>
      <c r="G424" s="5"/>
      <c r="H424" s="5"/>
      <c r="I424" s="5"/>
      <c r="J424" s="5"/>
      <c r="K424" s="5"/>
      <c r="L424" s="5"/>
      <c r="M424" s="5"/>
      <c r="N424" s="5"/>
      <c r="O424" s="5"/>
      <c r="P424" s="5"/>
      <c r="Q424" s="5"/>
      <c r="AL424" s="7" t="str">
        <f>HYPERLINK("http://dx.doi.org/10.1080/17451000802266625","http://dx.doi.org/10.1080/17451000802266625")</f>
        <v>http://dx.doi.org/10.1080/17451000802266625</v>
      </c>
      <c r="AM424" s="5">
        <v>49</v>
      </c>
      <c r="AN424" s="5">
        <v>49</v>
      </c>
      <c r="AO424" s="5">
        <v>5</v>
      </c>
      <c r="AP424" s="5">
        <v>2</v>
      </c>
      <c r="AQ424" s="5">
        <v>164</v>
      </c>
      <c r="AR424" s="5">
        <v>171</v>
      </c>
      <c r="AS424" s="5" t="s">
        <v>16</v>
      </c>
      <c r="AT424" s="5" t="s">
        <v>2499</v>
      </c>
      <c r="AU424" s="5" t="s">
        <v>2500</v>
      </c>
      <c r="AV424" s="5" t="s">
        <v>2502</v>
      </c>
    </row>
    <row r="425" spans="1:48" ht="45" customHeight="1" x14ac:dyDescent="0.15">
      <c r="A425" s="5" t="s">
        <v>2503</v>
      </c>
      <c r="B425" s="5">
        <v>2013</v>
      </c>
      <c r="C425" s="5" t="s">
        <v>2504</v>
      </c>
      <c r="D425" s="5" t="s">
        <v>162</v>
      </c>
      <c r="E425" s="5" t="s">
        <v>18453</v>
      </c>
      <c r="F425" s="5" t="s">
        <v>2507</v>
      </c>
      <c r="G425" s="5"/>
      <c r="H425" s="5"/>
      <c r="I425" s="5"/>
      <c r="J425" s="5"/>
      <c r="K425" s="5"/>
      <c r="L425" s="5"/>
      <c r="M425" s="5"/>
      <c r="N425" s="5"/>
      <c r="O425" s="5"/>
      <c r="P425" s="5"/>
      <c r="Q425" s="5"/>
      <c r="AL425" s="7" t="str">
        <f>HYPERLINK("http://dx.doi.org/10.1111/1365-2435.12046","http://dx.doi.org/10.1111/1365-2435.12046")</f>
        <v>http://dx.doi.org/10.1111/1365-2435.12046</v>
      </c>
      <c r="AM425" s="5">
        <v>174</v>
      </c>
      <c r="AN425" s="5">
        <v>187</v>
      </c>
      <c r="AO425" s="5">
        <v>27</v>
      </c>
      <c r="AP425" s="5">
        <v>2</v>
      </c>
      <c r="AQ425" s="5">
        <v>413</v>
      </c>
      <c r="AR425" s="5">
        <v>427</v>
      </c>
      <c r="AS425" s="5" t="s">
        <v>16</v>
      </c>
      <c r="AT425" s="5" t="s">
        <v>2505</v>
      </c>
      <c r="AU425" s="5" t="s">
        <v>2506</v>
      </c>
      <c r="AV425" s="5" t="s">
        <v>2508</v>
      </c>
    </row>
    <row r="426" spans="1:48" ht="45" customHeight="1" x14ac:dyDescent="0.15">
      <c r="A426" s="5" t="s">
        <v>2509</v>
      </c>
      <c r="B426" s="5">
        <v>2001</v>
      </c>
      <c r="C426" s="5" t="s">
        <v>2510</v>
      </c>
      <c r="D426" s="5" t="s">
        <v>160</v>
      </c>
      <c r="E426" s="5" t="s">
        <v>18453</v>
      </c>
      <c r="F426" s="5" t="s">
        <v>2513</v>
      </c>
      <c r="G426" s="5"/>
      <c r="H426" s="5"/>
      <c r="I426" s="5"/>
      <c r="J426" s="5"/>
      <c r="K426" s="5"/>
      <c r="L426" s="5"/>
      <c r="M426" s="5"/>
      <c r="N426" s="5"/>
      <c r="O426" s="5"/>
      <c r="P426" s="5"/>
      <c r="Q426" s="5"/>
      <c r="AL426" s="7" t="str">
        <f>HYPERLINK("http://dx.doi.org/10.1046/j.1365-2664.2001.00618.x","http://dx.doi.org/10.1046/j.1365-2664.2001.00618.x")</f>
        <v>http://dx.doi.org/10.1046/j.1365-2664.2001.00618.x</v>
      </c>
      <c r="AM426" s="5">
        <v>63</v>
      </c>
      <c r="AN426" s="5">
        <v>65</v>
      </c>
      <c r="AO426" s="5">
        <v>38</v>
      </c>
      <c r="AP426" s="5">
        <v>3</v>
      </c>
      <c r="AQ426" s="5">
        <v>536</v>
      </c>
      <c r="AR426" s="5">
        <v>547</v>
      </c>
      <c r="AS426" s="5" t="s">
        <v>16</v>
      </c>
      <c r="AT426" s="5" t="s">
        <v>2511</v>
      </c>
      <c r="AU426" s="5" t="s">
        <v>2512</v>
      </c>
      <c r="AV426" s="5" t="s">
        <v>2514</v>
      </c>
    </row>
    <row r="427" spans="1:48" ht="45" customHeight="1" x14ac:dyDescent="0.15">
      <c r="A427" s="5" t="s">
        <v>2515</v>
      </c>
      <c r="B427" s="5">
        <v>2022</v>
      </c>
      <c r="C427" s="5" t="s">
        <v>2516</v>
      </c>
      <c r="D427" s="5" t="s">
        <v>2517</v>
      </c>
      <c r="E427" s="5" t="s">
        <v>18453</v>
      </c>
      <c r="F427" s="5" t="s">
        <v>2520</v>
      </c>
      <c r="G427" s="5"/>
      <c r="H427" s="5"/>
      <c r="I427" s="5"/>
      <c r="J427" s="5"/>
      <c r="K427" s="5"/>
      <c r="L427" s="5"/>
      <c r="M427" s="5"/>
      <c r="N427" s="5"/>
      <c r="O427" s="5"/>
      <c r="P427" s="5"/>
      <c r="Q427" s="5"/>
      <c r="AL427" s="7" t="str">
        <f>HYPERLINK("http://dx.doi.org/10.1016/j.ecolecon.2021.107232","http://dx.doi.org/10.1016/j.ecolecon.2021.107232")</f>
        <v>http://dx.doi.org/10.1016/j.ecolecon.2021.107232</v>
      </c>
      <c r="AM427" s="5">
        <v>6</v>
      </c>
      <c r="AN427" s="5">
        <v>6</v>
      </c>
      <c r="AO427" s="5">
        <v>191</v>
      </c>
      <c r="AP427" s="5" t="s">
        <v>16</v>
      </c>
      <c r="AQ427" s="5" t="s">
        <v>16</v>
      </c>
      <c r="AR427" s="5" t="s">
        <v>16</v>
      </c>
      <c r="AS427" s="5">
        <v>107232</v>
      </c>
      <c r="AT427" s="5" t="s">
        <v>2518</v>
      </c>
      <c r="AU427" s="5" t="s">
        <v>2519</v>
      </c>
      <c r="AV427" s="5" t="s">
        <v>2521</v>
      </c>
    </row>
    <row r="428" spans="1:48" ht="45" customHeight="1" x14ac:dyDescent="0.15">
      <c r="A428" s="5" t="s">
        <v>2522</v>
      </c>
      <c r="B428" s="5">
        <v>2010</v>
      </c>
      <c r="C428" s="5" t="s">
        <v>2523</v>
      </c>
      <c r="D428" s="5" t="s">
        <v>161</v>
      </c>
      <c r="E428" s="5" t="s">
        <v>18453</v>
      </c>
      <c r="F428" s="5" t="s">
        <v>2526</v>
      </c>
      <c r="G428" s="5"/>
      <c r="H428" s="5"/>
      <c r="I428" s="5"/>
      <c r="J428" s="5"/>
      <c r="K428" s="5"/>
      <c r="L428" s="5"/>
      <c r="M428" s="5"/>
      <c r="N428" s="5"/>
      <c r="O428" s="5"/>
      <c r="P428" s="5"/>
      <c r="Q428" s="5"/>
      <c r="AL428" s="7" t="str">
        <f>HYPERLINK("http://dx.doi.org/10.1111/j.1466-8238.2009.00501.x","http://dx.doi.org/10.1111/j.1466-8238.2009.00501.x")</f>
        <v>http://dx.doi.org/10.1111/j.1466-8238.2009.00501.x</v>
      </c>
      <c r="AM428" s="5">
        <v>32</v>
      </c>
      <c r="AN428" s="5">
        <v>38</v>
      </c>
      <c r="AO428" s="5">
        <v>19</v>
      </c>
      <c r="AP428" s="5">
        <v>2</v>
      </c>
      <c r="AQ428" s="5">
        <v>278</v>
      </c>
      <c r="AR428" s="5">
        <v>286</v>
      </c>
      <c r="AS428" s="5" t="s">
        <v>16</v>
      </c>
      <c r="AT428" s="5" t="s">
        <v>2524</v>
      </c>
      <c r="AU428" s="5" t="s">
        <v>2525</v>
      </c>
      <c r="AV428" s="5" t="s">
        <v>2527</v>
      </c>
    </row>
    <row r="429" spans="1:48" ht="45" customHeight="1" x14ac:dyDescent="0.15">
      <c r="A429" s="5" t="s">
        <v>2528</v>
      </c>
      <c r="B429" s="5">
        <v>2022</v>
      </c>
      <c r="C429" s="5" t="s">
        <v>2529</v>
      </c>
      <c r="D429" s="5" t="s">
        <v>116</v>
      </c>
      <c r="E429" s="5" t="s">
        <v>18453</v>
      </c>
      <c r="F429" s="5" t="s">
        <v>2532</v>
      </c>
      <c r="G429" s="5"/>
      <c r="H429" s="5"/>
      <c r="I429" s="5"/>
      <c r="J429" s="5"/>
      <c r="K429" s="5"/>
      <c r="L429" s="5"/>
      <c r="M429" s="5"/>
      <c r="N429" s="5"/>
      <c r="O429" s="5"/>
      <c r="P429" s="5"/>
      <c r="Q429" s="5"/>
      <c r="AL429" s="7" t="str">
        <f>HYPERLINK("http://dx.doi.org/10.1007/s10641-022-01365-y","http://dx.doi.org/10.1007/s10641-022-01365-y")</f>
        <v>http://dx.doi.org/10.1007/s10641-022-01365-y</v>
      </c>
      <c r="AM429" s="5">
        <v>0</v>
      </c>
      <c r="AN429" s="5">
        <v>0</v>
      </c>
      <c r="AO429" s="5">
        <v>105</v>
      </c>
      <c r="AP429" s="5">
        <v>11</v>
      </c>
      <c r="AQ429" s="5">
        <v>1673</v>
      </c>
      <c r="AR429" s="5">
        <v>1682</v>
      </c>
      <c r="AS429" s="5" t="s">
        <v>16</v>
      </c>
      <c r="AT429" s="5" t="s">
        <v>2530</v>
      </c>
      <c r="AU429" s="5" t="s">
        <v>2531</v>
      </c>
      <c r="AV429" s="5" t="s">
        <v>2533</v>
      </c>
    </row>
    <row r="430" spans="1:48" ht="45" customHeight="1" x14ac:dyDescent="0.15">
      <c r="A430" s="5" t="s">
        <v>2534</v>
      </c>
      <c r="B430" s="5">
        <v>2018</v>
      </c>
      <c r="C430" s="5" t="s">
        <v>2535</v>
      </c>
      <c r="D430" s="5" t="s">
        <v>172</v>
      </c>
      <c r="E430" s="5" t="s">
        <v>18453</v>
      </c>
      <c r="F430" s="5" t="s">
        <v>2538</v>
      </c>
      <c r="G430" s="5"/>
      <c r="H430" s="5"/>
      <c r="I430" s="5"/>
      <c r="J430" s="5"/>
      <c r="K430" s="5"/>
      <c r="L430" s="5"/>
      <c r="M430" s="5"/>
      <c r="N430" s="5"/>
      <c r="O430" s="5"/>
      <c r="P430" s="5"/>
      <c r="Q430" s="5"/>
      <c r="AL430" s="7" t="str">
        <f>HYPERLINK("http://dx.doi.org/10.1007/s00442-017-4049-3","http://dx.doi.org/10.1007/s00442-017-4049-3")</f>
        <v>http://dx.doi.org/10.1007/s00442-017-4049-3</v>
      </c>
      <c r="AM430" s="5">
        <v>19</v>
      </c>
      <c r="AN430" s="5">
        <v>20</v>
      </c>
      <c r="AO430" s="5">
        <v>186</v>
      </c>
      <c r="AP430" s="5">
        <v>4</v>
      </c>
      <c r="AQ430" s="5">
        <v>1031</v>
      </c>
      <c r="AR430" s="5">
        <v>1041</v>
      </c>
      <c r="AS430" s="5" t="s">
        <v>16</v>
      </c>
      <c r="AT430" s="5" t="s">
        <v>2536</v>
      </c>
      <c r="AU430" s="5" t="s">
        <v>2537</v>
      </c>
      <c r="AV430" s="5" t="s">
        <v>2539</v>
      </c>
    </row>
    <row r="431" spans="1:48" ht="45" customHeight="1" x14ac:dyDescent="0.15">
      <c r="A431" s="5" t="s">
        <v>2540</v>
      </c>
      <c r="B431" s="5">
        <v>2018</v>
      </c>
      <c r="C431" s="5" t="s">
        <v>2541</v>
      </c>
      <c r="D431" s="5" t="s">
        <v>295</v>
      </c>
      <c r="E431" s="5" t="s">
        <v>18453</v>
      </c>
      <c r="F431" s="5" t="s">
        <v>2544</v>
      </c>
      <c r="G431" s="5"/>
      <c r="H431" s="5"/>
      <c r="I431" s="5"/>
      <c r="J431" s="5"/>
      <c r="K431" s="5"/>
      <c r="L431" s="5"/>
      <c r="M431" s="5"/>
      <c r="N431" s="5"/>
      <c r="O431" s="5"/>
      <c r="P431" s="5"/>
      <c r="Q431" s="5"/>
      <c r="AL431" s="7" t="str">
        <f>HYPERLINK("http://dx.doi.org/10.1016/j.jembe.2017.12.006","http://dx.doi.org/10.1016/j.jembe.2017.12.006")</f>
        <v>http://dx.doi.org/10.1016/j.jembe.2017.12.006</v>
      </c>
      <c r="AM431" s="5">
        <v>7</v>
      </c>
      <c r="AN431" s="5">
        <v>7</v>
      </c>
      <c r="AO431" s="5">
        <v>500</v>
      </c>
      <c r="AP431" s="5" t="s">
        <v>16</v>
      </c>
      <c r="AQ431" s="5">
        <v>34</v>
      </c>
      <c r="AR431" s="5">
        <v>45</v>
      </c>
      <c r="AS431" s="5" t="s">
        <v>16</v>
      </c>
      <c r="AT431" s="5" t="s">
        <v>2542</v>
      </c>
      <c r="AU431" s="5" t="s">
        <v>2543</v>
      </c>
      <c r="AV431" s="5" t="s">
        <v>2545</v>
      </c>
    </row>
    <row r="432" spans="1:48" ht="45" customHeight="1" x14ac:dyDescent="0.15">
      <c r="A432" s="5" t="s">
        <v>2546</v>
      </c>
      <c r="B432" s="5">
        <v>2014</v>
      </c>
      <c r="C432" s="5" t="s">
        <v>2547</v>
      </c>
      <c r="D432" s="5" t="s">
        <v>383</v>
      </c>
      <c r="E432" s="5" t="s">
        <v>18453</v>
      </c>
      <c r="F432" s="5" t="s">
        <v>2550</v>
      </c>
      <c r="G432" s="5"/>
      <c r="H432" s="5"/>
      <c r="I432" s="5"/>
      <c r="J432" s="5"/>
      <c r="K432" s="5"/>
      <c r="L432" s="5"/>
      <c r="M432" s="5"/>
      <c r="N432" s="5"/>
      <c r="O432" s="5"/>
      <c r="P432" s="5"/>
      <c r="Q432" s="5"/>
      <c r="AL432" s="7" t="str">
        <f>HYPERLINK("http://dx.doi.org/10.1007/s11284-013-1097-y","http://dx.doi.org/10.1007/s11284-013-1097-y")</f>
        <v>http://dx.doi.org/10.1007/s11284-013-1097-y</v>
      </c>
      <c r="AM432" s="5">
        <v>15</v>
      </c>
      <c r="AN432" s="5">
        <v>16</v>
      </c>
      <c r="AO432" s="5">
        <v>29</v>
      </c>
      <c r="AP432" s="5">
        <v>1</v>
      </c>
      <c r="AQ432" s="5">
        <v>45</v>
      </c>
      <c r="AR432" s="5">
        <v>53</v>
      </c>
      <c r="AS432" s="5" t="s">
        <v>16</v>
      </c>
      <c r="AT432" s="5" t="s">
        <v>2548</v>
      </c>
      <c r="AU432" s="5" t="s">
        <v>2549</v>
      </c>
      <c r="AV432" s="5" t="s">
        <v>2551</v>
      </c>
    </row>
    <row r="433" spans="1:48" ht="45" customHeight="1" x14ac:dyDescent="0.15">
      <c r="A433" s="5" t="s">
        <v>2552</v>
      </c>
      <c r="B433" s="5">
        <v>2007</v>
      </c>
      <c r="C433" s="5" t="s">
        <v>2553</v>
      </c>
      <c r="D433" s="5" t="s">
        <v>49</v>
      </c>
      <c r="E433" s="5" t="s">
        <v>18453</v>
      </c>
      <c r="F433" s="5" t="s">
        <v>2556</v>
      </c>
      <c r="G433" s="5"/>
      <c r="H433" s="5"/>
      <c r="I433" s="5"/>
      <c r="J433" s="5"/>
      <c r="K433" s="5"/>
      <c r="L433" s="5"/>
      <c r="M433" s="5"/>
      <c r="N433" s="5"/>
      <c r="O433" s="5"/>
      <c r="P433" s="5"/>
      <c r="Q433" s="5"/>
      <c r="AL433" s="7" t="str">
        <f>HYPERLINK("http://dx.doi.org/10.3354/meps334199","http://dx.doi.org/10.3354/meps334199")</f>
        <v>http://dx.doi.org/10.3354/meps334199</v>
      </c>
      <c r="AM433" s="5">
        <v>24</v>
      </c>
      <c r="AN433" s="5">
        <v>24</v>
      </c>
      <c r="AO433" s="5">
        <v>334</v>
      </c>
      <c r="AP433" s="5" t="s">
        <v>16</v>
      </c>
      <c r="AQ433" s="5">
        <v>199</v>
      </c>
      <c r="AR433" s="5">
        <v>204</v>
      </c>
      <c r="AS433" s="5" t="s">
        <v>16</v>
      </c>
      <c r="AT433" s="5" t="s">
        <v>2554</v>
      </c>
      <c r="AU433" s="5" t="s">
        <v>2555</v>
      </c>
      <c r="AV433" s="5" t="s">
        <v>2557</v>
      </c>
    </row>
    <row r="434" spans="1:48" ht="45" customHeight="1" x14ac:dyDescent="0.15">
      <c r="A434" s="5" t="s">
        <v>2558</v>
      </c>
      <c r="B434" s="5">
        <v>2012</v>
      </c>
      <c r="C434" s="5" t="s">
        <v>2559</v>
      </c>
      <c r="D434" s="5" t="s">
        <v>33</v>
      </c>
      <c r="E434" s="5" t="s">
        <v>18453</v>
      </c>
      <c r="F434" s="5" t="s">
        <v>2562</v>
      </c>
      <c r="G434" s="5"/>
      <c r="H434" s="5"/>
      <c r="I434" s="5"/>
      <c r="J434" s="5"/>
      <c r="K434" s="5"/>
      <c r="L434" s="5"/>
      <c r="M434" s="5"/>
      <c r="N434" s="5"/>
      <c r="O434" s="5"/>
      <c r="P434" s="5"/>
      <c r="Q434" s="5"/>
      <c r="AL434" s="7" t="str">
        <f>HYPERLINK("http://dx.doi.org/10.1111/j.1365-2486.2011.02582.x","http://dx.doi.org/10.1111/j.1365-2486.2011.02582.x")</f>
        <v>http://dx.doi.org/10.1111/j.1365-2486.2011.02582.x</v>
      </c>
      <c r="AM434" s="5">
        <v>93</v>
      </c>
      <c r="AN434" s="5">
        <v>96</v>
      </c>
      <c r="AO434" s="5">
        <v>18</v>
      </c>
      <c r="AP434" s="5">
        <v>3</v>
      </c>
      <c r="AQ434" s="5">
        <v>891</v>
      </c>
      <c r="AR434" s="5">
        <v>901</v>
      </c>
      <c r="AS434" s="5" t="s">
        <v>16</v>
      </c>
      <c r="AT434" s="5" t="s">
        <v>2560</v>
      </c>
      <c r="AU434" s="5" t="s">
        <v>2561</v>
      </c>
      <c r="AV434" s="5" t="s">
        <v>2563</v>
      </c>
    </row>
    <row r="435" spans="1:48" ht="45" customHeight="1" x14ac:dyDescent="0.15">
      <c r="A435" s="5" t="s">
        <v>2564</v>
      </c>
      <c r="B435" s="5">
        <v>2016</v>
      </c>
      <c r="C435" s="5" t="s">
        <v>2565</v>
      </c>
      <c r="D435" s="5" t="s">
        <v>49</v>
      </c>
      <c r="E435" s="5" t="s">
        <v>18453</v>
      </c>
      <c r="F435" s="5" t="s">
        <v>2568</v>
      </c>
      <c r="G435" s="5"/>
      <c r="H435" s="5"/>
      <c r="I435" s="5"/>
      <c r="J435" s="5"/>
      <c r="K435" s="5"/>
      <c r="L435" s="5"/>
      <c r="M435" s="5"/>
      <c r="N435" s="5"/>
      <c r="O435" s="5"/>
      <c r="P435" s="5"/>
      <c r="Q435" s="5"/>
      <c r="AL435" s="7" t="str">
        <f>HYPERLINK("http://dx.doi.org/10.3354/meps11708","http://dx.doi.org/10.3354/meps11708")</f>
        <v>http://dx.doi.org/10.3354/meps11708</v>
      </c>
      <c r="AM435" s="5">
        <v>20</v>
      </c>
      <c r="AN435" s="5">
        <v>20</v>
      </c>
      <c r="AO435" s="5">
        <v>549</v>
      </c>
      <c r="AP435" s="5" t="s">
        <v>16</v>
      </c>
      <c r="AQ435" s="5">
        <v>79</v>
      </c>
      <c r="AR435" s="5">
        <v>88</v>
      </c>
      <c r="AS435" s="5" t="s">
        <v>16</v>
      </c>
      <c r="AT435" s="5" t="s">
        <v>2566</v>
      </c>
      <c r="AU435" s="5" t="s">
        <v>2567</v>
      </c>
      <c r="AV435" s="5" t="s">
        <v>2569</v>
      </c>
    </row>
    <row r="436" spans="1:48" ht="45" customHeight="1" x14ac:dyDescent="0.15">
      <c r="A436" s="5" t="s">
        <v>2570</v>
      </c>
      <c r="B436" s="5">
        <v>2015</v>
      </c>
      <c r="C436" s="5" t="s">
        <v>2571</v>
      </c>
      <c r="D436" s="5" t="s">
        <v>33</v>
      </c>
      <c r="E436" s="5" t="s">
        <v>18453</v>
      </c>
      <c r="F436" s="5" t="s">
        <v>2574</v>
      </c>
      <c r="G436" s="5"/>
      <c r="H436" s="5"/>
      <c r="I436" s="5"/>
      <c r="J436" s="5"/>
      <c r="K436" s="5"/>
      <c r="L436" s="5"/>
      <c r="M436" s="5"/>
      <c r="N436" s="5"/>
      <c r="O436" s="5"/>
      <c r="P436" s="5"/>
      <c r="Q436" s="5"/>
      <c r="AL436" s="7" t="str">
        <f>HYPERLINK("http://dx.doi.org/10.1111/gcb.12848","http://dx.doi.org/10.1111/gcb.12848")</f>
        <v>http://dx.doi.org/10.1111/gcb.12848</v>
      </c>
      <c r="AM436" s="5">
        <v>24</v>
      </c>
      <c r="AN436" s="5">
        <v>24</v>
      </c>
      <c r="AO436" s="5">
        <v>21</v>
      </c>
      <c r="AP436" s="5">
        <v>6</v>
      </c>
      <c r="AQ436" s="5">
        <v>2454</v>
      </c>
      <c r="AR436" s="5">
        <v>2464</v>
      </c>
      <c r="AS436" s="5" t="s">
        <v>16</v>
      </c>
      <c r="AT436" s="5" t="s">
        <v>2572</v>
      </c>
      <c r="AU436" s="5" t="s">
        <v>2573</v>
      </c>
      <c r="AV436" s="5" t="s">
        <v>2575</v>
      </c>
    </row>
    <row r="437" spans="1:48" ht="45" customHeight="1" x14ac:dyDescent="0.15">
      <c r="A437" s="5" t="s">
        <v>2576</v>
      </c>
      <c r="B437" s="5">
        <v>2001</v>
      </c>
      <c r="C437" s="5" t="s">
        <v>2577</v>
      </c>
      <c r="D437" s="5" t="s">
        <v>77</v>
      </c>
      <c r="E437" s="5" t="s">
        <v>18453</v>
      </c>
      <c r="F437" s="5" t="s">
        <v>2580</v>
      </c>
      <c r="G437" s="5"/>
      <c r="H437" s="5"/>
      <c r="I437" s="5"/>
      <c r="J437" s="5"/>
      <c r="K437" s="5"/>
      <c r="L437" s="5"/>
      <c r="M437" s="5"/>
      <c r="N437" s="5"/>
      <c r="O437" s="5"/>
      <c r="P437" s="5"/>
      <c r="Q437" s="5"/>
      <c r="AL437" s="7" t="str">
        <f>HYPERLINK("http://dx.doi.org/10.1046/j.1365-2656.2001.00497.x","http://dx.doi.org/10.1046/j.1365-2656.2001.00497.x")</f>
        <v>http://dx.doi.org/10.1046/j.1365-2656.2001.00497.x</v>
      </c>
      <c r="AM437" s="5">
        <v>108</v>
      </c>
      <c r="AN437" s="5">
        <v>117</v>
      </c>
      <c r="AO437" s="5">
        <v>70</v>
      </c>
      <c r="AP437" s="5">
        <v>2</v>
      </c>
      <c r="AQ437" s="5">
        <v>273</v>
      </c>
      <c r="AR437" s="5">
        <v>288</v>
      </c>
      <c r="AS437" s="5" t="s">
        <v>16</v>
      </c>
      <c r="AT437" s="5" t="s">
        <v>2578</v>
      </c>
      <c r="AU437" s="5" t="s">
        <v>2579</v>
      </c>
      <c r="AV437" s="5" t="s">
        <v>2581</v>
      </c>
    </row>
    <row r="438" spans="1:48" ht="45" customHeight="1" x14ac:dyDescent="0.15">
      <c r="A438" s="5" t="s">
        <v>2582</v>
      </c>
      <c r="B438" s="5">
        <v>2007</v>
      </c>
      <c r="C438" s="5" t="s">
        <v>2583</v>
      </c>
      <c r="D438" s="5" t="s">
        <v>172</v>
      </c>
      <c r="E438" s="5" t="s">
        <v>18453</v>
      </c>
      <c r="F438" s="5" t="s">
        <v>2586</v>
      </c>
      <c r="G438" s="5"/>
      <c r="H438" s="5"/>
      <c r="I438" s="5"/>
      <c r="J438" s="5"/>
      <c r="K438" s="5"/>
      <c r="L438" s="5"/>
      <c r="M438" s="5"/>
      <c r="N438" s="5"/>
      <c r="O438" s="5"/>
      <c r="P438" s="5"/>
      <c r="Q438" s="5"/>
      <c r="AL438" s="7" t="str">
        <f>HYPERLINK("http://dx.doi.org/10.1007/s00442-006-0633-7","http://dx.doi.org/10.1007/s00442-006-0633-7")</f>
        <v>http://dx.doi.org/10.1007/s00442-006-0633-7</v>
      </c>
      <c r="AM438" s="5">
        <v>51</v>
      </c>
      <c r="AN438" s="5">
        <v>54</v>
      </c>
      <c r="AO438" s="5">
        <v>152</v>
      </c>
      <c r="AP438" s="5">
        <v>1</v>
      </c>
      <c r="AQ438" s="5">
        <v>140</v>
      </c>
      <c r="AR438" s="5">
        <v>150</v>
      </c>
      <c r="AS438" s="5" t="s">
        <v>16</v>
      </c>
      <c r="AT438" s="5" t="s">
        <v>2584</v>
      </c>
      <c r="AU438" s="5" t="s">
        <v>2585</v>
      </c>
      <c r="AV438" s="5" t="s">
        <v>2587</v>
      </c>
    </row>
    <row r="439" spans="1:48" ht="45" customHeight="1" x14ac:dyDescent="0.15">
      <c r="A439" s="5" t="s">
        <v>2588</v>
      </c>
      <c r="B439" s="5">
        <v>2004</v>
      </c>
      <c r="C439" s="5" t="s">
        <v>2589</v>
      </c>
      <c r="D439" s="5" t="s">
        <v>49</v>
      </c>
      <c r="E439" s="5" t="s">
        <v>18453</v>
      </c>
      <c r="F439" s="5" t="s">
        <v>2592</v>
      </c>
      <c r="G439" s="5"/>
      <c r="H439" s="5"/>
      <c r="I439" s="5"/>
      <c r="J439" s="5"/>
      <c r="K439" s="5"/>
      <c r="L439" s="5"/>
      <c r="M439" s="5"/>
      <c r="N439" s="5"/>
      <c r="O439" s="5"/>
      <c r="P439" s="5"/>
      <c r="Q439" s="5"/>
      <c r="AL439" s="7" t="str">
        <f>HYPERLINK("http://dx.doi.org/10.3354/meps275047","http://dx.doi.org/10.3354/meps275047")</f>
        <v>http://dx.doi.org/10.3354/meps275047</v>
      </c>
      <c r="AM439" s="5">
        <v>79</v>
      </c>
      <c r="AN439" s="5">
        <v>81</v>
      </c>
      <c r="AO439" s="5">
        <v>275</v>
      </c>
      <c r="AP439" s="5" t="s">
        <v>16</v>
      </c>
      <c r="AQ439" s="5">
        <v>47</v>
      </c>
      <c r="AR439" s="5">
        <v>57</v>
      </c>
      <c r="AS439" s="5" t="s">
        <v>16</v>
      </c>
      <c r="AT439" s="5" t="s">
        <v>2590</v>
      </c>
      <c r="AU439" s="5" t="s">
        <v>2591</v>
      </c>
      <c r="AV439" s="5" t="s">
        <v>2593</v>
      </c>
    </row>
    <row r="440" spans="1:48" ht="45" customHeight="1" x14ac:dyDescent="0.15">
      <c r="A440" s="5" t="s">
        <v>2594</v>
      </c>
      <c r="B440" s="5">
        <v>2008</v>
      </c>
      <c r="C440" s="5" t="s">
        <v>2595</v>
      </c>
      <c r="D440" s="5" t="s">
        <v>172</v>
      </c>
      <c r="E440" s="5" t="s">
        <v>18453</v>
      </c>
      <c r="F440" s="5" t="s">
        <v>2598</v>
      </c>
      <c r="G440" s="5"/>
      <c r="H440" s="5"/>
      <c r="I440" s="5"/>
      <c r="J440" s="5"/>
      <c r="K440" s="5"/>
      <c r="L440" s="5"/>
      <c r="M440" s="5"/>
      <c r="N440" s="5"/>
      <c r="O440" s="5"/>
      <c r="P440" s="5"/>
      <c r="Q440" s="5"/>
      <c r="AL440" s="7" t="str">
        <f>HYPERLINK("http://dx.doi.org/10.1007/s00442-008-1132-9","http://dx.doi.org/10.1007/s00442-008-1132-9")</f>
        <v>http://dx.doi.org/10.1007/s00442-008-1132-9</v>
      </c>
      <c r="AM440" s="5">
        <v>129</v>
      </c>
      <c r="AN440" s="5">
        <v>133</v>
      </c>
      <c r="AO440" s="5">
        <v>158</v>
      </c>
      <c r="AP440" s="5">
        <v>2</v>
      </c>
      <c r="AQ440" s="5">
        <v>307</v>
      </c>
      <c r="AR440" s="5">
        <v>317</v>
      </c>
      <c r="AS440" s="5" t="s">
        <v>16</v>
      </c>
      <c r="AT440" s="5" t="s">
        <v>2596</v>
      </c>
      <c r="AU440" s="5" t="s">
        <v>2597</v>
      </c>
      <c r="AV440" s="5" t="s">
        <v>2599</v>
      </c>
    </row>
    <row r="441" spans="1:48" ht="45" customHeight="1" x14ac:dyDescent="0.15">
      <c r="A441" s="5" t="s">
        <v>2600</v>
      </c>
      <c r="B441" s="5">
        <v>2014</v>
      </c>
      <c r="C441" s="5" t="s">
        <v>2601</v>
      </c>
      <c r="D441" s="5" t="s">
        <v>83</v>
      </c>
      <c r="E441" s="5" t="s">
        <v>18453</v>
      </c>
      <c r="F441" s="5" t="s">
        <v>2604</v>
      </c>
      <c r="G441" s="5"/>
      <c r="H441" s="5"/>
      <c r="I441" s="5"/>
      <c r="J441" s="5"/>
      <c r="K441" s="5"/>
      <c r="L441" s="5"/>
      <c r="M441" s="5"/>
      <c r="N441" s="5"/>
      <c r="O441" s="5"/>
      <c r="P441" s="5"/>
      <c r="Q441" s="5"/>
      <c r="AL441" s="7" t="str">
        <f>HYPERLINK("http://dx.doi.org/10.1007/s10646-013-1174-6","http://dx.doi.org/10.1007/s10646-013-1174-6")</f>
        <v>http://dx.doi.org/10.1007/s10646-013-1174-6</v>
      </c>
      <c r="AM441" s="5">
        <v>28</v>
      </c>
      <c r="AN441" s="5">
        <v>28</v>
      </c>
      <c r="AO441" s="5">
        <v>23</v>
      </c>
      <c r="AP441" s="5">
        <v>2</v>
      </c>
      <c r="AQ441" s="5">
        <v>304</v>
      </c>
      <c r="AR441" s="5">
        <v>316</v>
      </c>
      <c r="AS441" s="5" t="s">
        <v>16</v>
      </c>
      <c r="AT441" s="5" t="s">
        <v>2602</v>
      </c>
      <c r="AU441" s="5" t="s">
        <v>2603</v>
      </c>
      <c r="AV441" s="5" t="s">
        <v>2605</v>
      </c>
    </row>
    <row r="442" spans="1:48" ht="45" customHeight="1" x14ac:dyDescent="0.15">
      <c r="A442" s="5" t="s">
        <v>2606</v>
      </c>
      <c r="B442" s="5">
        <v>2022</v>
      </c>
      <c r="C442" s="5" t="s">
        <v>2607</v>
      </c>
      <c r="D442" s="5" t="s">
        <v>162</v>
      </c>
      <c r="E442" s="5" t="s">
        <v>18453</v>
      </c>
      <c r="F442" s="5" t="s">
        <v>2610</v>
      </c>
      <c r="G442" s="5"/>
      <c r="H442" s="5"/>
      <c r="I442" s="5"/>
      <c r="J442" s="5"/>
      <c r="K442" s="5"/>
      <c r="L442" s="5"/>
      <c r="M442" s="5"/>
      <c r="N442" s="5"/>
      <c r="O442" s="5"/>
      <c r="P442" s="5"/>
      <c r="Q442" s="5"/>
      <c r="AL442" s="7" t="str">
        <f>HYPERLINK("http://dx.doi.org/10.1111/1365-2435.13981","http://dx.doi.org/10.1111/1365-2435.13981")</f>
        <v>http://dx.doi.org/10.1111/1365-2435.13981</v>
      </c>
      <c r="AM442" s="5">
        <v>15</v>
      </c>
      <c r="AN442" s="5">
        <v>15</v>
      </c>
      <c r="AO442" s="5">
        <v>36</v>
      </c>
      <c r="AP442" s="5">
        <v>3</v>
      </c>
      <c r="AQ442" s="5">
        <v>538</v>
      </c>
      <c r="AR442" s="5">
        <v>549</v>
      </c>
      <c r="AS442" s="5" t="s">
        <v>16</v>
      </c>
      <c r="AT442" s="5" t="s">
        <v>2608</v>
      </c>
      <c r="AU442" s="5" t="s">
        <v>2609</v>
      </c>
      <c r="AV442" s="5" t="s">
        <v>2611</v>
      </c>
    </row>
    <row r="443" spans="1:48" ht="45" customHeight="1" x14ac:dyDescent="0.15">
      <c r="A443" s="5" t="s">
        <v>2612</v>
      </c>
      <c r="B443" s="5">
        <v>2014</v>
      </c>
      <c r="C443" s="5" t="s">
        <v>2613</v>
      </c>
      <c r="D443" s="5" t="s">
        <v>2614</v>
      </c>
      <c r="E443" s="5" t="s">
        <v>18453</v>
      </c>
      <c r="F443" s="5" t="s">
        <v>2617</v>
      </c>
      <c r="G443" s="5"/>
      <c r="H443" s="5"/>
      <c r="I443" s="5"/>
      <c r="J443" s="5"/>
      <c r="K443" s="5"/>
      <c r="L443" s="5"/>
      <c r="M443" s="5"/>
      <c r="N443" s="5"/>
      <c r="O443" s="5"/>
      <c r="P443" s="5"/>
      <c r="Q443" s="5"/>
      <c r="AL443" s="7" t="str">
        <f>HYPERLINK("http://dx.doi.org/10.1111/acv.12050","http://dx.doi.org/10.1111/acv.12050")</f>
        <v>http://dx.doi.org/10.1111/acv.12050</v>
      </c>
      <c r="AM443" s="5">
        <v>34</v>
      </c>
      <c r="AN443" s="5">
        <v>34</v>
      </c>
      <c r="AO443" s="5">
        <v>17</v>
      </c>
      <c r="AP443" s="5">
        <v>1</v>
      </c>
      <c r="AQ443" s="5">
        <v>19</v>
      </c>
      <c r="AR443" s="5">
        <v>26</v>
      </c>
      <c r="AS443" s="5" t="s">
        <v>16</v>
      </c>
      <c r="AT443" s="5" t="s">
        <v>2615</v>
      </c>
      <c r="AU443" s="5" t="s">
        <v>2616</v>
      </c>
      <c r="AV443" s="5" t="s">
        <v>2618</v>
      </c>
    </row>
    <row r="444" spans="1:48" ht="45" customHeight="1" x14ac:dyDescent="0.15">
      <c r="A444" s="5" t="s">
        <v>2619</v>
      </c>
      <c r="B444" s="5">
        <v>2013</v>
      </c>
      <c r="C444" s="5" t="s">
        <v>2620</v>
      </c>
      <c r="D444" s="5" t="s">
        <v>2020</v>
      </c>
      <c r="E444" s="5" t="s">
        <v>18453</v>
      </c>
      <c r="F444" s="5" t="s">
        <v>2623</v>
      </c>
      <c r="G444" s="5"/>
      <c r="H444" s="5"/>
      <c r="I444" s="5"/>
      <c r="J444" s="5"/>
      <c r="K444" s="5"/>
      <c r="L444" s="5"/>
      <c r="M444" s="5"/>
      <c r="N444" s="5"/>
      <c r="O444" s="5"/>
      <c r="P444" s="5"/>
      <c r="Q444" s="5"/>
      <c r="AL444" s="7" t="str">
        <f>HYPERLINK("http://dx.doi.org/10.5751/ES-05791-180436","http://dx.doi.org/10.5751/ES-05791-180436")</f>
        <v>http://dx.doi.org/10.5751/ES-05791-180436</v>
      </c>
      <c r="AM444" s="5">
        <v>43</v>
      </c>
      <c r="AN444" s="5">
        <v>45</v>
      </c>
      <c r="AO444" s="5">
        <v>18</v>
      </c>
      <c r="AP444" s="5">
        <v>4</v>
      </c>
      <c r="AQ444" s="5" t="s">
        <v>16</v>
      </c>
      <c r="AR444" s="5" t="s">
        <v>16</v>
      </c>
      <c r="AS444" s="5">
        <v>36</v>
      </c>
      <c r="AT444" s="5" t="s">
        <v>2621</v>
      </c>
      <c r="AU444" s="5" t="s">
        <v>2622</v>
      </c>
      <c r="AV444" s="5" t="s">
        <v>2624</v>
      </c>
    </row>
    <row r="445" spans="1:48" ht="45" customHeight="1" x14ac:dyDescent="0.15">
      <c r="A445" s="5" t="s">
        <v>2625</v>
      </c>
      <c r="B445" s="5">
        <v>2010</v>
      </c>
      <c r="C445" s="5" t="s">
        <v>2626</v>
      </c>
      <c r="D445" s="5" t="s">
        <v>62</v>
      </c>
      <c r="E445" s="5" t="s">
        <v>18453</v>
      </c>
      <c r="F445" s="5" t="s">
        <v>2629</v>
      </c>
      <c r="G445" s="5"/>
      <c r="H445" s="5"/>
      <c r="I445" s="5"/>
      <c r="J445" s="5"/>
      <c r="K445" s="5"/>
      <c r="L445" s="5"/>
      <c r="M445" s="5"/>
      <c r="N445" s="5"/>
      <c r="O445" s="5"/>
      <c r="P445" s="5"/>
      <c r="Q445" s="5"/>
      <c r="AL445" s="7" t="str">
        <f>HYPERLINK("http://dx.doi.org/10.1007/s10021-010-9326-5","http://dx.doi.org/10.1007/s10021-010-9326-5")</f>
        <v>http://dx.doi.org/10.1007/s10021-010-9326-5</v>
      </c>
      <c r="AM445" s="5">
        <v>36</v>
      </c>
      <c r="AN445" s="5">
        <v>37</v>
      </c>
      <c r="AO445" s="5">
        <v>13</v>
      </c>
      <c r="AP445" s="5">
        <v>3</v>
      </c>
      <c r="AQ445" s="5">
        <v>393</v>
      </c>
      <c r="AR445" s="5">
        <v>409</v>
      </c>
      <c r="AS445" s="5" t="s">
        <v>16</v>
      </c>
      <c r="AT445" s="5" t="s">
        <v>2627</v>
      </c>
      <c r="AU445" s="5" t="s">
        <v>2628</v>
      </c>
      <c r="AV445" s="5" t="s">
        <v>2630</v>
      </c>
    </row>
    <row r="446" spans="1:48" ht="45" customHeight="1" x14ac:dyDescent="0.15">
      <c r="A446" s="5" t="s">
        <v>2631</v>
      </c>
      <c r="B446" s="5">
        <v>2019</v>
      </c>
      <c r="C446" s="5" t="s">
        <v>2632</v>
      </c>
      <c r="D446" s="5" t="s">
        <v>2087</v>
      </c>
      <c r="E446" s="5" t="s">
        <v>18453</v>
      </c>
      <c r="F446" s="5" t="s">
        <v>2635</v>
      </c>
      <c r="G446" s="5"/>
      <c r="H446" s="5"/>
      <c r="I446" s="5"/>
      <c r="J446" s="5"/>
      <c r="K446" s="5"/>
      <c r="L446" s="5"/>
      <c r="M446" s="5"/>
      <c r="N446" s="5"/>
      <c r="O446" s="5"/>
      <c r="P446" s="5"/>
      <c r="Q446" s="5"/>
      <c r="AL446" s="7" t="str">
        <f>HYPERLINK("http://dx.doi.org/10.1002/eco.2074","http://dx.doi.org/10.1002/eco.2074")</f>
        <v>http://dx.doi.org/10.1002/eco.2074</v>
      </c>
      <c r="AM446" s="5">
        <v>8</v>
      </c>
      <c r="AN446" s="5">
        <v>8</v>
      </c>
      <c r="AO446" s="5">
        <v>12</v>
      </c>
      <c r="AP446" s="5">
        <v>3</v>
      </c>
      <c r="AQ446" s="5" t="s">
        <v>16</v>
      </c>
      <c r="AR446" s="5" t="s">
        <v>16</v>
      </c>
      <c r="AS446" s="5" t="s">
        <v>2636</v>
      </c>
      <c r="AT446" s="5" t="s">
        <v>2633</v>
      </c>
      <c r="AU446" s="5" t="s">
        <v>2634</v>
      </c>
      <c r="AV446" s="5" t="s">
        <v>2637</v>
      </c>
    </row>
    <row r="447" spans="1:48" ht="45" customHeight="1" x14ac:dyDescent="0.15">
      <c r="A447" s="5" t="s">
        <v>2638</v>
      </c>
      <c r="B447" s="5">
        <v>2019</v>
      </c>
      <c r="C447" s="5" t="s">
        <v>2639</v>
      </c>
      <c r="D447" s="5" t="s">
        <v>942</v>
      </c>
      <c r="E447" s="5" t="s">
        <v>18453</v>
      </c>
      <c r="F447" s="5" t="s">
        <v>2642</v>
      </c>
      <c r="G447" s="5"/>
      <c r="H447" s="5"/>
      <c r="I447" s="5"/>
      <c r="J447" s="5"/>
      <c r="K447" s="5"/>
      <c r="L447" s="5"/>
      <c r="M447" s="5"/>
      <c r="N447" s="5"/>
      <c r="O447" s="5"/>
      <c r="P447" s="5"/>
      <c r="Q447" s="5"/>
      <c r="AL447" s="7" t="str">
        <f>HYPERLINK("http://dx.doi.org/10.1016/j.rsma.2018.100440","http://dx.doi.org/10.1016/j.rsma.2018.100440")</f>
        <v>http://dx.doi.org/10.1016/j.rsma.2018.100440</v>
      </c>
      <c r="AM447" s="5">
        <v>14</v>
      </c>
      <c r="AN447" s="5">
        <v>14</v>
      </c>
      <c r="AO447" s="5">
        <v>25</v>
      </c>
      <c r="AP447" s="5" t="s">
        <v>16</v>
      </c>
      <c r="AQ447" s="5" t="s">
        <v>16</v>
      </c>
      <c r="AR447" s="5" t="s">
        <v>16</v>
      </c>
      <c r="AS447" s="5">
        <v>100440</v>
      </c>
      <c r="AT447" s="5" t="s">
        <v>2640</v>
      </c>
      <c r="AU447" s="5" t="s">
        <v>2641</v>
      </c>
      <c r="AV447" s="5" t="s">
        <v>2643</v>
      </c>
    </row>
    <row r="448" spans="1:48" ht="45" customHeight="1" x14ac:dyDescent="0.15">
      <c r="A448" s="5" t="s">
        <v>2644</v>
      </c>
      <c r="B448" s="5">
        <v>2022</v>
      </c>
      <c r="C448" s="5" t="s">
        <v>2645</v>
      </c>
      <c r="D448" s="5" t="s">
        <v>15</v>
      </c>
      <c r="E448" s="5" t="s">
        <v>18453</v>
      </c>
      <c r="F448" s="5" t="s">
        <v>2648</v>
      </c>
      <c r="G448" s="5"/>
      <c r="H448" s="5"/>
      <c r="I448" s="5"/>
      <c r="J448" s="5"/>
      <c r="K448" s="5"/>
      <c r="L448" s="5"/>
      <c r="M448" s="5"/>
      <c r="N448" s="5"/>
      <c r="O448" s="5"/>
      <c r="P448" s="5"/>
      <c r="Q448" s="5"/>
      <c r="AL448" s="7" t="str">
        <f>HYPERLINK("http://dx.doi.org/10.1002/ece3.8452","http://dx.doi.org/10.1002/ece3.8452")</f>
        <v>http://dx.doi.org/10.1002/ece3.8452</v>
      </c>
      <c r="AM448" s="5">
        <v>2</v>
      </c>
      <c r="AN448" s="5">
        <v>2</v>
      </c>
      <c r="AO448" s="5">
        <v>12</v>
      </c>
      <c r="AP448" s="5">
        <v>1</v>
      </c>
      <c r="AQ448" s="5" t="s">
        <v>16</v>
      </c>
      <c r="AR448" s="5" t="s">
        <v>16</v>
      </c>
      <c r="AS448" s="5" t="s">
        <v>16</v>
      </c>
      <c r="AT448" s="5" t="s">
        <v>2646</v>
      </c>
      <c r="AU448" s="5" t="s">
        <v>2647</v>
      </c>
      <c r="AV448" s="5" t="s">
        <v>2649</v>
      </c>
    </row>
    <row r="449" spans="1:48" ht="45" customHeight="1" x14ac:dyDescent="0.15">
      <c r="A449" s="5" t="s">
        <v>2650</v>
      </c>
      <c r="B449" s="5">
        <v>2017</v>
      </c>
      <c r="C449" s="5" t="s">
        <v>2651</v>
      </c>
      <c r="D449" s="5" t="s">
        <v>77</v>
      </c>
      <c r="E449" s="5" t="s">
        <v>18453</v>
      </c>
      <c r="F449" s="5" t="s">
        <v>2654</v>
      </c>
      <c r="G449" s="5"/>
      <c r="H449" s="5"/>
      <c r="I449" s="5"/>
      <c r="J449" s="5"/>
      <c r="K449" s="5"/>
      <c r="L449" s="5"/>
      <c r="M449" s="5"/>
      <c r="N449" s="5"/>
      <c r="O449" s="5"/>
      <c r="P449" s="5"/>
      <c r="Q449" s="5"/>
      <c r="AL449" s="7" t="str">
        <f>HYPERLINK("http://dx.doi.org/10.1111/1365-2656.12702","http://dx.doi.org/10.1111/1365-2656.12702")</f>
        <v>http://dx.doi.org/10.1111/1365-2656.12702</v>
      </c>
      <c r="AM449" s="5">
        <v>28</v>
      </c>
      <c r="AN449" s="5">
        <v>30</v>
      </c>
      <c r="AO449" s="5">
        <v>86</v>
      </c>
      <c r="AP449" s="5">
        <v>5</v>
      </c>
      <c r="AQ449" s="5">
        <v>1169</v>
      </c>
      <c r="AR449" s="5">
        <v>1178</v>
      </c>
      <c r="AS449" s="5" t="s">
        <v>16</v>
      </c>
      <c r="AT449" s="5" t="s">
        <v>2652</v>
      </c>
      <c r="AU449" s="5" t="s">
        <v>2653</v>
      </c>
      <c r="AV449" s="5" t="s">
        <v>2655</v>
      </c>
    </row>
    <row r="450" spans="1:48" ht="45" customHeight="1" x14ac:dyDescent="0.15">
      <c r="A450" s="5" t="s">
        <v>2656</v>
      </c>
      <c r="B450" s="5">
        <v>2022</v>
      </c>
      <c r="C450" s="5" t="s">
        <v>2657</v>
      </c>
      <c r="D450" s="5" t="s">
        <v>249</v>
      </c>
      <c r="E450" s="5" t="s">
        <v>18453</v>
      </c>
      <c r="F450" s="5" t="s">
        <v>2660</v>
      </c>
      <c r="G450" s="5"/>
      <c r="H450" s="5"/>
      <c r="I450" s="5"/>
      <c r="J450" s="5"/>
      <c r="K450" s="5"/>
      <c r="L450" s="5"/>
      <c r="M450" s="5"/>
      <c r="N450" s="5"/>
      <c r="O450" s="5"/>
      <c r="P450" s="5"/>
      <c r="Q450" s="5"/>
      <c r="AL450" s="7" t="str">
        <f>HYPERLINK("http://dx.doi.org/10.1016/j.jaridenv.2021.104676","http://dx.doi.org/10.1016/j.jaridenv.2021.104676")</f>
        <v>http://dx.doi.org/10.1016/j.jaridenv.2021.104676</v>
      </c>
      <c r="AM450" s="5">
        <v>1</v>
      </c>
      <c r="AN450" s="5">
        <v>1</v>
      </c>
      <c r="AO450" s="5">
        <v>197</v>
      </c>
      <c r="AP450" s="5" t="s">
        <v>16</v>
      </c>
      <c r="AQ450" s="5" t="s">
        <v>16</v>
      </c>
      <c r="AR450" s="5" t="s">
        <v>16</v>
      </c>
      <c r="AS450" s="5">
        <v>104676</v>
      </c>
      <c r="AT450" s="5" t="s">
        <v>2658</v>
      </c>
      <c r="AU450" s="5" t="s">
        <v>2659</v>
      </c>
      <c r="AV450" s="5" t="s">
        <v>2661</v>
      </c>
    </row>
    <row r="451" spans="1:48" ht="45" customHeight="1" x14ac:dyDescent="0.15">
      <c r="A451" s="5" t="s">
        <v>2662</v>
      </c>
      <c r="B451" s="5">
        <v>2011</v>
      </c>
      <c r="C451" s="5" t="s">
        <v>2663</v>
      </c>
      <c r="D451" s="5" t="s">
        <v>49</v>
      </c>
      <c r="E451" s="5" t="s">
        <v>18453</v>
      </c>
      <c r="F451" s="5" t="s">
        <v>2666</v>
      </c>
      <c r="G451" s="5"/>
      <c r="H451" s="5"/>
      <c r="I451" s="5"/>
      <c r="J451" s="5"/>
      <c r="K451" s="5"/>
      <c r="L451" s="5"/>
      <c r="M451" s="5"/>
      <c r="N451" s="5"/>
      <c r="O451" s="5"/>
      <c r="P451" s="5"/>
      <c r="Q451" s="5"/>
      <c r="AL451" s="7" t="str">
        <f>HYPERLINK("http://dx.doi.org/10.3354/meps09154","http://dx.doi.org/10.3354/meps09154")</f>
        <v>http://dx.doi.org/10.3354/meps09154</v>
      </c>
      <c r="AM451" s="5">
        <v>99</v>
      </c>
      <c r="AN451" s="5">
        <v>104</v>
      </c>
      <c r="AO451" s="5">
        <v>432</v>
      </c>
      <c r="AP451" s="5" t="s">
        <v>16</v>
      </c>
      <c r="AQ451" s="5">
        <v>181</v>
      </c>
      <c r="AR451" s="5" t="s">
        <v>2667</v>
      </c>
      <c r="AS451" s="5" t="s">
        <v>16</v>
      </c>
      <c r="AT451" s="5" t="s">
        <v>2664</v>
      </c>
      <c r="AU451" s="5" t="s">
        <v>2665</v>
      </c>
      <c r="AV451" s="5" t="s">
        <v>2668</v>
      </c>
    </row>
    <row r="452" spans="1:48" ht="45" customHeight="1" x14ac:dyDescent="0.15">
      <c r="A452" s="5" t="s">
        <v>2669</v>
      </c>
      <c r="B452" s="5">
        <v>2009</v>
      </c>
      <c r="C452" s="5" t="s">
        <v>2670</v>
      </c>
      <c r="D452" s="5" t="s">
        <v>17</v>
      </c>
      <c r="E452" s="5" t="s">
        <v>18453</v>
      </c>
      <c r="F452" s="5" t="s">
        <v>2673</v>
      </c>
      <c r="G452" s="5"/>
      <c r="H452" s="5"/>
      <c r="I452" s="5"/>
      <c r="J452" s="5"/>
      <c r="K452" s="5"/>
      <c r="L452" s="5"/>
      <c r="M452" s="5"/>
      <c r="N452" s="5"/>
      <c r="O452" s="5"/>
      <c r="P452" s="5"/>
      <c r="Q452" s="5"/>
      <c r="AL452" s="7" t="str">
        <f>HYPERLINK("http://dx.doi.org/10.1111/j.1365-2427.2009.02234.x","http://dx.doi.org/10.1111/j.1365-2427.2009.02234.x")</f>
        <v>http://dx.doi.org/10.1111/j.1365-2427.2009.02234.x</v>
      </c>
      <c r="AM452" s="5">
        <v>181</v>
      </c>
      <c r="AN452" s="5">
        <v>190</v>
      </c>
      <c r="AO452" s="5">
        <v>54</v>
      </c>
      <c r="AP452" s="5">
        <v>10</v>
      </c>
      <c r="AQ452" s="5">
        <v>2051</v>
      </c>
      <c r="AR452" s="5">
        <v>2068</v>
      </c>
      <c r="AS452" s="5" t="s">
        <v>16</v>
      </c>
      <c r="AT452" s="5" t="s">
        <v>2671</v>
      </c>
      <c r="AU452" s="5" t="s">
        <v>2672</v>
      </c>
      <c r="AV452" s="5" t="s">
        <v>2674</v>
      </c>
    </row>
    <row r="453" spans="1:48" ht="45" customHeight="1" x14ac:dyDescent="0.15">
      <c r="A453" s="5" t="s">
        <v>2675</v>
      </c>
      <c r="B453" s="5">
        <v>2015</v>
      </c>
      <c r="C453" s="5" t="s">
        <v>2676</v>
      </c>
      <c r="D453" s="5" t="s">
        <v>2677</v>
      </c>
      <c r="E453" s="5" t="s">
        <v>18453</v>
      </c>
      <c r="F453" s="5" t="s">
        <v>2680</v>
      </c>
      <c r="G453" s="5"/>
      <c r="H453" s="5"/>
      <c r="I453" s="5"/>
      <c r="J453" s="5"/>
      <c r="K453" s="5"/>
      <c r="L453" s="5"/>
      <c r="M453" s="5"/>
      <c r="N453" s="5"/>
      <c r="O453" s="5"/>
      <c r="P453" s="5"/>
      <c r="Q453" s="5"/>
      <c r="AL453" s="5" t="s">
        <v>16</v>
      </c>
      <c r="AM453" s="5">
        <v>0</v>
      </c>
      <c r="AN453" s="5">
        <v>0</v>
      </c>
      <c r="AO453" s="5">
        <v>65</v>
      </c>
      <c r="AP453" s="5">
        <v>1</v>
      </c>
      <c r="AQ453" s="5">
        <v>21</v>
      </c>
      <c r="AR453" s="5">
        <v>28</v>
      </c>
      <c r="AS453" s="5" t="s">
        <v>16</v>
      </c>
      <c r="AT453" s="5" t="s">
        <v>2678</v>
      </c>
      <c r="AU453" s="5" t="s">
        <v>2679</v>
      </c>
      <c r="AV453" s="5" t="s">
        <v>16</v>
      </c>
    </row>
    <row r="454" spans="1:48" ht="45" customHeight="1" x14ac:dyDescent="0.15">
      <c r="A454" s="5" t="s">
        <v>2681</v>
      </c>
      <c r="B454" s="5">
        <v>2014</v>
      </c>
      <c r="C454" s="5" t="s">
        <v>2682</v>
      </c>
      <c r="D454" s="5" t="s">
        <v>17</v>
      </c>
      <c r="E454" s="5" t="s">
        <v>18453</v>
      </c>
      <c r="F454" s="5" t="s">
        <v>2685</v>
      </c>
      <c r="G454" s="5"/>
      <c r="H454" s="5"/>
      <c r="I454" s="5"/>
      <c r="J454" s="5"/>
      <c r="K454" s="5"/>
      <c r="L454" s="5"/>
      <c r="M454" s="5"/>
      <c r="N454" s="5"/>
      <c r="O454" s="5"/>
      <c r="P454" s="5"/>
      <c r="Q454" s="5"/>
      <c r="AL454" s="7" t="str">
        <f>HYPERLINK("http://dx.doi.org/10.1111/fwb.12386","http://dx.doi.org/10.1111/fwb.12386")</f>
        <v>http://dx.doi.org/10.1111/fwb.12386</v>
      </c>
      <c r="AM454" s="5">
        <v>18</v>
      </c>
      <c r="AN454" s="5">
        <v>18</v>
      </c>
      <c r="AO454" s="5">
        <v>59</v>
      </c>
      <c r="AP454" s="5">
        <v>9</v>
      </c>
      <c r="AQ454" s="5">
        <v>1830</v>
      </c>
      <c r="AR454" s="5">
        <v>1842</v>
      </c>
      <c r="AS454" s="5" t="s">
        <v>16</v>
      </c>
      <c r="AT454" s="5" t="s">
        <v>2683</v>
      </c>
      <c r="AU454" s="5" t="s">
        <v>2684</v>
      </c>
      <c r="AV454" s="5" t="s">
        <v>2686</v>
      </c>
    </row>
    <row r="455" spans="1:48" ht="45" customHeight="1" x14ac:dyDescent="0.15">
      <c r="A455" s="5" t="s">
        <v>2687</v>
      </c>
      <c r="B455" s="5">
        <v>2005</v>
      </c>
      <c r="C455" s="5" t="s">
        <v>2688</v>
      </c>
      <c r="D455" s="5" t="s">
        <v>259</v>
      </c>
      <c r="E455" s="5" t="s">
        <v>18453</v>
      </c>
      <c r="F455" s="5" t="s">
        <v>2691</v>
      </c>
      <c r="G455" s="5"/>
      <c r="H455" s="5"/>
      <c r="I455" s="5"/>
      <c r="J455" s="5"/>
      <c r="K455" s="5"/>
      <c r="L455" s="5"/>
      <c r="M455" s="5"/>
      <c r="N455" s="5"/>
      <c r="O455" s="5"/>
      <c r="P455" s="5"/>
      <c r="Q455" s="5"/>
      <c r="AL455" s="7" t="str">
        <f>HYPERLINK("http://dx.doi.org/10.2193/0022-541X(2005)069&lt;0101:SIPEFP&gt;2.0.CO;2","http://dx.doi.org/10.2193/0022-541X(2005)069&lt;0101:SIPEFP&gt;2.0.CO;2")</f>
        <v>http://dx.doi.org/10.2193/0022-541X(2005)069&lt;0101:SIPEFP&gt;2.0.CO;2</v>
      </c>
      <c r="AM455" s="5">
        <v>16</v>
      </c>
      <c r="AN455" s="5">
        <v>16</v>
      </c>
      <c r="AO455" s="5">
        <v>69</v>
      </c>
      <c r="AP455" s="5">
        <v>1</v>
      </c>
      <c r="AQ455" s="5">
        <v>101</v>
      </c>
      <c r="AR455" s="5">
        <v>109</v>
      </c>
      <c r="AS455" s="5" t="s">
        <v>16</v>
      </c>
      <c r="AT455" s="5" t="s">
        <v>2689</v>
      </c>
      <c r="AU455" s="5" t="s">
        <v>2690</v>
      </c>
      <c r="AV455" s="5" t="s">
        <v>2692</v>
      </c>
    </row>
    <row r="456" spans="1:48" ht="45" customHeight="1" x14ac:dyDescent="0.15">
      <c r="A456" s="5" t="s">
        <v>2693</v>
      </c>
      <c r="B456" s="5">
        <v>2013</v>
      </c>
      <c r="C456" s="5" t="s">
        <v>2694</v>
      </c>
      <c r="D456" s="5" t="s">
        <v>17</v>
      </c>
      <c r="E456" s="5" t="s">
        <v>18453</v>
      </c>
      <c r="F456" s="5" t="s">
        <v>2697</v>
      </c>
      <c r="G456" s="5"/>
      <c r="H456" s="5"/>
      <c r="I456" s="5"/>
      <c r="J456" s="5"/>
      <c r="K456" s="5"/>
      <c r="L456" s="5"/>
      <c r="M456" s="5"/>
      <c r="N456" s="5"/>
      <c r="O456" s="5"/>
      <c r="P456" s="5"/>
      <c r="Q456" s="5"/>
      <c r="AL456" s="7" t="str">
        <f>HYPERLINK("http://dx.doi.org/10.1111/fwb.12229","http://dx.doi.org/10.1111/fwb.12229")</f>
        <v>http://dx.doi.org/10.1111/fwb.12229</v>
      </c>
      <c r="AM456" s="5">
        <v>12</v>
      </c>
      <c r="AN456" s="5">
        <v>13</v>
      </c>
      <c r="AO456" s="5">
        <v>58</v>
      </c>
      <c r="AP456" s="5">
        <v>12</v>
      </c>
      <c r="AQ456" s="5">
        <v>2517</v>
      </c>
      <c r="AR456" s="5">
        <v>2531</v>
      </c>
      <c r="AS456" s="5" t="s">
        <v>16</v>
      </c>
      <c r="AT456" s="5" t="s">
        <v>2695</v>
      </c>
      <c r="AU456" s="5" t="s">
        <v>2696</v>
      </c>
      <c r="AV456" s="5" t="s">
        <v>2698</v>
      </c>
    </row>
    <row r="457" spans="1:48" ht="45" customHeight="1" x14ac:dyDescent="0.15">
      <c r="A457" s="5" t="s">
        <v>2699</v>
      </c>
      <c r="B457" s="5">
        <v>2017</v>
      </c>
      <c r="C457" s="5" t="s">
        <v>2700</v>
      </c>
      <c r="D457" s="5" t="s">
        <v>92</v>
      </c>
      <c r="E457" s="5" t="s">
        <v>18453</v>
      </c>
      <c r="F457" s="5" t="s">
        <v>2703</v>
      </c>
      <c r="G457" s="5"/>
      <c r="H457" s="5"/>
      <c r="I457" s="5"/>
      <c r="J457" s="5"/>
      <c r="K457" s="5"/>
      <c r="L457" s="5"/>
      <c r="M457" s="5"/>
      <c r="N457" s="5"/>
      <c r="O457" s="5"/>
      <c r="P457" s="5"/>
      <c r="Q457" s="5"/>
      <c r="AL457" s="7" t="str">
        <f>HYPERLINK("http://dx.doi.org/10.1086/690674","http://dx.doi.org/10.1086/690674")</f>
        <v>http://dx.doi.org/10.1086/690674</v>
      </c>
      <c r="AM457" s="5">
        <v>6</v>
      </c>
      <c r="AN457" s="5">
        <v>6</v>
      </c>
      <c r="AO457" s="5">
        <v>36</v>
      </c>
      <c r="AP457" s="5">
        <v>1</v>
      </c>
      <c r="AQ457" s="5">
        <v>138</v>
      </c>
      <c r="AR457" s="5">
        <v>150</v>
      </c>
      <c r="AS457" s="5" t="s">
        <v>16</v>
      </c>
      <c r="AT457" s="5" t="s">
        <v>2701</v>
      </c>
      <c r="AU457" s="5" t="s">
        <v>2702</v>
      </c>
      <c r="AV457" s="5" t="s">
        <v>2704</v>
      </c>
    </row>
    <row r="458" spans="1:48" ht="45" customHeight="1" x14ac:dyDescent="0.15">
      <c r="A458" s="5" t="s">
        <v>2705</v>
      </c>
      <c r="B458" s="5">
        <v>2019</v>
      </c>
      <c r="C458" s="5" t="s">
        <v>2706</v>
      </c>
      <c r="D458" s="5" t="s">
        <v>49</v>
      </c>
      <c r="E458" s="5" t="s">
        <v>18453</v>
      </c>
      <c r="F458" s="5" t="s">
        <v>2709</v>
      </c>
      <c r="G458" s="5"/>
      <c r="H458" s="5"/>
      <c r="I458" s="5"/>
      <c r="J458" s="5"/>
      <c r="K458" s="5"/>
      <c r="L458" s="5"/>
      <c r="M458" s="5"/>
      <c r="N458" s="5"/>
      <c r="O458" s="5"/>
      <c r="P458" s="5"/>
      <c r="Q458" s="5"/>
      <c r="AL458" s="7" t="str">
        <f>HYPERLINK("http://dx.doi.org/10.3354/meps13071","http://dx.doi.org/10.3354/meps13071")</f>
        <v>http://dx.doi.org/10.3354/meps13071</v>
      </c>
      <c r="AM458" s="5">
        <v>15</v>
      </c>
      <c r="AN458" s="5">
        <v>15</v>
      </c>
      <c r="AO458" s="5">
        <v>627</v>
      </c>
      <c r="AP458" s="5" t="s">
        <v>16</v>
      </c>
      <c r="AQ458" s="5">
        <v>33</v>
      </c>
      <c r="AR458" s="5">
        <v>48</v>
      </c>
      <c r="AS458" s="5" t="s">
        <v>16</v>
      </c>
      <c r="AT458" s="5" t="s">
        <v>2707</v>
      </c>
      <c r="AU458" s="5" t="s">
        <v>2708</v>
      </c>
      <c r="AV458" s="5" t="s">
        <v>2710</v>
      </c>
    </row>
    <row r="459" spans="1:48" ht="45" customHeight="1" x14ac:dyDescent="0.15">
      <c r="A459" s="5" t="s">
        <v>2711</v>
      </c>
      <c r="B459" s="5">
        <v>2011</v>
      </c>
      <c r="C459" s="5" t="s">
        <v>2712</v>
      </c>
      <c r="D459" s="5" t="s">
        <v>212</v>
      </c>
      <c r="E459" s="5" t="s">
        <v>18453</v>
      </c>
      <c r="F459" s="5" t="s">
        <v>2715</v>
      </c>
      <c r="G459" s="5"/>
      <c r="H459" s="5"/>
      <c r="I459" s="5"/>
      <c r="J459" s="5"/>
      <c r="K459" s="5"/>
      <c r="L459" s="5"/>
      <c r="M459" s="5"/>
      <c r="N459" s="5"/>
      <c r="O459" s="5"/>
      <c r="P459" s="5"/>
      <c r="Q459" s="5"/>
      <c r="AL459" s="7" t="str">
        <f>HYPERLINK("http://dx.doi.org/10.1007/s00300-011-0975-4","http://dx.doi.org/10.1007/s00300-011-0975-4")</f>
        <v>http://dx.doi.org/10.1007/s00300-011-0975-4</v>
      </c>
      <c r="AM459" s="5">
        <v>32</v>
      </c>
      <c r="AN459" s="5">
        <v>35</v>
      </c>
      <c r="AO459" s="5">
        <v>34</v>
      </c>
      <c r="AP459" s="5">
        <v>8</v>
      </c>
      <c r="AQ459" s="5">
        <v>1147</v>
      </c>
      <c r="AR459" s="5">
        <v>1155</v>
      </c>
      <c r="AS459" s="5" t="s">
        <v>16</v>
      </c>
      <c r="AT459" s="5" t="s">
        <v>2713</v>
      </c>
      <c r="AU459" s="5" t="s">
        <v>2714</v>
      </c>
      <c r="AV459" s="5" t="s">
        <v>2716</v>
      </c>
    </row>
    <row r="460" spans="1:48" ht="45" customHeight="1" x14ac:dyDescent="0.15">
      <c r="A460" s="5" t="s">
        <v>2717</v>
      </c>
      <c r="B460" s="5">
        <v>2015</v>
      </c>
      <c r="C460" s="5" t="s">
        <v>2718</v>
      </c>
      <c r="D460" s="5" t="s">
        <v>172</v>
      </c>
      <c r="E460" s="5" t="s">
        <v>18453</v>
      </c>
      <c r="F460" s="5" t="s">
        <v>2721</v>
      </c>
      <c r="G460" s="5"/>
      <c r="H460" s="5"/>
      <c r="I460" s="5"/>
      <c r="J460" s="5"/>
      <c r="K460" s="5"/>
      <c r="L460" s="5"/>
      <c r="M460" s="5"/>
      <c r="N460" s="5"/>
      <c r="O460" s="5"/>
      <c r="P460" s="5"/>
      <c r="Q460" s="5"/>
      <c r="AL460" s="7" t="str">
        <f>HYPERLINK("http://dx.doi.org/10.1007/s00442-014-3092-6","http://dx.doi.org/10.1007/s00442-014-3092-6")</f>
        <v>http://dx.doi.org/10.1007/s00442-014-3092-6</v>
      </c>
      <c r="AM460" s="5">
        <v>62</v>
      </c>
      <c r="AN460" s="5">
        <v>65</v>
      </c>
      <c r="AO460" s="5">
        <v>177</v>
      </c>
      <c r="AP460" s="5">
        <v>1</v>
      </c>
      <c r="AQ460" s="5">
        <v>97</v>
      </c>
      <c r="AR460" s="5">
        <v>111</v>
      </c>
      <c r="AS460" s="5" t="s">
        <v>16</v>
      </c>
      <c r="AT460" s="5" t="s">
        <v>2719</v>
      </c>
      <c r="AU460" s="5" t="s">
        <v>2720</v>
      </c>
      <c r="AV460" s="5" t="s">
        <v>2722</v>
      </c>
    </row>
    <row r="461" spans="1:48" ht="45" customHeight="1" x14ac:dyDescent="0.15">
      <c r="A461" s="5" t="s">
        <v>2723</v>
      </c>
      <c r="B461" s="5">
        <v>2011</v>
      </c>
      <c r="C461" s="5" t="s">
        <v>2724</v>
      </c>
      <c r="D461" s="5" t="s">
        <v>2087</v>
      </c>
      <c r="E461" s="5" t="s">
        <v>18453</v>
      </c>
      <c r="F461" s="5" t="s">
        <v>2727</v>
      </c>
      <c r="G461" s="5"/>
      <c r="H461" s="5"/>
      <c r="I461" s="5"/>
      <c r="J461" s="5"/>
      <c r="K461" s="5"/>
      <c r="L461" s="5"/>
      <c r="M461" s="5"/>
      <c r="N461" s="5"/>
      <c r="O461" s="5"/>
      <c r="P461" s="5"/>
      <c r="Q461" s="5"/>
      <c r="AL461" s="7" t="str">
        <f>HYPERLINK("http://dx.doi.org/10.1002/eco.145","http://dx.doi.org/10.1002/eco.145")</f>
        <v>http://dx.doi.org/10.1002/eco.145</v>
      </c>
      <c r="AM461" s="5">
        <v>12</v>
      </c>
      <c r="AN461" s="5">
        <v>12</v>
      </c>
      <c r="AO461" s="5">
        <v>4</v>
      </c>
      <c r="AP461" s="5">
        <v>5</v>
      </c>
      <c r="AQ461" s="5">
        <v>623</v>
      </c>
      <c r="AR461" s="5">
        <v>630</v>
      </c>
      <c r="AS461" s="5" t="s">
        <v>16</v>
      </c>
      <c r="AT461" s="5" t="s">
        <v>2725</v>
      </c>
      <c r="AU461" s="5" t="s">
        <v>2726</v>
      </c>
      <c r="AV461" s="5" t="s">
        <v>2728</v>
      </c>
    </row>
    <row r="462" spans="1:48" ht="45" customHeight="1" x14ac:dyDescent="0.15">
      <c r="A462" s="5" t="s">
        <v>2729</v>
      </c>
      <c r="B462" s="5">
        <v>2010</v>
      </c>
      <c r="C462" s="5" t="s">
        <v>2730</v>
      </c>
      <c r="D462" s="5" t="s">
        <v>312</v>
      </c>
      <c r="E462" s="5" t="s">
        <v>18453</v>
      </c>
      <c r="F462" s="5" t="s">
        <v>2733</v>
      </c>
      <c r="G462" s="5"/>
      <c r="H462" s="5"/>
      <c r="I462" s="5"/>
      <c r="J462" s="5"/>
      <c r="K462" s="5"/>
      <c r="L462" s="5"/>
      <c r="M462" s="5"/>
      <c r="N462" s="5"/>
      <c r="O462" s="5"/>
      <c r="P462" s="5"/>
      <c r="Q462" s="5"/>
      <c r="AL462" s="7" t="str">
        <f>HYPERLINK("http://dx.doi.org/10.1016/j.ecolmodel.2009.11.018","http://dx.doi.org/10.1016/j.ecolmodel.2009.11.018")</f>
        <v>http://dx.doi.org/10.1016/j.ecolmodel.2009.11.018</v>
      </c>
      <c r="AM462" s="5">
        <v>69</v>
      </c>
      <c r="AN462" s="5">
        <v>76</v>
      </c>
      <c r="AO462" s="5">
        <v>221</v>
      </c>
      <c r="AP462" s="5">
        <v>5</v>
      </c>
      <c r="AQ462" s="5">
        <v>864</v>
      </c>
      <c r="AR462" s="5">
        <v>875</v>
      </c>
      <c r="AS462" s="5" t="s">
        <v>16</v>
      </c>
      <c r="AT462" s="5" t="s">
        <v>2731</v>
      </c>
      <c r="AU462" s="5" t="s">
        <v>2732</v>
      </c>
      <c r="AV462" s="5" t="s">
        <v>2734</v>
      </c>
    </row>
    <row r="463" spans="1:48" ht="45" customHeight="1" x14ac:dyDescent="0.15">
      <c r="A463" s="5" t="s">
        <v>2735</v>
      </c>
      <c r="B463" s="5">
        <v>2017</v>
      </c>
      <c r="C463" s="5" t="s">
        <v>2736</v>
      </c>
      <c r="D463" s="5" t="s">
        <v>172</v>
      </c>
      <c r="E463" s="5" t="s">
        <v>18453</v>
      </c>
      <c r="F463" s="5" t="s">
        <v>2739</v>
      </c>
      <c r="G463" s="5"/>
      <c r="H463" s="5"/>
      <c r="I463" s="5"/>
      <c r="J463" s="5"/>
      <c r="K463" s="5"/>
      <c r="L463" s="5"/>
      <c r="M463" s="5"/>
      <c r="N463" s="5"/>
      <c r="O463" s="5"/>
      <c r="P463" s="5"/>
      <c r="Q463" s="5"/>
      <c r="AL463" s="7" t="str">
        <f>HYPERLINK("http://dx.doi.org/10.1007/s00442-017-3832-5","http://dx.doi.org/10.1007/s00442-017-3832-5")</f>
        <v>http://dx.doi.org/10.1007/s00442-017-3832-5</v>
      </c>
      <c r="AM463" s="5">
        <v>16</v>
      </c>
      <c r="AN463" s="5">
        <v>16</v>
      </c>
      <c r="AO463" s="5">
        <v>183</v>
      </c>
      <c r="AP463" s="5">
        <v>4</v>
      </c>
      <c r="AQ463" s="5">
        <v>1087</v>
      </c>
      <c r="AR463" s="5">
        <v>1099</v>
      </c>
      <c r="AS463" s="5" t="s">
        <v>16</v>
      </c>
      <c r="AT463" s="5" t="s">
        <v>2737</v>
      </c>
      <c r="AU463" s="5" t="s">
        <v>2738</v>
      </c>
      <c r="AV463" s="5" t="s">
        <v>2740</v>
      </c>
    </row>
    <row r="464" spans="1:48" ht="45" customHeight="1" x14ac:dyDescent="0.15">
      <c r="A464" s="5" t="s">
        <v>2741</v>
      </c>
      <c r="B464" s="5">
        <v>2022</v>
      </c>
      <c r="C464" s="5" t="s">
        <v>2742</v>
      </c>
      <c r="D464" s="5" t="s">
        <v>1765</v>
      </c>
      <c r="E464" s="5" t="s">
        <v>18453</v>
      </c>
      <c r="F464" s="5" t="s">
        <v>2745</v>
      </c>
      <c r="G464" s="5"/>
      <c r="H464" s="5"/>
      <c r="I464" s="5"/>
      <c r="J464" s="5"/>
      <c r="K464" s="5"/>
      <c r="L464" s="5"/>
      <c r="M464" s="5"/>
      <c r="N464" s="5"/>
      <c r="O464" s="5"/>
      <c r="P464" s="5"/>
      <c r="Q464" s="5"/>
      <c r="AL464" s="7" t="str">
        <f>HYPERLINK("http://dx.doi.org/10.1016/j.agee.2022.108086","http://dx.doi.org/10.1016/j.agee.2022.108086")</f>
        <v>http://dx.doi.org/10.1016/j.agee.2022.108086</v>
      </c>
      <c r="AM464" s="5">
        <v>0</v>
      </c>
      <c r="AN464" s="5">
        <v>0</v>
      </c>
      <c r="AO464" s="5">
        <v>338</v>
      </c>
      <c r="AP464" s="5" t="s">
        <v>16</v>
      </c>
      <c r="AQ464" s="5" t="s">
        <v>16</v>
      </c>
      <c r="AR464" s="5" t="s">
        <v>16</v>
      </c>
      <c r="AS464" s="5">
        <v>108086</v>
      </c>
      <c r="AT464" s="5" t="s">
        <v>2743</v>
      </c>
      <c r="AU464" s="5" t="s">
        <v>2744</v>
      </c>
      <c r="AV464" s="5" t="s">
        <v>2746</v>
      </c>
    </row>
    <row r="465" spans="1:48" ht="45" customHeight="1" x14ac:dyDescent="0.15">
      <c r="A465" s="5" t="s">
        <v>2747</v>
      </c>
      <c r="B465" s="5">
        <v>2021</v>
      </c>
      <c r="C465" s="5" t="s">
        <v>2748</v>
      </c>
      <c r="D465" s="5" t="s">
        <v>49</v>
      </c>
      <c r="E465" s="5" t="s">
        <v>18453</v>
      </c>
      <c r="F465" s="5" t="s">
        <v>2751</v>
      </c>
      <c r="G465" s="5"/>
      <c r="H465" s="5"/>
      <c r="I465" s="5"/>
      <c r="J465" s="5"/>
      <c r="K465" s="5"/>
      <c r="L465" s="5"/>
      <c r="M465" s="5"/>
      <c r="N465" s="5"/>
      <c r="O465" s="5"/>
      <c r="P465" s="5"/>
      <c r="Q465" s="5"/>
      <c r="AL465" s="7" t="str">
        <f>HYPERLINK("http://dx.doi.org/10.3354/meps13877","http://dx.doi.org/10.3354/meps13877")</f>
        <v>http://dx.doi.org/10.3354/meps13877</v>
      </c>
      <c r="AM465" s="5">
        <v>2</v>
      </c>
      <c r="AN465" s="5">
        <v>2</v>
      </c>
      <c r="AO465" s="5">
        <v>678</v>
      </c>
      <c r="AP465" s="5" t="s">
        <v>16</v>
      </c>
      <c r="AQ465" s="5">
        <v>171</v>
      </c>
      <c r="AR465" s="5">
        <v>182</v>
      </c>
      <c r="AS465" s="5" t="s">
        <v>16</v>
      </c>
      <c r="AT465" s="5" t="s">
        <v>2749</v>
      </c>
      <c r="AU465" s="5" t="s">
        <v>2750</v>
      </c>
      <c r="AV465" s="5" t="s">
        <v>2752</v>
      </c>
    </row>
    <row r="466" spans="1:48" ht="45" customHeight="1" x14ac:dyDescent="0.15">
      <c r="A466" s="5" t="s">
        <v>2753</v>
      </c>
      <c r="B466" s="5">
        <v>2016</v>
      </c>
      <c r="C466" s="5" t="s">
        <v>2754</v>
      </c>
      <c r="D466" s="5" t="s">
        <v>2755</v>
      </c>
      <c r="E466" s="5" t="s">
        <v>18453</v>
      </c>
      <c r="F466" s="5" t="s">
        <v>2757</v>
      </c>
      <c r="G466" s="5"/>
      <c r="H466" s="5"/>
      <c r="I466" s="5"/>
      <c r="J466" s="5"/>
      <c r="K466" s="5"/>
      <c r="L466" s="5"/>
      <c r="M466" s="5"/>
      <c r="N466" s="5"/>
      <c r="O466" s="5"/>
      <c r="P466" s="5"/>
      <c r="Q466" s="5"/>
      <c r="AL466" s="7" t="str">
        <f>HYPERLINK("http://dx.doi.org/10.1038/hdy.2016.48","http://dx.doi.org/10.1038/hdy.2016.48")</f>
        <v>http://dx.doi.org/10.1038/hdy.2016.48</v>
      </c>
      <c r="AM466" s="5">
        <v>47</v>
      </c>
      <c r="AN466" s="5">
        <v>49</v>
      </c>
      <c r="AO466" s="5">
        <v>117</v>
      </c>
      <c r="AP466" s="5">
        <v>5</v>
      </c>
      <c r="AQ466" s="5">
        <v>301</v>
      </c>
      <c r="AR466" s="5">
        <v>306</v>
      </c>
      <c r="AS466" s="5" t="s">
        <v>16</v>
      </c>
      <c r="AT466" s="5" t="s">
        <v>16</v>
      </c>
      <c r="AU466" s="5" t="s">
        <v>2756</v>
      </c>
      <c r="AV466" s="5" t="s">
        <v>2758</v>
      </c>
    </row>
    <row r="467" spans="1:48" ht="45" customHeight="1" x14ac:dyDescent="0.15">
      <c r="A467" s="5" t="s">
        <v>2759</v>
      </c>
      <c r="B467" s="5">
        <v>2017</v>
      </c>
      <c r="C467" s="5" t="s">
        <v>2760</v>
      </c>
      <c r="D467" s="5" t="s">
        <v>2761</v>
      </c>
      <c r="E467" s="5" t="s">
        <v>18453</v>
      </c>
      <c r="F467" s="5" t="s">
        <v>2764</v>
      </c>
      <c r="G467" s="5"/>
      <c r="H467" s="5"/>
      <c r="I467" s="5"/>
      <c r="J467" s="5"/>
      <c r="K467" s="5"/>
      <c r="L467" s="5"/>
      <c r="M467" s="5"/>
      <c r="N467" s="5"/>
      <c r="O467" s="5"/>
      <c r="P467" s="5"/>
      <c r="Q467" s="5"/>
      <c r="AL467" s="7" t="str">
        <f>HYPERLINK("http://dx.doi.org/10.1186/s12898-017-0128-x","http://dx.doi.org/10.1186/s12898-017-0128-x")</f>
        <v>http://dx.doi.org/10.1186/s12898-017-0128-x</v>
      </c>
      <c r="AM467" s="5">
        <v>19</v>
      </c>
      <c r="AN467" s="5">
        <v>21</v>
      </c>
      <c r="AO467" s="5">
        <v>17</v>
      </c>
      <c r="AP467" s="5" t="s">
        <v>16</v>
      </c>
      <c r="AQ467" s="5" t="s">
        <v>16</v>
      </c>
      <c r="AR467" s="5" t="s">
        <v>16</v>
      </c>
      <c r="AS467" s="5">
        <v>17</v>
      </c>
      <c r="AT467" s="5" t="s">
        <v>2762</v>
      </c>
      <c r="AU467" s="5" t="s">
        <v>2763</v>
      </c>
      <c r="AV467" s="5" t="s">
        <v>2765</v>
      </c>
    </row>
    <row r="468" spans="1:48" ht="45" customHeight="1" x14ac:dyDescent="0.15">
      <c r="A468" s="5" t="s">
        <v>2766</v>
      </c>
      <c r="B468" s="5">
        <v>2016</v>
      </c>
      <c r="C468" s="5" t="s">
        <v>2767</v>
      </c>
      <c r="D468" s="5" t="s">
        <v>2768</v>
      </c>
      <c r="E468" s="5" t="s">
        <v>18453</v>
      </c>
      <c r="F468" s="5" t="s">
        <v>2771</v>
      </c>
      <c r="G468" s="5"/>
      <c r="H468" s="5"/>
      <c r="I468" s="5"/>
      <c r="J468" s="5"/>
      <c r="K468" s="5"/>
      <c r="L468" s="5"/>
      <c r="M468" s="5"/>
      <c r="N468" s="5"/>
      <c r="O468" s="5"/>
      <c r="P468" s="5"/>
      <c r="Q468" s="5"/>
      <c r="AL468" s="7" t="str">
        <f>HYPERLINK("http://dx.doi.org/10.1007/s10531-016-1206-7","http://dx.doi.org/10.1007/s10531-016-1206-7")</f>
        <v>http://dx.doi.org/10.1007/s10531-016-1206-7</v>
      </c>
      <c r="AM468" s="5">
        <v>23</v>
      </c>
      <c r="AN468" s="5">
        <v>23</v>
      </c>
      <c r="AO468" s="5">
        <v>25</v>
      </c>
      <c r="AP468" s="5">
        <v>14</v>
      </c>
      <c r="AQ468" s="5">
        <v>2867</v>
      </c>
      <c r="AR468" s="5">
        <v>2888</v>
      </c>
      <c r="AS468" s="5" t="s">
        <v>16</v>
      </c>
      <c r="AT468" s="5" t="s">
        <v>2769</v>
      </c>
      <c r="AU468" s="5" t="s">
        <v>2770</v>
      </c>
      <c r="AV468" s="5" t="s">
        <v>2772</v>
      </c>
    </row>
    <row r="469" spans="1:48" ht="45" customHeight="1" x14ac:dyDescent="0.15">
      <c r="A469" s="5" t="s">
        <v>2773</v>
      </c>
      <c r="B469" s="5">
        <v>2021</v>
      </c>
      <c r="C469" s="5" t="s">
        <v>2774</v>
      </c>
      <c r="D469" s="5" t="s">
        <v>18</v>
      </c>
      <c r="E469" s="5" t="s">
        <v>18453</v>
      </c>
      <c r="F469" s="5" t="s">
        <v>2777</v>
      </c>
      <c r="G469" s="5"/>
      <c r="H469" s="5"/>
      <c r="I469" s="5"/>
      <c r="J469" s="5"/>
      <c r="K469" s="5"/>
      <c r="L469" s="5"/>
      <c r="M469" s="5"/>
      <c r="N469" s="5"/>
      <c r="O469" s="5"/>
      <c r="P469" s="5"/>
      <c r="Q469" s="5"/>
      <c r="AL469" s="7" t="str">
        <f>HYPERLINK("http://dx.doi.org/10.1002/ecs2.3759","http://dx.doi.org/10.1002/ecs2.3759")</f>
        <v>http://dx.doi.org/10.1002/ecs2.3759</v>
      </c>
      <c r="AM469" s="5">
        <v>5</v>
      </c>
      <c r="AN469" s="5">
        <v>5</v>
      </c>
      <c r="AO469" s="5">
        <v>12</v>
      </c>
      <c r="AP469" s="5">
        <v>9</v>
      </c>
      <c r="AQ469" s="5" t="s">
        <v>16</v>
      </c>
      <c r="AR469" s="5" t="s">
        <v>16</v>
      </c>
      <c r="AS469" s="5" t="s">
        <v>2778</v>
      </c>
      <c r="AT469" s="5" t="s">
        <v>2775</v>
      </c>
      <c r="AU469" s="5" t="s">
        <v>2776</v>
      </c>
      <c r="AV469" s="5" t="s">
        <v>2779</v>
      </c>
    </row>
    <row r="470" spans="1:48" ht="45" customHeight="1" x14ac:dyDescent="0.15">
      <c r="A470" s="5" t="s">
        <v>2780</v>
      </c>
      <c r="B470" s="5">
        <v>1994</v>
      </c>
      <c r="C470" s="5" t="s">
        <v>2781</v>
      </c>
      <c r="D470" s="5" t="s">
        <v>27</v>
      </c>
      <c r="E470" s="5" t="s">
        <v>18453</v>
      </c>
      <c r="F470" s="5" t="s">
        <v>2784</v>
      </c>
      <c r="G470" s="5"/>
      <c r="H470" s="5"/>
      <c r="I470" s="5"/>
      <c r="J470" s="5"/>
      <c r="K470" s="5"/>
      <c r="L470" s="5"/>
      <c r="M470" s="5"/>
      <c r="N470" s="5"/>
      <c r="O470" s="5"/>
      <c r="P470" s="5"/>
      <c r="Q470" s="5"/>
      <c r="AL470" s="7" t="str">
        <f>HYPERLINK("http://dx.doi.org/10.2307/1937453","http://dx.doi.org/10.2307/1937453")</f>
        <v>http://dx.doi.org/10.2307/1937453</v>
      </c>
      <c r="AM470" s="5">
        <v>42</v>
      </c>
      <c r="AN470" s="5">
        <v>44</v>
      </c>
      <c r="AO470" s="5">
        <v>75</v>
      </c>
      <c r="AP470" s="5">
        <v>5</v>
      </c>
      <c r="AQ470" s="5">
        <v>1282</v>
      </c>
      <c r="AR470" s="5">
        <v>1288</v>
      </c>
      <c r="AS470" s="5" t="s">
        <v>16</v>
      </c>
      <c r="AT470" s="5" t="s">
        <v>2782</v>
      </c>
      <c r="AU470" s="5" t="s">
        <v>2783</v>
      </c>
      <c r="AV470" s="5" t="s">
        <v>2785</v>
      </c>
    </row>
    <row r="471" spans="1:48" ht="45" customHeight="1" x14ac:dyDescent="0.15">
      <c r="A471" s="5" t="s">
        <v>2786</v>
      </c>
      <c r="B471" s="5">
        <v>1999</v>
      </c>
      <c r="C471" s="5" t="s">
        <v>2787</v>
      </c>
      <c r="D471" s="5" t="s">
        <v>160</v>
      </c>
      <c r="E471" s="5" t="s">
        <v>18453</v>
      </c>
      <c r="F471" s="5" t="s">
        <v>2790</v>
      </c>
      <c r="G471" s="5"/>
      <c r="H471" s="5"/>
      <c r="I471" s="5"/>
      <c r="J471" s="5"/>
      <c r="K471" s="5"/>
      <c r="L471" s="5"/>
      <c r="M471" s="5"/>
      <c r="N471" s="5"/>
      <c r="O471" s="5"/>
      <c r="P471" s="5"/>
      <c r="Q471" s="5"/>
      <c r="AL471" s="7" t="str">
        <f>HYPERLINK("http://dx.doi.org/10.1046/j.1365-2664.1999.00378.x","http://dx.doi.org/10.1046/j.1365-2664.1999.00378.x")</f>
        <v>http://dx.doi.org/10.1046/j.1365-2664.1999.00378.x</v>
      </c>
      <c r="AM471" s="5">
        <v>117</v>
      </c>
      <c r="AN471" s="5">
        <v>123</v>
      </c>
      <c r="AO471" s="5">
        <v>36</v>
      </c>
      <c r="AP471" s="5">
        <v>1</v>
      </c>
      <c r="AQ471" s="5">
        <v>75</v>
      </c>
      <c r="AR471" s="5">
        <v>84</v>
      </c>
      <c r="AS471" s="5" t="s">
        <v>16</v>
      </c>
      <c r="AT471" s="5" t="s">
        <v>2788</v>
      </c>
      <c r="AU471" s="5" t="s">
        <v>2789</v>
      </c>
      <c r="AV471" s="5" t="s">
        <v>2791</v>
      </c>
    </row>
    <row r="472" spans="1:48" ht="45" customHeight="1" x14ac:dyDescent="0.15">
      <c r="A472" s="5" t="s">
        <v>2792</v>
      </c>
      <c r="B472" s="5">
        <v>1999</v>
      </c>
      <c r="C472" s="5" t="s">
        <v>2793</v>
      </c>
      <c r="D472" s="5" t="s">
        <v>172</v>
      </c>
      <c r="E472" s="5" t="s">
        <v>18453</v>
      </c>
      <c r="F472" s="5" t="s">
        <v>2796</v>
      </c>
      <c r="G472" s="5"/>
      <c r="H472" s="5"/>
      <c r="I472" s="5"/>
      <c r="J472" s="5"/>
      <c r="K472" s="5"/>
      <c r="L472" s="5"/>
      <c r="M472" s="5"/>
      <c r="N472" s="5"/>
      <c r="O472" s="5"/>
      <c r="P472" s="5"/>
      <c r="Q472" s="5"/>
      <c r="AL472" s="7" t="str">
        <f>HYPERLINK("http://dx.doi.org/10.1007/s004420050697","http://dx.doi.org/10.1007/s004420050697")</f>
        <v>http://dx.doi.org/10.1007/s004420050697</v>
      </c>
      <c r="AM472" s="5">
        <v>78</v>
      </c>
      <c r="AN472" s="5">
        <v>80</v>
      </c>
      <c r="AO472" s="5">
        <v>118</v>
      </c>
      <c r="AP472" s="5">
        <v>1</v>
      </c>
      <c r="AQ472" s="5">
        <v>9</v>
      </c>
      <c r="AR472" s="5">
        <v>15</v>
      </c>
      <c r="AS472" s="5" t="s">
        <v>16</v>
      </c>
      <c r="AT472" s="5" t="s">
        <v>2794</v>
      </c>
      <c r="AU472" s="5" t="s">
        <v>2795</v>
      </c>
      <c r="AV472" s="5" t="s">
        <v>2797</v>
      </c>
    </row>
    <row r="473" spans="1:48" ht="45" customHeight="1" x14ac:dyDescent="0.15">
      <c r="A473" s="5" t="s">
        <v>2798</v>
      </c>
      <c r="B473" s="5">
        <v>2012</v>
      </c>
      <c r="C473" s="5" t="s">
        <v>2799</v>
      </c>
      <c r="D473" s="5" t="s">
        <v>190</v>
      </c>
      <c r="E473" s="5" t="s">
        <v>18453</v>
      </c>
      <c r="F473" s="5" t="s">
        <v>2802</v>
      </c>
      <c r="G473" s="5"/>
      <c r="H473" s="5"/>
      <c r="I473" s="5"/>
      <c r="J473" s="5"/>
      <c r="K473" s="5"/>
      <c r="L473" s="5"/>
      <c r="M473" s="5"/>
      <c r="N473" s="5"/>
      <c r="O473" s="5"/>
      <c r="P473" s="5"/>
      <c r="Q473" s="5"/>
      <c r="AL473" s="7" t="str">
        <f>HYPERLINK("http://dx.doi.org/10.1007/s10530-011-0118-4","http://dx.doi.org/10.1007/s10530-011-0118-4")</f>
        <v>http://dx.doi.org/10.1007/s10530-011-0118-4</v>
      </c>
      <c r="AM473" s="5">
        <v>10</v>
      </c>
      <c r="AN473" s="5">
        <v>10</v>
      </c>
      <c r="AO473" s="5">
        <v>14</v>
      </c>
      <c r="AP473" s="5">
        <v>4</v>
      </c>
      <c r="AQ473" s="5">
        <v>813</v>
      </c>
      <c r="AR473" s="5">
        <v>825</v>
      </c>
      <c r="AS473" s="5" t="s">
        <v>16</v>
      </c>
      <c r="AT473" s="5" t="s">
        <v>2800</v>
      </c>
      <c r="AU473" s="5" t="s">
        <v>2801</v>
      </c>
      <c r="AV473" s="5" t="s">
        <v>2803</v>
      </c>
    </row>
    <row r="474" spans="1:48" ht="45" customHeight="1" x14ac:dyDescent="0.15">
      <c r="A474" s="5" t="s">
        <v>2804</v>
      </c>
      <c r="B474" s="5">
        <v>2016</v>
      </c>
      <c r="C474" s="5" t="s">
        <v>2805</v>
      </c>
      <c r="D474" s="5" t="s">
        <v>172</v>
      </c>
      <c r="E474" s="5" t="s">
        <v>18453</v>
      </c>
      <c r="F474" s="5" t="s">
        <v>2808</v>
      </c>
      <c r="G474" s="5"/>
      <c r="H474" s="5"/>
      <c r="I474" s="5"/>
      <c r="J474" s="5"/>
      <c r="K474" s="5"/>
      <c r="L474" s="5"/>
      <c r="M474" s="5"/>
      <c r="N474" s="5"/>
      <c r="O474" s="5"/>
      <c r="P474" s="5"/>
      <c r="Q474" s="5"/>
      <c r="AL474" s="7" t="str">
        <f>HYPERLINK("http://dx.doi.org/10.1007/s00442-016-3663-9","http://dx.doi.org/10.1007/s00442-016-3663-9")</f>
        <v>http://dx.doi.org/10.1007/s00442-016-3663-9</v>
      </c>
      <c r="AM474" s="5">
        <v>4</v>
      </c>
      <c r="AN474" s="5">
        <v>4</v>
      </c>
      <c r="AO474" s="5">
        <v>182</v>
      </c>
      <c r="AP474" s="5">
        <v>2</v>
      </c>
      <c r="AQ474" s="5">
        <v>519</v>
      </c>
      <c r="AR474" s="5">
        <v>528</v>
      </c>
      <c r="AS474" s="5" t="s">
        <v>16</v>
      </c>
      <c r="AT474" s="5" t="s">
        <v>2806</v>
      </c>
      <c r="AU474" s="5" t="s">
        <v>2807</v>
      </c>
      <c r="AV474" s="5" t="s">
        <v>2809</v>
      </c>
    </row>
    <row r="475" spans="1:48" ht="45" customHeight="1" x14ac:dyDescent="0.15">
      <c r="A475" s="5" t="s">
        <v>2810</v>
      </c>
      <c r="B475" s="5">
        <v>2019</v>
      </c>
      <c r="C475" s="5" t="s">
        <v>2811</v>
      </c>
      <c r="D475" s="5" t="s">
        <v>33</v>
      </c>
      <c r="E475" s="5" t="s">
        <v>18453</v>
      </c>
      <c r="F475" s="5" t="s">
        <v>2814</v>
      </c>
      <c r="G475" s="5"/>
      <c r="H475" s="5"/>
      <c r="I475" s="5"/>
      <c r="J475" s="5"/>
      <c r="K475" s="5"/>
      <c r="L475" s="5"/>
      <c r="M475" s="5"/>
      <c r="N475" s="5"/>
      <c r="O475" s="5"/>
      <c r="P475" s="5"/>
      <c r="Q475" s="5"/>
      <c r="AL475" s="7" t="str">
        <f>HYPERLINK("http://dx.doi.org/10.1111/gcb.14733","http://dx.doi.org/10.1111/gcb.14733")</f>
        <v>http://dx.doi.org/10.1111/gcb.14733</v>
      </c>
      <c r="AM475" s="5">
        <v>22</v>
      </c>
      <c r="AN475" s="5">
        <v>22</v>
      </c>
      <c r="AO475" s="5">
        <v>25</v>
      </c>
      <c r="AP475" s="5">
        <v>9</v>
      </c>
      <c r="AQ475" s="5">
        <v>2915</v>
      </c>
      <c r="AR475" s="5">
        <v>2930</v>
      </c>
      <c r="AS475" s="5" t="s">
        <v>16</v>
      </c>
      <c r="AT475" s="5" t="s">
        <v>2812</v>
      </c>
      <c r="AU475" s="5" t="s">
        <v>2813</v>
      </c>
      <c r="AV475" s="5" t="s">
        <v>2815</v>
      </c>
    </row>
    <row r="476" spans="1:48" ht="45" customHeight="1" x14ac:dyDescent="0.15">
      <c r="A476" s="5" t="s">
        <v>2816</v>
      </c>
      <c r="B476" s="5">
        <v>2018</v>
      </c>
      <c r="C476" s="5" t="s">
        <v>2817</v>
      </c>
      <c r="D476" s="5" t="s">
        <v>2818</v>
      </c>
      <c r="E476" s="5" t="s">
        <v>18453</v>
      </c>
      <c r="F476" s="5" t="s">
        <v>2821</v>
      </c>
      <c r="G476" s="5"/>
      <c r="H476" s="5"/>
      <c r="I476" s="5"/>
      <c r="J476" s="5"/>
      <c r="K476" s="5"/>
      <c r="L476" s="5"/>
      <c r="M476" s="5"/>
      <c r="N476" s="5"/>
      <c r="O476" s="5"/>
      <c r="P476" s="5"/>
      <c r="Q476" s="5"/>
      <c r="AL476" s="7" t="str">
        <f>HYPERLINK("http://dx.doi.org/10.1071/WR18063","http://dx.doi.org/10.1071/WR18063")</f>
        <v>http://dx.doi.org/10.1071/WR18063</v>
      </c>
      <c r="AM476" s="5">
        <v>14</v>
      </c>
      <c r="AN476" s="5">
        <v>14</v>
      </c>
      <c r="AO476" s="5">
        <v>45</v>
      </c>
      <c r="AP476" s="5">
        <v>8</v>
      </c>
      <c r="AQ476" s="5">
        <v>737</v>
      </c>
      <c r="AR476" s="5">
        <v>750</v>
      </c>
      <c r="AS476" s="5" t="s">
        <v>16</v>
      </c>
      <c r="AT476" s="5" t="s">
        <v>2819</v>
      </c>
      <c r="AU476" s="5" t="s">
        <v>2820</v>
      </c>
      <c r="AV476" s="5" t="s">
        <v>2822</v>
      </c>
    </row>
    <row r="477" spans="1:48" ht="45" customHeight="1" x14ac:dyDescent="0.15">
      <c r="A477" s="5" t="s">
        <v>2823</v>
      </c>
      <c r="B477" s="5">
        <v>2021</v>
      </c>
      <c r="C477" s="5" t="s">
        <v>2824</v>
      </c>
      <c r="D477" s="5" t="s">
        <v>49</v>
      </c>
      <c r="E477" s="5" t="s">
        <v>18453</v>
      </c>
      <c r="F477" s="5" t="s">
        <v>2827</v>
      </c>
      <c r="G477" s="5"/>
      <c r="H477" s="5"/>
      <c r="I477" s="5"/>
      <c r="J477" s="5"/>
      <c r="K477" s="5"/>
      <c r="L477" s="5"/>
      <c r="M477" s="5"/>
      <c r="N477" s="5"/>
      <c r="O477" s="5"/>
      <c r="P477" s="5"/>
      <c r="Q477" s="5"/>
      <c r="AL477" s="7" t="str">
        <f>HYPERLINK("http://dx.doi.org/10.3354/meps13609","http://dx.doi.org/10.3354/meps13609")</f>
        <v>http://dx.doi.org/10.3354/meps13609</v>
      </c>
      <c r="AM477" s="5">
        <v>2</v>
      </c>
      <c r="AN477" s="5">
        <v>2</v>
      </c>
      <c r="AO477" s="5">
        <v>661</v>
      </c>
      <c r="AP477" s="5" t="s">
        <v>16</v>
      </c>
      <c r="AQ477" s="5">
        <v>229</v>
      </c>
      <c r="AR477" s="5">
        <v>242</v>
      </c>
      <c r="AS477" s="5" t="s">
        <v>16</v>
      </c>
      <c r="AT477" s="5" t="s">
        <v>2825</v>
      </c>
      <c r="AU477" s="5" t="s">
        <v>2826</v>
      </c>
      <c r="AV477" s="5" t="s">
        <v>2828</v>
      </c>
    </row>
    <row r="478" spans="1:48" ht="45" customHeight="1" x14ac:dyDescent="0.15">
      <c r="A478" s="5" t="s">
        <v>2829</v>
      </c>
      <c r="B478" s="5">
        <v>2022</v>
      </c>
      <c r="C478" s="5" t="s">
        <v>2830</v>
      </c>
      <c r="D478" s="5" t="s">
        <v>77</v>
      </c>
      <c r="E478" s="5" t="s">
        <v>18453</v>
      </c>
      <c r="F478" s="5" t="s">
        <v>2833</v>
      </c>
      <c r="G478" s="5"/>
      <c r="H478" s="5"/>
      <c r="I478" s="5"/>
      <c r="J478" s="5"/>
      <c r="K478" s="5"/>
      <c r="L478" s="5"/>
      <c r="M478" s="5"/>
      <c r="N478" s="5"/>
      <c r="O478" s="5"/>
      <c r="P478" s="5"/>
      <c r="Q478" s="5"/>
      <c r="AL478" s="7" t="str">
        <f>HYPERLINK("http://dx.doi.org/10.1111/1365-2656.13640","http://dx.doi.org/10.1111/1365-2656.13640")</f>
        <v>http://dx.doi.org/10.1111/1365-2656.13640</v>
      </c>
      <c r="AM478" s="5">
        <v>0</v>
      </c>
      <c r="AN478" s="5">
        <v>0</v>
      </c>
      <c r="AO478" s="5">
        <v>91</v>
      </c>
      <c r="AP478" s="5">
        <v>2</v>
      </c>
      <c r="AQ478" s="5">
        <v>428</v>
      </c>
      <c r="AR478" s="5">
        <v>442</v>
      </c>
      <c r="AS478" s="5" t="s">
        <v>16</v>
      </c>
      <c r="AT478" s="5" t="s">
        <v>2831</v>
      </c>
      <c r="AU478" s="5" t="s">
        <v>2832</v>
      </c>
      <c r="AV478" s="5" t="s">
        <v>2834</v>
      </c>
    </row>
    <row r="479" spans="1:48" ht="45" customHeight="1" x14ac:dyDescent="0.15">
      <c r="A479" s="5" t="s">
        <v>2835</v>
      </c>
      <c r="B479" s="5">
        <v>2018</v>
      </c>
      <c r="C479" s="5" t="s">
        <v>2836</v>
      </c>
      <c r="D479" s="5" t="s">
        <v>212</v>
      </c>
      <c r="E479" s="5" t="s">
        <v>18453</v>
      </c>
      <c r="F479" s="5" t="s">
        <v>2839</v>
      </c>
      <c r="G479" s="5"/>
      <c r="H479" s="5"/>
      <c r="I479" s="5"/>
      <c r="J479" s="5"/>
      <c r="K479" s="5"/>
      <c r="L479" s="5"/>
      <c r="M479" s="5"/>
      <c r="N479" s="5"/>
      <c r="O479" s="5"/>
      <c r="P479" s="5"/>
      <c r="Q479" s="5"/>
      <c r="AL479" s="7" t="str">
        <f>HYPERLINK("http://dx.doi.org/10.1007/s00300-017-2199-8","http://dx.doi.org/10.1007/s00300-017-2199-8")</f>
        <v>http://dx.doi.org/10.1007/s00300-017-2199-8</v>
      </c>
      <c r="AM479" s="5">
        <v>13</v>
      </c>
      <c r="AN479" s="5">
        <v>13</v>
      </c>
      <c r="AO479" s="5">
        <v>41</v>
      </c>
      <c r="AP479" s="5">
        <v>3</v>
      </c>
      <c r="AQ479" s="5">
        <v>423</v>
      </c>
      <c r="AR479" s="5">
        <v>432</v>
      </c>
      <c r="AS479" s="5" t="s">
        <v>16</v>
      </c>
      <c r="AT479" s="5" t="s">
        <v>2837</v>
      </c>
      <c r="AU479" s="5" t="s">
        <v>2838</v>
      </c>
      <c r="AV479" s="5" t="s">
        <v>2840</v>
      </c>
    </row>
    <row r="480" spans="1:48" ht="45" customHeight="1" x14ac:dyDescent="0.15">
      <c r="A480" s="5" t="s">
        <v>2841</v>
      </c>
      <c r="B480" s="5">
        <v>2013</v>
      </c>
      <c r="C480" s="5" t="s">
        <v>2842</v>
      </c>
      <c r="D480" s="5" t="s">
        <v>251</v>
      </c>
      <c r="E480" s="5" t="s">
        <v>18453</v>
      </c>
      <c r="F480" s="5" t="s">
        <v>2845</v>
      </c>
      <c r="G480" s="5"/>
      <c r="H480" s="5"/>
      <c r="I480" s="5"/>
      <c r="J480" s="5"/>
      <c r="K480" s="5"/>
      <c r="L480" s="5"/>
      <c r="M480" s="5"/>
      <c r="N480" s="5"/>
      <c r="O480" s="5"/>
      <c r="P480" s="5"/>
      <c r="Q480" s="5"/>
      <c r="AL480" s="7" t="str">
        <f>HYPERLINK("http://dx.doi.org/10.1016/j.biocon.2012.08.030","http://dx.doi.org/10.1016/j.biocon.2012.08.030")</f>
        <v>http://dx.doi.org/10.1016/j.biocon.2012.08.030</v>
      </c>
      <c r="AM480" s="5">
        <v>28</v>
      </c>
      <c r="AN480" s="5">
        <v>38</v>
      </c>
      <c r="AO480" s="5">
        <v>158</v>
      </c>
      <c r="AP480" s="5" t="s">
        <v>16</v>
      </c>
      <c r="AQ480" s="5">
        <v>401</v>
      </c>
      <c r="AR480" s="5">
        <v>409</v>
      </c>
      <c r="AS480" s="5" t="s">
        <v>16</v>
      </c>
      <c r="AT480" s="5" t="s">
        <v>2843</v>
      </c>
      <c r="AU480" s="5" t="s">
        <v>2844</v>
      </c>
      <c r="AV480" s="5" t="s">
        <v>2846</v>
      </c>
    </row>
    <row r="481" spans="1:48" ht="45" customHeight="1" x14ac:dyDescent="0.15">
      <c r="A481" s="5" t="s">
        <v>2847</v>
      </c>
      <c r="B481" s="5">
        <v>2019</v>
      </c>
      <c r="C481" s="5" t="s">
        <v>2848</v>
      </c>
      <c r="D481" s="5" t="s">
        <v>189</v>
      </c>
      <c r="E481" s="5" t="s">
        <v>18453</v>
      </c>
      <c r="F481" s="5" t="s">
        <v>2851</v>
      </c>
      <c r="G481" s="5"/>
      <c r="H481" s="5"/>
      <c r="I481" s="5"/>
      <c r="J481" s="5"/>
      <c r="K481" s="5"/>
      <c r="L481" s="5"/>
      <c r="M481" s="5"/>
      <c r="N481" s="5"/>
      <c r="O481" s="5"/>
      <c r="P481" s="5"/>
      <c r="Q481" s="5"/>
      <c r="AL481" s="7" t="str">
        <f>HYPERLINK("http://dx.doi.org/10.1111/ecog.04597","http://dx.doi.org/10.1111/ecog.04597")</f>
        <v>http://dx.doi.org/10.1111/ecog.04597</v>
      </c>
      <c r="AM481" s="5">
        <v>13</v>
      </c>
      <c r="AN481" s="5">
        <v>13</v>
      </c>
      <c r="AO481" s="5">
        <v>42</v>
      </c>
      <c r="AP481" s="5">
        <v>9</v>
      </c>
      <c r="AQ481" s="5">
        <v>1523</v>
      </c>
      <c r="AR481" s="5">
        <v>1535</v>
      </c>
      <c r="AS481" s="5" t="s">
        <v>16</v>
      </c>
      <c r="AT481" s="5" t="s">
        <v>2849</v>
      </c>
      <c r="AU481" s="5" t="s">
        <v>2850</v>
      </c>
      <c r="AV481" s="5" t="s">
        <v>2852</v>
      </c>
    </row>
    <row r="482" spans="1:48" ht="45" customHeight="1" x14ac:dyDescent="0.15">
      <c r="A482" s="5" t="s">
        <v>2853</v>
      </c>
      <c r="B482" s="5">
        <v>2023</v>
      </c>
      <c r="C482" s="5" t="s">
        <v>2854</v>
      </c>
      <c r="D482" s="5" t="s">
        <v>49</v>
      </c>
      <c r="E482" s="5" t="s">
        <v>18453</v>
      </c>
      <c r="F482" s="5" t="s">
        <v>2857</v>
      </c>
      <c r="G482" s="5"/>
      <c r="H482" s="5"/>
      <c r="I482" s="5"/>
      <c r="J482" s="5"/>
      <c r="K482" s="5"/>
      <c r="L482" s="5"/>
      <c r="M482" s="5"/>
      <c r="N482" s="5"/>
      <c r="O482" s="5"/>
      <c r="P482" s="5"/>
      <c r="Q482" s="5"/>
      <c r="AL482" s="7" t="str">
        <f>HYPERLINK("http://dx.doi.org/10.3354/meps14275","http://dx.doi.org/10.3354/meps14275")</f>
        <v>http://dx.doi.org/10.3354/meps14275</v>
      </c>
      <c r="AM482" s="5">
        <v>0</v>
      </c>
      <c r="AN482" s="5">
        <v>0</v>
      </c>
      <c r="AO482" s="5">
        <v>708</v>
      </c>
      <c r="AP482" s="5" t="s">
        <v>16</v>
      </c>
      <c r="AQ482" s="5">
        <v>125</v>
      </c>
      <c r="AR482" s="5">
        <v>142</v>
      </c>
      <c r="AS482" s="5" t="s">
        <v>16</v>
      </c>
      <c r="AT482" s="5" t="s">
        <v>2855</v>
      </c>
      <c r="AU482" s="5" t="s">
        <v>2856</v>
      </c>
      <c r="AV482" s="5" t="s">
        <v>2858</v>
      </c>
    </row>
    <row r="483" spans="1:48" ht="45" customHeight="1" x14ac:dyDescent="0.15">
      <c r="A483" s="5" t="s">
        <v>2859</v>
      </c>
      <c r="B483" s="5">
        <v>2016</v>
      </c>
      <c r="C483" s="5" t="s">
        <v>2860</v>
      </c>
      <c r="D483" s="5" t="s">
        <v>172</v>
      </c>
      <c r="E483" s="5" t="s">
        <v>18453</v>
      </c>
      <c r="F483" s="5" t="s">
        <v>2863</v>
      </c>
      <c r="G483" s="5"/>
      <c r="H483" s="5"/>
      <c r="I483" s="5"/>
      <c r="J483" s="5"/>
      <c r="K483" s="5"/>
      <c r="L483" s="5"/>
      <c r="M483" s="5"/>
      <c r="N483" s="5"/>
      <c r="O483" s="5"/>
      <c r="P483" s="5"/>
      <c r="Q483" s="5"/>
      <c r="AL483" s="7" t="str">
        <f>HYPERLINK("http://dx.doi.org/10.1007/s00442-016-3608-3","http://dx.doi.org/10.1007/s00442-016-3608-3")</f>
        <v>http://dx.doi.org/10.1007/s00442-016-3608-3</v>
      </c>
      <c r="AM483" s="5">
        <v>27</v>
      </c>
      <c r="AN483" s="5">
        <v>28</v>
      </c>
      <c r="AO483" s="5">
        <v>181</v>
      </c>
      <c r="AP483" s="5">
        <v>3</v>
      </c>
      <c r="AQ483" s="5">
        <v>931</v>
      </c>
      <c r="AR483" s="5">
        <v>945</v>
      </c>
      <c r="AS483" s="5" t="s">
        <v>16</v>
      </c>
      <c r="AT483" s="5" t="s">
        <v>2861</v>
      </c>
      <c r="AU483" s="5" t="s">
        <v>2862</v>
      </c>
      <c r="AV483" s="5" t="s">
        <v>2864</v>
      </c>
    </row>
    <row r="484" spans="1:48" ht="45" customHeight="1" x14ac:dyDescent="0.15">
      <c r="A484" s="5" t="s">
        <v>2865</v>
      </c>
      <c r="B484" s="5">
        <v>2020</v>
      </c>
      <c r="C484" s="5" t="s">
        <v>2866</v>
      </c>
      <c r="D484" s="5" t="s">
        <v>190</v>
      </c>
      <c r="E484" s="5" t="s">
        <v>18453</v>
      </c>
      <c r="F484" s="5" t="s">
        <v>2869</v>
      </c>
      <c r="G484" s="5"/>
      <c r="H484" s="5"/>
      <c r="I484" s="5"/>
      <c r="J484" s="5"/>
      <c r="K484" s="5"/>
      <c r="L484" s="5"/>
      <c r="M484" s="5"/>
      <c r="N484" s="5"/>
      <c r="O484" s="5"/>
      <c r="P484" s="5"/>
      <c r="Q484" s="5"/>
      <c r="AL484" s="7" t="str">
        <f>HYPERLINK("http://dx.doi.org/10.1007/s10530-019-02119-1","http://dx.doi.org/10.1007/s10530-019-02119-1")</f>
        <v>http://dx.doi.org/10.1007/s10530-019-02119-1</v>
      </c>
      <c r="AM484" s="5">
        <v>6</v>
      </c>
      <c r="AN484" s="5">
        <v>6</v>
      </c>
      <c r="AO484" s="5">
        <v>22</v>
      </c>
      <c r="AP484" s="5">
        <v>2</v>
      </c>
      <c r="AQ484" s="5">
        <v>643</v>
      </c>
      <c r="AR484" s="5">
        <v>661</v>
      </c>
      <c r="AS484" s="5" t="s">
        <v>16</v>
      </c>
      <c r="AT484" s="5" t="s">
        <v>2867</v>
      </c>
      <c r="AU484" s="5" t="s">
        <v>2868</v>
      </c>
      <c r="AV484" s="5" t="s">
        <v>2870</v>
      </c>
    </row>
    <row r="485" spans="1:48" ht="45" customHeight="1" x14ac:dyDescent="0.15">
      <c r="A485" s="5" t="s">
        <v>2871</v>
      </c>
      <c r="B485" s="5">
        <v>2013</v>
      </c>
      <c r="C485" s="5" t="s">
        <v>2872</v>
      </c>
      <c r="D485" s="5" t="s">
        <v>49</v>
      </c>
      <c r="E485" s="5" t="s">
        <v>18453</v>
      </c>
      <c r="F485" s="5" t="s">
        <v>2875</v>
      </c>
      <c r="G485" s="5"/>
      <c r="H485" s="5"/>
      <c r="I485" s="5"/>
      <c r="J485" s="5"/>
      <c r="K485" s="5"/>
      <c r="L485" s="5"/>
      <c r="M485" s="5"/>
      <c r="N485" s="5"/>
      <c r="O485" s="5"/>
      <c r="P485" s="5"/>
      <c r="Q485" s="5"/>
      <c r="AL485" s="7" t="str">
        <f>HYPERLINK("http://dx.doi.org/10.3354/meps10185","http://dx.doi.org/10.3354/meps10185")</f>
        <v>http://dx.doi.org/10.3354/meps10185</v>
      </c>
      <c r="AM485" s="5">
        <v>84</v>
      </c>
      <c r="AN485" s="5">
        <v>86</v>
      </c>
      <c r="AO485" s="5">
        <v>476</v>
      </c>
      <c r="AP485" s="5" t="s">
        <v>16</v>
      </c>
      <c r="AQ485" s="5">
        <v>237</v>
      </c>
      <c r="AR485" s="5" t="s">
        <v>260</v>
      </c>
      <c r="AS485" s="5" t="s">
        <v>16</v>
      </c>
      <c r="AT485" s="5" t="s">
        <v>2873</v>
      </c>
      <c r="AU485" s="5" t="s">
        <v>2874</v>
      </c>
      <c r="AV485" s="5" t="s">
        <v>2876</v>
      </c>
    </row>
    <row r="486" spans="1:48" ht="45" customHeight="1" x14ac:dyDescent="0.15">
      <c r="A486" s="5" t="s">
        <v>2877</v>
      </c>
      <c r="B486" s="5">
        <v>2009</v>
      </c>
      <c r="C486" s="5" t="s">
        <v>2878</v>
      </c>
      <c r="D486" s="5" t="s">
        <v>190</v>
      </c>
      <c r="E486" s="5" t="s">
        <v>18453</v>
      </c>
      <c r="F486" s="5" t="s">
        <v>2881</v>
      </c>
      <c r="G486" s="5"/>
      <c r="H486" s="5"/>
      <c r="I486" s="5"/>
      <c r="J486" s="5"/>
      <c r="K486" s="5"/>
      <c r="L486" s="5"/>
      <c r="M486" s="5"/>
      <c r="N486" s="5"/>
      <c r="O486" s="5"/>
      <c r="P486" s="5"/>
      <c r="Q486" s="5"/>
      <c r="AL486" s="7" t="str">
        <f>HYPERLINK("http://dx.doi.org/10.1007/s10530-008-9304-4","http://dx.doi.org/10.1007/s10530-008-9304-4")</f>
        <v>http://dx.doi.org/10.1007/s10530-008-9304-4</v>
      </c>
      <c r="AM486" s="5">
        <v>23</v>
      </c>
      <c r="AN486" s="5">
        <v>25</v>
      </c>
      <c r="AO486" s="5">
        <v>11</v>
      </c>
      <c r="AP486" s="5">
        <v>4</v>
      </c>
      <c r="AQ486" s="5">
        <v>917</v>
      </c>
      <c r="AR486" s="5">
        <v>926</v>
      </c>
      <c r="AS486" s="5" t="s">
        <v>16</v>
      </c>
      <c r="AT486" s="5" t="s">
        <v>2879</v>
      </c>
      <c r="AU486" s="5" t="s">
        <v>2880</v>
      </c>
      <c r="AV486" s="5" t="s">
        <v>2882</v>
      </c>
    </row>
    <row r="487" spans="1:48" ht="45" customHeight="1" x14ac:dyDescent="0.15">
      <c r="A487" s="5" t="s">
        <v>2883</v>
      </c>
      <c r="B487" s="5">
        <v>2008</v>
      </c>
      <c r="C487" s="5" t="s">
        <v>2884</v>
      </c>
      <c r="D487" s="5" t="s">
        <v>49</v>
      </c>
      <c r="E487" s="5" t="s">
        <v>18453</v>
      </c>
      <c r="F487" s="5" t="s">
        <v>2887</v>
      </c>
      <c r="G487" s="5"/>
      <c r="H487" s="5"/>
      <c r="I487" s="5"/>
      <c r="J487" s="5"/>
      <c r="K487" s="5"/>
      <c r="L487" s="5"/>
      <c r="M487" s="5"/>
      <c r="N487" s="5"/>
      <c r="O487" s="5"/>
      <c r="P487" s="5"/>
      <c r="Q487" s="5"/>
      <c r="AL487" s="7" t="str">
        <f>HYPERLINK("http://dx.doi.org/10.3354/meps07751","http://dx.doi.org/10.3354/meps07751")</f>
        <v>http://dx.doi.org/10.3354/meps07751</v>
      </c>
      <c r="AM487" s="5">
        <v>56</v>
      </c>
      <c r="AN487" s="5">
        <v>57</v>
      </c>
      <c r="AO487" s="5">
        <v>373</v>
      </c>
      <c r="AP487" s="5" t="s">
        <v>16</v>
      </c>
      <c r="AQ487" s="5">
        <v>137</v>
      </c>
      <c r="AR487" s="5">
        <v>148</v>
      </c>
      <c r="AS487" s="5" t="s">
        <v>16</v>
      </c>
      <c r="AT487" s="5" t="s">
        <v>2885</v>
      </c>
      <c r="AU487" s="5" t="s">
        <v>2886</v>
      </c>
      <c r="AV487" s="5" t="s">
        <v>2888</v>
      </c>
    </row>
    <row r="488" spans="1:48" ht="45" customHeight="1" x14ac:dyDescent="0.15">
      <c r="A488" s="5" t="s">
        <v>2889</v>
      </c>
      <c r="B488" s="5">
        <v>2020</v>
      </c>
      <c r="C488" s="5" t="s">
        <v>2890</v>
      </c>
      <c r="D488" s="5" t="s">
        <v>15</v>
      </c>
      <c r="E488" s="5" t="s">
        <v>18453</v>
      </c>
      <c r="F488" s="5" t="s">
        <v>2893</v>
      </c>
      <c r="G488" s="5"/>
      <c r="H488" s="5"/>
      <c r="I488" s="5"/>
      <c r="J488" s="5"/>
      <c r="K488" s="5"/>
      <c r="L488" s="5"/>
      <c r="M488" s="5"/>
      <c r="N488" s="5"/>
      <c r="O488" s="5"/>
      <c r="P488" s="5"/>
      <c r="Q488" s="5"/>
      <c r="AL488" s="7" t="str">
        <f>HYPERLINK("http://dx.doi.org/10.1002/ece3.6397","http://dx.doi.org/10.1002/ece3.6397")</f>
        <v>http://dx.doi.org/10.1002/ece3.6397</v>
      </c>
      <c r="AM488" s="5">
        <v>14</v>
      </c>
      <c r="AN488" s="5">
        <v>14</v>
      </c>
      <c r="AO488" s="5">
        <v>10</v>
      </c>
      <c r="AP488" s="5">
        <v>13</v>
      </c>
      <c r="AQ488" s="5">
        <v>6664</v>
      </c>
      <c r="AR488" s="5">
        <v>6676</v>
      </c>
      <c r="AS488" s="5" t="s">
        <v>16</v>
      </c>
      <c r="AT488" s="5" t="s">
        <v>2891</v>
      </c>
      <c r="AU488" s="5" t="s">
        <v>2892</v>
      </c>
      <c r="AV488" s="5" t="s">
        <v>2894</v>
      </c>
    </row>
    <row r="489" spans="1:48" ht="45" customHeight="1" x14ac:dyDescent="0.15">
      <c r="A489" s="5" t="s">
        <v>2895</v>
      </c>
      <c r="B489" s="5">
        <v>2016</v>
      </c>
      <c r="C489" s="5" t="s">
        <v>2896</v>
      </c>
      <c r="D489" s="5" t="s">
        <v>18</v>
      </c>
      <c r="E489" s="5" t="s">
        <v>18453</v>
      </c>
      <c r="F489" s="5" t="s">
        <v>2899</v>
      </c>
      <c r="G489" s="5"/>
      <c r="H489" s="5"/>
      <c r="I489" s="5"/>
      <c r="J489" s="5"/>
      <c r="K489" s="5"/>
      <c r="L489" s="5"/>
      <c r="M489" s="5"/>
      <c r="N489" s="5"/>
      <c r="O489" s="5"/>
      <c r="P489" s="5"/>
      <c r="Q489" s="5"/>
      <c r="AL489" s="7" t="str">
        <f>HYPERLINK("http://dx.doi.org/10.1002/ecs2.1429","http://dx.doi.org/10.1002/ecs2.1429")</f>
        <v>http://dx.doi.org/10.1002/ecs2.1429</v>
      </c>
      <c r="AM489" s="5">
        <v>16</v>
      </c>
      <c r="AN489" s="5">
        <v>16</v>
      </c>
      <c r="AO489" s="5">
        <v>7</v>
      </c>
      <c r="AP489" s="5">
        <v>8</v>
      </c>
      <c r="AQ489" s="5" t="s">
        <v>16</v>
      </c>
      <c r="AR489" s="5" t="s">
        <v>16</v>
      </c>
      <c r="AS489" s="5" t="s">
        <v>2900</v>
      </c>
      <c r="AT489" s="5" t="s">
        <v>2897</v>
      </c>
      <c r="AU489" s="5" t="s">
        <v>2898</v>
      </c>
      <c r="AV489" s="5" t="s">
        <v>2901</v>
      </c>
    </row>
    <row r="490" spans="1:48" ht="45" customHeight="1" x14ac:dyDescent="0.15">
      <c r="A490" s="5" t="s">
        <v>2902</v>
      </c>
      <c r="B490" s="5">
        <v>2016</v>
      </c>
      <c r="C490" s="5" t="s">
        <v>2903</v>
      </c>
      <c r="D490" s="5" t="s">
        <v>2450</v>
      </c>
      <c r="E490" s="5" t="s">
        <v>18453</v>
      </c>
      <c r="F490" s="5" t="s">
        <v>2906</v>
      </c>
      <c r="G490" s="5"/>
      <c r="H490" s="5"/>
      <c r="I490" s="5"/>
      <c r="J490" s="5"/>
      <c r="K490" s="5"/>
      <c r="L490" s="5"/>
      <c r="M490" s="5"/>
      <c r="N490" s="5"/>
      <c r="O490" s="5"/>
      <c r="P490" s="5"/>
      <c r="Q490" s="5"/>
      <c r="AL490" s="7" t="str">
        <f>HYPERLINK("http://dx.doi.org/10.1016/j.baae.2016.04.007","http://dx.doi.org/10.1016/j.baae.2016.04.007")</f>
        <v>http://dx.doi.org/10.1016/j.baae.2016.04.007</v>
      </c>
      <c r="AM490" s="5">
        <v>1</v>
      </c>
      <c r="AN490" s="5">
        <v>1</v>
      </c>
      <c r="AO490" s="5">
        <v>17</v>
      </c>
      <c r="AP490" s="5">
        <v>7</v>
      </c>
      <c r="AQ490" s="5">
        <v>648</v>
      </c>
      <c r="AR490" s="5">
        <v>658</v>
      </c>
      <c r="AS490" s="5" t="s">
        <v>16</v>
      </c>
      <c r="AT490" s="5" t="s">
        <v>2904</v>
      </c>
      <c r="AU490" s="5" t="s">
        <v>2905</v>
      </c>
      <c r="AV490" s="5" t="s">
        <v>2907</v>
      </c>
    </row>
    <row r="491" spans="1:48" ht="45" customHeight="1" x14ac:dyDescent="0.15">
      <c r="A491" s="5" t="s">
        <v>2908</v>
      </c>
      <c r="B491" s="5">
        <v>2021</v>
      </c>
      <c r="C491" s="5" t="s">
        <v>2909</v>
      </c>
      <c r="D491" s="5" t="s">
        <v>49</v>
      </c>
      <c r="E491" s="5" t="s">
        <v>18453</v>
      </c>
      <c r="F491" s="5" t="s">
        <v>2912</v>
      </c>
      <c r="G491" s="5"/>
      <c r="H491" s="5"/>
      <c r="I491" s="5"/>
      <c r="J491" s="5"/>
      <c r="K491" s="5"/>
      <c r="L491" s="5"/>
      <c r="M491" s="5"/>
      <c r="N491" s="5"/>
      <c r="O491" s="5"/>
      <c r="P491" s="5"/>
      <c r="Q491" s="5"/>
      <c r="AL491" s="7" t="str">
        <f>HYPERLINK("http://dx.doi.org/10.3354/meps13615","http://dx.doi.org/10.3354/meps13615")</f>
        <v>http://dx.doi.org/10.3354/meps13615</v>
      </c>
      <c r="AM491" s="5">
        <v>2</v>
      </c>
      <c r="AN491" s="5">
        <v>2</v>
      </c>
      <c r="AO491" s="5">
        <v>662</v>
      </c>
      <c r="AP491" s="5" t="s">
        <v>16</v>
      </c>
      <c r="AQ491" s="5">
        <v>169</v>
      </c>
      <c r="AR491" s="5">
        <v>180</v>
      </c>
      <c r="AS491" s="5" t="s">
        <v>16</v>
      </c>
      <c r="AT491" s="5" t="s">
        <v>2910</v>
      </c>
      <c r="AU491" s="5" t="s">
        <v>2911</v>
      </c>
      <c r="AV491" s="5" t="s">
        <v>2913</v>
      </c>
    </row>
    <row r="492" spans="1:48" ht="45" customHeight="1" x14ac:dyDescent="0.15">
      <c r="A492" s="5" t="s">
        <v>2914</v>
      </c>
      <c r="B492" s="5">
        <v>2018</v>
      </c>
      <c r="C492" s="5" t="s">
        <v>2915</v>
      </c>
      <c r="D492" s="5" t="s">
        <v>49</v>
      </c>
      <c r="E492" s="5" t="s">
        <v>18453</v>
      </c>
      <c r="F492" s="5" t="s">
        <v>2918</v>
      </c>
      <c r="G492" s="5"/>
      <c r="H492" s="5"/>
      <c r="I492" s="5"/>
      <c r="J492" s="5"/>
      <c r="K492" s="5"/>
      <c r="L492" s="5"/>
      <c r="M492" s="5"/>
      <c r="N492" s="5"/>
      <c r="O492" s="5"/>
      <c r="P492" s="5"/>
      <c r="Q492" s="5"/>
      <c r="AL492" s="7" t="str">
        <f>HYPERLINK("http://dx.doi.org/10.3354/meps12647","http://dx.doi.org/10.3354/meps12647")</f>
        <v>http://dx.doi.org/10.3354/meps12647</v>
      </c>
      <c r="AM492" s="5">
        <v>0</v>
      </c>
      <c r="AN492" s="5">
        <v>0</v>
      </c>
      <c r="AO492" s="5">
        <v>601</v>
      </c>
      <c r="AP492" s="5" t="s">
        <v>16</v>
      </c>
      <c r="AQ492" s="5">
        <v>97</v>
      </c>
      <c r="AR492" s="5">
        <v>108</v>
      </c>
      <c r="AS492" s="5" t="s">
        <v>16</v>
      </c>
      <c r="AT492" s="5" t="s">
        <v>2916</v>
      </c>
      <c r="AU492" s="5" t="s">
        <v>2917</v>
      </c>
      <c r="AV492" s="5" t="s">
        <v>2919</v>
      </c>
    </row>
    <row r="493" spans="1:48" ht="45" customHeight="1" x14ac:dyDescent="0.15">
      <c r="A493" s="5" t="s">
        <v>2920</v>
      </c>
      <c r="B493" s="5">
        <v>2019</v>
      </c>
      <c r="C493" s="5" t="s">
        <v>2921</v>
      </c>
      <c r="D493" s="5" t="s">
        <v>49</v>
      </c>
      <c r="E493" s="5" t="s">
        <v>18453</v>
      </c>
      <c r="F493" s="5" t="s">
        <v>2924</v>
      </c>
      <c r="G493" s="5"/>
      <c r="H493" s="5"/>
      <c r="I493" s="5"/>
      <c r="J493" s="5"/>
      <c r="K493" s="5"/>
      <c r="L493" s="5"/>
      <c r="M493" s="5"/>
      <c r="N493" s="5"/>
      <c r="O493" s="5"/>
      <c r="P493" s="5"/>
      <c r="Q493" s="5"/>
      <c r="AL493" s="7" t="str">
        <f>HYPERLINK("http://dx.doi.org/10.3354/meps13002","http://dx.doi.org/10.3354/meps13002")</f>
        <v>http://dx.doi.org/10.3354/meps13002</v>
      </c>
      <c r="AM493" s="5">
        <v>14</v>
      </c>
      <c r="AN493" s="5">
        <v>15</v>
      </c>
      <c r="AO493" s="5">
        <v>624</v>
      </c>
      <c r="AP493" s="5" t="s">
        <v>16</v>
      </c>
      <c r="AQ493" s="5">
        <v>89</v>
      </c>
      <c r="AR493" s="5">
        <v>102</v>
      </c>
      <c r="AS493" s="5" t="s">
        <v>16</v>
      </c>
      <c r="AT493" s="5" t="s">
        <v>2922</v>
      </c>
      <c r="AU493" s="5" t="s">
        <v>2923</v>
      </c>
      <c r="AV493" s="5" t="s">
        <v>2925</v>
      </c>
    </row>
    <row r="494" spans="1:48" ht="45" customHeight="1" x14ac:dyDescent="0.15">
      <c r="A494" s="5" t="s">
        <v>2926</v>
      </c>
      <c r="B494" s="5">
        <v>2014</v>
      </c>
      <c r="C494" s="5" t="s">
        <v>2927</v>
      </c>
      <c r="D494" s="5" t="s">
        <v>513</v>
      </c>
      <c r="E494" s="5" t="s">
        <v>18453</v>
      </c>
      <c r="F494" s="5" t="s">
        <v>2930</v>
      </c>
      <c r="G494" s="5"/>
      <c r="H494" s="5"/>
      <c r="I494" s="5"/>
      <c r="J494" s="5"/>
      <c r="K494" s="5"/>
      <c r="L494" s="5"/>
      <c r="M494" s="5"/>
      <c r="N494" s="5"/>
      <c r="O494" s="5"/>
      <c r="P494" s="5"/>
      <c r="Q494" s="5"/>
      <c r="AL494" s="7" t="str">
        <f>HYPERLINK("http://dx.doi.org/10.1016/j.ecoleng.2014.03.026","http://dx.doi.org/10.1016/j.ecoleng.2014.03.026")</f>
        <v>http://dx.doi.org/10.1016/j.ecoleng.2014.03.026</v>
      </c>
      <c r="AM494" s="5">
        <v>52</v>
      </c>
      <c r="AN494" s="5">
        <v>55</v>
      </c>
      <c r="AO494" s="5">
        <v>69</v>
      </c>
      <c r="AP494" s="5" t="s">
        <v>16</v>
      </c>
      <c r="AQ494" s="5">
        <v>106</v>
      </c>
      <c r="AR494" s="5">
        <v>117</v>
      </c>
      <c r="AS494" s="5" t="s">
        <v>16</v>
      </c>
      <c r="AT494" s="5" t="s">
        <v>2928</v>
      </c>
      <c r="AU494" s="5" t="s">
        <v>2929</v>
      </c>
      <c r="AV494" s="5" t="s">
        <v>2931</v>
      </c>
    </row>
    <row r="495" spans="1:48" ht="45" customHeight="1" x14ac:dyDescent="0.15">
      <c r="A495" s="5" t="s">
        <v>2932</v>
      </c>
      <c r="B495" s="5">
        <v>2004</v>
      </c>
      <c r="C495" s="5" t="s">
        <v>2933</v>
      </c>
      <c r="D495" s="5" t="s">
        <v>82</v>
      </c>
      <c r="E495" s="5" t="s">
        <v>18453</v>
      </c>
      <c r="F495" s="5" t="s">
        <v>2936</v>
      </c>
      <c r="G495" s="5"/>
      <c r="H495" s="5"/>
      <c r="I495" s="5"/>
      <c r="J495" s="5"/>
      <c r="K495" s="5"/>
      <c r="L495" s="5"/>
      <c r="M495" s="5"/>
      <c r="N495" s="5"/>
      <c r="O495" s="5"/>
      <c r="P495" s="5"/>
      <c r="Q495" s="5"/>
      <c r="AL495" s="5" t="s">
        <v>16</v>
      </c>
      <c r="AM495" s="5">
        <v>117</v>
      </c>
      <c r="AN495" s="5">
        <v>120</v>
      </c>
      <c r="AO495" s="5">
        <v>14</v>
      </c>
      <c r="AP495" s="5">
        <v>1</v>
      </c>
      <c r="AQ495" s="5">
        <v>132</v>
      </c>
      <c r="AR495" s="5">
        <v>148</v>
      </c>
      <c r="AS495" s="5" t="s">
        <v>16</v>
      </c>
      <c r="AT495" s="5" t="s">
        <v>2934</v>
      </c>
      <c r="AU495" s="5" t="s">
        <v>2935</v>
      </c>
      <c r="AV495" s="5" t="s">
        <v>16</v>
      </c>
    </row>
    <row r="496" spans="1:48" ht="45" customHeight="1" x14ac:dyDescent="0.15">
      <c r="A496" s="5" t="s">
        <v>2937</v>
      </c>
      <c r="B496" s="5">
        <v>2012</v>
      </c>
      <c r="C496" s="5" t="s">
        <v>2938</v>
      </c>
      <c r="D496" s="5" t="s">
        <v>249</v>
      </c>
      <c r="E496" s="5" t="s">
        <v>18453</v>
      </c>
      <c r="F496" s="5" t="s">
        <v>2941</v>
      </c>
      <c r="G496" s="5"/>
      <c r="H496" s="5"/>
      <c r="I496" s="5"/>
      <c r="J496" s="5"/>
      <c r="K496" s="5"/>
      <c r="L496" s="5"/>
      <c r="M496" s="5"/>
      <c r="N496" s="5"/>
      <c r="O496" s="5"/>
      <c r="P496" s="5"/>
      <c r="Q496" s="5"/>
      <c r="AL496" s="7" t="str">
        <f>HYPERLINK("http://dx.doi.org/10.1016/j.jaridenv.2011.09.014","http://dx.doi.org/10.1016/j.jaridenv.2011.09.014")</f>
        <v>http://dx.doi.org/10.1016/j.jaridenv.2011.09.014</v>
      </c>
      <c r="AM496" s="5">
        <v>28</v>
      </c>
      <c r="AN496" s="5">
        <v>29</v>
      </c>
      <c r="AO496" s="5">
        <v>86</v>
      </c>
      <c r="AP496" s="5" t="s">
        <v>16</v>
      </c>
      <c r="AQ496" s="5">
        <v>113</v>
      </c>
      <c r="AR496" s="5">
        <v>121</v>
      </c>
      <c r="AS496" s="5" t="s">
        <v>16</v>
      </c>
      <c r="AT496" s="5" t="s">
        <v>2939</v>
      </c>
      <c r="AU496" s="5" t="s">
        <v>2940</v>
      </c>
      <c r="AV496" s="5" t="s">
        <v>2942</v>
      </c>
    </row>
    <row r="497" spans="1:48" ht="45" customHeight="1" x14ac:dyDescent="0.15">
      <c r="A497" s="5" t="s">
        <v>2943</v>
      </c>
      <c r="B497" s="5">
        <v>2015</v>
      </c>
      <c r="C497" s="5" t="s">
        <v>2944</v>
      </c>
      <c r="D497" s="5" t="s">
        <v>49</v>
      </c>
      <c r="E497" s="5" t="s">
        <v>18453</v>
      </c>
      <c r="F497" s="5" t="s">
        <v>2947</v>
      </c>
      <c r="G497" s="5"/>
      <c r="H497" s="5"/>
      <c r="I497" s="5"/>
      <c r="J497" s="5"/>
      <c r="K497" s="5"/>
      <c r="L497" s="5"/>
      <c r="M497" s="5"/>
      <c r="N497" s="5"/>
      <c r="O497" s="5"/>
      <c r="P497" s="5"/>
      <c r="Q497" s="5"/>
      <c r="AL497" s="7" t="str">
        <f>HYPERLINK("http://dx.doi.org/10.3354/meps11464","http://dx.doi.org/10.3354/meps11464")</f>
        <v>http://dx.doi.org/10.3354/meps11464</v>
      </c>
      <c r="AM497" s="5">
        <v>25</v>
      </c>
      <c r="AN497" s="5">
        <v>25</v>
      </c>
      <c r="AO497" s="5">
        <v>538</v>
      </c>
      <c r="AP497" s="5" t="s">
        <v>16</v>
      </c>
      <c r="AQ497" s="5">
        <v>23</v>
      </c>
      <c r="AR497" s="5">
        <v>34</v>
      </c>
      <c r="AS497" s="5" t="s">
        <v>16</v>
      </c>
      <c r="AT497" s="5" t="s">
        <v>2945</v>
      </c>
      <c r="AU497" s="5" t="s">
        <v>2946</v>
      </c>
      <c r="AV497" s="5" t="s">
        <v>2948</v>
      </c>
    </row>
    <row r="498" spans="1:48" ht="45" customHeight="1" x14ac:dyDescent="0.15">
      <c r="A498" s="5" t="s">
        <v>2949</v>
      </c>
      <c r="B498" s="5">
        <v>1997</v>
      </c>
      <c r="C498" s="5" t="s">
        <v>2950</v>
      </c>
      <c r="D498" s="5" t="s">
        <v>49</v>
      </c>
      <c r="E498" s="5" t="s">
        <v>18453</v>
      </c>
      <c r="F498" s="5" t="s">
        <v>2953</v>
      </c>
      <c r="G498" s="5"/>
      <c r="H498" s="5"/>
      <c r="I498" s="5"/>
      <c r="J498" s="5"/>
      <c r="K498" s="5"/>
      <c r="L498" s="5"/>
      <c r="M498" s="5"/>
      <c r="N498" s="5"/>
      <c r="O498" s="5"/>
      <c r="P498" s="5"/>
      <c r="Q498" s="5"/>
      <c r="AL498" s="7" t="str">
        <f>HYPERLINK("http://dx.doi.org/10.3354/meps152241","http://dx.doi.org/10.3354/meps152241")</f>
        <v>http://dx.doi.org/10.3354/meps152241</v>
      </c>
      <c r="AM498" s="5">
        <v>58</v>
      </c>
      <c r="AN498" s="5">
        <v>59</v>
      </c>
      <c r="AO498" s="5">
        <v>152</v>
      </c>
      <c r="AP498" s="5" t="s">
        <v>2954</v>
      </c>
      <c r="AQ498" s="5">
        <v>241</v>
      </c>
      <c r="AR498" s="5">
        <v>247</v>
      </c>
      <c r="AS498" s="5" t="s">
        <v>16</v>
      </c>
      <c r="AT498" s="5" t="s">
        <v>2951</v>
      </c>
      <c r="AU498" s="5" t="s">
        <v>2952</v>
      </c>
      <c r="AV498" s="5" t="s">
        <v>2955</v>
      </c>
    </row>
    <row r="499" spans="1:48" ht="45" customHeight="1" x14ac:dyDescent="0.15">
      <c r="A499" s="5" t="s">
        <v>2956</v>
      </c>
      <c r="B499" s="5">
        <v>2009</v>
      </c>
      <c r="C499" s="5" t="s">
        <v>2957</v>
      </c>
      <c r="D499" s="5" t="s">
        <v>49</v>
      </c>
      <c r="E499" s="5" t="s">
        <v>18453</v>
      </c>
      <c r="F499" s="5" t="s">
        <v>2960</v>
      </c>
      <c r="G499" s="5"/>
      <c r="H499" s="5"/>
      <c r="I499" s="5"/>
      <c r="J499" s="5"/>
      <c r="K499" s="5"/>
      <c r="L499" s="5"/>
      <c r="M499" s="5"/>
      <c r="N499" s="5"/>
      <c r="O499" s="5"/>
      <c r="P499" s="5"/>
      <c r="Q499" s="5"/>
      <c r="AL499" s="7" t="str">
        <f>HYPERLINK("http://dx.doi.org/10.3354/meps08100","http://dx.doi.org/10.3354/meps08100")</f>
        <v>http://dx.doi.org/10.3354/meps08100</v>
      </c>
      <c r="AM499" s="5">
        <v>30</v>
      </c>
      <c r="AN499" s="5">
        <v>30</v>
      </c>
      <c r="AO499" s="5">
        <v>387</v>
      </c>
      <c r="AP499" s="5" t="s">
        <v>16</v>
      </c>
      <c r="AQ499" s="5">
        <v>167</v>
      </c>
      <c r="AR499" s="5">
        <v>177</v>
      </c>
      <c r="AS499" s="5" t="s">
        <v>16</v>
      </c>
      <c r="AT499" s="5" t="s">
        <v>2958</v>
      </c>
      <c r="AU499" s="5" t="s">
        <v>2959</v>
      </c>
      <c r="AV499" s="5" t="s">
        <v>2961</v>
      </c>
    </row>
    <row r="500" spans="1:48" ht="45" customHeight="1" x14ac:dyDescent="0.15">
      <c r="A500" s="5" t="s">
        <v>2962</v>
      </c>
      <c r="B500" s="5">
        <v>2020</v>
      </c>
      <c r="C500" s="5" t="s">
        <v>2963</v>
      </c>
      <c r="D500" s="5" t="s">
        <v>262</v>
      </c>
      <c r="E500" s="5" t="s">
        <v>18453</v>
      </c>
      <c r="F500" s="5" t="s">
        <v>2966</v>
      </c>
      <c r="G500" s="5"/>
      <c r="H500" s="5"/>
      <c r="I500" s="5"/>
      <c r="J500" s="5"/>
      <c r="K500" s="5"/>
      <c r="L500" s="5"/>
      <c r="M500" s="5"/>
      <c r="N500" s="5"/>
      <c r="O500" s="5"/>
      <c r="P500" s="5"/>
      <c r="Q500" s="5"/>
      <c r="AL500" s="7" t="str">
        <f>HYPERLINK("http://dx.doi.org/10.1111/oik.07476","http://dx.doi.org/10.1111/oik.07476")</f>
        <v>http://dx.doi.org/10.1111/oik.07476</v>
      </c>
      <c r="AM500" s="5">
        <v>4</v>
      </c>
      <c r="AN500" s="5">
        <v>4</v>
      </c>
      <c r="AO500" s="5">
        <v>129</v>
      </c>
      <c r="AP500" s="5">
        <v>11</v>
      </c>
      <c r="AQ500" s="5">
        <v>1714</v>
      </c>
      <c r="AR500" s="5">
        <v>1726</v>
      </c>
      <c r="AS500" s="5" t="s">
        <v>16</v>
      </c>
      <c r="AT500" s="5" t="s">
        <v>2964</v>
      </c>
      <c r="AU500" s="5" t="s">
        <v>2965</v>
      </c>
      <c r="AV500" s="5" t="s">
        <v>2967</v>
      </c>
    </row>
    <row r="501" spans="1:48" ht="45" customHeight="1" x14ac:dyDescent="0.15">
      <c r="A501" s="5" t="s">
        <v>2968</v>
      </c>
      <c r="B501" s="5">
        <v>2018</v>
      </c>
      <c r="C501" s="5" t="s">
        <v>2969</v>
      </c>
      <c r="D501" s="5" t="s">
        <v>33</v>
      </c>
      <c r="E501" s="5" t="s">
        <v>18453</v>
      </c>
      <c r="F501" s="5" t="s">
        <v>2972</v>
      </c>
      <c r="G501" s="5"/>
      <c r="H501" s="5"/>
      <c r="I501" s="5"/>
      <c r="J501" s="5"/>
      <c r="K501" s="5"/>
      <c r="L501" s="5"/>
      <c r="M501" s="5"/>
      <c r="N501" s="5"/>
      <c r="O501" s="5"/>
      <c r="P501" s="5"/>
      <c r="Q501" s="5"/>
      <c r="AL501" s="7" t="str">
        <f>HYPERLINK("http://dx.doi.org/10.1111/gcb.14448","http://dx.doi.org/10.1111/gcb.14448")</f>
        <v>http://dx.doi.org/10.1111/gcb.14448</v>
      </c>
      <c r="AM501" s="5">
        <v>40</v>
      </c>
      <c r="AN501" s="5">
        <v>40</v>
      </c>
      <c r="AO501" s="5">
        <v>24</v>
      </c>
      <c r="AP501" s="5">
        <v>12</v>
      </c>
      <c r="AQ501" s="5">
        <v>5738</v>
      </c>
      <c r="AR501" s="5">
        <v>5750</v>
      </c>
      <c r="AS501" s="5" t="s">
        <v>16</v>
      </c>
      <c r="AT501" s="5" t="s">
        <v>2970</v>
      </c>
      <c r="AU501" s="5" t="s">
        <v>2971</v>
      </c>
      <c r="AV501" s="5" t="s">
        <v>2973</v>
      </c>
    </row>
    <row r="502" spans="1:48" ht="45" customHeight="1" x14ac:dyDescent="0.15">
      <c r="A502" s="5" t="s">
        <v>2974</v>
      </c>
      <c r="B502" s="5">
        <v>2020</v>
      </c>
      <c r="C502" s="5" t="s">
        <v>2975</v>
      </c>
      <c r="D502" s="5" t="s">
        <v>2976</v>
      </c>
      <c r="E502" s="5" t="s">
        <v>18453</v>
      </c>
      <c r="F502" s="5" t="s">
        <v>2979</v>
      </c>
      <c r="G502" s="5"/>
      <c r="H502" s="5"/>
      <c r="I502" s="5"/>
      <c r="J502" s="5"/>
      <c r="K502" s="5"/>
      <c r="L502" s="5"/>
      <c r="M502" s="5"/>
      <c r="N502" s="5"/>
      <c r="O502" s="5"/>
      <c r="P502" s="5"/>
      <c r="Q502" s="5"/>
      <c r="AL502" s="7" t="str">
        <f>HYPERLINK("http://dx.doi.org/10.1016/j.gecco.2020.e01346","http://dx.doi.org/10.1016/j.gecco.2020.e01346")</f>
        <v>http://dx.doi.org/10.1016/j.gecco.2020.e01346</v>
      </c>
      <c r="AM502" s="5">
        <v>6</v>
      </c>
      <c r="AN502" s="5">
        <v>6</v>
      </c>
      <c r="AO502" s="5">
        <v>24</v>
      </c>
      <c r="AP502" s="5" t="s">
        <v>16</v>
      </c>
      <c r="AQ502" s="5" t="s">
        <v>16</v>
      </c>
      <c r="AR502" s="5" t="s">
        <v>16</v>
      </c>
      <c r="AS502" s="5" t="s">
        <v>2980</v>
      </c>
      <c r="AT502" s="5" t="s">
        <v>2977</v>
      </c>
      <c r="AU502" s="5" t="s">
        <v>2978</v>
      </c>
      <c r="AV502" s="5" t="s">
        <v>2981</v>
      </c>
    </row>
    <row r="503" spans="1:48" ht="45" customHeight="1" x14ac:dyDescent="0.15">
      <c r="A503" s="5" t="s">
        <v>2982</v>
      </c>
      <c r="B503" s="5">
        <v>2022</v>
      </c>
      <c r="C503" s="5" t="s">
        <v>2983</v>
      </c>
      <c r="D503" s="5" t="s">
        <v>62</v>
      </c>
      <c r="E503" s="5" t="s">
        <v>18453</v>
      </c>
      <c r="F503" s="5" t="s">
        <v>2986</v>
      </c>
      <c r="G503" s="5"/>
      <c r="H503" s="5"/>
      <c r="I503" s="5"/>
      <c r="J503" s="5"/>
      <c r="K503" s="5"/>
      <c r="L503" s="5"/>
      <c r="M503" s="5"/>
      <c r="N503" s="5"/>
      <c r="O503" s="5"/>
      <c r="P503" s="5"/>
      <c r="Q503" s="5"/>
      <c r="AL503" s="7" t="str">
        <f>HYPERLINK("http://dx.doi.org/10.1007/s10021-022-00776-3","http://dx.doi.org/10.1007/s10021-022-00776-3")</f>
        <v>http://dx.doi.org/10.1007/s10021-022-00776-3</v>
      </c>
      <c r="AM503" s="5">
        <v>3</v>
      </c>
      <c r="AN503" s="5">
        <v>3</v>
      </c>
      <c r="AO503" s="5">
        <v>25</v>
      </c>
      <c r="AP503" s="5">
        <v>8</v>
      </c>
      <c r="AQ503" s="5">
        <v>1628</v>
      </c>
      <c r="AR503" s="5">
        <v>1652</v>
      </c>
      <c r="AS503" s="5" t="s">
        <v>16</v>
      </c>
      <c r="AT503" s="5" t="s">
        <v>2984</v>
      </c>
      <c r="AU503" s="5" t="s">
        <v>2985</v>
      </c>
      <c r="AV503" s="5" t="s">
        <v>2987</v>
      </c>
    </row>
    <row r="504" spans="1:48" ht="45" customHeight="1" x14ac:dyDescent="0.15">
      <c r="A504" s="5" t="s">
        <v>2988</v>
      </c>
      <c r="B504" s="5">
        <v>2015</v>
      </c>
      <c r="C504" s="5" t="s">
        <v>2989</v>
      </c>
      <c r="D504" s="5" t="s">
        <v>2990</v>
      </c>
      <c r="E504" s="5" t="s">
        <v>18453</v>
      </c>
      <c r="F504" s="5" t="s">
        <v>2993</v>
      </c>
      <c r="G504" s="5"/>
      <c r="H504" s="5"/>
      <c r="I504" s="5"/>
      <c r="J504" s="5"/>
      <c r="K504" s="5"/>
      <c r="L504" s="5"/>
      <c r="M504" s="5"/>
      <c r="N504" s="5"/>
      <c r="O504" s="5"/>
      <c r="P504" s="5"/>
      <c r="Q504" s="5"/>
      <c r="AL504" s="7" t="str">
        <f>HYPERLINK("http://dx.doi.org/10.1111/rec.12202","http://dx.doi.org/10.1111/rec.12202")</f>
        <v>http://dx.doi.org/10.1111/rec.12202</v>
      </c>
      <c r="AM504" s="5">
        <v>6</v>
      </c>
      <c r="AN504" s="5">
        <v>6</v>
      </c>
      <c r="AO504" s="5">
        <v>23</v>
      </c>
      <c r="AP504" s="5">
        <v>4</v>
      </c>
      <c r="AQ504" s="5">
        <v>421</v>
      </c>
      <c r="AR504" s="5">
        <v>429</v>
      </c>
      <c r="AS504" s="5" t="s">
        <v>16</v>
      </c>
      <c r="AT504" s="5" t="s">
        <v>2991</v>
      </c>
      <c r="AU504" s="5" t="s">
        <v>2992</v>
      </c>
      <c r="AV504" s="5" t="s">
        <v>2994</v>
      </c>
    </row>
    <row r="505" spans="1:48" ht="45" customHeight="1" x14ac:dyDescent="0.15">
      <c r="A505" s="5" t="s">
        <v>2995</v>
      </c>
      <c r="B505" s="5">
        <v>2020</v>
      </c>
      <c r="C505" s="5" t="s">
        <v>2996</v>
      </c>
      <c r="D505" s="5" t="s">
        <v>49</v>
      </c>
      <c r="E505" s="5" t="s">
        <v>18453</v>
      </c>
      <c r="F505" s="5" t="s">
        <v>2999</v>
      </c>
      <c r="G505" s="5"/>
      <c r="H505" s="5"/>
      <c r="I505" s="5"/>
      <c r="J505" s="5"/>
      <c r="K505" s="5"/>
      <c r="L505" s="5"/>
      <c r="M505" s="5"/>
      <c r="N505" s="5"/>
      <c r="O505" s="5"/>
      <c r="P505" s="5"/>
      <c r="Q505" s="5"/>
      <c r="AL505" s="7" t="str">
        <f>HYPERLINK("http://dx.doi.org/10.3354/meps13504","http://dx.doi.org/10.3354/meps13504")</f>
        <v>http://dx.doi.org/10.3354/meps13504</v>
      </c>
      <c r="AM505" s="5">
        <v>0</v>
      </c>
      <c r="AN505" s="5">
        <v>0</v>
      </c>
      <c r="AO505" s="5">
        <v>654</v>
      </c>
      <c r="AP505" s="5" t="s">
        <v>16</v>
      </c>
      <c r="AQ505" s="5">
        <v>163</v>
      </c>
      <c r="AR505" s="5">
        <v>175</v>
      </c>
      <c r="AS505" s="5" t="s">
        <v>16</v>
      </c>
      <c r="AT505" s="5" t="s">
        <v>2997</v>
      </c>
      <c r="AU505" s="5" t="s">
        <v>2998</v>
      </c>
      <c r="AV505" s="5" t="s">
        <v>3000</v>
      </c>
    </row>
    <row r="506" spans="1:48" ht="45" customHeight="1" x14ac:dyDescent="0.15">
      <c r="A506" s="5" t="s">
        <v>3001</v>
      </c>
      <c r="B506" s="5">
        <v>2013</v>
      </c>
      <c r="C506" s="5" t="s">
        <v>3002</v>
      </c>
      <c r="D506" s="5" t="s">
        <v>172</v>
      </c>
      <c r="E506" s="5" t="s">
        <v>18453</v>
      </c>
      <c r="F506" s="5" t="s">
        <v>3005</v>
      </c>
      <c r="G506" s="5"/>
      <c r="H506" s="5"/>
      <c r="I506" s="5"/>
      <c r="J506" s="5"/>
      <c r="K506" s="5"/>
      <c r="L506" s="5"/>
      <c r="M506" s="5"/>
      <c r="N506" s="5"/>
      <c r="O506" s="5"/>
      <c r="P506" s="5"/>
      <c r="Q506" s="5"/>
      <c r="AL506" s="7" t="str">
        <f>HYPERLINK("http://dx.doi.org/10.1007/s00442-013-2715-7","http://dx.doi.org/10.1007/s00442-013-2715-7")</f>
        <v>http://dx.doi.org/10.1007/s00442-013-2715-7</v>
      </c>
      <c r="AM506" s="5">
        <v>13</v>
      </c>
      <c r="AN506" s="5">
        <v>13</v>
      </c>
      <c r="AO506" s="5">
        <v>173</v>
      </c>
      <c r="AP506" s="5">
        <v>4</v>
      </c>
      <c r="AQ506" s="5">
        <v>1159</v>
      </c>
      <c r="AR506" s="5">
        <v>1168</v>
      </c>
      <c r="AS506" s="5" t="s">
        <v>16</v>
      </c>
      <c r="AT506" s="5" t="s">
        <v>3003</v>
      </c>
      <c r="AU506" s="5" t="s">
        <v>3004</v>
      </c>
      <c r="AV506" s="5" t="s">
        <v>3006</v>
      </c>
    </row>
    <row r="507" spans="1:48" ht="45" customHeight="1" x14ac:dyDescent="0.15">
      <c r="A507" s="5" t="s">
        <v>3007</v>
      </c>
      <c r="B507" s="5">
        <v>2015</v>
      </c>
      <c r="C507" s="5" t="s">
        <v>3008</v>
      </c>
      <c r="D507" s="5" t="s">
        <v>190</v>
      </c>
      <c r="E507" s="5" t="s">
        <v>18453</v>
      </c>
      <c r="F507" s="5" t="s">
        <v>3011</v>
      </c>
      <c r="G507" s="5"/>
      <c r="H507" s="5"/>
      <c r="I507" s="5"/>
      <c r="J507" s="5"/>
      <c r="K507" s="5"/>
      <c r="L507" s="5"/>
      <c r="M507" s="5"/>
      <c r="N507" s="5"/>
      <c r="O507" s="5"/>
      <c r="P507" s="5"/>
      <c r="Q507" s="5"/>
      <c r="AL507" s="7" t="str">
        <f>HYPERLINK("http://dx.doi.org/10.1007/s10530-015-0938-8","http://dx.doi.org/10.1007/s10530-015-0938-8")</f>
        <v>http://dx.doi.org/10.1007/s10530-015-0938-8</v>
      </c>
      <c r="AM507" s="5">
        <v>5</v>
      </c>
      <c r="AN507" s="5">
        <v>5</v>
      </c>
      <c r="AO507" s="5">
        <v>17</v>
      </c>
      <c r="AP507" s="5">
        <v>11</v>
      </c>
      <c r="AQ507" s="5">
        <v>3125</v>
      </c>
      <c r="AR507" s="5">
        <v>3131</v>
      </c>
      <c r="AS507" s="5" t="s">
        <v>16</v>
      </c>
      <c r="AT507" s="5" t="s">
        <v>3009</v>
      </c>
      <c r="AU507" s="5" t="s">
        <v>3010</v>
      </c>
      <c r="AV507" s="5" t="s">
        <v>3012</v>
      </c>
    </row>
    <row r="508" spans="1:48" ht="45" customHeight="1" x14ac:dyDescent="0.15">
      <c r="A508" s="5" t="s">
        <v>3013</v>
      </c>
      <c r="B508" s="5">
        <v>2008</v>
      </c>
      <c r="C508" s="5" t="s">
        <v>3014</v>
      </c>
      <c r="D508" s="5" t="s">
        <v>17</v>
      </c>
      <c r="E508" s="5" t="s">
        <v>18453</v>
      </c>
      <c r="F508" s="5" t="s">
        <v>3017</v>
      </c>
      <c r="G508" s="5"/>
      <c r="H508" s="5"/>
      <c r="I508" s="5"/>
      <c r="J508" s="5"/>
      <c r="K508" s="5"/>
      <c r="L508" s="5"/>
      <c r="M508" s="5"/>
      <c r="N508" s="5"/>
      <c r="O508" s="5"/>
      <c r="P508" s="5"/>
      <c r="Q508" s="5"/>
      <c r="AL508" s="7" t="str">
        <f>HYPERLINK("http://dx.doi.org/10.1111/j.1365-2427.2008.02082.x","http://dx.doi.org/10.1111/j.1365-2427.2008.02082.x")</f>
        <v>http://dx.doi.org/10.1111/j.1365-2427.2008.02082.x</v>
      </c>
      <c r="AM508" s="5">
        <v>42</v>
      </c>
      <c r="AN508" s="5">
        <v>47</v>
      </c>
      <c r="AO508" s="5">
        <v>53</v>
      </c>
      <c r="AP508" s="5">
        <v>12</v>
      </c>
      <c r="AQ508" s="5">
        <v>2543</v>
      </c>
      <c r="AR508" s="5">
        <v>2556</v>
      </c>
      <c r="AS508" s="5" t="s">
        <v>16</v>
      </c>
      <c r="AT508" s="5" t="s">
        <v>3015</v>
      </c>
      <c r="AU508" s="5" t="s">
        <v>3016</v>
      </c>
      <c r="AV508" s="5" t="s">
        <v>3018</v>
      </c>
    </row>
    <row r="509" spans="1:48" ht="45" customHeight="1" x14ac:dyDescent="0.15">
      <c r="A509" s="5" t="s">
        <v>3019</v>
      </c>
      <c r="B509" s="5">
        <v>2005</v>
      </c>
      <c r="C509" s="5" t="s">
        <v>3020</v>
      </c>
      <c r="D509" s="5" t="s">
        <v>190</v>
      </c>
      <c r="E509" s="5" t="s">
        <v>18453</v>
      </c>
      <c r="F509" s="5" t="s">
        <v>3023</v>
      </c>
      <c r="G509" s="5"/>
      <c r="H509" s="5"/>
      <c r="I509" s="5"/>
      <c r="J509" s="5"/>
      <c r="K509" s="5"/>
      <c r="L509" s="5"/>
      <c r="M509" s="5"/>
      <c r="N509" s="5"/>
      <c r="O509" s="5"/>
      <c r="P509" s="5"/>
      <c r="Q509" s="5"/>
      <c r="AL509" s="7" t="str">
        <f>HYPERLINK("http://dx.doi.org/10.1007/s10530-005-5212-z","http://dx.doi.org/10.1007/s10530-005-5212-z")</f>
        <v>http://dx.doi.org/10.1007/s10530-005-5212-z</v>
      </c>
      <c r="AM509" s="5">
        <v>3</v>
      </c>
      <c r="AN509" s="5">
        <v>6</v>
      </c>
      <c r="AO509" s="5">
        <v>7</v>
      </c>
      <c r="AP509" s="5">
        <v>5</v>
      </c>
      <c r="AQ509" s="5">
        <v>877</v>
      </c>
      <c r="AR509" s="5">
        <v>883</v>
      </c>
      <c r="AS509" s="5" t="s">
        <v>16</v>
      </c>
      <c r="AT509" s="5" t="s">
        <v>3021</v>
      </c>
      <c r="AU509" s="5" t="s">
        <v>3022</v>
      </c>
      <c r="AV509" s="5" t="s">
        <v>3024</v>
      </c>
    </row>
    <row r="510" spans="1:48" ht="45" customHeight="1" x14ac:dyDescent="0.15">
      <c r="A510" s="5" t="s">
        <v>3025</v>
      </c>
      <c r="B510" s="5">
        <v>2011</v>
      </c>
      <c r="C510" s="5" t="s">
        <v>3026</v>
      </c>
      <c r="D510" s="5" t="s">
        <v>383</v>
      </c>
      <c r="E510" s="5" t="s">
        <v>18453</v>
      </c>
      <c r="F510" s="5" t="s">
        <v>3029</v>
      </c>
      <c r="G510" s="5"/>
      <c r="H510" s="5"/>
      <c r="I510" s="5"/>
      <c r="J510" s="5"/>
      <c r="K510" s="5"/>
      <c r="L510" s="5"/>
      <c r="M510" s="5"/>
      <c r="N510" s="5"/>
      <c r="O510" s="5"/>
      <c r="P510" s="5"/>
      <c r="Q510" s="5"/>
      <c r="AL510" s="7" t="str">
        <f>HYPERLINK("http://dx.doi.org/10.1007/s11284-011-0820-9","http://dx.doi.org/10.1007/s11284-011-0820-9")</f>
        <v>http://dx.doi.org/10.1007/s11284-011-0820-9</v>
      </c>
      <c r="AM510" s="5">
        <v>7</v>
      </c>
      <c r="AN510" s="5">
        <v>9</v>
      </c>
      <c r="AO510" s="5">
        <v>26</v>
      </c>
      <c r="AP510" s="5">
        <v>3</v>
      </c>
      <c r="AQ510" s="5">
        <v>615</v>
      </c>
      <c r="AR510" s="5">
        <v>626</v>
      </c>
      <c r="AS510" s="5" t="s">
        <v>16</v>
      </c>
      <c r="AT510" s="5" t="s">
        <v>3027</v>
      </c>
      <c r="AU510" s="5" t="s">
        <v>3028</v>
      </c>
      <c r="AV510" s="5" t="s">
        <v>3030</v>
      </c>
    </row>
    <row r="511" spans="1:48" ht="45" customHeight="1" x14ac:dyDescent="0.15">
      <c r="A511" s="5" t="s">
        <v>3031</v>
      </c>
      <c r="B511" s="5">
        <v>2013</v>
      </c>
      <c r="C511" s="5" t="s">
        <v>3032</v>
      </c>
      <c r="D511" s="5" t="s">
        <v>17</v>
      </c>
      <c r="E511" s="5" t="s">
        <v>18453</v>
      </c>
      <c r="F511" s="5" t="s">
        <v>3035</v>
      </c>
      <c r="G511" s="5"/>
      <c r="H511" s="5"/>
      <c r="I511" s="5"/>
      <c r="J511" s="5"/>
      <c r="K511" s="5"/>
      <c r="L511" s="5"/>
      <c r="M511" s="5"/>
      <c r="N511" s="5"/>
      <c r="O511" s="5"/>
      <c r="P511" s="5"/>
      <c r="Q511" s="5"/>
      <c r="AL511" s="7" t="str">
        <f>HYPERLINK("http://dx.doi.org/10.1111/fwb.12056","http://dx.doi.org/10.1111/fwb.12056")</f>
        <v>http://dx.doi.org/10.1111/fwb.12056</v>
      </c>
      <c r="AM511" s="5">
        <v>30</v>
      </c>
      <c r="AN511" s="5">
        <v>33</v>
      </c>
      <c r="AO511" s="5">
        <v>58</v>
      </c>
      <c r="AP511" s="5">
        <v>2</v>
      </c>
      <c r="AQ511" s="5">
        <v>261</v>
      </c>
      <c r="AR511" s="5">
        <v>274</v>
      </c>
      <c r="AS511" s="5" t="s">
        <v>16</v>
      </c>
      <c r="AT511" s="5" t="s">
        <v>3033</v>
      </c>
      <c r="AU511" s="5" t="s">
        <v>3034</v>
      </c>
      <c r="AV511" s="5" t="s">
        <v>3036</v>
      </c>
    </row>
    <row r="512" spans="1:48" ht="45" customHeight="1" x14ac:dyDescent="0.15">
      <c r="A512" s="5" t="s">
        <v>3037</v>
      </c>
      <c r="B512" s="5">
        <v>2012</v>
      </c>
      <c r="C512" s="5" t="s">
        <v>3038</v>
      </c>
      <c r="D512" s="5" t="s">
        <v>1134</v>
      </c>
      <c r="E512" s="5" t="s">
        <v>18453</v>
      </c>
      <c r="F512" s="5" t="s">
        <v>3041</v>
      </c>
      <c r="G512" s="5"/>
      <c r="H512" s="5"/>
      <c r="I512" s="5"/>
      <c r="J512" s="5"/>
      <c r="K512" s="5"/>
      <c r="L512" s="5"/>
      <c r="M512" s="5"/>
      <c r="N512" s="5"/>
      <c r="O512" s="5"/>
      <c r="P512" s="5"/>
      <c r="Q512" s="5"/>
      <c r="AL512" s="7" t="str">
        <f>HYPERLINK("http://dx.doi.org/10.1080/17451000.2012.678855","http://dx.doi.org/10.1080/17451000.2012.678855")</f>
        <v>http://dx.doi.org/10.1080/17451000.2012.678855</v>
      </c>
      <c r="AM512" s="5">
        <v>14</v>
      </c>
      <c r="AN512" s="5">
        <v>15</v>
      </c>
      <c r="AO512" s="5">
        <v>8</v>
      </c>
      <c r="AP512" s="5">
        <v>8</v>
      </c>
      <c r="AQ512" s="5">
        <v>701</v>
      </c>
      <c r="AR512" s="5">
        <v>714</v>
      </c>
      <c r="AS512" s="5" t="s">
        <v>16</v>
      </c>
      <c r="AT512" s="5" t="s">
        <v>3039</v>
      </c>
      <c r="AU512" s="5" t="s">
        <v>3040</v>
      </c>
      <c r="AV512" s="5" t="s">
        <v>3042</v>
      </c>
    </row>
    <row r="513" spans="1:48" ht="45" customHeight="1" x14ac:dyDescent="0.15">
      <c r="A513" s="5" t="s">
        <v>3043</v>
      </c>
      <c r="B513" s="5">
        <v>2010</v>
      </c>
      <c r="C513" s="5" t="s">
        <v>3044</v>
      </c>
      <c r="D513" s="5" t="s">
        <v>251</v>
      </c>
      <c r="E513" s="5" t="s">
        <v>18453</v>
      </c>
      <c r="F513" s="5" t="s">
        <v>3047</v>
      </c>
      <c r="G513" s="5"/>
      <c r="H513" s="5"/>
      <c r="I513" s="5"/>
      <c r="J513" s="5"/>
      <c r="K513" s="5"/>
      <c r="L513" s="5"/>
      <c r="M513" s="5"/>
      <c r="N513" s="5"/>
      <c r="O513" s="5"/>
      <c r="P513" s="5"/>
      <c r="Q513" s="5"/>
      <c r="AL513" s="7" t="str">
        <f>HYPERLINK("http://dx.doi.org/10.1016/j.biocon.2010.02.012","http://dx.doi.org/10.1016/j.biocon.2010.02.012")</f>
        <v>http://dx.doi.org/10.1016/j.biocon.2010.02.012</v>
      </c>
      <c r="AM513" s="5">
        <v>14</v>
      </c>
      <c r="AN513" s="5">
        <v>14</v>
      </c>
      <c r="AO513" s="5">
        <v>143</v>
      </c>
      <c r="AP513" s="5">
        <v>5</v>
      </c>
      <c r="AQ513" s="5">
        <v>1144</v>
      </c>
      <c r="AR513" s="5">
        <v>1153</v>
      </c>
      <c r="AS513" s="5" t="s">
        <v>16</v>
      </c>
      <c r="AT513" s="5" t="s">
        <v>3045</v>
      </c>
      <c r="AU513" s="5" t="s">
        <v>3046</v>
      </c>
      <c r="AV513" s="5" t="s">
        <v>3048</v>
      </c>
    </row>
    <row r="514" spans="1:48" ht="45" customHeight="1" x14ac:dyDescent="0.15">
      <c r="A514" s="5" t="s">
        <v>3049</v>
      </c>
      <c r="B514" s="5">
        <v>2020</v>
      </c>
      <c r="C514" s="5" t="s">
        <v>3050</v>
      </c>
      <c r="D514" s="5" t="s">
        <v>49</v>
      </c>
      <c r="E514" s="5" t="s">
        <v>18453</v>
      </c>
      <c r="F514" s="5" t="s">
        <v>3053</v>
      </c>
      <c r="G514" s="5"/>
      <c r="H514" s="5"/>
      <c r="I514" s="5"/>
      <c r="J514" s="5"/>
      <c r="K514" s="5"/>
      <c r="L514" s="5"/>
      <c r="M514" s="5"/>
      <c r="N514" s="5"/>
      <c r="O514" s="5"/>
      <c r="P514" s="5"/>
      <c r="Q514" s="5"/>
      <c r="AL514" s="7" t="str">
        <f>HYPERLINK("http://dx.doi.org/10.3354/meps13475","http://dx.doi.org/10.3354/meps13475")</f>
        <v>http://dx.doi.org/10.3354/meps13475</v>
      </c>
      <c r="AM514" s="5">
        <v>5</v>
      </c>
      <c r="AN514" s="5">
        <v>5</v>
      </c>
      <c r="AO514" s="5">
        <v>652</v>
      </c>
      <c r="AP514" s="5" t="s">
        <v>16</v>
      </c>
      <c r="AQ514" s="5">
        <v>137</v>
      </c>
      <c r="AR514" s="5">
        <v>144</v>
      </c>
      <c r="AS514" s="5" t="s">
        <v>16</v>
      </c>
      <c r="AT514" s="5" t="s">
        <v>3051</v>
      </c>
      <c r="AU514" s="5" t="s">
        <v>3052</v>
      </c>
      <c r="AV514" s="5" t="s">
        <v>3054</v>
      </c>
    </row>
    <row r="515" spans="1:48" ht="45" customHeight="1" x14ac:dyDescent="0.15">
      <c r="A515" s="5" t="s">
        <v>3055</v>
      </c>
      <c r="B515" s="5">
        <v>2015</v>
      </c>
      <c r="C515" s="5" t="s">
        <v>3056</v>
      </c>
      <c r="D515" s="5" t="s">
        <v>468</v>
      </c>
      <c r="E515" s="5" t="s">
        <v>18453</v>
      </c>
      <c r="F515" s="5" t="s">
        <v>3059</v>
      </c>
      <c r="G515" s="5"/>
      <c r="H515" s="5"/>
      <c r="I515" s="5"/>
      <c r="J515" s="5"/>
      <c r="K515" s="5"/>
      <c r="L515" s="5"/>
      <c r="M515" s="5"/>
      <c r="N515" s="5"/>
      <c r="O515" s="5"/>
      <c r="P515" s="5"/>
      <c r="Q515" s="5"/>
      <c r="AL515" s="7" t="str">
        <f>HYPERLINK("http://dx.doi.org/10.1016/j.ecoinf.2014.10.003","http://dx.doi.org/10.1016/j.ecoinf.2014.10.003")</f>
        <v>http://dx.doi.org/10.1016/j.ecoinf.2014.10.003</v>
      </c>
      <c r="AM515" s="5">
        <v>19</v>
      </c>
      <c r="AN515" s="5">
        <v>21</v>
      </c>
      <c r="AO515" s="5">
        <v>29</v>
      </c>
      <c r="AP515" s="5" t="s">
        <v>16</v>
      </c>
      <c r="AQ515" s="5">
        <v>147</v>
      </c>
      <c r="AR515" s="5">
        <v>155</v>
      </c>
      <c r="AS515" s="5" t="s">
        <v>16</v>
      </c>
      <c r="AT515" s="5" t="s">
        <v>3057</v>
      </c>
      <c r="AU515" s="5" t="s">
        <v>3058</v>
      </c>
      <c r="AV515" s="5" t="s">
        <v>3060</v>
      </c>
    </row>
    <row r="516" spans="1:48" ht="45" customHeight="1" x14ac:dyDescent="0.15">
      <c r="A516" s="5" t="s">
        <v>3061</v>
      </c>
      <c r="B516" s="5">
        <v>2005</v>
      </c>
      <c r="C516" s="5" t="s">
        <v>3062</v>
      </c>
      <c r="D516" s="5" t="s">
        <v>49</v>
      </c>
      <c r="E516" s="5" t="s">
        <v>18453</v>
      </c>
      <c r="F516" s="5" t="s">
        <v>3065</v>
      </c>
      <c r="G516" s="5"/>
      <c r="H516" s="5"/>
      <c r="I516" s="5"/>
      <c r="J516" s="5"/>
      <c r="K516" s="5"/>
      <c r="L516" s="5"/>
      <c r="M516" s="5"/>
      <c r="N516" s="5"/>
      <c r="O516" s="5"/>
      <c r="P516" s="5"/>
      <c r="Q516" s="5"/>
      <c r="AL516" s="7" t="str">
        <f>HYPERLINK("http://dx.doi.org/10.3354/meps290035","http://dx.doi.org/10.3354/meps290035")</f>
        <v>http://dx.doi.org/10.3354/meps290035</v>
      </c>
      <c r="AM516" s="5">
        <v>41</v>
      </c>
      <c r="AN516" s="5">
        <v>42</v>
      </c>
      <c r="AO516" s="5">
        <v>290</v>
      </c>
      <c r="AP516" s="5" t="s">
        <v>16</v>
      </c>
      <c r="AQ516" s="5">
        <v>35</v>
      </c>
      <c r="AR516" s="5">
        <v>53</v>
      </c>
      <c r="AS516" s="5" t="s">
        <v>16</v>
      </c>
      <c r="AT516" s="5" t="s">
        <v>3063</v>
      </c>
      <c r="AU516" s="5" t="s">
        <v>3064</v>
      </c>
      <c r="AV516" s="5" t="s">
        <v>3066</v>
      </c>
    </row>
    <row r="517" spans="1:48" ht="45" customHeight="1" x14ac:dyDescent="0.15">
      <c r="A517" s="5" t="s">
        <v>3067</v>
      </c>
      <c r="B517" s="5">
        <v>2015</v>
      </c>
      <c r="C517" s="5" t="s">
        <v>3068</v>
      </c>
      <c r="D517" s="5" t="s">
        <v>62</v>
      </c>
      <c r="E517" s="5" t="s">
        <v>18453</v>
      </c>
      <c r="F517" s="5" t="s">
        <v>3071</v>
      </c>
      <c r="G517" s="5"/>
      <c r="H517" s="5"/>
      <c r="I517" s="5"/>
      <c r="J517" s="5"/>
      <c r="K517" s="5"/>
      <c r="L517" s="5"/>
      <c r="M517" s="5"/>
      <c r="N517" s="5"/>
      <c r="O517" s="5"/>
      <c r="P517" s="5"/>
      <c r="Q517" s="5"/>
      <c r="AL517" s="7" t="str">
        <f>HYPERLINK("http://dx.doi.org/10.1007/s10021-014-9834-9","http://dx.doi.org/10.1007/s10021-014-9834-9")</f>
        <v>http://dx.doi.org/10.1007/s10021-014-9834-9</v>
      </c>
      <c r="AM517" s="5">
        <v>36</v>
      </c>
      <c r="AN517" s="5">
        <v>37</v>
      </c>
      <c r="AO517" s="5">
        <v>18</v>
      </c>
      <c r="AP517" s="5">
        <v>3</v>
      </c>
      <c r="AQ517" s="5">
        <v>404</v>
      </c>
      <c r="AR517" s="5">
        <v>416</v>
      </c>
      <c r="AS517" s="5" t="s">
        <v>16</v>
      </c>
      <c r="AT517" s="5" t="s">
        <v>3069</v>
      </c>
      <c r="AU517" s="5" t="s">
        <v>3070</v>
      </c>
      <c r="AV517" s="5" t="s">
        <v>3072</v>
      </c>
    </row>
    <row r="518" spans="1:48" ht="45" customHeight="1" x14ac:dyDescent="0.15">
      <c r="A518" s="5" t="s">
        <v>3073</v>
      </c>
      <c r="B518" s="5">
        <v>2017</v>
      </c>
      <c r="C518" s="5" t="s">
        <v>3074</v>
      </c>
      <c r="D518" s="5" t="s">
        <v>296</v>
      </c>
      <c r="E518" s="5" t="s">
        <v>18453</v>
      </c>
      <c r="F518" s="5" t="s">
        <v>3077</v>
      </c>
      <c r="G518" s="5"/>
      <c r="H518" s="5"/>
      <c r="I518" s="5"/>
      <c r="J518" s="5"/>
      <c r="K518" s="5"/>
      <c r="L518" s="5"/>
      <c r="M518" s="5"/>
      <c r="N518" s="5"/>
      <c r="O518" s="5"/>
      <c r="P518" s="5"/>
      <c r="Q518" s="5"/>
      <c r="AL518" s="7" t="str">
        <f>HYPERLINK("http://dx.doi.org/10.1098/rspb.2017.0923","http://dx.doi.org/10.1098/rspb.2017.0923")</f>
        <v>http://dx.doi.org/10.1098/rspb.2017.0923</v>
      </c>
      <c r="AM518" s="5">
        <v>4</v>
      </c>
      <c r="AN518" s="5">
        <v>4</v>
      </c>
      <c r="AO518" s="5">
        <v>284</v>
      </c>
      <c r="AP518" s="5">
        <v>1857</v>
      </c>
      <c r="AQ518" s="5" t="s">
        <v>16</v>
      </c>
      <c r="AR518" s="5" t="s">
        <v>16</v>
      </c>
      <c r="AS518" s="5">
        <v>20170923</v>
      </c>
      <c r="AT518" s="5" t="s">
        <v>3075</v>
      </c>
      <c r="AU518" s="5" t="s">
        <v>3076</v>
      </c>
      <c r="AV518" s="5" t="s">
        <v>3078</v>
      </c>
    </row>
    <row r="519" spans="1:48" ht="45" customHeight="1" x14ac:dyDescent="0.15">
      <c r="A519" s="5" t="s">
        <v>3079</v>
      </c>
      <c r="B519" s="5">
        <v>2017</v>
      </c>
      <c r="C519" s="5" t="s">
        <v>3080</v>
      </c>
      <c r="D519" s="5" t="s">
        <v>18</v>
      </c>
      <c r="E519" s="5" t="s">
        <v>18453</v>
      </c>
      <c r="F519" s="5" t="s">
        <v>3083</v>
      </c>
      <c r="G519" s="5"/>
      <c r="H519" s="5"/>
      <c r="I519" s="5"/>
      <c r="J519" s="5"/>
      <c r="K519" s="5"/>
      <c r="L519" s="5"/>
      <c r="M519" s="5"/>
      <c r="N519" s="5"/>
      <c r="O519" s="5"/>
      <c r="P519" s="5"/>
      <c r="Q519" s="5"/>
      <c r="AL519" s="7" t="str">
        <f>HYPERLINK("http://dx.doi.org/10.1002/ecs2.1674","http://dx.doi.org/10.1002/ecs2.1674")</f>
        <v>http://dx.doi.org/10.1002/ecs2.1674</v>
      </c>
      <c r="AM519" s="5">
        <v>8</v>
      </c>
      <c r="AN519" s="5">
        <v>8</v>
      </c>
      <c r="AO519" s="5">
        <v>8</v>
      </c>
      <c r="AP519" s="5">
        <v>1</v>
      </c>
      <c r="AQ519" s="5" t="s">
        <v>16</v>
      </c>
      <c r="AR519" s="5" t="s">
        <v>16</v>
      </c>
      <c r="AS519" s="5" t="s">
        <v>3084</v>
      </c>
      <c r="AT519" s="5" t="s">
        <v>3081</v>
      </c>
      <c r="AU519" s="5" t="s">
        <v>3082</v>
      </c>
      <c r="AV519" s="5" t="s">
        <v>3085</v>
      </c>
    </row>
    <row r="520" spans="1:48" ht="45" customHeight="1" x14ac:dyDescent="0.15">
      <c r="A520" s="5" t="s">
        <v>3086</v>
      </c>
      <c r="B520" s="5">
        <v>2012</v>
      </c>
      <c r="C520" s="5" t="s">
        <v>3087</v>
      </c>
      <c r="D520" s="5" t="s">
        <v>295</v>
      </c>
      <c r="E520" s="5" t="s">
        <v>18453</v>
      </c>
      <c r="F520" s="5" t="s">
        <v>3090</v>
      </c>
      <c r="G520" s="5"/>
      <c r="H520" s="5"/>
      <c r="I520" s="5"/>
      <c r="J520" s="5"/>
      <c r="K520" s="5"/>
      <c r="L520" s="5"/>
      <c r="M520" s="5"/>
      <c r="N520" s="5"/>
      <c r="O520" s="5"/>
      <c r="P520" s="5"/>
      <c r="Q520" s="5"/>
      <c r="AL520" s="7" t="str">
        <f>HYPERLINK("http://dx.doi.org/10.1016/j.jembe.2012.05.001","http://dx.doi.org/10.1016/j.jembe.2012.05.001")</f>
        <v>http://dx.doi.org/10.1016/j.jembe.2012.05.001</v>
      </c>
      <c r="AM520" s="5">
        <v>47</v>
      </c>
      <c r="AN520" s="5">
        <v>47</v>
      </c>
      <c r="AO520" s="5">
        <v>424</v>
      </c>
      <c r="AP520" s="5" t="s">
        <v>16</v>
      </c>
      <c r="AQ520" s="5">
        <v>44</v>
      </c>
      <c r="AR520" s="5">
        <v>52</v>
      </c>
      <c r="AS520" s="5" t="s">
        <v>16</v>
      </c>
      <c r="AT520" s="5" t="s">
        <v>3088</v>
      </c>
      <c r="AU520" s="5" t="s">
        <v>3089</v>
      </c>
      <c r="AV520" s="5" t="s">
        <v>3091</v>
      </c>
    </row>
    <row r="521" spans="1:48" ht="45" customHeight="1" x14ac:dyDescent="0.15">
      <c r="A521" s="5" t="s">
        <v>3092</v>
      </c>
      <c r="B521" s="5">
        <v>2012</v>
      </c>
      <c r="C521" s="5" t="s">
        <v>3093</v>
      </c>
      <c r="D521" s="5" t="s">
        <v>33</v>
      </c>
      <c r="E521" s="5" t="s">
        <v>18453</v>
      </c>
      <c r="F521" s="5" t="s">
        <v>3096</v>
      </c>
      <c r="G521" s="5"/>
      <c r="H521" s="5"/>
      <c r="I521" s="5"/>
      <c r="J521" s="5"/>
      <c r="K521" s="5"/>
      <c r="L521" s="5"/>
      <c r="M521" s="5"/>
      <c r="N521" s="5"/>
      <c r="O521" s="5"/>
      <c r="P521" s="5"/>
      <c r="Q521" s="5"/>
      <c r="AL521" s="7" t="str">
        <f>HYPERLINK("http://dx.doi.org/10.1111/j.1365-2486.2012.02722.x","http://dx.doi.org/10.1111/j.1365-2486.2012.02722.x")</f>
        <v>http://dx.doi.org/10.1111/j.1365-2486.2012.02722.x</v>
      </c>
      <c r="AM521" s="5">
        <v>19</v>
      </c>
      <c r="AN521" s="5">
        <v>21</v>
      </c>
      <c r="AO521" s="5">
        <v>18</v>
      </c>
      <c r="AP521" s="5">
        <v>8</v>
      </c>
      <c r="AQ521" s="5">
        <v>2606</v>
      </c>
      <c r="AR521" s="5">
        <v>2616</v>
      </c>
      <c r="AS521" s="5" t="s">
        <v>16</v>
      </c>
      <c r="AT521" s="5" t="s">
        <v>3094</v>
      </c>
      <c r="AU521" s="5" t="s">
        <v>3095</v>
      </c>
      <c r="AV521" s="5" t="s">
        <v>3097</v>
      </c>
    </row>
    <row r="522" spans="1:48" ht="45" customHeight="1" x14ac:dyDescent="0.15">
      <c r="A522" s="5" t="s">
        <v>3098</v>
      </c>
      <c r="B522" s="5">
        <v>2015</v>
      </c>
      <c r="C522" s="5" t="s">
        <v>3099</v>
      </c>
      <c r="D522" s="5" t="s">
        <v>17</v>
      </c>
      <c r="E522" s="5" t="s">
        <v>18453</v>
      </c>
      <c r="F522" s="5" t="s">
        <v>3102</v>
      </c>
      <c r="G522" s="5"/>
      <c r="H522" s="5"/>
      <c r="I522" s="5"/>
      <c r="J522" s="5"/>
      <c r="K522" s="5"/>
      <c r="L522" s="5"/>
      <c r="M522" s="5"/>
      <c r="N522" s="5"/>
      <c r="O522" s="5"/>
      <c r="P522" s="5"/>
      <c r="Q522" s="5"/>
      <c r="AL522" s="7" t="str">
        <f>HYPERLINK("http://dx.doi.org/10.1111/fwb.12598","http://dx.doi.org/10.1111/fwb.12598")</f>
        <v>http://dx.doi.org/10.1111/fwb.12598</v>
      </c>
      <c r="AM522" s="5">
        <v>31</v>
      </c>
      <c r="AN522" s="5">
        <v>38</v>
      </c>
      <c r="AO522" s="5">
        <v>60</v>
      </c>
      <c r="AP522" s="5">
        <v>8</v>
      </c>
      <c r="AQ522" s="5">
        <v>1659</v>
      </c>
      <c r="AR522" s="5">
        <v>1670</v>
      </c>
      <c r="AS522" s="5" t="s">
        <v>16</v>
      </c>
      <c r="AT522" s="5" t="s">
        <v>3100</v>
      </c>
      <c r="AU522" s="5" t="s">
        <v>3101</v>
      </c>
      <c r="AV522" s="5" t="s">
        <v>3103</v>
      </c>
    </row>
    <row r="523" spans="1:48" ht="45" customHeight="1" x14ac:dyDescent="0.15">
      <c r="A523" s="5" t="s">
        <v>3104</v>
      </c>
      <c r="B523" s="5">
        <v>2008</v>
      </c>
      <c r="C523" s="5" t="s">
        <v>3105</v>
      </c>
      <c r="D523" s="5" t="s">
        <v>49</v>
      </c>
      <c r="E523" s="5" t="s">
        <v>18453</v>
      </c>
      <c r="F523" s="5" t="s">
        <v>3108</v>
      </c>
      <c r="G523" s="5"/>
      <c r="H523" s="5"/>
      <c r="I523" s="5"/>
      <c r="J523" s="5"/>
      <c r="K523" s="5"/>
      <c r="L523" s="5"/>
      <c r="M523" s="5"/>
      <c r="N523" s="5"/>
      <c r="O523" s="5"/>
      <c r="P523" s="5"/>
      <c r="Q523" s="5"/>
      <c r="AL523" s="7" t="str">
        <f>HYPERLINK("http://dx.doi.org/10.3354/meps07737","http://dx.doi.org/10.3354/meps07737")</f>
        <v>http://dx.doi.org/10.3354/meps07737</v>
      </c>
      <c r="AM523" s="5">
        <v>54</v>
      </c>
      <c r="AN523" s="5">
        <v>54</v>
      </c>
      <c r="AO523" s="5">
        <v>373</v>
      </c>
      <c r="AP523" s="5" t="s">
        <v>16</v>
      </c>
      <c r="AQ523" s="5">
        <v>157</v>
      </c>
      <c r="AR523" s="5">
        <v>172</v>
      </c>
      <c r="AS523" s="5" t="s">
        <v>16</v>
      </c>
      <c r="AT523" s="5" t="s">
        <v>3106</v>
      </c>
      <c r="AU523" s="5" t="s">
        <v>3107</v>
      </c>
      <c r="AV523" s="5" t="s">
        <v>3109</v>
      </c>
    </row>
    <row r="524" spans="1:48" ht="45" customHeight="1" x14ac:dyDescent="0.15">
      <c r="A524" s="5" t="s">
        <v>3110</v>
      </c>
      <c r="B524" s="5">
        <v>2009</v>
      </c>
      <c r="C524" s="5" t="s">
        <v>3111</v>
      </c>
      <c r="D524" s="5" t="s">
        <v>77</v>
      </c>
      <c r="E524" s="5" t="s">
        <v>18453</v>
      </c>
      <c r="F524" s="5" t="s">
        <v>3114</v>
      </c>
      <c r="G524" s="5"/>
      <c r="H524" s="5"/>
      <c r="I524" s="5"/>
      <c r="J524" s="5"/>
      <c r="K524" s="5"/>
      <c r="L524" s="5"/>
      <c r="M524" s="5"/>
      <c r="N524" s="5"/>
      <c r="O524" s="5"/>
      <c r="P524" s="5"/>
      <c r="Q524" s="5"/>
      <c r="AL524" s="7" t="str">
        <f>HYPERLINK("http://dx.doi.org/10.1111/j.1365-2656.2009.01546.x","http://dx.doi.org/10.1111/j.1365-2656.2009.01546.x")</f>
        <v>http://dx.doi.org/10.1111/j.1365-2656.2009.01546.x</v>
      </c>
      <c r="AM524" s="5">
        <v>96</v>
      </c>
      <c r="AN524" s="5">
        <v>98</v>
      </c>
      <c r="AO524" s="5">
        <v>78</v>
      </c>
      <c r="AP524" s="5">
        <v>4</v>
      </c>
      <c r="AQ524" s="5">
        <v>848</v>
      </c>
      <c r="AR524" s="5">
        <v>856</v>
      </c>
      <c r="AS524" s="5" t="s">
        <v>16</v>
      </c>
      <c r="AT524" s="5" t="s">
        <v>3112</v>
      </c>
      <c r="AU524" s="5" t="s">
        <v>3113</v>
      </c>
      <c r="AV524" s="5" t="s">
        <v>3115</v>
      </c>
    </row>
    <row r="525" spans="1:48" ht="45" customHeight="1" x14ac:dyDescent="0.15">
      <c r="A525" s="5" t="s">
        <v>3116</v>
      </c>
      <c r="B525" s="5">
        <v>2016</v>
      </c>
      <c r="C525" s="5" t="s">
        <v>3117</v>
      </c>
      <c r="D525" s="5" t="s">
        <v>49</v>
      </c>
      <c r="E525" s="5" t="s">
        <v>18453</v>
      </c>
      <c r="F525" s="5" t="s">
        <v>3120</v>
      </c>
      <c r="G525" s="5"/>
      <c r="H525" s="5"/>
      <c r="I525" s="5"/>
      <c r="J525" s="5"/>
      <c r="K525" s="5"/>
      <c r="L525" s="5"/>
      <c r="M525" s="5"/>
      <c r="N525" s="5"/>
      <c r="O525" s="5"/>
      <c r="P525" s="5"/>
      <c r="Q525" s="5"/>
      <c r="AL525" s="7" t="str">
        <f>HYPERLINK("http://dx.doi.org/10.3354/meps11875","http://dx.doi.org/10.3354/meps11875")</f>
        <v>http://dx.doi.org/10.3354/meps11875</v>
      </c>
      <c r="AM525" s="5">
        <v>19</v>
      </c>
      <c r="AN525" s="5">
        <v>20</v>
      </c>
      <c r="AO525" s="5">
        <v>559</v>
      </c>
      <c r="AP525" s="5" t="s">
        <v>16</v>
      </c>
      <c r="AQ525" s="5">
        <v>231</v>
      </c>
      <c r="AR525" s="5">
        <v>242</v>
      </c>
      <c r="AS525" s="5" t="s">
        <v>16</v>
      </c>
      <c r="AT525" s="5" t="s">
        <v>3118</v>
      </c>
      <c r="AU525" s="5" t="s">
        <v>3119</v>
      </c>
      <c r="AV525" s="5" t="s">
        <v>3121</v>
      </c>
    </row>
    <row r="526" spans="1:48" ht="45" customHeight="1" x14ac:dyDescent="0.15">
      <c r="A526" s="5" t="s">
        <v>3122</v>
      </c>
      <c r="B526" s="5">
        <v>2016</v>
      </c>
      <c r="C526" s="5" t="s">
        <v>3123</v>
      </c>
      <c r="D526" s="5" t="s">
        <v>77</v>
      </c>
      <c r="E526" s="5" t="s">
        <v>18453</v>
      </c>
      <c r="F526" s="5" t="s">
        <v>3126</v>
      </c>
      <c r="G526" s="5"/>
      <c r="H526" s="5"/>
      <c r="I526" s="5"/>
      <c r="J526" s="5"/>
      <c r="K526" s="5"/>
      <c r="L526" s="5"/>
      <c r="M526" s="5"/>
      <c r="N526" s="5"/>
      <c r="O526" s="5"/>
      <c r="P526" s="5"/>
      <c r="Q526" s="5"/>
      <c r="AL526" s="7" t="str">
        <f>HYPERLINK("http://dx.doi.org/10.1111/1365-2656.12554","http://dx.doi.org/10.1111/1365-2656.12554")</f>
        <v>http://dx.doi.org/10.1111/1365-2656.12554</v>
      </c>
      <c r="AM526" s="5">
        <v>44</v>
      </c>
      <c r="AN526" s="5">
        <v>44</v>
      </c>
      <c r="AO526" s="5">
        <v>85</v>
      </c>
      <c r="AP526" s="5">
        <v>5</v>
      </c>
      <c r="AQ526" s="5">
        <v>1255</v>
      </c>
      <c r="AR526" s="5">
        <v>1264</v>
      </c>
      <c r="AS526" s="5" t="s">
        <v>16</v>
      </c>
      <c r="AT526" s="5" t="s">
        <v>3124</v>
      </c>
      <c r="AU526" s="5" t="s">
        <v>3125</v>
      </c>
      <c r="AV526" s="5" t="s">
        <v>3127</v>
      </c>
    </row>
    <row r="527" spans="1:48" ht="45" customHeight="1" x14ac:dyDescent="0.15">
      <c r="A527" s="5" t="s">
        <v>3128</v>
      </c>
      <c r="B527" s="5">
        <v>2010</v>
      </c>
      <c r="C527" s="5" t="s">
        <v>3129</v>
      </c>
      <c r="D527" s="5" t="s">
        <v>49</v>
      </c>
      <c r="E527" s="5" t="s">
        <v>18453</v>
      </c>
      <c r="F527" s="5" t="s">
        <v>3132</v>
      </c>
      <c r="G527" s="5"/>
      <c r="H527" s="5"/>
      <c r="I527" s="5"/>
      <c r="J527" s="5"/>
      <c r="K527" s="5"/>
      <c r="L527" s="5"/>
      <c r="M527" s="5"/>
      <c r="N527" s="5"/>
      <c r="O527" s="5"/>
      <c r="P527" s="5"/>
      <c r="Q527" s="5"/>
      <c r="AL527" s="7" t="str">
        <f>HYPERLINK("http://dx.doi.org/10.3354/meps08720","http://dx.doi.org/10.3354/meps08720")</f>
        <v>http://dx.doi.org/10.3354/meps08720</v>
      </c>
      <c r="AM527" s="5">
        <v>48</v>
      </c>
      <c r="AN527" s="5">
        <v>51</v>
      </c>
      <c r="AO527" s="5">
        <v>414</v>
      </c>
      <c r="AP527" s="5" t="s">
        <v>16</v>
      </c>
      <c r="AQ527" s="5">
        <v>41</v>
      </c>
      <c r="AR527" s="5">
        <v>55</v>
      </c>
      <c r="AS527" s="5" t="s">
        <v>16</v>
      </c>
      <c r="AT527" s="5" t="s">
        <v>3130</v>
      </c>
      <c r="AU527" s="5" t="s">
        <v>3131</v>
      </c>
      <c r="AV527" s="5" t="s">
        <v>3133</v>
      </c>
    </row>
    <row r="528" spans="1:48" ht="45" customHeight="1" x14ac:dyDescent="0.15">
      <c r="A528" s="5" t="s">
        <v>3134</v>
      </c>
      <c r="B528" s="5">
        <v>2020</v>
      </c>
      <c r="C528" s="5" t="s">
        <v>3135</v>
      </c>
      <c r="D528" s="5" t="s">
        <v>1419</v>
      </c>
      <c r="E528" s="5" t="s">
        <v>18453</v>
      </c>
      <c r="F528" s="5" t="s">
        <v>3138</v>
      </c>
      <c r="G528" s="5"/>
      <c r="H528" s="5"/>
      <c r="I528" s="5"/>
      <c r="J528" s="5"/>
      <c r="K528" s="5"/>
      <c r="L528" s="5"/>
      <c r="M528" s="5"/>
      <c r="N528" s="5"/>
      <c r="O528" s="5"/>
      <c r="P528" s="5"/>
      <c r="Q528" s="5"/>
      <c r="AL528" s="7" t="str">
        <f>HYPERLINK("http://dx.doi.org/10.1016/j.fooweb.2020.e00145","http://dx.doi.org/10.1016/j.fooweb.2020.e00145")</f>
        <v>http://dx.doi.org/10.1016/j.fooweb.2020.e00145</v>
      </c>
      <c r="AM528" s="5">
        <v>1</v>
      </c>
      <c r="AN528" s="5">
        <v>1</v>
      </c>
      <c r="AO528" s="5">
        <v>24</v>
      </c>
      <c r="AP528" s="5" t="s">
        <v>16</v>
      </c>
      <c r="AQ528" s="5" t="s">
        <v>16</v>
      </c>
      <c r="AR528" s="5" t="s">
        <v>16</v>
      </c>
      <c r="AS528" s="5" t="s">
        <v>3139</v>
      </c>
      <c r="AT528" s="5" t="s">
        <v>3136</v>
      </c>
      <c r="AU528" s="5" t="s">
        <v>3137</v>
      </c>
      <c r="AV528" s="5" t="s">
        <v>3140</v>
      </c>
    </row>
    <row r="529" spans="1:48" ht="45" customHeight="1" x14ac:dyDescent="0.15">
      <c r="A529" s="5" t="s">
        <v>3141</v>
      </c>
      <c r="B529" s="5">
        <v>2017</v>
      </c>
      <c r="C529" s="5" t="s">
        <v>3142</v>
      </c>
      <c r="D529" s="5" t="s">
        <v>33</v>
      </c>
      <c r="E529" s="5" t="s">
        <v>18453</v>
      </c>
      <c r="F529" s="5" t="s">
        <v>3145</v>
      </c>
      <c r="G529" s="5"/>
      <c r="H529" s="5"/>
      <c r="I529" s="5"/>
      <c r="J529" s="5"/>
      <c r="K529" s="5"/>
      <c r="L529" s="5"/>
      <c r="M529" s="5"/>
      <c r="N529" s="5"/>
      <c r="O529" s="5"/>
      <c r="P529" s="5"/>
      <c r="Q529" s="5"/>
      <c r="AL529" s="7" t="str">
        <f>HYPERLINK("http://dx.doi.org/10.1111/gcb.13770","http://dx.doi.org/10.1111/gcb.13770")</f>
        <v>http://dx.doi.org/10.1111/gcb.13770</v>
      </c>
      <c r="AM529" s="5">
        <v>26</v>
      </c>
      <c r="AN529" s="5">
        <v>26</v>
      </c>
      <c r="AO529" s="5">
        <v>23</v>
      </c>
      <c r="AP529" s="5">
        <v>12</v>
      </c>
      <c r="AQ529" s="5">
        <v>5054</v>
      </c>
      <c r="AR529" s="5">
        <v>5068</v>
      </c>
      <c r="AS529" s="5" t="s">
        <v>16</v>
      </c>
      <c r="AT529" s="5" t="s">
        <v>3143</v>
      </c>
      <c r="AU529" s="5" t="s">
        <v>3144</v>
      </c>
      <c r="AV529" s="5" t="s">
        <v>3146</v>
      </c>
    </row>
    <row r="530" spans="1:48" ht="45" customHeight="1" x14ac:dyDescent="0.15">
      <c r="A530" s="5" t="s">
        <v>3147</v>
      </c>
      <c r="B530" s="5">
        <v>2001</v>
      </c>
      <c r="C530" s="5" t="s">
        <v>3148</v>
      </c>
      <c r="D530" s="5" t="s">
        <v>49</v>
      </c>
      <c r="E530" s="5" t="s">
        <v>18453</v>
      </c>
      <c r="F530" s="5" t="s">
        <v>3151</v>
      </c>
      <c r="G530" s="5"/>
      <c r="H530" s="5"/>
      <c r="I530" s="5"/>
      <c r="J530" s="5"/>
      <c r="K530" s="5"/>
      <c r="L530" s="5"/>
      <c r="M530" s="5"/>
      <c r="N530" s="5"/>
      <c r="O530" s="5"/>
      <c r="P530" s="5"/>
      <c r="Q530" s="5"/>
      <c r="AL530" s="7" t="str">
        <f>HYPERLINK("http://dx.doi.org/10.3354/meps216223","http://dx.doi.org/10.3354/meps216223")</f>
        <v>http://dx.doi.org/10.3354/meps216223</v>
      </c>
      <c r="AM530" s="5">
        <v>30</v>
      </c>
      <c r="AN530" s="5">
        <v>32</v>
      </c>
      <c r="AO530" s="5">
        <v>216</v>
      </c>
      <c r="AP530" s="5" t="s">
        <v>16</v>
      </c>
      <c r="AQ530" s="5">
        <v>223</v>
      </c>
      <c r="AR530" s="5">
        <v>233</v>
      </c>
      <c r="AS530" s="5" t="s">
        <v>16</v>
      </c>
      <c r="AT530" s="5" t="s">
        <v>3149</v>
      </c>
      <c r="AU530" s="5" t="s">
        <v>3150</v>
      </c>
      <c r="AV530" s="5" t="s">
        <v>3152</v>
      </c>
    </row>
    <row r="531" spans="1:48" ht="45" customHeight="1" x14ac:dyDescent="0.15">
      <c r="A531" s="5" t="s">
        <v>3153</v>
      </c>
      <c r="B531" s="5">
        <v>2014</v>
      </c>
      <c r="C531" s="5" t="s">
        <v>3154</v>
      </c>
      <c r="D531" s="5" t="s">
        <v>973</v>
      </c>
      <c r="E531" s="5" t="s">
        <v>18453</v>
      </c>
      <c r="F531" s="5" t="s">
        <v>3156</v>
      </c>
      <c r="G531" s="5"/>
      <c r="H531" s="5"/>
      <c r="I531" s="5"/>
      <c r="J531" s="5"/>
      <c r="K531" s="5"/>
      <c r="L531" s="5"/>
      <c r="M531" s="5"/>
      <c r="N531" s="5"/>
      <c r="O531" s="5"/>
      <c r="P531" s="5"/>
      <c r="Q531" s="5"/>
      <c r="AL531" s="7" t="str">
        <f>HYPERLINK("http://dx.doi.org/10.5194/bg-11-4493-2014","http://dx.doi.org/10.5194/bg-11-4493-2014")</f>
        <v>http://dx.doi.org/10.5194/bg-11-4493-2014</v>
      </c>
      <c r="AM531" s="5">
        <v>47</v>
      </c>
      <c r="AN531" s="5">
        <v>53</v>
      </c>
      <c r="AO531" s="5">
        <v>11</v>
      </c>
      <c r="AP531" s="5">
        <v>16</v>
      </c>
      <c r="AQ531" s="5">
        <v>4493</v>
      </c>
      <c r="AR531" s="5">
        <v>4506</v>
      </c>
      <c r="AS531" s="5" t="s">
        <v>16</v>
      </c>
      <c r="AT531" s="5" t="s">
        <v>16</v>
      </c>
      <c r="AU531" s="5" t="s">
        <v>3155</v>
      </c>
      <c r="AV531" s="5" t="s">
        <v>3157</v>
      </c>
    </row>
    <row r="532" spans="1:48" ht="45" customHeight="1" x14ac:dyDescent="0.15">
      <c r="A532" s="5" t="s">
        <v>3158</v>
      </c>
      <c r="B532" s="5">
        <v>2013</v>
      </c>
      <c r="C532" s="5" t="s">
        <v>3159</v>
      </c>
      <c r="D532" s="5" t="s">
        <v>49</v>
      </c>
      <c r="E532" s="5" t="s">
        <v>18453</v>
      </c>
      <c r="F532" s="5" t="s">
        <v>3162</v>
      </c>
      <c r="G532" s="5"/>
      <c r="H532" s="5"/>
      <c r="I532" s="5"/>
      <c r="J532" s="5"/>
      <c r="K532" s="5"/>
      <c r="L532" s="5"/>
      <c r="M532" s="5"/>
      <c r="N532" s="5"/>
      <c r="O532" s="5"/>
      <c r="P532" s="5"/>
      <c r="Q532" s="5"/>
      <c r="AL532" s="7" t="str">
        <f>HYPERLINK("http://dx.doi.org/10.3354/meps10278","http://dx.doi.org/10.3354/meps10278")</f>
        <v>http://dx.doi.org/10.3354/meps10278</v>
      </c>
      <c r="AM532" s="5">
        <v>64</v>
      </c>
      <c r="AN532" s="5">
        <v>66</v>
      </c>
      <c r="AO532" s="5">
        <v>482</v>
      </c>
      <c r="AP532" s="5" t="s">
        <v>16</v>
      </c>
      <c r="AQ532" s="5">
        <v>17</v>
      </c>
      <c r="AR532" s="5" t="s">
        <v>260</v>
      </c>
      <c r="AS532" s="5" t="s">
        <v>16</v>
      </c>
      <c r="AT532" s="5" t="s">
        <v>3160</v>
      </c>
      <c r="AU532" s="5" t="s">
        <v>3161</v>
      </c>
      <c r="AV532" s="5" t="s">
        <v>3163</v>
      </c>
    </row>
    <row r="533" spans="1:48" ht="45" customHeight="1" x14ac:dyDescent="0.15">
      <c r="A533" s="5" t="s">
        <v>3164</v>
      </c>
      <c r="B533" s="5">
        <v>2014</v>
      </c>
      <c r="C533" s="5" t="s">
        <v>3165</v>
      </c>
      <c r="D533" s="5" t="s">
        <v>973</v>
      </c>
      <c r="E533" s="5" t="s">
        <v>18453</v>
      </c>
      <c r="F533" s="5" t="s">
        <v>3167</v>
      </c>
      <c r="G533" s="5"/>
      <c r="H533" s="5"/>
      <c r="I533" s="5"/>
      <c r="J533" s="5"/>
      <c r="K533" s="5"/>
      <c r="L533" s="5"/>
      <c r="M533" s="5"/>
      <c r="N533" s="5"/>
      <c r="O533" s="5"/>
      <c r="P533" s="5"/>
      <c r="Q533" s="5"/>
      <c r="AL533" s="7" t="str">
        <f>HYPERLINK("http://dx.doi.org/10.5194/bg-11-3369-2014","http://dx.doi.org/10.5194/bg-11-3369-2014")</f>
        <v>http://dx.doi.org/10.5194/bg-11-3369-2014</v>
      </c>
      <c r="AM533" s="5">
        <v>47</v>
      </c>
      <c r="AN533" s="5">
        <v>49</v>
      </c>
      <c r="AO533" s="5">
        <v>11</v>
      </c>
      <c r="AP533" s="5">
        <v>12</v>
      </c>
      <c r="AQ533" s="5">
        <v>3369</v>
      </c>
      <c r="AR533" s="5">
        <v>3380</v>
      </c>
      <c r="AS533" s="5" t="s">
        <v>16</v>
      </c>
      <c r="AT533" s="5" t="s">
        <v>16</v>
      </c>
      <c r="AU533" s="5" t="s">
        <v>3166</v>
      </c>
      <c r="AV533" s="5" t="s">
        <v>3168</v>
      </c>
    </row>
    <row r="534" spans="1:48" ht="45" customHeight="1" x14ac:dyDescent="0.15">
      <c r="A534" s="5" t="s">
        <v>3169</v>
      </c>
      <c r="B534" s="5">
        <v>2007</v>
      </c>
      <c r="C534" s="5" t="s">
        <v>3170</v>
      </c>
      <c r="D534" s="5" t="s">
        <v>49</v>
      </c>
      <c r="E534" s="5" t="s">
        <v>18453</v>
      </c>
      <c r="F534" s="5" t="s">
        <v>3173</v>
      </c>
      <c r="G534" s="5"/>
      <c r="H534" s="5"/>
      <c r="I534" s="5"/>
      <c r="J534" s="5"/>
      <c r="K534" s="5"/>
      <c r="L534" s="5"/>
      <c r="M534" s="5"/>
      <c r="N534" s="5"/>
      <c r="O534" s="5"/>
      <c r="P534" s="5"/>
      <c r="Q534" s="5"/>
      <c r="AL534" s="7" t="str">
        <f>HYPERLINK("http://dx.doi.org/10.3354/meps06884","http://dx.doi.org/10.3354/meps06884")</f>
        <v>http://dx.doi.org/10.3354/meps06884</v>
      </c>
      <c r="AM534" s="5">
        <v>82</v>
      </c>
      <c r="AN534" s="5">
        <v>85</v>
      </c>
      <c r="AO534" s="5">
        <v>343</v>
      </c>
      <c r="AP534" s="5" t="s">
        <v>16</v>
      </c>
      <c r="AQ534" s="5">
        <v>63</v>
      </c>
      <c r="AR534" s="5">
        <v>76</v>
      </c>
      <c r="AS534" s="5" t="s">
        <v>16</v>
      </c>
      <c r="AT534" s="5" t="s">
        <v>3171</v>
      </c>
      <c r="AU534" s="5" t="s">
        <v>3172</v>
      </c>
      <c r="AV534" s="5" t="s">
        <v>3174</v>
      </c>
    </row>
    <row r="535" spans="1:48" ht="45" customHeight="1" x14ac:dyDescent="0.15">
      <c r="A535" s="5" t="s">
        <v>3175</v>
      </c>
      <c r="B535" s="5">
        <v>2012</v>
      </c>
      <c r="C535" s="5" t="s">
        <v>3176</v>
      </c>
      <c r="D535" s="5" t="s">
        <v>17</v>
      </c>
      <c r="E535" s="5" t="s">
        <v>18453</v>
      </c>
      <c r="F535" s="5" t="s">
        <v>3179</v>
      </c>
      <c r="G535" s="5"/>
      <c r="H535" s="5"/>
      <c r="I535" s="5"/>
      <c r="J535" s="5"/>
      <c r="K535" s="5"/>
      <c r="L535" s="5"/>
      <c r="M535" s="5"/>
      <c r="N535" s="5"/>
      <c r="O535" s="5"/>
      <c r="P535" s="5"/>
      <c r="Q535" s="5"/>
      <c r="AL535" s="7" t="str">
        <f>HYPERLINK("http://dx.doi.org/10.1111/j.1365-2427.2012.02744.x","http://dx.doi.org/10.1111/j.1365-2427.2012.02744.x")</f>
        <v>http://dx.doi.org/10.1111/j.1365-2427.2012.02744.x</v>
      </c>
      <c r="AM535" s="5">
        <v>19</v>
      </c>
      <c r="AN535" s="5">
        <v>21</v>
      </c>
      <c r="AO535" s="5">
        <v>57</v>
      </c>
      <c r="AP535" s="5">
        <v>4</v>
      </c>
      <c r="AQ535" s="5">
        <v>787</v>
      </c>
      <c r="AR535" s="5">
        <v>794</v>
      </c>
      <c r="AS535" s="5" t="s">
        <v>16</v>
      </c>
      <c r="AT535" s="5" t="s">
        <v>3177</v>
      </c>
      <c r="AU535" s="5" t="s">
        <v>3178</v>
      </c>
      <c r="AV535" s="5" t="s">
        <v>3180</v>
      </c>
    </row>
    <row r="536" spans="1:48" ht="45" customHeight="1" x14ac:dyDescent="0.15">
      <c r="A536" s="5" t="s">
        <v>3181</v>
      </c>
      <c r="B536" s="5">
        <v>2014</v>
      </c>
      <c r="C536" s="5" t="s">
        <v>3182</v>
      </c>
      <c r="D536" s="5" t="s">
        <v>3183</v>
      </c>
      <c r="E536" s="5" t="s">
        <v>18453</v>
      </c>
      <c r="F536" s="5" t="s">
        <v>3186</v>
      </c>
      <c r="G536" s="5"/>
      <c r="H536" s="5"/>
      <c r="I536" s="5"/>
      <c r="J536" s="5"/>
      <c r="K536" s="5"/>
      <c r="L536" s="5"/>
      <c r="M536" s="5"/>
      <c r="N536" s="5"/>
      <c r="O536" s="5"/>
      <c r="P536" s="5"/>
      <c r="Q536" s="5"/>
      <c r="AL536" s="7" t="str">
        <f>HYPERLINK("http://dx.doi.org/10.1016/j.pedobi.2014.02.001","http://dx.doi.org/10.1016/j.pedobi.2014.02.001")</f>
        <v>http://dx.doi.org/10.1016/j.pedobi.2014.02.001</v>
      </c>
      <c r="AM536" s="5">
        <v>2</v>
      </c>
      <c r="AN536" s="5">
        <v>2</v>
      </c>
      <c r="AO536" s="5">
        <v>57</v>
      </c>
      <c r="AP536" s="5">
        <v>3</v>
      </c>
      <c r="AQ536" s="5">
        <v>155</v>
      </c>
      <c r="AR536" s="5">
        <v>160</v>
      </c>
      <c r="AS536" s="5" t="s">
        <v>16</v>
      </c>
      <c r="AT536" s="5" t="s">
        <v>3184</v>
      </c>
      <c r="AU536" s="5" t="s">
        <v>3185</v>
      </c>
      <c r="AV536" s="5" t="s">
        <v>3187</v>
      </c>
    </row>
    <row r="537" spans="1:48" ht="45" customHeight="1" x14ac:dyDescent="0.15">
      <c r="A537" s="5" t="s">
        <v>3188</v>
      </c>
      <c r="B537" s="5">
        <v>2021</v>
      </c>
      <c r="C537" s="5" t="s">
        <v>3189</v>
      </c>
      <c r="D537" s="5" t="s">
        <v>159</v>
      </c>
      <c r="E537" s="5" t="s">
        <v>18453</v>
      </c>
      <c r="F537" s="5" t="s">
        <v>3192</v>
      </c>
      <c r="G537" s="5"/>
      <c r="H537" s="5"/>
      <c r="I537" s="5"/>
      <c r="J537" s="5"/>
      <c r="K537" s="5"/>
      <c r="L537" s="5"/>
      <c r="M537" s="5"/>
      <c r="N537" s="5"/>
      <c r="O537" s="5"/>
      <c r="P537" s="5"/>
      <c r="Q537" s="5"/>
      <c r="AL537" s="7" t="str">
        <f>HYPERLINK("http://dx.doi.org/10.3390/d13030102","http://dx.doi.org/10.3390/d13030102")</f>
        <v>http://dx.doi.org/10.3390/d13030102</v>
      </c>
      <c r="AM537" s="5">
        <v>8</v>
      </c>
      <c r="AN537" s="5">
        <v>8</v>
      </c>
      <c r="AO537" s="5">
        <v>13</v>
      </c>
      <c r="AP537" s="5">
        <v>3</v>
      </c>
      <c r="AQ537" s="5" t="s">
        <v>16</v>
      </c>
      <c r="AR537" s="5" t="s">
        <v>16</v>
      </c>
      <c r="AS537" s="5">
        <v>102</v>
      </c>
      <c r="AT537" s="5" t="s">
        <v>3190</v>
      </c>
      <c r="AU537" s="5" t="s">
        <v>3191</v>
      </c>
      <c r="AV537" s="5" t="s">
        <v>3193</v>
      </c>
    </row>
    <row r="538" spans="1:48" ht="45" customHeight="1" x14ac:dyDescent="0.15">
      <c r="A538" s="5" t="s">
        <v>3194</v>
      </c>
      <c r="B538" s="5">
        <v>2015</v>
      </c>
      <c r="C538" s="5" t="s">
        <v>3195</v>
      </c>
      <c r="D538" s="5" t="s">
        <v>468</v>
      </c>
      <c r="E538" s="5" t="s">
        <v>18453</v>
      </c>
      <c r="F538" s="5" t="s">
        <v>3198</v>
      </c>
      <c r="G538" s="5"/>
      <c r="H538" s="5"/>
      <c r="I538" s="5"/>
      <c r="J538" s="5"/>
      <c r="K538" s="5"/>
      <c r="L538" s="5"/>
      <c r="M538" s="5"/>
      <c r="N538" s="5"/>
      <c r="O538" s="5"/>
      <c r="P538" s="5"/>
      <c r="Q538" s="5"/>
      <c r="AL538" s="7" t="str">
        <f>HYPERLINK("http://dx.doi.org/10.1016/j.ecoinf.2015.05.008","http://dx.doi.org/10.1016/j.ecoinf.2015.05.008")</f>
        <v>http://dx.doi.org/10.1016/j.ecoinf.2015.05.008</v>
      </c>
      <c r="AM538" s="5">
        <v>19</v>
      </c>
      <c r="AN538" s="5">
        <v>20</v>
      </c>
      <c r="AO538" s="5">
        <v>30</v>
      </c>
      <c r="AP538" s="5" t="s">
        <v>16</v>
      </c>
      <c r="AQ538" s="5">
        <v>241</v>
      </c>
      <c r="AR538" s="5">
        <v>249</v>
      </c>
      <c r="AS538" s="5" t="s">
        <v>16</v>
      </c>
      <c r="AT538" s="5" t="s">
        <v>3196</v>
      </c>
      <c r="AU538" s="5" t="s">
        <v>3197</v>
      </c>
      <c r="AV538" s="5" t="s">
        <v>3199</v>
      </c>
    </row>
    <row r="539" spans="1:48" ht="45" customHeight="1" x14ac:dyDescent="0.15">
      <c r="A539" s="5" t="s">
        <v>3200</v>
      </c>
      <c r="B539" s="5">
        <v>2014</v>
      </c>
      <c r="C539" s="5" t="s">
        <v>3201</v>
      </c>
      <c r="D539" s="5" t="s">
        <v>17</v>
      </c>
      <c r="E539" s="5" t="s">
        <v>18453</v>
      </c>
      <c r="F539" s="5" t="s">
        <v>3204</v>
      </c>
      <c r="G539" s="5"/>
      <c r="H539" s="5"/>
      <c r="I539" s="5"/>
      <c r="J539" s="5"/>
      <c r="K539" s="5"/>
      <c r="L539" s="5"/>
      <c r="M539" s="5"/>
      <c r="N539" s="5"/>
      <c r="O539" s="5"/>
      <c r="P539" s="5"/>
      <c r="Q539" s="5"/>
      <c r="AL539" s="7" t="str">
        <f>HYPERLINK("http://dx.doi.org/10.1111/fwb.12418","http://dx.doi.org/10.1111/fwb.12418")</f>
        <v>http://dx.doi.org/10.1111/fwb.12418</v>
      </c>
      <c r="AM539" s="5">
        <v>21</v>
      </c>
      <c r="AN539" s="5">
        <v>21</v>
      </c>
      <c r="AO539" s="5">
        <v>59</v>
      </c>
      <c r="AP539" s="5">
        <v>10</v>
      </c>
      <c r="AQ539" s="5">
        <v>2150</v>
      </c>
      <c r="AR539" s="5">
        <v>2161</v>
      </c>
      <c r="AS539" s="5" t="s">
        <v>16</v>
      </c>
      <c r="AT539" s="5" t="s">
        <v>3202</v>
      </c>
      <c r="AU539" s="5" t="s">
        <v>3203</v>
      </c>
      <c r="AV539" s="5" t="s">
        <v>3205</v>
      </c>
    </row>
    <row r="540" spans="1:48" ht="45" customHeight="1" x14ac:dyDescent="0.15">
      <c r="A540" s="5" t="s">
        <v>3206</v>
      </c>
      <c r="B540" s="5">
        <v>2021</v>
      </c>
      <c r="C540" s="5" t="s">
        <v>3207</v>
      </c>
      <c r="D540" s="5" t="s">
        <v>49</v>
      </c>
      <c r="E540" s="5" t="s">
        <v>18453</v>
      </c>
      <c r="F540" s="5" t="s">
        <v>3210</v>
      </c>
      <c r="G540" s="5"/>
      <c r="H540" s="5"/>
      <c r="I540" s="5"/>
      <c r="J540" s="5"/>
      <c r="K540" s="5"/>
      <c r="L540" s="5"/>
      <c r="M540" s="5"/>
      <c r="N540" s="5"/>
      <c r="O540" s="5"/>
      <c r="P540" s="5"/>
      <c r="Q540" s="5"/>
      <c r="AL540" s="7" t="str">
        <f>HYPERLINK("http://dx.doi.org/10.3354/meps13525","http://dx.doi.org/10.3354/meps13525")</f>
        <v>http://dx.doi.org/10.3354/meps13525</v>
      </c>
      <c r="AM540" s="5">
        <v>8</v>
      </c>
      <c r="AN540" s="5">
        <v>8</v>
      </c>
      <c r="AO540" s="5">
        <v>657</v>
      </c>
      <c r="AP540" s="5" t="s">
        <v>16</v>
      </c>
      <c r="AQ540" s="5">
        <v>161</v>
      </c>
      <c r="AR540" s="5">
        <v>172</v>
      </c>
      <c r="AS540" s="5" t="s">
        <v>16</v>
      </c>
      <c r="AT540" s="5" t="s">
        <v>3208</v>
      </c>
      <c r="AU540" s="5" t="s">
        <v>3209</v>
      </c>
      <c r="AV540" s="5" t="s">
        <v>3211</v>
      </c>
    </row>
    <row r="541" spans="1:48" ht="45" customHeight="1" x14ac:dyDescent="0.15">
      <c r="A541" s="5" t="s">
        <v>3212</v>
      </c>
      <c r="B541" s="5">
        <v>2014</v>
      </c>
      <c r="C541" s="5" t="s">
        <v>3213</v>
      </c>
      <c r="D541" s="5" t="s">
        <v>33</v>
      </c>
      <c r="E541" s="5" t="s">
        <v>18453</v>
      </c>
      <c r="F541" s="5" t="s">
        <v>3216</v>
      </c>
      <c r="G541" s="5"/>
      <c r="H541" s="5"/>
      <c r="I541" s="5"/>
      <c r="J541" s="5"/>
      <c r="K541" s="5"/>
      <c r="L541" s="5"/>
      <c r="M541" s="5"/>
      <c r="N541" s="5"/>
      <c r="O541" s="5"/>
      <c r="P541" s="5"/>
      <c r="Q541" s="5"/>
      <c r="AL541" s="7" t="str">
        <f>HYPERLINK("http://dx.doi.org/10.1111/gcb.12441","http://dx.doi.org/10.1111/gcb.12441")</f>
        <v>http://dx.doi.org/10.1111/gcb.12441</v>
      </c>
      <c r="AM541" s="5">
        <v>13</v>
      </c>
      <c r="AN541" s="5">
        <v>14</v>
      </c>
      <c r="AO541" s="5">
        <v>20</v>
      </c>
      <c r="AP541" s="5">
        <v>5</v>
      </c>
      <c r="AQ541" s="5">
        <v>1550</v>
      </c>
      <c r="AR541" s="5">
        <v>1558</v>
      </c>
      <c r="AS541" s="5" t="s">
        <v>16</v>
      </c>
      <c r="AT541" s="5" t="s">
        <v>3214</v>
      </c>
      <c r="AU541" s="5" t="s">
        <v>3215</v>
      </c>
      <c r="AV541" s="5" t="s">
        <v>3217</v>
      </c>
    </row>
    <row r="542" spans="1:48" ht="45" customHeight="1" x14ac:dyDescent="0.15">
      <c r="A542" s="5" t="s">
        <v>3218</v>
      </c>
      <c r="B542" s="5">
        <v>2018</v>
      </c>
      <c r="C542" s="5" t="s">
        <v>3219</v>
      </c>
      <c r="D542" s="5" t="s">
        <v>172</v>
      </c>
      <c r="E542" s="5" t="s">
        <v>18453</v>
      </c>
      <c r="F542" s="5" t="s">
        <v>3222</v>
      </c>
      <c r="G542" s="5"/>
      <c r="H542" s="5"/>
      <c r="I542" s="5"/>
      <c r="J542" s="5"/>
      <c r="K542" s="5"/>
      <c r="L542" s="5"/>
      <c r="M542" s="5"/>
      <c r="N542" s="5"/>
      <c r="O542" s="5"/>
      <c r="P542" s="5"/>
      <c r="Q542" s="5"/>
      <c r="AL542" s="7" t="str">
        <f>HYPERLINK("http://dx.doi.org/10.1007/s00442-017-4023-0","http://dx.doi.org/10.1007/s00442-017-4023-0")</f>
        <v>http://dx.doi.org/10.1007/s00442-017-4023-0</v>
      </c>
      <c r="AM542" s="5">
        <v>22</v>
      </c>
      <c r="AN542" s="5">
        <v>22</v>
      </c>
      <c r="AO542" s="5">
        <v>186</v>
      </c>
      <c r="AP542" s="5">
        <v>2</v>
      </c>
      <c r="AQ542" s="5">
        <v>369</v>
      </c>
      <c r="AR542" s="5">
        <v>381</v>
      </c>
      <c r="AS542" s="5" t="s">
        <v>16</v>
      </c>
      <c r="AT542" s="5" t="s">
        <v>3220</v>
      </c>
      <c r="AU542" s="5" t="s">
        <v>3221</v>
      </c>
      <c r="AV542" s="5" t="s">
        <v>3223</v>
      </c>
    </row>
    <row r="543" spans="1:48" ht="45" customHeight="1" x14ac:dyDescent="0.15">
      <c r="A543" s="5" t="s">
        <v>3224</v>
      </c>
      <c r="B543" s="5">
        <v>2012</v>
      </c>
      <c r="C543" s="5" t="s">
        <v>3225</v>
      </c>
      <c r="D543" s="5" t="s">
        <v>49</v>
      </c>
      <c r="E543" s="5" t="s">
        <v>18453</v>
      </c>
      <c r="F543" s="5" t="s">
        <v>3228</v>
      </c>
      <c r="G543" s="5"/>
      <c r="H543" s="5"/>
      <c r="I543" s="5"/>
      <c r="J543" s="5"/>
      <c r="K543" s="5"/>
      <c r="L543" s="5"/>
      <c r="M543" s="5"/>
      <c r="N543" s="5"/>
      <c r="O543" s="5"/>
      <c r="P543" s="5"/>
      <c r="Q543" s="5"/>
      <c r="AL543" s="7" t="str">
        <f>HYPERLINK("http://dx.doi.org/10.3354/meps09372","http://dx.doi.org/10.3354/meps09372")</f>
        <v>http://dx.doi.org/10.3354/meps09372</v>
      </c>
      <c r="AM543" s="5">
        <v>31</v>
      </c>
      <c r="AN543" s="5">
        <v>32</v>
      </c>
      <c r="AO543" s="5">
        <v>454</v>
      </c>
      <c r="AP543" s="5" t="s">
        <v>16</v>
      </c>
      <c r="AQ543" s="5">
        <v>207</v>
      </c>
      <c r="AR543" s="5">
        <v>220</v>
      </c>
      <c r="AS543" s="5" t="s">
        <v>16</v>
      </c>
      <c r="AT543" s="5" t="s">
        <v>3226</v>
      </c>
      <c r="AU543" s="5" t="s">
        <v>3227</v>
      </c>
      <c r="AV543" s="5" t="s">
        <v>3229</v>
      </c>
    </row>
    <row r="544" spans="1:48" ht="45" customHeight="1" x14ac:dyDescent="0.15">
      <c r="A544" s="5" t="s">
        <v>3230</v>
      </c>
      <c r="B544" s="5">
        <v>1993</v>
      </c>
      <c r="C544" s="5" t="s">
        <v>3231</v>
      </c>
      <c r="D544" s="5" t="s">
        <v>3183</v>
      </c>
      <c r="E544" s="5" t="s">
        <v>18453</v>
      </c>
      <c r="F544" s="5" t="s">
        <v>3234</v>
      </c>
      <c r="G544" s="5"/>
      <c r="H544" s="5"/>
      <c r="I544" s="5"/>
      <c r="J544" s="5"/>
      <c r="K544" s="5"/>
      <c r="L544" s="5"/>
      <c r="M544" s="5"/>
      <c r="N544" s="5"/>
      <c r="O544" s="5"/>
      <c r="P544" s="5"/>
      <c r="Q544" s="5"/>
      <c r="AL544" s="5" t="s">
        <v>16</v>
      </c>
      <c r="AM544" s="5">
        <v>75</v>
      </c>
      <c r="AN544" s="5">
        <v>75</v>
      </c>
      <c r="AO544" s="5">
        <v>37</v>
      </c>
      <c r="AP544" s="5">
        <v>5</v>
      </c>
      <c r="AQ544" s="5">
        <v>303</v>
      </c>
      <c r="AR544" s="5">
        <v>320</v>
      </c>
      <c r="AS544" s="5" t="s">
        <v>16</v>
      </c>
      <c r="AT544" s="5" t="s">
        <v>3232</v>
      </c>
      <c r="AU544" s="5" t="s">
        <v>3233</v>
      </c>
      <c r="AV544" s="5" t="s">
        <v>16</v>
      </c>
    </row>
    <row r="545" spans="1:48" ht="45" customHeight="1" x14ac:dyDescent="0.15">
      <c r="A545" s="5" t="s">
        <v>3235</v>
      </c>
      <c r="B545" s="5">
        <v>2021</v>
      </c>
      <c r="C545" s="5" t="s">
        <v>3236</v>
      </c>
      <c r="D545" s="5" t="s">
        <v>77</v>
      </c>
      <c r="E545" s="5" t="s">
        <v>18453</v>
      </c>
      <c r="F545" s="5" t="s">
        <v>3239</v>
      </c>
      <c r="G545" s="5"/>
      <c r="H545" s="5"/>
      <c r="I545" s="5"/>
      <c r="J545" s="5"/>
      <c r="K545" s="5"/>
      <c r="L545" s="5"/>
      <c r="M545" s="5"/>
      <c r="N545" s="5"/>
      <c r="O545" s="5"/>
      <c r="P545" s="5"/>
      <c r="Q545" s="5"/>
      <c r="AL545" s="7" t="str">
        <f>HYPERLINK("http://dx.doi.org/10.1111/1365-2656.13533","http://dx.doi.org/10.1111/1365-2656.13533")</f>
        <v>http://dx.doi.org/10.1111/1365-2656.13533</v>
      </c>
      <c r="AM545" s="5">
        <v>6</v>
      </c>
      <c r="AN545" s="5">
        <v>6</v>
      </c>
      <c r="AO545" s="5">
        <v>90</v>
      </c>
      <c r="AP545" s="5">
        <v>9</v>
      </c>
      <c r="AQ545" s="5">
        <v>2122</v>
      </c>
      <c r="AR545" s="5">
        <v>2134</v>
      </c>
      <c r="AS545" s="5" t="s">
        <v>16</v>
      </c>
      <c r="AT545" s="5" t="s">
        <v>3237</v>
      </c>
      <c r="AU545" s="5" t="s">
        <v>3238</v>
      </c>
      <c r="AV545" s="5" t="s">
        <v>3240</v>
      </c>
    </row>
    <row r="546" spans="1:48" ht="45" customHeight="1" x14ac:dyDescent="0.15">
      <c r="A546" s="5" t="s">
        <v>3241</v>
      </c>
      <c r="B546" s="5">
        <v>2018</v>
      </c>
      <c r="C546" s="5" t="s">
        <v>3242</v>
      </c>
      <c r="D546" s="5" t="s">
        <v>15</v>
      </c>
      <c r="E546" s="5" t="s">
        <v>18453</v>
      </c>
      <c r="F546" s="5" t="s">
        <v>3245</v>
      </c>
      <c r="G546" s="5"/>
      <c r="H546" s="5"/>
      <c r="I546" s="5"/>
      <c r="J546" s="5"/>
      <c r="K546" s="5"/>
      <c r="L546" s="5"/>
      <c r="M546" s="5"/>
      <c r="N546" s="5"/>
      <c r="O546" s="5"/>
      <c r="P546" s="5"/>
      <c r="Q546" s="5"/>
      <c r="AL546" s="7" t="str">
        <f>HYPERLINK("http://dx.doi.org/10.1002/ece3.3832","http://dx.doi.org/10.1002/ece3.3832")</f>
        <v>http://dx.doi.org/10.1002/ece3.3832</v>
      </c>
      <c r="AM546" s="5">
        <v>44</v>
      </c>
      <c r="AN546" s="5">
        <v>44</v>
      </c>
      <c r="AO546" s="5">
        <v>8</v>
      </c>
      <c r="AP546" s="5">
        <v>5</v>
      </c>
      <c r="AQ546" s="5">
        <v>2671</v>
      </c>
      <c r="AR546" s="5">
        <v>2687</v>
      </c>
      <c r="AS546" s="5" t="s">
        <v>16</v>
      </c>
      <c r="AT546" s="5" t="s">
        <v>3243</v>
      </c>
      <c r="AU546" s="5" t="s">
        <v>3244</v>
      </c>
      <c r="AV546" s="5" t="s">
        <v>3246</v>
      </c>
    </row>
    <row r="547" spans="1:48" ht="45" customHeight="1" x14ac:dyDescent="0.15">
      <c r="A547" s="5" t="s">
        <v>3247</v>
      </c>
      <c r="B547" s="5">
        <v>2019</v>
      </c>
      <c r="C547" s="5" t="s">
        <v>3248</v>
      </c>
      <c r="D547" s="5" t="s">
        <v>2818</v>
      </c>
      <c r="E547" s="5" t="s">
        <v>18453</v>
      </c>
      <c r="F547" s="5" t="s">
        <v>3251</v>
      </c>
      <c r="G547" s="5"/>
      <c r="H547" s="5"/>
      <c r="I547" s="5"/>
      <c r="J547" s="5"/>
      <c r="K547" s="5"/>
      <c r="L547" s="5"/>
      <c r="M547" s="5"/>
      <c r="N547" s="5"/>
      <c r="O547" s="5"/>
      <c r="P547" s="5"/>
      <c r="Q547" s="5"/>
      <c r="AL547" s="7" t="str">
        <f>HYPERLINK("http://dx.doi.org/10.1071/WR17188","http://dx.doi.org/10.1071/WR17188")</f>
        <v>http://dx.doi.org/10.1071/WR17188</v>
      </c>
      <c r="AM547" s="5">
        <v>2</v>
      </c>
      <c r="AN547" s="5">
        <v>2</v>
      </c>
      <c r="AO547" s="5">
        <v>46</v>
      </c>
      <c r="AP547" s="5">
        <v>2</v>
      </c>
      <c r="AQ547" s="5">
        <v>136</v>
      </c>
      <c r="AR547" s="5">
        <v>144</v>
      </c>
      <c r="AS547" s="5">
        <v>168501</v>
      </c>
      <c r="AT547" s="5" t="s">
        <v>3249</v>
      </c>
      <c r="AU547" s="5" t="s">
        <v>3250</v>
      </c>
      <c r="AV547" s="5" t="s">
        <v>3252</v>
      </c>
    </row>
    <row r="548" spans="1:48" ht="45" customHeight="1" x14ac:dyDescent="0.15">
      <c r="A548" s="5" t="s">
        <v>3253</v>
      </c>
      <c r="B548" s="5">
        <v>2008</v>
      </c>
      <c r="C548" s="5" t="s">
        <v>3254</v>
      </c>
      <c r="D548" s="5" t="s">
        <v>973</v>
      </c>
      <c r="E548" s="5" t="s">
        <v>18453</v>
      </c>
      <c r="F548" s="5" t="s">
        <v>3256</v>
      </c>
      <c r="G548" s="5"/>
      <c r="H548" s="5"/>
      <c r="I548" s="5"/>
      <c r="J548" s="5"/>
      <c r="K548" s="5"/>
      <c r="L548" s="5"/>
      <c r="M548" s="5"/>
      <c r="N548" s="5"/>
      <c r="O548" s="5"/>
      <c r="P548" s="5"/>
      <c r="Q548" s="5"/>
      <c r="AL548" s="7" t="str">
        <f>HYPERLINK("http://dx.doi.org/10.5194/bg-5-1351-2008","http://dx.doi.org/10.5194/bg-5-1351-2008")</f>
        <v>http://dx.doi.org/10.5194/bg-5-1351-2008</v>
      </c>
      <c r="AM548" s="5">
        <v>8</v>
      </c>
      <c r="AN548" s="5">
        <v>10</v>
      </c>
      <c r="AO548" s="5">
        <v>5</v>
      </c>
      <c r="AP548" s="5">
        <v>5</v>
      </c>
      <c r="AQ548" s="5">
        <v>1351</v>
      </c>
      <c r="AR548" s="5">
        <v>1359</v>
      </c>
      <c r="AS548" s="5" t="s">
        <v>16</v>
      </c>
      <c r="AT548" s="5" t="s">
        <v>16</v>
      </c>
      <c r="AU548" s="5" t="s">
        <v>3255</v>
      </c>
      <c r="AV548" s="5" t="s">
        <v>3257</v>
      </c>
    </row>
    <row r="549" spans="1:48" ht="45" customHeight="1" x14ac:dyDescent="0.15">
      <c r="A549" s="5" t="s">
        <v>3258</v>
      </c>
      <c r="B549" s="5">
        <v>2018</v>
      </c>
      <c r="C549" s="5" t="s">
        <v>3259</v>
      </c>
      <c r="D549" s="5" t="s">
        <v>15</v>
      </c>
      <c r="E549" s="5" t="s">
        <v>18453</v>
      </c>
      <c r="F549" s="5" t="s">
        <v>3262</v>
      </c>
      <c r="G549" s="5"/>
      <c r="H549" s="5"/>
      <c r="I549" s="5"/>
      <c r="J549" s="5"/>
      <c r="K549" s="5"/>
      <c r="L549" s="5"/>
      <c r="M549" s="5"/>
      <c r="N549" s="5"/>
      <c r="O549" s="5"/>
      <c r="P549" s="5"/>
      <c r="Q549" s="5"/>
      <c r="AL549" s="7" t="str">
        <f>HYPERLINK("http://dx.doi.org/10.1002/ece3.4282","http://dx.doi.org/10.1002/ece3.4282")</f>
        <v>http://dx.doi.org/10.1002/ece3.4282</v>
      </c>
      <c r="AM549" s="5">
        <v>4</v>
      </c>
      <c r="AN549" s="5">
        <v>4</v>
      </c>
      <c r="AO549" s="5">
        <v>8</v>
      </c>
      <c r="AP549" s="5">
        <v>17</v>
      </c>
      <c r="AQ549" s="5">
        <v>8853</v>
      </c>
      <c r="AR549" s="5">
        <v>8864</v>
      </c>
      <c r="AS549" s="5" t="s">
        <v>16</v>
      </c>
      <c r="AT549" s="5" t="s">
        <v>3260</v>
      </c>
      <c r="AU549" s="5" t="s">
        <v>3261</v>
      </c>
      <c r="AV549" s="5" t="s">
        <v>3263</v>
      </c>
    </row>
    <row r="550" spans="1:48" ht="45" customHeight="1" x14ac:dyDescent="0.15">
      <c r="A550" s="5" t="s">
        <v>3264</v>
      </c>
      <c r="B550" s="5">
        <v>2019</v>
      </c>
      <c r="C550" s="5" t="s">
        <v>3265</v>
      </c>
      <c r="D550" s="5" t="s">
        <v>2087</v>
      </c>
      <c r="E550" s="5" t="s">
        <v>18453</v>
      </c>
      <c r="F550" s="5" t="s">
        <v>3268</v>
      </c>
      <c r="G550" s="5"/>
      <c r="H550" s="5"/>
      <c r="I550" s="5"/>
      <c r="J550" s="5"/>
      <c r="K550" s="5"/>
      <c r="L550" s="5"/>
      <c r="M550" s="5"/>
      <c r="N550" s="5"/>
      <c r="O550" s="5"/>
      <c r="P550" s="5"/>
      <c r="Q550" s="5"/>
      <c r="AL550" s="7" t="str">
        <f>HYPERLINK("http://dx.doi.org/10.1002/eco.2049","http://dx.doi.org/10.1002/eco.2049")</f>
        <v>http://dx.doi.org/10.1002/eco.2049</v>
      </c>
      <c r="AM550" s="5">
        <v>12</v>
      </c>
      <c r="AN550" s="5">
        <v>12</v>
      </c>
      <c r="AO550" s="5">
        <v>12</v>
      </c>
      <c r="AP550" s="5">
        <v>1</v>
      </c>
      <c r="AQ550" s="5" t="s">
        <v>16</v>
      </c>
      <c r="AR550" s="5" t="s">
        <v>16</v>
      </c>
      <c r="AS550" s="5" t="s">
        <v>3269</v>
      </c>
      <c r="AT550" s="5" t="s">
        <v>3266</v>
      </c>
      <c r="AU550" s="5" t="s">
        <v>3267</v>
      </c>
      <c r="AV550" s="5" t="s">
        <v>3270</v>
      </c>
    </row>
    <row r="551" spans="1:48" ht="45" customHeight="1" x14ac:dyDescent="0.15">
      <c r="A551" s="5" t="s">
        <v>3271</v>
      </c>
      <c r="B551" s="5">
        <v>2015</v>
      </c>
      <c r="C551" s="5" t="s">
        <v>3272</v>
      </c>
      <c r="D551" s="5" t="s">
        <v>49</v>
      </c>
      <c r="E551" s="5" t="s">
        <v>18453</v>
      </c>
      <c r="F551" s="5" t="s">
        <v>3275</v>
      </c>
      <c r="G551" s="5"/>
      <c r="H551" s="5"/>
      <c r="I551" s="5"/>
      <c r="J551" s="5"/>
      <c r="K551" s="5"/>
      <c r="L551" s="5"/>
      <c r="M551" s="5"/>
      <c r="N551" s="5"/>
      <c r="O551" s="5"/>
      <c r="P551" s="5"/>
      <c r="Q551" s="5"/>
      <c r="AL551" s="7" t="str">
        <f>HYPERLINK("http://dx.doi.org/10.3354/meps11230","http://dx.doi.org/10.3354/meps11230")</f>
        <v>http://dx.doi.org/10.3354/meps11230</v>
      </c>
      <c r="AM551" s="5">
        <v>16</v>
      </c>
      <c r="AN551" s="5">
        <v>16</v>
      </c>
      <c r="AO551" s="5">
        <v>526</v>
      </c>
      <c r="AP551" s="5" t="s">
        <v>16</v>
      </c>
      <c r="AQ551" s="5">
        <v>213</v>
      </c>
      <c r="AR551" s="5">
        <v>225</v>
      </c>
      <c r="AS551" s="5" t="s">
        <v>16</v>
      </c>
      <c r="AT551" s="5" t="s">
        <v>3273</v>
      </c>
      <c r="AU551" s="5" t="s">
        <v>3274</v>
      </c>
      <c r="AV551" s="5" t="s">
        <v>3276</v>
      </c>
    </row>
    <row r="552" spans="1:48" ht="45" customHeight="1" x14ac:dyDescent="0.15">
      <c r="A552" s="5" t="s">
        <v>3277</v>
      </c>
      <c r="B552" s="5">
        <v>2019</v>
      </c>
      <c r="C552" s="5" t="s">
        <v>3278</v>
      </c>
      <c r="D552" s="5" t="s">
        <v>111</v>
      </c>
      <c r="E552" s="5" t="s">
        <v>18453</v>
      </c>
      <c r="F552" s="5" t="s">
        <v>3281</v>
      </c>
      <c r="G552" s="5"/>
      <c r="H552" s="5"/>
      <c r="I552" s="5"/>
      <c r="J552" s="5"/>
      <c r="K552" s="5"/>
      <c r="L552" s="5"/>
      <c r="M552" s="5"/>
      <c r="N552" s="5"/>
      <c r="O552" s="5"/>
      <c r="P552" s="5"/>
      <c r="Q552" s="5"/>
      <c r="AL552" s="7" t="str">
        <f>HYPERLINK("http://dx.doi.org/10.1007/s10452-019-09704-5","http://dx.doi.org/10.1007/s10452-019-09704-5")</f>
        <v>http://dx.doi.org/10.1007/s10452-019-09704-5</v>
      </c>
      <c r="AM552" s="5">
        <v>0</v>
      </c>
      <c r="AN552" s="5">
        <v>0</v>
      </c>
      <c r="AO552" s="5">
        <v>53</v>
      </c>
      <c r="AP552" s="5">
        <v>3</v>
      </c>
      <c r="AQ552" s="5">
        <v>497</v>
      </c>
      <c r="AR552" s="5">
        <v>508</v>
      </c>
      <c r="AS552" s="5" t="s">
        <v>16</v>
      </c>
      <c r="AT552" s="5" t="s">
        <v>3279</v>
      </c>
      <c r="AU552" s="5" t="s">
        <v>3280</v>
      </c>
      <c r="AV552" s="5" t="s">
        <v>3282</v>
      </c>
    </row>
    <row r="553" spans="1:48" ht="45" customHeight="1" x14ac:dyDescent="0.15">
      <c r="A553" s="5" t="s">
        <v>3283</v>
      </c>
      <c r="B553" s="5">
        <v>2021</v>
      </c>
      <c r="C553" s="5" t="s">
        <v>3284</v>
      </c>
      <c r="D553" s="5" t="s">
        <v>123</v>
      </c>
      <c r="E553" s="5" t="s">
        <v>18453</v>
      </c>
      <c r="F553" s="5" t="s">
        <v>3287</v>
      </c>
      <c r="G553" s="5"/>
      <c r="H553" s="5"/>
      <c r="I553" s="5"/>
      <c r="J553" s="5"/>
      <c r="K553" s="5"/>
      <c r="L553" s="5"/>
      <c r="M553" s="5"/>
      <c r="N553" s="5"/>
      <c r="O553" s="5"/>
      <c r="P553" s="5"/>
      <c r="Q553" s="5"/>
      <c r="AL553" s="7" t="str">
        <f>HYPERLINK("http://dx.doi.org/10.1111/ddi.13204","http://dx.doi.org/10.1111/ddi.13204")</f>
        <v>http://dx.doi.org/10.1111/ddi.13204</v>
      </c>
      <c r="AM553" s="5">
        <v>6</v>
      </c>
      <c r="AN553" s="5">
        <v>6</v>
      </c>
      <c r="AO553" s="5">
        <v>27</v>
      </c>
      <c r="AP553" s="5">
        <v>3</v>
      </c>
      <c r="AQ553" s="5">
        <v>439</v>
      </c>
      <c r="AR553" s="5">
        <v>453</v>
      </c>
      <c r="AS553" s="5" t="s">
        <v>16</v>
      </c>
      <c r="AT553" s="5" t="s">
        <v>3285</v>
      </c>
      <c r="AU553" s="5" t="s">
        <v>3286</v>
      </c>
      <c r="AV553" s="5" t="s">
        <v>3288</v>
      </c>
    </row>
    <row r="554" spans="1:48" ht="45" customHeight="1" x14ac:dyDescent="0.15">
      <c r="A554" s="5" t="s">
        <v>3289</v>
      </c>
      <c r="B554" s="5">
        <v>2017</v>
      </c>
      <c r="C554" s="5" t="s">
        <v>3290</v>
      </c>
      <c r="D554" s="5" t="s">
        <v>15</v>
      </c>
      <c r="E554" s="5" t="s">
        <v>18453</v>
      </c>
      <c r="F554" s="5" t="s">
        <v>3293</v>
      </c>
      <c r="G554" s="5"/>
      <c r="H554" s="5"/>
      <c r="I554" s="5"/>
      <c r="J554" s="5"/>
      <c r="K554" s="5"/>
      <c r="L554" s="5"/>
      <c r="M554" s="5"/>
      <c r="N554" s="5"/>
      <c r="O554" s="5"/>
      <c r="P554" s="5"/>
      <c r="Q554" s="5"/>
      <c r="AL554" s="7" t="str">
        <f>HYPERLINK("http://dx.doi.org/10.1002/ece3.2977","http://dx.doi.org/10.1002/ece3.2977")</f>
        <v>http://dx.doi.org/10.1002/ece3.2977</v>
      </c>
      <c r="AM554" s="5">
        <v>34</v>
      </c>
      <c r="AN554" s="5">
        <v>34</v>
      </c>
      <c r="AO554" s="5">
        <v>7</v>
      </c>
      <c r="AP554" s="5">
        <v>15</v>
      </c>
      <c r="AQ554" s="5">
        <v>5784</v>
      </c>
      <c r="AR554" s="5">
        <v>5796</v>
      </c>
      <c r="AS554" s="5" t="s">
        <v>16</v>
      </c>
      <c r="AT554" s="5" t="s">
        <v>3291</v>
      </c>
      <c r="AU554" s="5" t="s">
        <v>3292</v>
      </c>
      <c r="AV554" s="5" t="s">
        <v>3294</v>
      </c>
    </row>
    <row r="555" spans="1:48" ht="45" customHeight="1" x14ac:dyDescent="0.15">
      <c r="A555" s="5" t="s">
        <v>3295</v>
      </c>
      <c r="B555" s="5">
        <v>2022</v>
      </c>
      <c r="C555" s="5" t="s">
        <v>3296</v>
      </c>
      <c r="D555" s="5" t="s">
        <v>111</v>
      </c>
      <c r="E555" s="5" t="s">
        <v>18453</v>
      </c>
      <c r="F555" s="5" t="s">
        <v>3299</v>
      </c>
      <c r="G555" s="5"/>
      <c r="H555" s="5"/>
      <c r="I555" s="5"/>
      <c r="J555" s="5"/>
      <c r="K555" s="5"/>
      <c r="L555" s="5"/>
      <c r="M555" s="5"/>
      <c r="N555" s="5"/>
      <c r="O555" s="5"/>
      <c r="P555" s="5"/>
      <c r="Q555" s="5"/>
      <c r="AL555" s="7" t="str">
        <f>HYPERLINK("http://dx.doi.org/10.1007/s10452-021-09917-7","http://dx.doi.org/10.1007/s10452-021-09917-7")</f>
        <v>http://dx.doi.org/10.1007/s10452-021-09917-7</v>
      </c>
      <c r="AM555" s="5">
        <v>1</v>
      </c>
      <c r="AN555" s="5">
        <v>1</v>
      </c>
      <c r="AO555" s="5">
        <v>56</v>
      </c>
      <c r="AP555" s="5">
        <v>1</v>
      </c>
      <c r="AQ555" s="5">
        <v>269</v>
      </c>
      <c r="AR555" s="5">
        <v>284</v>
      </c>
      <c r="AS555" s="5" t="s">
        <v>16</v>
      </c>
      <c r="AT555" s="5" t="s">
        <v>3297</v>
      </c>
      <c r="AU555" s="5" t="s">
        <v>3298</v>
      </c>
      <c r="AV555" s="5" t="s">
        <v>3300</v>
      </c>
    </row>
    <row r="556" spans="1:48" ht="45" customHeight="1" x14ac:dyDescent="0.15">
      <c r="A556" s="5" t="s">
        <v>3301</v>
      </c>
      <c r="B556" s="5">
        <v>2013</v>
      </c>
      <c r="C556" s="5" t="s">
        <v>3302</v>
      </c>
      <c r="D556" s="5" t="s">
        <v>15</v>
      </c>
      <c r="E556" s="5" t="s">
        <v>18453</v>
      </c>
      <c r="F556" s="5" t="s">
        <v>3305</v>
      </c>
      <c r="G556" s="5"/>
      <c r="H556" s="5"/>
      <c r="I556" s="5"/>
      <c r="J556" s="5"/>
      <c r="K556" s="5"/>
      <c r="L556" s="5"/>
      <c r="M556" s="5"/>
      <c r="N556" s="5"/>
      <c r="O556" s="5"/>
      <c r="P556" s="5"/>
      <c r="Q556" s="5"/>
      <c r="AL556" s="7" t="str">
        <f>HYPERLINK("http://dx.doi.org/10.1002/ece3.708","http://dx.doi.org/10.1002/ece3.708")</f>
        <v>http://dx.doi.org/10.1002/ece3.708</v>
      </c>
      <c r="AM556" s="5">
        <v>14</v>
      </c>
      <c r="AN556" s="5">
        <v>16</v>
      </c>
      <c r="AO556" s="5">
        <v>3</v>
      </c>
      <c r="AP556" s="5">
        <v>9</v>
      </c>
      <c r="AQ556" s="5">
        <v>3166</v>
      </c>
      <c r="AR556" s="5">
        <v>3182</v>
      </c>
      <c r="AS556" s="5" t="s">
        <v>16</v>
      </c>
      <c r="AT556" s="5" t="s">
        <v>3303</v>
      </c>
      <c r="AU556" s="5" t="s">
        <v>3304</v>
      </c>
      <c r="AV556" s="5" t="s">
        <v>3306</v>
      </c>
    </row>
    <row r="557" spans="1:48" ht="45" customHeight="1" x14ac:dyDescent="0.15">
      <c r="A557" s="5" t="s">
        <v>3307</v>
      </c>
      <c r="B557" s="5">
        <v>2019</v>
      </c>
      <c r="C557" s="5" t="s">
        <v>3308</v>
      </c>
      <c r="D557" s="5" t="s">
        <v>62</v>
      </c>
      <c r="E557" s="5" t="s">
        <v>18453</v>
      </c>
      <c r="F557" s="5" t="s">
        <v>3311</v>
      </c>
      <c r="G557" s="5"/>
      <c r="H557" s="5"/>
      <c r="I557" s="5"/>
      <c r="J557" s="5"/>
      <c r="K557" s="5"/>
      <c r="L557" s="5"/>
      <c r="M557" s="5"/>
      <c r="N557" s="5"/>
      <c r="O557" s="5"/>
      <c r="P557" s="5"/>
      <c r="Q557" s="5"/>
      <c r="AL557" s="7" t="str">
        <f>HYPERLINK("http://dx.doi.org/10.1007/s10021-018-0319-0","http://dx.doi.org/10.1007/s10021-018-0319-0")</f>
        <v>http://dx.doi.org/10.1007/s10021-018-0319-0</v>
      </c>
      <c r="AM557" s="5">
        <v>6</v>
      </c>
      <c r="AN557" s="5">
        <v>6</v>
      </c>
      <c r="AO557" s="5">
        <v>22</v>
      </c>
      <c r="AP557" s="5">
        <v>5</v>
      </c>
      <c r="AQ557" s="5">
        <v>1007</v>
      </c>
      <c r="AR557" s="5">
        <v>1023</v>
      </c>
      <c r="AS557" s="5" t="s">
        <v>16</v>
      </c>
      <c r="AT557" s="5" t="s">
        <v>3309</v>
      </c>
      <c r="AU557" s="5" t="s">
        <v>3310</v>
      </c>
      <c r="AV557" s="5" t="s">
        <v>3312</v>
      </c>
    </row>
    <row r="558" spans="1:48" ht="45" customHeight="1" x14ac:dyDescent="0.15">
      <c r="A558" s="5" t="s">
        <v>3313</v>
      </c>
      <c r="B558" s="5">
        <v>2013</v>
      </c>
      <c r="C558" s="5" t="s">
        <v>3314</v>
      </c>
      <c r="D558" s="5" t="s">
        <v>17</v>
      </c>
      <c r="E558" s="5" t="s">
        <v>18453</v>
      </c>
      <c r="F558" s="5" t="s">
        <v>3317</v>
      </c>
      <c r="G558" s="5"/>
      <c r="H558" s="5"/>
      <c r="I558" s="5"/>
      <c r="J558" s="5"/>
      <c r="K558" s="5"/>
      <c r="L558" s="5"/>
      <c r="M558" s="5"/>
      <c r="N558" s="5"/>
      <c r="O558" s="5"/>
      <c r="P558" s="5"/>
      <c r="Q558" s="5"/>
      <c r="AL558" s="7" t="str">
        <f>HYPERLINK("http://dx.doi.org/10.1111/fwb.12138","http://dx.doi.org/10.1111/fwb.12138")</f>
        <v>http://dx.doi.org/10.1111/fwb.12138</v>
      </c>
      <c r="AM558" s="5">
        <v>6</v>
      </c>
      <c r="AN558" s="5">
        <v>8</v>
      </c>
      <c r="AO558" s="5">
        <v>58</v>
      </c>
      <c r="AP558" s="5">
        <v>7</v>
      </c>
      <c r="AQ558" s="5">
        <v>1416</v>
      </c>
      <c r="AR558" s="5">
        <v>1424</v>
      </c>
      <c r="AS558" s="5" t="s">
        <v>16</v>
      </c>
      <c r="AT558" s="5" t="s">
        <v>3315</v>
      </c>
      <c r="AU558" s="5" t="s">
        <v>3316</v>
      </c>
      <c r="AV558" s="5" t="s">
        <v>3318</v>
      </c>
    </row>
    <row r="559" spans="1:48" ht="45" customHeight="1" x14ac:dyDescent="0.15">
      <c r="A559" s="5" t="s">
        <v>3319</v>
      </c>
      <c r="B559" s="5">
        <v>2022</v>
      </c>
      <c r="C559" s="5" t="s">
        <v>3320</v>
      </c>
      <c r="D559" s="5" t="s">
        <v>15</v>
      </c>
      <c r="E559" s="5" t="s">
        <v>18453</v>
      </c>
      <c r="F559" s="5" t="s">
        <v>3323</v>
      </c>
      <c r="G559" s="5"/>
      <c r="H559" s="5"/>
      <c r="I559" s="5"/>
      <c r="J559" s="5"/>
      <c r="K559" s="5"/>
      <c r="L559" s="5"/>
      <c r="M559" s="5"/>
      <c r="N559" s="5"/>
      <c r="O559" s="5"/>
      <c r="P559" s="5"/>
      <c r="Q559" s="5"/>
      <c r="AL559" s="7" t="str">
        <f>HYPERLINK("http://dx.doi.org/10.1002/ece3.8761","http://dx.doi.org/10.1002/ece3.8761")</f>
        <v>http://dx.doi.org/10.1002/ece3.8761</v>
      </c>
      <c r="AM559" s="5">
        <v>1</v>
      </c>
      <c r="AN559" s="5">
        <v>1</v>
      </c>
      <c r="AO559" s="5">
        <v>12</v>
      </c>
      <c r="AP559" s="5">
        <v>3</v>
      </c>
      <c r="AQ559" s="5" t="s">
        <v>16</v>
      </c>
      <c r="AR559" s="5" t="s">
        <v>16</v>
      </c>
      <c r="AS559" s="5" t="s">
        <v>3324</v>
      </c>
      <c r="AT559" s="5" t="s">
        <v>3321</v>
      </c>
      <c r="AU559" s="5" t="s">
        <v>3322</v>
      </c>
      <c r="AV559" s="5" t="s">
        <v>3325</v>
      </c>
    </row>
    <row r="560" spans="1:48" ht="45" customHeight="1" x14ac:dyDescent="0.15">
      <c r="A560" s="5" t="s">
        <v>3326</v>
      </c>
      <c r="B560" s="5">
        <v>2017</v>
      </c>
      <c r="C560" s="5" t="s">
        <v>3327</v>
      </c>
      <c r="D560" s="5" t="s">
        <v>296</v>
      </c>
      <c r="E560" s="5" t="s">
        <v>18453</v>
      </c>
      <c r="F560" s="5" t="s">
        <v>3330</v>
      </c>
      <c r="G560" s="5"/>
      <c r="H560" s="5"/>
      <c r="I560" s="5"/>
      <c r="J560" s="5"/>
      <c r="K560" s="5"/>
      <c r="L560" s="5"/>
      <c r="M560" s="5"/>
      <c r="N560" s="5"/>
      <c r="O560" s="5"/>
      <c r="P560" s="5"/>
      <c r="Q560" s="5"/>
      <c r="AL560" s="7" t="str">
        <f>HYPERLINK("http://dx.doi.org/10.1098/rspb.2017.0278","http://dx.doi.org/10.1098/rspb.2017.0278")</f>
        <v>http://dx.doi.org/10.1098/rspb.2017.0278</v>
      </c>
      <c r="AM560" s="5">
        <v>23</v>
      </c>
      <c r="AN560" s="5">
        <v>25</v>
      </c>
      <c r="AO560" s="5">
        <v>284</v>
      </c>
      <c r="AP560" s="5">
        <v>1857</v>
      </c>
      <c r="AQ560" s="5" t="s">
        <v>16</v>
      </c>
      <c r="AR560" s="5" t="s">
        <v>16</v>
      </c>
      <c r="AS560" s="5">
        <v>20170278</v>
      </c>
      <c r="AT560" s="5" t="s">
        <v>3328</v>
      </c>
      <c r="AU560" s="5" t="s">
        <v>3329</v>
      </c>
      <c r="AV560" s="5" t="s">
        <v>3331</v>
      </c>
    </row>
    <row r="561" spans="1:48" ht="45" customHeight="1" x14ac:dyDescent="0.15">
      <c r="A561" s="5" t="s">
        <v>3338</v>
      </c>
      <c r="B561" s="5">
        <v>2015</v>
      </c>
      <c r="C561" s="5" t="s">
        <v>3339</v>
      </c>
      <c r="D561" s="5" t="s">
        <v>92</v>
      </c>
      <c r="E561" s="5" t="s">
        <v>18453</v>
      </c>
      <c r="F561" s="5" t="s">
        <v>3342</v>
      </c>
      <c r="G561" s="5"/>
      <c r="H561" s="5"/>
      <c r="I561" s="5"/>
      <c r="J561" s="5"/>
      <c r="K561" s="5"/>
      <c r="L561" s="5"/>
      <c r="M561" s="5"/>
      <c r="N561" s="5"/>
      <c r="O561" s="5"/>
      <c r="P561" s="5"/>
      <c r="Q561" s="5"/>
      <c r="AL561" s="7" t="str">
        <f>HYPERLINK("http://dx.doi.org/10.1086/681527","http://dx.doi.org/10.1086/681527")</f>
        <v>http://dx.doi.org/10.1086/681527</v>
      </c>
      <c r="AM561" s="5">
        <v>16</v>
      </c>
      <c r="AN561" s="5">
        <v>16</v>
      </c>
      <c r="AO561" s="5">
        <v>34</v>
      </c>
      <c r="AP561" s="5">
        <v>2</v>
      </c>
      <c r="AQ561" s="5">
        <v>784</v>
      </c>
      <c r="AR561" s="5">
        <v>796</v>
      </c>
      <c r="AS561" s="5" t="s">
        <v>16</v>
      </c>
      <c r="AT561" s="5" t="s">
        <v>3340</v>
      </c>
      <c r="AU561" s="5" t="s">
        <v>3341</v>
      </c>
      <c r="AV561" s="5" t="s">
        <v>3343</v>
      </c>
    </row>
    <row r="562" spans="1:48" ht="45" customHeight="1" x14ac:dyDescent="0.15">
      <c r="A562" s="5" t="s">
        <v>3344</v>
      </c>
      <c r="B562" s="5">
        <v>2002</v>
      </c>
      <c r="C562" s="5" t="s">
        <v>3345</v>
      </c>
      <c r="D562" s="5" t="s">
        <v>262</v>
      </c>
      <c r="E562" s="5" t="s">
        <v>18453</v>
      </c>
      <c r="F562" s="5" t="s">
        <v>3347</v>
      </c>
      <c r="G562" s="5"/>
      <c r="H562" s="5"/>
      <c r="I562" s="5"/>
      <c r="J562" s="5"/>
      <c r="K562" s="5"/>
      <c r="L562" s="5"/>
      <c r="M562" s="5"/>
      <c r="N562" s="5"/>
      <c r="O562" s="5"/>
      <c r="P562" s="5"/>
      <c r="Q562" s="5"/>
      <c r="AL562" s="7" t="str">
        <f>HYPERLINK("http://dx.doi.org/10.1034/j.1600-0706.2002.960105.x","http://dx.doi.org/10.1034/j.1600-0706.2002.960105.x")</f>
        <v>http://dx.doi.org/10.1034/j.1600-0706.2002.960105.x</v>
      </c>
      <c r="AM562" s="5">
        <v>171</v>
      </c>
      <c r="AN562" s="5">
        <v>177</v>
      </c>
      <c r="AO562" s="5">
        <v>96</v>
      </c>
      <c r="AP562" s="5">
        <v>1</v>
      </c>
      <c r="AQ562" s="5">
        <v>46</v>
      </c>
      <c r="AR562" s="5">
        <v>55</v>
      </c>
      <c r="AS562" s="5" t="s">
        <v>16</v>
      </c>
      <c r="AT562" s="5" t="s">
        <v>16</v>
      </c>
      <c r="AU562" s="5" t="s">
        <v>3346</v>
      </c>
      <c r="AV562" s="5" t="s">
        <v>3348</v>
      </c>
    </row>
    <row r="563" spans="1:48" ht="45" customHeight="1" x14ac:dyDescent="0.15">
      <c r="A563" s="5" t="s">
        <v>3349</v>
      </c>
      <c r="B563" s="5">
        <v>2012</v>
      </c>
      <c r="C563" s="5" t="s">
        <v>3350</v>
      </c>
      <c r="D563" s="5" t="s">
        <v>2087</v>
      </c>
      <c r="E563" s="5" t="s">
        <v>18453</v>
      </c>
      <c r="F563" s="5" t="s">
        <v>3353</v>
      </c>
      <c r="G563" s="5"/>
      <c r="H563" s="5"/>
      <c r="I563" s="5"/>
      <c r="J563" s="5"/>
      <c r="K563" s="5"/>
      <c r="L563" s="5"/>
      <c r="M563" s="5"/>
      <c r="N563" s="5"/>
      <c r="O563" s="5"/>
      <c r="P563" s="5"/>
      <c r="Q563" s="5"/>
      <c r="AL563" s="7" t="str">
        <f>HYPERLINK("http://dx.doi.org/10.1002/eco.268","http://dx.doi.org/10.1002/eco.268")</f>
        <v>http://dx.doi.org/10.1002/eco.268</v>
      </c>
      <c r="AM563" s="5">
        <v>179</v>
      </c>
      <c r="AN563" s="5">
        <v>188</v>
      </c>
      <c r="AO563" s="5">
        <v>5</v>
      </c>
      <c r="AP563" s="5">
        <v>6</v>
      </c>
      <c r="AQ563" s="5">
        <v>779</v>
      </c>
      <c r="AR563" s="5">
        <v>790</v>
      </c>
      <c r="AS563" s="5" t="s">
        <v>16</v>
      </c>
      <c r="AT563" s="5" t="s">
        <v>3351</v>
      </c>
      <c r="AU563" s="5" t="s">
        <v>3352</v>
      </c>
      <c r="AV563" s="5" t="s">
        <v>3354</v>
      </c>
    </row>
    <row r="564" spans="1:48" ht="45" customHeight="1" x14ac:dyDescent="0.15">
      <c r="A564" s="5" t="s">
        <v>3355</v>
      </c>
      <c r="B564" s="5">
        <v>2019</v>
      </c>
      <c r="C564" s="5" t="s">
        <v>3356</v>
      </c>
      <c r="D564" s="5" t="s">
        <v>15</v>
      </c>
      <c r="E564" s="5" t="s">
        <v>18453</v>
      </c>
      <c r="F564" s="5" t="s">
        <v>3359</v>
      </c>
      <c r="G564" s="5"/>
      <c r="H564" s="5"/>
      <c r="I564" s="5"/>
      <c r="J564" s="5"/>
      <c r="K564" s="5"/>
      <c r="L564" s="5"/>
      <c r="M564" s="5"/>
      <c r="N564" s="5"/>
      <c r="O564" s="5"/>
      <c r="P564" s="5"/>
      <c r="Q564" s="5"/>
      <c r="AL564" s="7" t="str">
        <f>HYPERLINK("http://dx.doi.org/10.1002/ece3.5533","http://dx.doi.org/10.1002/ece3.5533")</f>
        <v>http://dx.doi.org/10.1002/ece3.5533</v>
      </c>
      <c r="AM564" s="5">
        <v>12</v>
      </c>
      <c r="AN564" s="5">
        <v>12</v>
      </c>
      <c r="AO564" s="5">
        <v>9</v>
      </c>
      <c r="AP564" s="5">
        <v>17</v>
      </c>
      <c r="AQ564" s="5">
        <v>9916</v>
      </c>
      <c r="AR564" s="5">
        <v>9934</v>
      </c>
      <c r="AS564" s="5" t="s">
        <v>16</v>
      </c>
      <c r="AT564" s="5" t="s">
        <v>3357</v>
      </c>
      <c r="AU564" s="5" t="s">
        <v>3358</v>
      </c>
      <c r="AV564" s="5" t="s">
        <v>3360</v>
      </c>
    </row>
    <row r="565" spans="1:48" ht="45" customHeight="1" x14ac:dyDescent="0.15">
      <c r="A565" s="5" t="s">
        <v>3361</v>
      </c>
      <c r="B565" s="5">
        <v>2020</v>
      </c>
      <c r="C565" s="5" t="s">
        <v>3362</v>
      </c>
      <c r="D565" s="5" t="s">
        <v>190</v>
      </c>
      <c r="E565" s="5" t="s">
        <v>18453</v>
      </c>
      <c r="F565" s="5" t="s">
        <v>3365</v>
      </c>
      <c r="G565" s="5"/>
      <c r="H565" s="5"/>
      <c r="I565" s="5"/>
      <c r="J565" s="5"/>
      <c r="K565" s="5"/>
      <c r="L565" s="5"/>
      <c r="M565" s="5"/>
      <c r="N565" s="5"/>
      <c r="O565" s="5"/>
      <c r="P565" s="5"/>
      <c r="Q565" s="5"/>
      <c r="AL565" s="7" t="str">
        <f>HYPERLINK("http://dx.doi.org/10.1007/s10530-019-02136-0","http://dx.doi.org/10.1007/s10530-019-02136-0")</f>
        <v>http://dx.doi.org/10.1007/s10530-019-02136-0</v>
      </c>
      <c r="AM565" s="5">
        <v>18</v>
      </c>
      <c r="AN565" s="5">
        <v>18</v>
      </c>
      <c r="AO565" s="5">
        <v>22</v>
      </c>
      <c r="AP565" s="5">
        <v>2</v>
      </c>
      <c r="AQ565" s="5">
        <v>827</v>
      </c>
      <c r="AR565" s="5">
        <v>842</v>
      </c>
      <c r="AS565" s="5" t="s">
        <v>16</v>
      </c>
      <c r="AT565" s="5" t="s">
        <v>3363</v>
      </c>
      <c r="AU565" s="5" t="s">
        <v>3364</v>
      </c>
      <c r="AV565" s="5" t="s">
        <v>3366</v>
      </c>
    </row>
    <row r="566" spans="1:48" ht="45" customHeight="1" x14ac:dyDescent="0.15">
      <c r="A566" s="5" t="s">
        <v>3367</v>
      </c>
      <c r="B566" s="5">
        <v>2019</v>
      </c>
      <c r="C566" s="5" t="s">
        <v>3368</v>
      </c>
      <c r="D566" s="5" t="s">
        <v>92</v>
      </c>
      <c r="E566" s="5" t="s">
        <v>18453</v>
      </c>
      <c r="F566" s="5" t="s">
        <v>3371</v>
      </c>
      <c r="G566" s="5"/>
      <c r="H566" s="5"/>
      <c r="I566" s="5"/>
      <c r="J566" s="5"/>
      <c r="K566" s="5"/>
      <c r="L566" s="5"/>
      <c r="M566" s="5"/>
      <c r="N566" s="5"/>
      <c r="O566" s="5"/>
      <c r="P566" s="5"/>
      <c r="Q566" s="5"/>
      <c r="AL566" s="7" t="str">
        <f>HYPERLINK("http://dx.doi.org/10.1086/705000","http://dx.doi.org/10.1086/705000")</f>
        <v>http://dx.doi.org/10.1086/705000</v>
      </c>
      <c r="AM566" s="5">
        <v>5</v>
      </c>
      <c r="AN566" s="5">
        <v>6</v>
      </c>
      <c r="AO566" s="5">
        <v>38</v>
      </c>
      <c r="AP566" s="5">
        <v>3</v>
      </c>
      <c r="AQ566" s="5">
        <v>591</v>
      </c>
      <c r="AR566" s="5">
        <v>604</v>
      </c>
      <c r="AS566" s="5" t="s">
        <v>16</v>
      </c>
      <c r="AT566" s="5" t="s">
        <v>3369</v>
      </c>
      <c r="AU566" s="5" t="s">
        <v>3370</v>
      </c>
      <c r="AV566" s="5" t="s">
        <v>3372</v>
      </c>
    </row>
    <row r="567" spans="1:48" ht="45" customHeight="1" x14ac:dyDescent="0.15">
      <c r="A567" s="5" t="s">
        <v>3373</v>
      </c>
      <c r="B567" s="5">
        <v>2017</v>
      </c>
      <c r="C567" s="5" t="s">
        <v>3374</v>
      </c>
      <c r="D567" s="5" t="s">
        <v>162</v>
      </c>
      <c r="E567" s="5" t="s">
        <v>18453</v>
      </c>
      <c r="F567" s="5" t="s">
        <v>3377</v>
      </c>
      <c r="G567" s="5"/>
      <c r="H567" s="5"/>
      <c r="I567" s="5"/>
      <c r="J567" s="5"/>
      <c r="K567" s="5"/>
      <c r="L567" s="5"/>
      <c r="M567" s="5"/>
      <c r="N567" s="5"/>
      <c r="O567" s="5"/>
      <c r="P567" s="5"/>
      <c r="Q567" s="5"/>
      <c r="AL567" s="7" t="str">
        <f>HYPERLINK("http://dx.doi.org/10.1111/1365-2435.12892","http://dx.doi.org/10.1111/1365-2435.12892")</f>
        <v>http://dx.doi.org/10.1111/1365-2435.12892</v>
      </c>
      <c r="AM567" s="5">
        <v>10</v>
      </c>
      <c r="AN567" s="5">
        <v>10</v>
      </c>
      <c r="AO567" s="5">
        <v>31</v>
      </c>
      <c r="AP567" s="5">
        <v>10</v>
      </c>
      <c r="AQ567" s="5">
        <v>1921</v>
      </c>
      <c r="AR567" s="5">
        <v>1932</v>
      </c>
      <c r="AS567" s="5" t="s">
        <v>16</v>
      </c>
      <c r="AT567" s="5" t="s">
        <v>3375</v>
      </c>
      <c r="AU567" s="5" t="s">
        <v>3376</v>
      </c>
      <c r="AV567" s="5" t="s">
        <v>3378</v>
      </c>
    </row>
    <row r="568" spans="1:48" ht="45" customHeight="1" x14ac:dyDescent="0.15">
      <c r="A568" s="5" t="s">
        <v>3379</v>
      </c>
      <c r="B568" s="5">
        <v>2007</v>
      </c>
      <c r="C568" s="5" t="s">
        <v>3380</v>
      </c>
      <c r="D568" s="5" t="s">
        <v>82</v>
      </c>
      <c r="E568" s="5" t="s">
        <v>18453</v>
      </c>
      <c r="F568" s="5" t="s">
        <v>3383</v>
      </c>
      <c r="G568" s="5"/>
      <c r="H568" s="5"/>
      <c r="I568" s="5"/>
      <c r="J568" s="5"/>
      <c r="K568" s="5"/>
      <c r="L568" s="5"/>
      <c r="M568" s="5"/>
      <c r="N568" s="5"/>
      <c r="O568" s="5"/>
      <c r="P568" s="5"/>
      <c r="Q568" s="5"/>
      <c r="AL568" s="7" t="str">
        <f>HYPERLINK("http://dx.doi.org/10.1890/05-1460.1","http://dx.doi.org/10.1890/05-1460.1")</f>
        <v>http://dx.doi.org/10.1890/05-1460.1</v>
      </c>
      <c r="AM568" s="5">
        <v>18</v>
      </c>
      <c r="AN568" s="5">
        <v>18</v>
      </c>
      <c r="AO568" s="5">
        <v>17</v>
      </c>
      <c r="AP568" s="5">
        <v>5</v>
      </c>
      <c r="AQ568" s="5" t="s">
        <v>3384</v>
      </c>
      <c r="AR568" s="5" t="s">
        <v>3385</v>
      </c>
      <c r="AS568" s="5" t="s">
        <v>16</v>
      </c>
      <c r="AT568" s="5" t="s">
        <v>3381</v>
      </c>
      <c r="AU568" s="5" t="s">
        <v>3382</v>
      </c>
      <c r="AV568" s="5" t="s">
        <v>3386</v>
      </c>
    </row>
    <row r="569" spans="1:48" ht="45" customHeight="1" x14ac:dyDescent="0.15">
      <c r="A569" s="5" t="s">
        <v>3387</v>
      </c>
      <c r="B569" s="5">
        <v>2020</v>
      </c>
      <c r="C569" s="5" t="s">
        <v>3388</v>
      </c>
      <c r="D569" s="5" t="s">
        <v>15</v>
      </c>
      <c r="E569" s="5" t="s">
        <v>18453</v>
      </c>
      <c r="F569" s="5" t="s">
        <v>3391</v>
      </c>
      <c r="G569" s="5"/>
      <c r="H569" s="5"/>
      <c r="I569" s="5"/>
      <c r="J569" s="5"/>
      <c r="K569" s="5"/>
      <c r="L569" s="5"/>
      <c r="M569" s="5"/>
      <c r="N569" s="5"/>
      <c r="O569" s="5"/>
      <c r="P569" s="5"/>
      <c r="Q569" s="5"/>
      <c r="AL569" s="7" t="str">
        <f>HYPERLINK("http://dx.doi.org/10.1002/ece3.5955","http://dx.doi.org/10.1002/ece3.5955")</f>
        <v>http://dx.doi.org/10.1002/ece3.5955</v>
      </c>
      <c r="AM569" s="5">
        <v>7</v>
      </c>
      <c r="AN569" s="5">
        <v>7</v>
      </c>
      <c r="AO569" s="5">
        <v>10</v>
      </c>
      <c r="AP569" s="5">
        <v>2</v>
      </c>
      <c r="AQ569" s="5">
        <v>962</v>
      </c>
      <c r="AR569" s="5">
        <v>979</v>
      </c>
      <c r="AS569" s="5" t="s">
        <v>16</v>
      </c>
      <c r="AT569" s="5" t="s">
        <v>3389</v>
      </c>
      <c r="AU569" s="5" t="s">
        <v>3390</v>
      </c>
      <c r="AV569" s="5" t="s">
        <v>3392</v>
      </c>
    </row>
    <row r="570" spans="1:48" ht="45" customHeight="1" x14ac:dyDescent="0.15">
      <c r="A570" s="5" t="s">
        <v>3393</v>
      </c>
      <c r="B570" s="5">
        <v>2022</v>
      </c>
      <c r="C570" s="5" t="s">
        <v>3394</v>
      </c>
      <c r="D570" s="5" t="s">
        <v>15</v>
      </c>
      <c r="E570" s="5" t="s">
        <v>18453</v>
      </c>
      <c r="F570" s="5" t="s">
        <v>3397</v>
      </c>
      <c r="G570" s="5"/>
      <c r="H570" s="5"/>
      <c r="I570" s="5"/>
      <c r="J570" s="5"/>
      <c r="K570" s="5"/>
      <c r="L570" s="5"/>
      <c r="M570" s="5"/>
      <c r="N570" s="5"/>
      <c r="O570" s="5"/>
      <c r="P570" s="5"/>
      <c r="Q570" s="5"/>
      <c r="AL570" s="7" t="str">
        <f>HYPERLINK("http://dx.doi.org/10.1002/ece3.9424","http://dx.doi.org/10.1002/ece3.9424")</f>
        <v>http://dx.doi.org/10.1002/ece3.9424</v>
      </c>
      <c r="AM570" s="5">
        <v>0</v>
      </c>
      <c r="AN570" s="5">
        <v>0</v>
      </c>
      <c r="AO570" s="5">
        <v>12</v>
      </c>
      <c r="AP570" s="5">
        <v>10</v>
      </c>
      <c r="AQ570" s="5" t="s">
        <v>16</v>
      </c>
      <c r="AR570" s="5" t="s">
        <v>16</v>
      </c>
      <c r="AS570" s="5" t="s">
        <v>3398</v>
      </c>
      <c r="AT570" s="5" t="s">
        <v>3395</v>
      </c>
      <c r="AU570" s="5" t="s">
        <v>3396</v>
      </c>
      <c r="AV570" s="5" t="s">
        <v>3399</v>
      </c>
    </row>
    <row r="571" spans="1:48" ht="45" customHeight="1" x14ac:dyDescent="0.15">
      <c r="A571" s="5" t="s">
        <v>3400</v>
      </c>
      <c r="B571" s="5">
        <v>2016</v>
      </c>
      <c r="C571" s="5" t="s">
        <v>3401</v>
      </c>
      <c r="D571" s="5" t="s">
        <v>259</v>
      </c>
      <c r="E571" s="5" t="s">
        <v>18453</v>
      </c>
      <c r="F571" s="5" t="s">
        <v>3404</v>
      </c>
      <c r="G571" s="5"/>
      <c r="H571" s="5"/>
      <c r="I571" s="5"/>
      <c r="J571" s="5"/>
      <c r="K571" s="5"/>
      <c r="L571" s="5"/>
      <c r="M571" s="5"/>
      <c r="N571" s="5"/>
      <c r="O571" s="5"/>
      <c r="P571" s="5"/>
      <c r="Q571" s="5"/>
      <c r="AL571" s="7" t="str">
        <f>HYPERLINK("http://dx.doi.org/10.1002/jwmg.1035","http://dx.doi.org/10.1002/jwmg.1035")</f>
        <v>http://dx.doi.org/10.1002/jwmg.1035</v>
      </c>
      <c r="AM571" s="5">
        <v>11</v>
      </c>
      <c r="AN571" s="5">
        <v>11</v>
      </c>
      <c r="AO571" s="5">
        <v>80</v>
      </c>
      <c r="AP571" s="5">
        <v>3</v>
      </c>
      <c r="AQ571" s="5">
        <v>510</v>
      </c>
      <c r="AR571" s="5">
        <v>526</v>
      </c>
      <c r="AS571" s="5" t="s">
        <v>16</v>
      </c>
      <c r="AT571" s="5" t="s">
        <v>3402</v>
      </c>
      <c r="AU571" s="5" t="s">
        <v>3403</v>
      </c>
      <c r="AV571" s="5" t="s">
        <v>3405</v>
      </c>
    </row>
    <row r="572" spans="1:48" ht="45" customHeight="1" x14ac:dyDescent="0.15">
      <c r="A572" s="5" t="s">
        <v>3406</v>
      </c>
      <c r="B572" s="5">
        <v>2023</v>
      </c>
      <c r="C572" s="5" t="s">
        <v>3407</v>
      </c>
      <c r="D572" s="5" t="s">
        <v>172</v>
      </c>
      <c r="E572" s="5" t="s">
        <v>18453</v>
      </c>
      <c r="F572" s="5" t="s">
        <v>3410</v>
      </c>
      <c r="G572" s="5"/>
      <c r="H572" s="5"/>
      <c r="I572" s="5"/>
      <c r="J572" s="5"/>
      <c r="K572" s="5"/>
      <c r="L572" s="5"/>
      <c r="M572" s="5"/>
      <c r="N572" s="5"/>
      <c r="O572" s="5"/>
      <c r="P572" s="5"/>
      <c r="Q572" s="5"/>
      <c r="AL572" s="7" t="str">
        <f>HYPERLINK("http://dx.doi.org/10.1007/s00442-023-05398-7","http://dx.doi.org/10.1007/s00442-023-05398-7")</f>
        <v>http://dx.doi.org/10.1007/s00442-023-05398-7</v>
      </c>
      <c r="AM572" s="5">
        <v>0</v>
      </c>
      <c r="AN572" s="5">
        <v>0</v>
      </c>
      <c r="AO572" s="5">
        <v>202</v>
      </c>
      <c r="AP572" s="5">
        <v>2</v>
      </c>
      <c r="AQ572" s="5">
        <v>397</v>
      </c>
      <c r="AR572" s="5">
        <v>411</v>
      </c>
      <c r="AS572" s="5" t="s">
        <v>16</v>
      </c>
      <c r="AT572" s="5" t="s">
        <v>3408</v>
      </c>
      <c r="AU572" s="5" t="s">
        <v>3409</v>
      </c>
      <c r="AV572" s="5" t="s">
        <v>3411</v>
      </c>
    </row>
    <row r="573" spans="1:48" ht="45" customHeight="1" x14ac:dyDescent="0.15">
      <c r="A573" s="5" t="s">
        <v>3412</v>
      </c>
      <c r="B573" s="5">
        <v>2018</v>
      </c>
      <c r="C573" s="5" t="s">
        <v>3413</v>
      </c>
      <c r="D573" s="5" t="s">
        <v>18</v>
      </c>
      <c r="E573" s="5" t="s">
        <v>18453</v>
      </c>
      <c r="F573" s="5" t="s">
        <v>3416</v>
      </c>
      <c r="G573" s="5"/>
      <c r="H573" s="5"/>
      <c r="I573" s="5"/>
      <c r="J573" s="5"/>
      <c r="K573" s="5"/>
      <c r="L573" s="5"/>
      <c r="M573" s="5"/>
      <c r="N573" s="5"/>
      <c r="O573" s="5"/>
      <c r="P573" s="5"/>
      <c r="Q573" s="5"/>
      <c r="AL573" s="7" t="str">
        <f>HYPERLINK("http://dx.doi.org/10.1002/ecs2.2167","http://dx.doi.org/10.1002/ecs2.2167")</f>
        <v>http://dx.doi.org/10.1002/ecs2.2167</v>
      </c>
      <c r="AM573" s="5">
        <v>11</v>
      </c>
      <c r="AN573" s="5">
        <v>11</v>
      </c>
      <c r="AO573" s="5">
        <v>9</v>
      </c>
      <c r="AP573" s="5">
        <v>4</v>
      </c>
      <c r="AQ573" s="5" t="s">
        <v>16</v>
      </c>
      <c r="AR573" s="5" t="s">
        <v>16</v>
      </c>
      <c r="AS573" s="5" t="s">
        <v>3417</v>
      </c>
      <c r="AT573" s="5" t="s">
        <v>3414</v>
      </c>
      <c r="AU573" s="5" t="s">
        <v>3415</v>
      </c>
      <c r="AV573" s="5" t="s">
        <v>3418</v>
      </c>
    </row>
    <row r="574" spans="1:48" ht="45" customHeight="1" x14ac:dyDescent="0.15">
      <c r="A574" s="5" t="s">
        <v>3419</v>
      </c>
      <c r="B574" s="5">
        <v>2005</v>
      </c>
      <c r="C574" s="5" t="s">
        <v>3420</v>
      </c>
      <c r="D574" s="5" t="s">
        <v>252</v>
      </c>
      <c r="E574" s="5" t="s">
        <v>18453</v>
      </c>
      <c r="F574" s="5" t="s">
        <v>3423</v>
      </c>
      <c r="G574" s="5"/>
      <c r="H574" s="5"/>
      <c r="I574" s="5"/>
      <c r="J574" s="5"/>
      <c r="K574" s="5"/>
      <c r="L574" s="5"/>
      <c r="M574" s="5"/>
      <c r="N574" s="5"/>
      <c r="O574" s="5"/>
      <c r="P574" s="5"/>
      <c r="Q574" s="5"/>
      <c r="AL574" s="7" t="str">
        <f>HYPERLINK("http://dx.doi.org/10.1111/j.1523-1739.2005.00586.x","http://dx.doi.org/10.1111/j.1523-1739.2005.00586.x")</f>
        <v>http://dx.doi.org/10.1111/j.1523-1739.2005.00586.x</v>
      </c>
      <c r="AM574" s="5">
        <v>134</v>
      </c>
      <c r="AN574" s="5">
        <v>142</v>
      </c>
      <c r="AO574" s="5">
        <v>19</v>
      </c>
      <c r="AP574" s="5">
        <v>1</v>
      </c>
      <c r="AQ574" s="5">
        <v>182</v>
      </c>
      <c r="AR574" s="5">
        <v>194</v>
      </c>
      <c r="AS574" s="5" t="s">
        <v>16</v>
      </c>
      <c r="AT574" s="5" t="s">
        <v>3421</v>
      </c>
      <c r="AU574" s="5" t="s">
        <v>3422</v>
      </c>
      <c r="AV574" s="5" t="s">
        <v>3424</v>
      </c>
    </row>
    <row r="575" spans="1:48" ht="45" customHeight="1" x14ac:dyDescent="0.15">
      <c r="A575" s="5" t="s">
        <v>3425</v>
      </c>
      <c r="B575" s="5">
        <v>2014</v>
      </c>
      <c r="C575" s="5" t="s">
        <v>3426</v>
      </c>
      <c r="D575" s="5" t="s">
        <v>161</v>
      </c>
      <c r="E575" s="5" t="s">
        <v>18453</v>
      </c>
      <c r="F575" s="5" t="s">
        <v>3429</v>
      </c>
      <c r="G575" s="5"/>
      <c r="H575" s="5"/>
      <c r="I575" s="5"/>
      <c r="J575" s="5"/>
      <c r="K575" s="5"/>
      <c r="L575" s="5"/>
      <c r="M575" s="5"/>
      <c r="N575" s="5"/>
      <c r="O575" s="5"/>
      <c r="P575" s="5"/>
      <c r="Q575" s="5"/>
      <c r="AL575" s="7" t="str">
        <f>HYPERLINK("http://dx.doi.org/10.1111/geb.12204","http://dx.doi.org/10.1111/geb.12204")</f>
        <v>http://dx.doi.org/10.1111/geb.12204</v>
      </c>
      <c r="AM575" s="5">
        <v>21</v>
      </c>
      <c r="AN575" s="5">
        <v>21</v>
      </c>
      <c r="AO575" s="5">
        <v>23</v>
      </c>
      <c r="AP575" s="5">
        <v>11</v>
      </c>
      <c r="AQ575" s="5">
        <v>1264</v>
      </c>
      <c r="AR575" s="5">
        <v>1274</v>
      </c>
      <c r="AS575" s="5" t="s">
        <v>16</v>
      </c>
      <c r="AT575" s="5" t="s">
        <v>3427</v>
      </c>
      <c r="AU575" s="5" t="s">
        <v>3428</v>
      </c>
      <c r="AV575" s="5" t="s">
        <v>3430</v>
      </c>
    </row>
    <row r="576" spans="1:48" ht="45" customHeight="1" x14ac:dyDescent="0.15">
      <c r="A576" s="5" t="s">
        <v>3431</v>
      </c>
      <c r="B576" s="5">
        <v>2020</v>
      </c>
      <c r="C576" s="5" t="s">
        <v>3432</v>
      </c>
      <c r="D576" s="5" t="s">
        <v>77</v>
      </c>
      <c r="E576" s="5" t="s">
        <v>18453</v>
      </c>
      <c r="F576" s="5" t="s">
        <v>3435</v>
      </c>
      <c r="G576" s="5"/>
      <c r="H576" s="5"/>
      <c r="I576" s="5"/>
      <c r="J576" s="5"/>
      <c r="K576" s="5"/>
      <c r="L576" s="5"/>
      <c r="M576" s="5"/>
      <c r="N576" s="5"/>
      <c r="O576" s="5"/>
      <c r="P576" s="5"/>
      <c r="Q576" s="5"/>
      <c r="AL576" s="7" t="str">
        <f>HYPERLINK("http://dx.doi.org/10.1111/1365-2656.13149","http://dx.doi.org/10.1111/1365-2656.13149")</f>
        <v>http://dx.doi.org/10.1111/1365-2656.13149</v>
      </c>
      <c r="AM576" s="5">
        <v>8</v>
      </c>
      <c r="AN576" s="5">
        <v>8</v>
      </c>
      <c r="AO576" s="5">
        <v>89</v>
      </c>
      <c r="AP576" s="5">
        <v>3</v>
      </c>
      <c r="AQ576" s="5">
        <v>921</v>
      </c>
      <c r="AR576" s="5">
        <v>932</v>
      </c>
      <c r="AS576" s="5" t="s">
        <v>16</v>
      </c>
      <c r="AT576" s="5" t="s">
        <v>3433</v>
      </c>
      <c r="AU576" s="5" t="s">
        <v>3434</v>
      </c>
      <c r="AV576" s="5" t="s">
        <v>3436</v>
      </c>
    </row>
    <row r="577" spans="1:48" ht="45" customHeight="1" x14ac:dyDescent="0.15">
      <c r="A577" s="5" t="s">
        <v>3437</v>
      </c>
      <c r="B577" s="5">
        <v>2022</v>
      </c>
      <c r="C577" s="5" t="s">
        <v>3438</v>
      </c>
      <c r="D577" s="5" t="s">
        <v>33</v>
      </c>
      <c r="E577" s="5" t="s">
        <v>18453</v>
      </c>
      <c r="F577" s="5" t="s">
        <v>3441</v>
      </c>
      <c r="G577" s="5"/>
      <c r="H577" s="5"/>
      <c r="I577" s="5"/>
      <c r="J577" s="5"/>
      <c r="K577" s="5"/>
      <c r="L577" s="5"/>
      <c r="M577" s="5"/>
      <c r="N577" s="5"/>
      <c r="O577" s="5"/>
      <c r="P577" s="5"/>
      <c r="Q577" s="5"/>
      <c r="AL577" s="7" t="str">
        <f>HYPERLINK("http://dx.doi.org/10.1111/gcb.15970","http://dx.doi.org/10.1111/gcb.15970")</f>
        <v>http://dx.doi.org/10.1111/gcb.15970</v>
      </c>
      <c r="AM577" s="5">
        <v>4</v>
      </c>
      <c r="AN577" s="5">
        <v>4</v>
      </c>
      <c r="AO577" s="5">
        <v>28</v>
      </c>
      <c r="AP577" s="5">
        <v>3</v>
      </c>
      <c r="AQ577" s="5">
        <v>950</v>
      </c>
      <c r="AR577" s="5">
        <v>968</v>
      </c>
      <c r="AS577" s="5" t="s">
        <v>16</v>
      </c>
      <c r="AT577" s="5" t="s">
        <v>3439</v>
      </c>
      <c r="AU577" s="5" t="s">
        <v>3440</v>
      </c>
      <c r="AV577" s="5" t="s">
        <v>3442</v>
      </c>
    </row>
    <row r="578" spans="1:48" ht="45" customHeight="1" x14ac:dyDescent="0.15">
      <c r="A578" s="5" t="s">
        <v>3443</v>
      </c>
      <c r="B578" s="5">
        <v>2022</v>
      </c>
      <c r="C578" s="5" t="s">
        <v>3444</v>
      </c>
      <c r="D578" s="5" t="s">
        <v>190</v>
      </c>
      <c r="E578" s="5" t="s">
        <v>18453</v>
      </c>
      <c r="F578" s="5" t="s">
        <v>3447</v>
      </c>
      <c r="G578" s="5"/>
      <c r="H578" s="5"/>
      <c r="I578" s="5"/>
      <c r="J578" s="5"/>
      <c r="K578" s="5"/>
      <c r="L578" s="5"/>
      <c r="M578" s="5"/>
      <c r="N578" s="5"/>
      <c r="O578" s="5"/>
      <c r="P578" s="5"/>
      <c r="Q578" s="5"/>
      <c r="AL578" s="7" t="str">
        <f>HYPERLINK("http://dx.doi.org/10.1007/s10530-022-02956-7","http://dx.doi.org/10.1007/s10530-022-02956-7")</f>
        <v>http://dx.doi.org/10.1007/s10530-022-02956-7</v>
      </c>
      <c r="AM578" s="5">
        <v>0</v>
      </c>
      <c r="AN578" s="5">
        <v>0</v>
      </c>
      <c r="AO578" s="5" t="s">
        <v>16</v>
      </c>
      <c r="AP578" s="5" t="s">
        <v>16</v>
      </c>
      <c r="AQ578" s="5" t="s">
        <v>16</v>
      </c>
      <c r="AR578" s="5" t="s">
        <v>16</v>
      </c>
      <c r="AS578" s="5" t="s">
        <v>16</v>
      </c>
      <c r="AT578" s="5" t="s">
        <v>3445</v>
      </c>
      <c r="AU578" s="5" t="s">
        <v>3446</v>
      </c>
      <c r="AV578" s="5" t="s">
        <v>3448</v>
      </c>
    </row>
    <row r="579" spans="1:48" ht="45" customHeight="1" x14ac:dyDescent="0.15">
      <c r="A579" s="5" t="s">
        <v>3449</v>
      </c>
      <c r="B579" s="5">
        <v>2021</v>
      </c>
      <c r="C579" s="5" t="s">
        <v>3450</v>
      </c>
      <c r="D579" s="5" t="s">
        <v>18</v>
      </c>
      <c r="E579" s="5" t="s">
        <v>18453</v>
      </c>
      <c r="F579" s="5" t="s">
        <v>3453</v>
      </c>
      <c r="G579" s="5"/>
      <c r="H579" s="5"/>
      <c r="I579" s="5"/>
      <c r="J579" s="5"/>
      <c r="K579" s="5"/>
      <c r="L579" s="5"/>
      <c r="M579" s="5"/>
      <c r="N579" s="5"/>
      <c r="O579" s="5"/>
      <c r="P579" s="5"/>
      <c r="Q579" s="5"/>
      <c r="AL579" s="7" t="str">
        <f>HYPERLINK("http://dx.doi.org/10.1002/ecs2.3444","http://dx.doi.org/10.1002/ecs2.3444")</f>
        <v>http://dx.doi.org/10.1002/ecs2.3444</v>
      </c>
      <c r="AM579" s="5">
        <v>2</v>
      </c>
      <c r="AN579" s="5">
        <v>2</v>
      </c>
      <c r="AO579" s="5">
        <v>12</v>
      </c>
      <c r="AP579" s="5">
        <v>3</v>
      </c>
      <c r="AQ579" s="5" t="s">
        <v>16</v>
      </c>
      <c r="AR579" s="5" t="s">
        <v>16</v>
      </c>
      <c r="AS579" s="5" t="s">
        <v>3454</v>
      </c>
      <c r="AT579" s="5" t="s">
        <v>3451</v>
      </c>
      <c r="AU579" s="5" t="s">
        <v>3452</v>
      </c>
      <c r="AV579" s="5" t="s">
        <v>3455</v>
      </c>
    </row>
    <row r="580" spans="1:48" ht="45" customHeight="1" x14ac:dyDescent="0.15">
      <c r="A580" s="5" t="s">
        <v>3456</v>
      </c>
      <c r="B580" s="5">
        <v>2002</v>
      </c>
      <c r="C580" s="5" t="s">
        <v>3457</v>
      </c>
      <c r="D580" s="5" t="s">
        <v>383</v>
      </c>
      <c r="E580" s="5" t="s">
        <v>18453</v>
      </c>
      <c r="F580" s="5" t="s">
        <v>3460</v>
      </c>
      <c r="G580" s="5"/>
      <c r="H580" s="5"/>
      <c r="I580" s="5"/>
      <c r="J580" s="5"/>
      <c r="K580" s="5"/>
      <c r="L580" s="5"/>
      <c r="M580" s="5"/>
      <c r="N580" s="5"/>
      <c r="O580" s="5"/>
      <c r="P580" s="5"/>
      <c r="Q580" s="5"/>
      <c r="AL580" s="7" t="str">
        <f>HYPERLINK("http://dx.doi.org/10.1046/j.1440-1703.2002.00482.x","http://dx.doi.org/10.1046/j.1440-1703.2002.00482.x")</f>
        <v>http://dx.doi.org/10.1046/j.1440-1703.2002.00482.x</v>
      </c>
      <c r="AM580" s="5">
        <v>320</v>
      </c>
      <c r="AN580" s="5">
        <v>341</v>
      </c>
      <c r="AO580" s="5">
        <v>17</v>
      </c>
      <c r="AP580" s="5">
        <v>2</v>
      </c>
      <c r="AQ580" s="5">
        <v>229</v>
      </c>
      <c r="AR580" s="5">
        <v>239</v>
      </c>
      <c r="AS580" s="5" t="s">
        <v>16</v>
      </c>
      <c r="AT580" s="5" t="s">
        <v>3458</v>
      </c>
      <c r="AU580" s="5" t="s">
        <v>3459</v>
      </c>
      <c r="AV580" s="5" t="s">
        <v>3461</v>
      </c>
    </row>
    <row r="581" spans="1:48" ht="45" customHeight="1" x14ac:dyDescent="0.15">
      <c r="A581" s="5" t="s">
        <v>3462</v>
      </c>
      <c r="B581" s="5">
        <v>2013</v>
      </c>
      <c r="C581" s="5" t="s">
        <v>3463</v>
      </c>
      <c r="D581" s="5" t="s">
        <v>123</v>
      </c>
      <c r="E581" s="5" t="s">
        <v>18453</v>
      </c>
      <c r="F581" s="5" t="s">
        <v>3466</v>
      </c>
      <c r="G581" s="5"/>
      <c r="H581" s="5"/>
      <c r="I581" s="5"/>
      <c r="J581" s="5"/>
      <c r="K581" s="5"/>
      <c r="L581" s="5"/>
      <c r="M581" s="5"/>
      <c r="N581" s="5"/>
      <c r="O581" s="5"/>
      <c r="P581" s="5"/>
      <c r="Q581" s="5"/>
      <c r="AL581" s="7" t="str">
        <f>HYPERLINK("http://dx.doi.org/10.1111/ddi.12002","http://dx.doi.org/10.1111/ddi.12002")</f>
        <v>http://dx.doi.org/10.1111/ddi.12002</v>
      </c>
      <c r="AM581" s="5">
        <v>163</v>
      </c>
      <c r="AN581" s="5">
        <v>168</v>
      </c>
      <c r="AO581" s="5">
        <v>19</v>
      </c>
      <c r="AP581" s="5">
        <v>1</v>
      </c>
      <c r="AQ581" s="5">
        <v>69</v>
      </c>
      <c r="AR581" s="5">
        <v>77</v>
      </c>
      <c r="AS581" s="5" t="s">
        <v>16</v>
      </c>
      <c r="AT581" s="5" t="s">
        <v>3464</v>
      </c>
      <c r="AU581" s="5" t="s">
        <v>3465</v>
      </c>
      <c r="AV581" s="5" t="s">
        <v>3467</v>
      </c>
    </row>
    <row r="582" spans="1:48" ht="45" customHeight="1" x14ac:dyDescent="0.15">
      <c r="A582" s="5" t="s">
        <v>3468</v>
      </c>
      <c r="B582" s="5">
        <v>2017</v>
      </c>
      <c r="C582" s="5" t="s">
        <v>3469</v>
      </c>
      <c r="D582" s="5" t="s">
        <v>116</v>
      </c>
      <c r="E582" s="5" t="s">
        <v>18453</v>
      </c>
      <c r="F582" s="5" t="s">
        <v>3472</v>
      </c>
      <c r="G582" s="5"/>
      <c r="H582" s="5"/>
      <c r="I582" s="5"/>
      <c r="J582" s="5"/>
      <c r="K582" s="5"/>
      <c r="L582" s="5"/>
      <c r="M582" s="5"/>
      <c r="N582" s="5"/>
      <c r="O582" s="5"/>
      <c r="P582" s="5"/>
      <c r="Q582" s="5"/>
      <c r="AL582" s="7" t="str">
        <f>HYPERLINK("http://dx.doi.org/10.1007/s10641-017-0667-1","http://dx.doi.org/10.1007/s10641-017-0667-1")</f>
        <v>http://dx.doi.org/10.1007/s10641-017-0667-1</v>
      </c>
      <c r="AM582" s="5">
        <v>5</v>
      </c>
      <c r="AN582" s="5">
        <v>5</v>
      </c>
      <c r="AO582" s="5">
        <v>100</v>
      </c>
      <c r="AP582" s="5">
        <v>12</v>
      </c>
      <c r="AQ582" s="5">
        <v>1587</v>
      </c>
      <c r="AR582" s="5">
        <v>1600</v>
      </c>
      <c r="AS582" s="5" t="s">
        <v>16</v>
      </c>
      <c r="AT582" s="5" t="s">
        <v>3470</v>
      </c>
      <c r="AU582" s="5" t="s">
        <v>3471</v>
      </c>
      <c r="AV582" s="5" t="s">
        <v>3473</v>
      </c>
    </row>
    <row r="583" spans="1:48" ht="45" customHeight="1" x14ac:dyDescent="0.15">
      <c r="A583" s="5" t="s">
        <v>3474</v>
      </c>
      <c r="B583" s="5">
        <v>2021</v>
      </c>
      <c r="C583" s="5" t="s">
        <v>3475</v>
      </c>
      <c r="D583" s="5" t="s">
        <v>33</v>
      </c>
      <c r="E583" s="5" t="s">
        <v>18453</v>
      </c>
      <c r="F583" s="5" t="s">
        <v>3478</v>
      </c>
      <c r="G583" s="5"/>
      <c r="H583" s="5"/>
      <c r="I583" s="5"/>
      <c r="J583" s="5"/>
      <c r="K583" s="5"/>
      <c r="L583" s="5"/>
      <c r="M583" s="5"/>
      <c r="N583" s="5"/>
      <c r="O583" s="5"/>
      <c r="P583" s="5"/>
      <c r="Q583" s="5"/>
      <c r="AL583" s="7" t="str">
        <f>HYPERLINK("http://dx.doi.org/10.1111/gcb.15794","http://dx.doi.org/10.1111/gcb.15794")</f>
        <v>http://dx.doi.org/10.1111/gcb.15794</v>
      </c>
      <c r="AM583" s="5">
        <v>2</v>
      </c>
      <c r="AN583" s="5">
        <v>2</v>
      </c>
      <c r="AO583" s="5">
        <v>27</v>
      </c>
      <c r="AP583" s="5">
        <v>21</v>
      </c>
      <c r="AQ583" s="5">
        <v>5460</v>
      </c>
      <c r="AR583" s="5">
        <v>5468</v>
      </c>
      <c r="AS583" s="5" t="s">
        <v>16</v>
      </c>
      <c r="AT583" s="5" t="s">
        <v>3476</v>
      </c>
      <c r="AU583" s="5" t="s">
        <v>3477</v>
      </c>
      <c r="AV583" s="5" t="s">
        <v>3479</v>
      </c>
    </row>
    <row r="584" spans="1:48" ht="45" customHeight="1" x14ac:dyDescent="0.15">
      <c r="A584" s="5" t="s">
        <v>3480</v>
      </c>
      <c r="B584" s="5">
        <v>2018</v>
      </c>
      <c r="C584" s="5" t="s">
        <v>3481</v>
      </c>
      <c r="D584" s="5" t="s">
        <v>312</v>
      </c>
      <c r="E584" s="5" t="s">
        <v>18453</v>
      </c>
      <c r="F584" s="5" t="s">
        <v>3484</v>
      </c>
      <c r="G584" s="5"/>
      <c r="H584" s="5"/>
      <c r="I584" s="5"/>
      <c r="J584" s="5"/>
      <c r="K584" s="5"/>
      <c r="L584" s="5"/>
      <c r="M584" s="5"/>
      <c r="N584" s="5"/>
      <c r="O584" s="5"/>
      <c r="P584" s="5"/>
      <c r="Q584" s="5"/>
      <c r="AL584" s="7" t="str">
        <f>HYPERLINK("http://dx.doi.org/10.1016/j.ecolmodel.2018.05.002","http://dx.doi.org/10.1016/j.ecolmodel.2018.05.002")</f>
        <v>http://dx.doi.org/10.1016/j.ecolmodel.2018.05.002</v>
      </c>
      <c r="AM584" s="5">
        <v>15</v>
      </c>
      <c r="AN584" s="5">
        <v>15</v>
      </c>
      <c r="AO584" s="5">
        <v>382</v>
      </c>
      <c r="AP584" s="5" t="s">
        <v>16</v>
      </c>
      <c r="AQ584" s="5">
        <v>33</v>
      </c>
      <c r="AR584" s="5">
        <v>42</v>
      </c>
      <c r="AS584" s="5" t="s">
        <v>16</v>
      </c>
      <c r="AT584" s="5" t="s">
        <v>3482</v>
      </c>
      <c r="AU584" s="5" t="s">
        <v>3483</v>
      </c>
      <c r="AV584" s="5" t="s">
        <v>3485</v>
      </c>
    </row>
    <row r="585" spans="1:48" ht="45" customHeight="1" x14ac:dyDescent="0.15">
      <c r="A585" s="5" t="s">
        <v>3486</v>
      </c>
      <c r="B585" s="5">
        <v>2021</v>
      </c>
      <c r="C585" s="5" t="s">
        <v>3487</v>
      </c>
      <c r="D585" s="5" t="s">
        <v>77</v>
      </c>
      <c r="E585" s="5" t="s">
        <v>18453</v>
      </c>
      <c r="F585" s="5" t="s">
        <v>3490</v>
      </c>
      <c r="G585" s="5"/>
      <c r="H585" s="5"/>
      <c r="I585" s="5"/>
      <c r="J585" s="5"/>
      <c r="K585" s="5"/>
      <c r="L585" s="5"/>
      <c r="M585" s="5"/>
      <c r="N585" s="5"/>
      <c r="O585" s="5"/>
      <c r="P585" s="5"/>
      <c r="Q585" s="5"/>
      <c r="AL585" s="7" t="str">
        <f>HYPERLINK("http://dx.doi.org/10.1111/1365-2656.13461","http://dx.doi.org/10.1111/1365-2656.13461")</f>
        <v>http://dx.doi.org/10.1111/1365-2656.13461</v>
      </c>
      <c r="AM585" s="5">
        <v>8</v>
      </c>
      <c r="AN585" s="5">
        <v>8</v>
      </c>
      <c r="AO585" s="5">
        <v>90</v>
      </c>
      <c r="AP585" s="5">
        <v>5</v>
      </c>
      <c r="AQ585" s="5">
        <v>1367</v>
      </c>
      <c r="AR585" s="5">
        <v>1378</v>
      </c>
      <c r="AS585" s="5" t="s">
        <v>16</v>
      </c>
      <c r="AT585" s="5" t="s">
        <v>3488</v>
      </c>
      <c r="AU585" s="5" t="s">
        <v>3489</v>
      </c>
      <c r="AV585" s="5" t="s">
        <v>3491</v>
      </c>
    </row>
    <row r="586" spans="1:48" ht="45" customHeight="1" x14ac:dyDescent="0.15">
      <c r="A586" s="5" t="s">
        <v>3492</v>
      </c>
      <c r="B586" s="5">
        <v>2022</v>
      </c>
      <c r="C586" s="5" t="s">
        <v>3493</v>
      </c>
      <c r="D586" s="5" t="s">
        <v>17</v>
      </c>
      <c r="E586" s="5" t="s">
        <v>18453</v>
      </c>
      <c r="F586" s="5" t="s">
        <v>3496</v>
      </c>
      <c r="G586" s="5"/>
      <c r="H586" s="5"/>
      <c r="I586" s="5"/>
      <c r="J586" s="5"/>
      <c r="K586" s="5"/>
      <c r="L586" s="5"/>
      <c r="M586" s="5"/>
      <c r="N586" s="5"/>
      <c r="O586" s="5"/>
      <c r="P586" s="5"/>
      <c r="Q586" s="5"/>
      <c r="AL586" s="7" t="str">
        <f>HYPERLINK("http://dx.doi.org/10.1111/fwb.13984","http://dx.doi.org/10.1111/fwb.13984")</f>
        <v>http://dx.doi.org/10.1111/fwb.13984</v>
      </c>
      <c r="AM586" s="5">
        <v>0</v>
      </c>
      <c r="AN586" s="5">
        <v>0</v>
      </c>
      <c r="AO586" s="5">
        <v>67</v>
      </c>
      <c r="AP586" s="5">
        <v>11</v>
      </c>
      <c r="AQ586" s="5">
        <v>1925</v>
      </c>
      <c r="AR586" s="5">
        <v>1937</v>
      </c>
      <c r="AS586" s="5" t="s">
        <v>16</v>
      </c>
      <c r="AT586" s="5" t="s">
        <v>3494</v>
      </c>
      <c r="AU586" s="5" t="s">
        <v>3495</v>
      </c>
      <c r="AV586" s="5" t="s">
        <v>3497</v>
      </c>
    </row>
    <row r="587" spans="1:48" ht="45" customHeight="1" x14ac:dyDescent="0.15">
      <c r="A587" s="5" t="s">
        <v>3498</v>
      </c>
      <c r="B587" s="5">
        <v>2006</v>
      </c>
      <c r="C587" s="5" t="s">
        <v>3499</v>
      </c>
      <c r="D587" s="5" t="s">
        <v>82</v>
      </c>
      <c r="E587" s="5" t="s">
        <v>18453</v>
      </c>
      <c r="F587" s="5" t="s">
        <v>3502</v>
      </c>
      <c r="G587" s="5"/>
      <c r="H587" s="5"/>
      <c r="I587" s="5"/>
      <c r="J587" s="5"/>
      <c r="K587" s="5"/>
      <c r="L587" s="5"/>
      <c r="M587" s="5"/>
      <c r="N587" s="5"/>
      <c r="O587" s="5"/>
      <c r="P587" s="5"/>
      <c r="Q587" s="5"/>
      <c r="AL587" s="7" t="str">
        <f>HYPERLINK("http://dx.doi.org/10.1890/1051-0761(2006)016[0622:AFWRFR]2.0.CO;2","http://dx.doi.org/10.1890/1051-0761(2006)016[0622:AFWRFR]2.0.CO;2")</f>
        <v>http://dx.doi.org/10.1890/1051-0761(2006)016[0622:AFWRFR]2.0.CO;2</v>
      </c>
      <c r="AM587" s="5">
        <v>91</v>
      </c>
      <c r="AN587" s="5">
        <v>97</v>
      </c>
      <c r="AO587" s="5">
        <v>16</v>
      </c>
      <c r="AP587" s="5">
        <v>2</v>
      </c>
      <c r="AQ587" s="5">
        <v>622</v>
      </c>
      <c r="AR587" s="5">
        <v>631</v>
      </c>
      <c r="AS587" s="5" t="s">
        <v>16</v>
      </c>
      <c r="AT587" s="5" t="s">
        <v>3500</v>
      </c>
      <c r="AU587" s="5" t="s">
        <v>3501</v>
      </c>
      <c r="AV587" s="5" t="s">
        <v>3503</v>
      </c>
    </row>
    <row r="588" spans="1:48" ht="45" customHeight="1" x14ac:dyDescent="0.15">
      <c r="A588" s="5" t="s">
        <v>3504</v>
      </c>
      <c r="B588" s="5">
        <v>2014</v>
      </c>
      <c r="C588" s="5" t="s">
        <v>3505</v>
      </c>
      <c r="D588" s="5" t="s">
        <v>17</v>
      </c>
      <c r="E588" s="5" t="s">
        <v>18453</v>
      </c>
      <c r="F588" s="5" t="s">
        <v>3508</v>
      </c>
      <c r="G588" s="5"/>
      <c r="H588" s="5"/>
      <c r="I588" s="5"/>
      <c r="J588" s="5"/>
      <c r="K588" s="5"/>
      <c r="L588" s="5"/>
      <c r="M588" s="5"/>
      <c r="N588" s="5"/>
      <c r="O588" s="5"/>
      <c r="P588" s="5"/>
      <c r="Q588" s="5"/>
      <c r="AL588" s="7" t="str">
        <f>HYPERLINK("http://dx.doi.org/10.1111/fwb.12304","http://dx.doi.org/10.1111/fwb.12304")</f>
        <v>http://dx.doi.org/10.1111/fwb.12304</v>
      </c>
      <c r="AM588" s="5">
        <v>30</v>
      </c>
      <c r="AN588" s="5">
        <v>33</v>
      </c>
      <c r="AO588" s="5">
        <v>59</v>
      </c>
      <c r="AP588" s="5">
        <v>4</v>
      </c>
      <c r="AQ588" s="5">
        <v>789</v>
      </c>
      <c r="AR588" s="5">
        <v>802</v>
      </c>
      <c r="AS588" s="5" t="s">
        <v>16</v>
      </c>
      <c r="AT588" s="5" t="s">
        <v>3506</v>
      </c>
      <c r="AU588" s="5" t="s">
        <v>3507</v>
      </c>
      <c r="AV588" s="5" t="s">
        <v>3509</v>
      </c>
    </row>
    <row r="589" spans="1:48" ht="45" customHeight="1" x14ac:dyDescent="0.15">
      <c r="A589" s="5" t="s">
        <v>3510</v>
      </c>
      <c r="B589" s="5">
        <v>2010</v>
      </c>
      <c r="C589" s="5" t="s">
        <v>3511</v>
      </c>
      <c r="D589" s="5" t="s">
        <v>312</v>
      </c>
      <c r="E589" s="5" t="s">
        <v>18453</v>
      </c>
      <c r="F589" s="5" t="s">
        <v>3514</v>
      </c>
      <c r="G589" s="5"/>
      <c r="H589" s="5"/>
      <c r="I589" s="5"/>
      <c r="J589" s="5"/>
      <c r="K589" s="5"/>
      <c r="L589" s="5"/>
      <c r="M589" s="5"/>
      <c r="N589" s="5"/>
      <c r="O589" s="5"/>
      <c r="P589" s="5"/>
      <c r="Q589" s="5"/>
      <c r="AL589" s="7" t="str">
        <f>HYPERLINK("http://dx.doi.org/10.1016/j.ecolmodel.2010.08.037","http://dx.doi.org/10.1016/j.ecolmodel.2010.08.037")</f>
        <v>http://dx.doi.org/10.1016/j.ecolmodel.2010.08.037</v>
      </c>
      <c r="AM589" s="5">
        <v>37</v>
      </c>
      <c r="AN589" s="5">
        <v>39</v>
      </c>
      <c r="AO589" s="5">
        <v>221</v>
      </c>
      <c r="AP589" s="5">
        <v>24</v>
      </c>
      <c r="AQ589" s="5">
        <v>2859</v>
      </c>
      <c r="AR589" s="5">
        <v>2869</v>
      </c>
      <c r="AS589" s="5" t="s">
        <v>16</v>
      </c>
      <c r="AT589" s="5" t="s">
        <v>3512</v>
      </c>
      <c r="AU589" s="5" t="s">
        <v>3513</v>
      </c>
      <c r="AV589" s="5" t="s">
        <v>3515</v>
      </c>
    </row>
    <row r="590" spans="1:48" ht="45" customHeight="1" x14ac:dyDescent="0.15">
      <c r="A590" s="5" t="s">
        <v>3516</v>
      </c>
      <c r="B590" s="5">
        <v>2019</v>
      </c>
      <c r="C590" s="5" t="s">
        <v>3517</v>
      </c>
      <c r="D590" s="5" t="s">
        <v>15</v>
      </c>
      <c r="E590" s="5" t="s">
        <v>18453</v>
      </c>
      <c r="F590" s="5" t="s">
        <v>3520</v>
      </c>
      <c r="G590" s="5"/>
      <c r="H590" s="5"/>
      <c r="I590" s="5"/>
      <c r="J590" s="5"/>
      <c r="K590" s="5"/>
      <c r="L590" s="5"/>
      <c r="M590" s="5"/>
      <c r="N590" s="5"/>
      <c r="O590" s="5"/>
      <c r="P590" s="5"/>
      <c r="Q590" s="5"/>
      <c r="AL590" s="7" t="str">
        <f>HYPERLINK("http://dx.doi.org/10.1002/ece3.5800","http://dx.doi.org/10.1002/ece3.5800")</f>
        <v>http://dx.doi.org/10.1002/ece3.5800</v>
      </c>
      <c r="AM590" s="5">
        <v>8</v>
      </c>
      <c r="AN590" s="5">
        <v>8</v>
      </c>
      <c r="AO590" s="5">
        <v>9</v>
      </c>
      <c r="AP590" s="5">
        <v>23</v>
      </c>
      <c r="AQ590" s="5">
        <v>13438</v>
      </c>
      <c r="AR590" s="5">
        <v>13449</v>
      </c>
      <c r="AS590" s="5" t="s">
        <v>16</v>
      </c>
      <c r="AT590" s="5" t="s">
        <v>3518</v>
      </c>
      <c r="AU590" s="5" t="s">
        <v>3519</v>
      </c>
      <c r="AV590" s="5" t="s">
        <v>3521</v>
      </c>
    </row>
    <row r="591" spans="1:48" ht="45" customHeight="1" x14ac:dyDescent="0.15">
      <c r="A591" s="5" t="s">
        <v>3522</v>
      </c>
      <c r="B591" s="5">
        <v>2002</v>
      </c>
      <c r="C591" s="5" t="s">
        <v>3523</v>
      </c>
      <c r="D591" s="5" t="s">
        <v>1531</v>
      </c>
      <c r="E591" s="5" t="s">
        <v>18453</v>
      </c>
      <c r="F591" s="5" t="s">
        <v>3526</v>
      </c>
      <c r="G591" s="5"/>
      <c r="H591" s="5"/>
      <c r="I591" s="5"/>
      <c r="J591" s="5"/>
      <c r="K591" s="5"/>
      <c r="L591" s="5"/>
      <c r="M591" s="5"/>
      <c r="N591" s="5"/>
      <c r="O591" s="5"/>
      <c r="P591" s="5"/>
      <c r="Q591" s="5"/>
      <c r="AL591" s="7" t="str">
        <f>HYPERLINK("http://dx.doi.org/10.2307/1468438","http://dx.doi.org/10.2307/1468438")</f>
        <v>http://dx.doi.org/10.2307/1468438</v>
      </c>
      <c r="AM591" s="5">
        <v>76</v>
      </c>
      <c r="AN591" s="5">
        <v>79</v>
      </c>
      <c r="AO591" s="5">
        <v>21</v>
      </c>
      <c r="AP591" s="5">
        <v>4</v>
      </c>
      <c r="AQ591" s="5">
        <v>676</v>
      </c>
      <c r="AR591" s="5">
        <v>685</v>
      </c>
      <c r="AS591" s="5" t="s">
        <v>16</v>
      </c>
      <c r="AT591" s="5" t="s">
        <v>3524</v>
      </c>
      <c r="AU591" s="5" t="s">
        <v>3525</v>
      </c>
      <c r="AV591" s="5" t="s">
        <v>3527</v>
      </c>
    </row>
    <row r="592" spans="1:48" ht="45" customHeight="1" x14ac:dyDescent="0.15">
      <c r="A592" s="5" t="s">
        <v>3528</v>
      </c>
      <c r="B592" s="5">
        <v>2019</v>
      </c>
      <c r="C592" s="5" t="s">
        <v>3529</v>
      </c>
      <c r="D592" s="5" t="s">
        <v>190</v>
      </c>
      <c r="E592" s="5" t="s">
        <v>18453</v>
      </c>
      <c r="F592" s="5" t="s">
        <v>3532</v>
      </c>
      <c r="G592" s="5"/>
      <c r="H592" s="5"/>
      <c r="I592" s="5"/>
      <c r="J592" s="5"/>
      <c r="K592" s="5"/>
      <c r="L592" s="5"/>
      <c r="M592" s="5"/>
      <c r="N592" s="5"/>
      <c r="O592" s="5"/>
      <c r="P592" s="5"/>
      <c r="Q592" s="5"/>
      <c r="AL592" s="7" t="str">
        <f>HYPERLINK("http://dx.doi.org/10.1007/s10530-018-1881-2","http://dx.doi.org/10.1007/s10530-018-1881-2")</f>
        <v>http://dx.doi.org/10.1007/s10530-018-1881-2</v>
      </c>
      <c r="AM592" s="5">
        <v>23</v>
      </c>
      <c r="AN592" s="5">
        <v>24</v>
      </c>
      <c r="AO592" s="5">
        <v>21</v>
      </c>
      <c r="AP592" s="5">
        <v>3</v>
      </c>
      <c r="AQ592" s="5">
        <v>1007</v>
      </c>
      <c r="AR592" s="5">
        <v>1020</v>
      </c>
      <c r="AS592" s="5" t="s">
        <v>16</v>
      </c>
      <c r="AT592" s="5" t="s">
        <v>3530</v>
      </c>
      <c r="AU592" s="5" t="s">
        <v>3531</v>
      </c>
      <c r="AV592" s="5" t="s">
        <v>3533</v>
      </c>
    </row>
    <row r="593" spans="1:48" ht="45" customHeight="1" x14ac:dyDescent="0.15">
      <c r="A593" s="5" t="s">
        <v>3534</v>
      </c>
      <c r="B593" s="5">
        <v>2010</v>
      </c>
      <c r="C593" s="5" t="s">
        <v>3535</v>
      </c>
      <c r="D593" s="5" t="s">
        <v>172</v>
      </c>
      <c r="E593" s="5" t="s">
        <v>18453</v>
      </c>
      <c r="F593" s="5" t="s">
        <v>3538</v>
      </c>
      <c r="G593" s="5"/>
      <c r="H593" s="5"/>
      <c r="I593" s="5"/>
      <c r="J593" s="5"/>
      <c r="K593" s="5"/>
      <c r="L593" s="5"/>
      <c r="M593" s="5"/>
      <c r="N593" s="5"/>
      <c r="O593" s="5"/>
      <c r="P593" s="5"/>
      <c r="Q593" s="5"/>
      <c r="AL593" s="7" t="str">
        <f>HYPERLINK("http://dx.doi.org/10.1007/s00442-010-1725-y","http://dx.doi.org/10.1007/s00442-010-1725-y")</f>
        <v>http://dx.doi.org/10.1007/s00442-010-1725-y</v>
      </c>
      <c r="AM593" s="5">
        <v>124</v>
      </c>
      <c r="AN593" s="5">
        <v>133</v>
      </c>
      <c r="AO593" s="5">
        <v>164</v>
      </c>
      <c r="AP593" s="5">
        <v>4</v>
      </c>
      <c r="AQ593" s="5">
        <v>881</v>
      </c>
      <c r="AR593" s="5">
        <v>890</v>
      </c>
      <c r="AS593" s="5" t="s">
        <v>16</v>
      </c>
      <c r="AT593" s="5" t="s">
        <v>3536</v>
      </c>
      <c r="AU593" s="5" t="s">
        <v>3537</v>
      </c>
      <c r="AV593" s="5" t="s">
        <v>3539</v>
      </c>
    </row>
    <row r="594" spans="1:48" ht="45" customHeight="1" x14ac:dyDescent="0.15">
      <c r="A594" s="5" t="s">
        <v>3540</v>
      </c>
      <c r="B594" s="5">
        <v>2013</v>
      </c>
      <c r="C594" s="5" t="s">
        <v>3541</v>
      </c>
      <c r="D594" s="5" t="s">
        <v>49</v>
      </c>
      <c r="E594" s="5" t="s">
        <v>18453</v>
      </c>
      <c r="F594" s="5" t="s">
        <v>3544</v>
      </c>
      <c r="G594" s="5"/>
      <c r="H594" s="5"/>
      <c r="I594" s="5"/>
      <c r="J594" s="5"/>
      <c r="K594" s="5"/>
      <c r="L594" s="5"/>
      <c r="M594" s="5"/>
      <c r="N594" s="5"/>
      <c r="O594" s="5"/>
      <c r="P594" s="5"/>
      <c r="Q594" s="5"/>
      <c r="AL594" s="7" t="str">
        <f>HYPERLINK("http://dx.doi.org/10.3354/meps10280","http://dx.doi.org/10.3354/meps10280")</f>
        <v>http://dx.doi.org/10.3354/meps10280</v>
      </c>
      <c r="AM594" s="5">
        <v>22</v>
      </c>
      <c r="AN594" s="5">
        <v>22</v>
      </c>
      <c r="AO594" s="5">
        <v>483</v>
      </c>
      <c r="AP594" s="5" t="s">
        <v>16</v>
      </c>
      <c r="AQ594" s="5">
        <v>273</v>
      </c>
      <c r="AR594" s="5">
        <v>287</v>
      </c>
      <c r="AS594" s="5" t="s">
        <v>16</v>
      </c>
      <c r="AT594" s="5" t="s">
        <v>3542</v>
      </c>
      <c r="AU594" s="5" t="s">
        <v>3543</v>
      </c>
      <c r="AV594" s="5" t="s">
        <v>3545</v>
      </c>
    </row>
    <row r="595" spans="1:48" ht="45" customHeight="1" x14ac:dyDescent="0.15">
      <c r="A595" s="5" t="s">
        <v>3546</v>
      </c>
      <c r="B595" s="5">
        <v>2013</v>
      </c>
      <c r="C595" s="5" t="s">
        <v>3547</v>
      </c>
      <c r="D595" s="5" t="s">
        <v>116</v>
      </c>
      <c r="E595" s="5" t="s">
        <v>18453</v>
      </c>
      <c r="F595" s="5" t="s">
        <v>3550</v>
      </c>
      <c r="G595" s="5"/>
      <c r="H595" s="5"/>
      <c r="I595" s="5"/>
      <c r="J595" s="5"/>
      <c r="K595" s="5"/>
      <c r="L595" s="5"/>
      <c r="M595" s="5"/>
      <c r="N595" s="5"/>
      <c r="O595" s="5"/>
      <c r="P595" s="5"/>
      <c r="Q595" s="5"/>
      <c r="AL595" s="7" t="str">
        <f>HYPERLINK("http://dx.doi.org/10.1007/s10641-012-0087-1","http://dx.doi.org/10.1007/s10641-012-0087-1")</f>
        <v>http://dx.doi.org/10.1007/s10641-012-0087-1</v>
      </c>
      <c r="AM595" s="5">
        <v>4</v>
      </c>
      <c r="AN595" s="5">
        <v>4</v>
      </c>
      <c r="AO595" s="5">
        <v>96</v>
      </c>
      <c r="AP595" s="5">
        <v>8</v>
      </c>
      <c r="AQ595" s="5">
        <v>915</v>
      </c>
      <c r="AR595" s="5">
        <v>926</v>
      </c>
      <c r="AS595" s="5" t="s">
        <v>16</v>
      </c>
      <c r="AT595" s="5" t="s">
        <v>3548</v>
      </c>
      <c r="AU595" s="5" t="s">
        <v>3549</v>
      </c>
      <c r="AV595" s="5" t="s">
        <v>3551</v>
      </c>
    </row>
    <row r="596" spans="1:48" ht="45" customHeight="1" x14ac:dyDescent="0.15">
      <c r="A596" s="5" t="s">
        <v>3552</v>
      </c>
      <c r="B596" s="5">
        <v>2013</v>
      </c>
      <c r="C596" s="5" t="s">
        <v>3553</v>
      </c>
      <c r="D596" s="5" t="s">
        <v>17</v>
      </c>
      <c r="E596" s="5" t="s">
        <v>18453</v>
      </c>
      <c r="F596" s="5" t="s">
        <v>3556</v>
      </c>
      <c r="G596" s="5"/>
      <c r="H596" s="5"/>
      <c r="I596" s="5"/>
      <c r="J596" s="5"/>
      <c r="K596" s="5"/>
      <c r="L596" s="5"/>
      <c r="M596" s="5"/>
      <c r="N596" s="5"/>
      <c r="O596" s="5"/>
      <c r="P596" s="5"/>
      <c r="Q596" s="5"/>
      <c r="AL596" s="7" t="str">
        <f>HYPERLINK("http://dx.doi.org/10.1111/fwb.12218","http://dx.doi.org/10.1111/fwb.12218")</f>
        <v>http://dx.doi.org/10.1111/fwb.12218</v>
      </c>
      <c r="AM596" s="5">
        <v>21</v>
      </c>
      <c r="AN596" s="5">
        <v>22</v>
      </c>
      <c r="AO596" s="5">
        <v>58</v>
      </c>
      <c r="AP596" s="5">
        <v>11</v>
      </c>
      <c r="AQ596" s="5">
        <v>2389</v>
      </c>
      <c r="AR596" s="5">
        <v>2400</v>
      </c>
      <c r="AS596" s="5" t="s">
        <v>16</v>
      </c>
      <c r="AT596" s="5" t="s">
        <v>3554</v>
      </c>
      <c r="AU596" s="5" t="s">
        <v>3555</v>
      </c>
      <c r="AV596" s="5" t="s">
        <v>3557</v>
      </c>
    </row>
    <row r="597" spans="1:48" ht="45" customHeight="1" x14ac:dyDescent="0.15">
      <c r="A597" s="5" t="s">
        <v>261</v>
      </c>
      <c r="B597" s="5">
        <v>2014</v>
      </c>
      <c r="C597" s="5" t="s">
        <v>3558</v>
      </c>
      <c r="D597" s="5" t="s">
        <v>62</v>
      </c>
      <c r="E597" s="5" t="s">
        <v>18453</v>
      </c>
      <c r="F597" s="5" t="s">
        <v>3561</v>
      </c>
      <c r="G597" s="5"/>
      <c r="H597" s="5"/>
      <c r="I597" s="5"/>
      <c r="J597" s="5"/>
      <c r="K597" s="5"/>
      <c r="L597" s="5"/>
      <c r="M597" s="5"/>
      <c r="N597" s="5"/>
      <c r="O597" s="5"/>
      <c r="P597" s="5"/>
      <c r="Q597" s="5"/>
      <c r="AL597" s="7" t="str">
        <f>HYPERLINK("http://dx.doi.org/10.1007/s10021-013-9733-5","http://dx.doi.org/10.1007/s10021-013-9733-5")</f>
        <v>http://dx.doi.org/10.1007/s10021-013-9733-5</v>
      </c>
      <c r="AM597" s="5">
        <v>8</v>
      </c>
      <c r="AN597" s="5">
        <v>9</v>
      </c>
      <c r="AO597" s="5">
        <v>17</v>
      </c>
      <c r="AP597" s="5">
        <v>3</v>
      </c>
      <c r="AQ597" s="5">
        <v>442</v>
      </c>
      <c r="AR597" s="5">
        <v>457</v>
      </c>
      <c r="AS597" s="5" t="s">
        <v>16</v>
      </c>
      <c r="AT597" s="5" t="s">
        <v>3559</v>
      </c>
      <c r="AU597" s="5" t="s">
        <v>3560</v>
      </c>
      <c r="AV597" s="5" t="s">
        <v>3562</v>
      </c>
    </row>
    <row r="598" spans="1:48" ht="45" customHeight="1" x14ac:dyDescent="0.15">
      <c r="A598" s="5" t="s">
        <v>3563</v>
      </c>
      <c r="B598" s="5">
        <v>2015</v>
      </c>
      <c r="C598" s="5" t="s">
        <v>3564</v>
      </c>
      <c r="D598" s="5" t="s">
        <v>513</v>
      </c>
      <c r="E598" s="5" t="s">
        <v>18453</v>
      </c>
      <c r="F598" s="5" t="s">
        <v>3567</v>
      </c>
      <c r="G598" s="5"/>
      <c r="H598" s="5"/>
      <c r="I598" s="5"/>
      <c r="J598" s="5"/>
      <c r="K598" s="5"/>
      <c r="L598" s="5"/>
      <c r="M598" s="5"/>
      <c r="N598" s="5"/>
      <c r="O598" s="5"/>
      <c r="P598" s="5"/>
      <c r="Q598" s="5"/>
      <c r="AL598" s="7" t="str">
        <f>HYPERLINK("http://dx.doi.org/10.1016/j.ecoleng.2015.01.013","http://dx.doi.org/10.1016/j.ecoleng.2015.01.013")</f>
        <v>http://dx.doi.org/10.1016/j.ecoleng.2015.01.013</v>
      </c>
      <c r="AM598" s="5">
        <v>33</v>
      </c>
      <c r="AN598" s="5">
        <v>40</v>
      </c>
      <c r="AO598" s="5">
        <v>77</v>
      </c>
      <c r="AP598" s="5" t="s">
        <v>16</v>
      </c>
      <c r="AQ598" s="5">
        <v>65</v>
      </c>
      <c r="AR598" s="5">
        <v>73</v>
      </c>
      <c r="AS598" s="5" t="s">
        <v>16</v>
      </c>
      <c r="AT598" s="5" t="s">
        <v>3565</v>
      </c>
      <c r="AU598" s="5" t="s">
        <v>3566</v>
      </c>
      <c r="AV598" s="5" t="s">
        <v>3568</v>
      </c>
    </row>
    <row r="599" spans="1:48" ht="45" customHeight="1" x14ac:dyDescent="0.15">
      <c r="A599" s="5" t="s">
        <v>3569</v>
      </c>
      <c r="B599" s="5">
        <v>2019</v>
      </c>
      <c r="C599" s="5" t="s">
        <v>3570</v>
      </c>
      <c r="D599" s="5" t="s">
        <v>62</v>
      </c>
      <c r="E599" s="5" t="s">
        <v>18453</v>
      </c>
      <c r="F599" s="5" t="s">
        <v>3573</v>
      </c>
      <c r="G599" s="5"/>
      <c r="H599" s="5"/>
      <c r="I599" s="5"/>
      <c r="J599" s="5"/>
      <c r="K599" s="5"/>
      <c r="L599" s="5"/>
      <c r="M599" s="5"/>
      <c r="N599" s="5"/>
      <c r="O599" s="5"/>
      <c r="P599" s="5"/>
      <c r="Q599" s="5"/>
      <c r="AL599" s="7" t="str">
        <f>HYPERLINK("http://dx.doi.org/10.1007/s10021-018-0273-x","http://dx.doi.org/10.1007/s10021-018-0273-x")</f>
        <v>http://dx.doi.org/10.1007/s10021-018-0273-x</v>
      </c>
      <c r="AM599" s="5">
        <v>16</v>
      </c>
      <c r="AN599" s="5">
        <v>17</v>
      </c>
      <c r="AO599" s="5">
        <v>22</v>
      </c>
      <c r="AP599" s="5">
        <v>2</v>
      </c>
      <c r="AQ599" s="5">
        <v>346</v>
      </c>
      <c r="AR599" s="5">
        <v>362</v>
      </c>
      <c r="AS599" s="5" t="s">
        <v>16</v>
      </c>
      <c r="AT599" s="5" t="s">
        <v>3571</v>
      </c>
      <c r="AU599" s="5" t="s">
        <v>3572</v>
      </c>
      <c r="AV599" s="5" t="s">
        <v>3574</v>
      </c>
    </row>
    <row r="600" spans="1:48" ht="45" customHeight="1" x14ac:dyDescent="0.15">
      <c r="A600" s="5" t="s">
        <v>3575</v>
      </c>
      <c r="B600" s="5">
        <v>2019</v>
      </c>
      <c r="C600" s="5" t="s">
        <v>3576</v>
      </c>
      <c r="D600" s="5" t="s">
        <v>190</v>
      </c>
      <c r="E600" s="5" t="s">
        <v>18453</v>
      </c>
      <c r="F600" s="5" t="s">
        <v>3579</v>
      </c>
      <c r="G600" s="5"/>
      <c r="H600" s="5"/>
      <c r="I600" s="5"/>
      <c r="J600" s="5"/>
      <c r="K600" s="5"/>
      <c r="L600" s="5"/>
      <c r="M600" s="5"/>
      <c r="N600" s="5"/>
      <c r="O600" s="5"/>
      <c r="P600" s="5"/>
      <c r="Q600" s="5"/>
      <c r="AL600" s="7" t="str">
        <f>HYPERLINK("http://dx.doi.org/10.1007/s10530-018-1832-y","http://dx.doi.org/10.1007/s10530-018-1832-y")</f>
        <v>http://dx.doi.org/10.1007/s10530-018-1832-y</v>
      </c>
      <c r="AM600" s="5">
        <v>12</v>
      </c>
      <c r="AN600" s="5">
        <v>12</v>
      </c>
      <c r="AO600" s="5">
        <v>21</v>
      </c>
      <c r="AP600" s="5">
        <v>2</v>
      </c>
      <c r="AQ600" s="5">
        <v>315</v>
      </c>
      <c r="AR600" s="5">
        <v>321</v>
      </c>
      <c r="AS600" s="5" t="s">
        <v>16</v>
      </c>
      <c r="AT600" s="5" t="s">
        <v>3577</v>
      </c>
      <c r="AU600" s="5" t="s">
        <v>3578</v>
      </c>
      <c r="AV600" s="5" t="s">
        <v>3580</v>
      </c>
    </row>
    <row r="601" spans="1:48" ht="45" customHeight="1" x14ac:dyDescent="0.15">
      <c r="A601" s="5" t="s">
        <v>3581</v>
      </c>
      <c r="B601" s="5">
        <v>2019</v>
      </c>
      <c r="C601" s="5" t="s">
        <v>3582</v>
      </c>
      <c r="D601" s="5" t="s">
        <v>161</v>
      </c>
      <c r="E601" s="5" t="s">
        <v>18453</v>
      </c>
      <c r="F601" s="5" t="s">
        <v>3585</v>
      </c>
      <c r="G601" s="5"/>
      <c r="H601" s="5"/>
      <c r="I601" s="5"/>
      <c r="J601" s="5"/>
      <c r="K601" s="5"/>
      <c r="L601" s="5"/>
      <c r="M601" s="5"/>
      <c r="N601" s="5"/>
      <c r="O601" s="5"/>
      <c r="P601" s="5"/>
      <c r="Q601" s="5"/>
      <c r="AL601" s="7" t="str">
        <f>HYPERLINK("http://dx.doi.org/10.1111/geb.12925","http://dx.doi.org/10.1111/geb.12925")</f>
        <v>http://dx.doi.org/10.1111/geb.12925</v>
      </c>
      <c r="AM601" s="5">
        <v>24</v>
      </c>
      <c r="AN601" s="5">
        <v>25</v>
      </c>
      <c r="AO601" s="5">
        <v>28</v>
      </c>
      <c r="AP601" s="5">
        <v>9</v>
      </c>
      <c r="AQ601" s="5">
        <v>1204</v>
      </c>
      <c r="AR601" s="5">
        <v>1218</v>
      </c>
      <c r="AS601" s="5" t="s">
        <v>16</v>
      </c>
      <c r="AT601" s="5" t="s">
        <v>3583</v>
      </c>
      <c r="AU601" s="5" t="s">
        <v>3584</v>
      </c>
      <c r="AV601" s="5" t="s">
        <v>3586</v>
      </c>
    </row>
    <row r="602" spans="1:48" ht="45" customHeight="1" x14ac:dyDescent="0.15">
      <c r="A602" s="5" t="s">
        <v>3587</v>
      </c>
      <c r="B602" s="5">
        <v>2013</v>
      </c>
      <c r="C602" s="5" t="s">
        <v>3588</v>
      </c>
      <c r="D602" s="5" t="s">
        <v>62</v>
      </c>
      <c r="E602" s="5" t="s">
        <v>18453</v>
      </c>
      <c r="F602" s="5" t="s">
        <v>3591</v>
      </c>
      <c r="G602" s="5"/>
      <c r="H602" s="5"/>
      <c r="I602" s="5"/>
      <c r="J602" s="5"/>
      <c r="K602" s="5"/>
      <c r="L602" s="5"/>
      <c r="M602" s="5"/>
      <c r="N602" s="5"/>
      <c r="O602" s="5"/>
      <c r="P602" s="5"/>
      <c r="Q602" s="5"/>
      <c r="AL602" s="7" t="str">
        <f>HYPERLINK("http://dx.doi.org/10.1007/s10021-013-9687-7","http://dx.doi.org/10.1007/s10021-013-9687-7")</f>
        <v>http://dx.doi.org/10.1007/s10021-013-9687-7</v>
      </c>
      <c r="AM602" s="5">
        <v>45</v>
      </c>
      <c r="AN602" s="5">
        <v>45</v>
      </c>
      <c r="AO602" s="5">
        <v>16</v>
      </c>
      <c r="AP602" s="5">
        <v>7</v>
      </c>
      <c r="AQ602" s="5">
        <v>1336</v>
      </c>
      <c r="AR602" s="5">
        <v>1352</v>
      </c>
      <c r="AS602" s="5" t="s">
        <v>16</v>
      </c>
      <c r="AT602" s="5" t="s">
        <v>3589</v>
      </c>
      <c r="AU602" s="5" t="s">
        <v>3590</v>
      </c>
      <c r="AV602" s="5" t="s">
        <v>3592</v>
      </c>
    </row>
    <row r="603" spans="1:48" ht="45" customHeight="1" x14ac:dyDescent="0.15">
      <c r="A603" s="5" t="s">
        <v>3593</v>
      </c>
      <c r="B603" s="5">
        <v>2014</v>
      </c>
      <c r="C603" s="5" t="s">
        <v>3594</v>
      </c>
      <c r="D603" s="5" t="s">
        <v>83</v>
      </c>
      <c r="E603" s="5" t="s">
        <v>18453</v>
      </c>
      <c r="F603" s="5" t="s">
        <v>3597</v>
      </c>
      <c r="G603" s="5"/>
      <c r="H603" s="5"/>
      <c r="I603" s="5"/>
      <c r="J603" s="5"/>
      <c r="K603" s="5"/>
      <c r="L603" s="5"/>
      <c r="M603" s="5"/>
      <c r="N603" s="5"/>
      <c r="O603" s="5"/>
      <c r="P603" s="5"/>
      <c r="Q603" s="5"/>
      <c r="AL603" s="7" t="str">
        <f>HYPERLINK("http://dx.doi.org/10.1007/s10646-013-1167-5","http://dx.doi.org/10.1007/s10646-013-1167-5")</f>
        <v>http://dx.doi.org/10.1007/s10646-013-1167-5</v>
      </c>
      <c r="AM603" s="5">
        <v>11</v>
      </c>
      <c r="AN603" s="5">
        <v>11</v>
      </c>
      <c r="AO603" s="5">
        <v>23</v>
      </c>
      <c r="AP603" s="5">
        <v>2</v>
      </c>
      <c r="AQ603" s="5">
        <v>236</v>
      </c>
      <c r="AR603" s="5">
        <v>251</v>
      </c>
      <c r="AS603" s="5" t="s">
        <v>16</v>
      </c>
      <c r="AT603" s="5" t="s">
        <v>3595</v>
      </c>
      <c r="AU603" s="5" t="s">
        <v>3596</v>
      </c>
      <c r="AV603" s="5" t="s">
        <v>3598</v>
      </c>
    </row>
    <row r="604" spans="1:48" ht="45" customHeight="1" x14ac:dyDescent="0.15">
      <c r="A604" s="5" t="s">
        <v>3599</v>
      </c>
      <c r="B604" s="5">
        <v>2011</v>
      </c>
      <c r="C604" s="5" t="s">
        <v>3600</v>
      </c>
      <c r="D604" s="5" t="s">
        <v>57</v>
      </c>
      <c r="E604" s="5" t="s">
        <v>18453</v>
      </c>
      <c r="F604" s="5" t="s">
        <v>3603</v>
      </c>
      <c r="G604" s="5"/>
      <c r="H604" s="5"/>
      <c r="I604" s="5"/>
      <c r="J604" s="5"/>
      <c r="K604" s="5"/>
      <c r="L604" s="5"/>
      <c r="M604" s="5"/>
      <c r="N604" s="5"/>
      <c r="O604" s="5"/>
      <c r="P604" s="5"/>
      <c r="Q604" s="5"/>
      <c r="AL604" s="7" t="str">
        <f>HYPERLINK("http://dx.doi.org/10.1098/rsbl.2010.1171","http://dx.doi.org/10.1098/rsbl.2010.1171")</f>
        <v>http://dx.doi.org/10.1098/rsbl.2010.1171</v>
      </c>
      <c r="AM604" s="5">
        <v>5</v>
      </c>
      <c r="AN604" s="5">
        <v>5</v>
      </c>
      <c r="AO604" s="5">
        <v>7</v>
      </c>
      <c r="AP604" s="5">
        <v>4</v>
      </c>
      <c r="AQ604" s="5">
        <v>601</v>
      </c>
      <c r="AR604" s="5">
        <v>604</v>
      </c>
      <c r="AS604" s="5" t="s">
        <v>16</v>
      </c>
      <c r="AT604" s="5" t="s">
        <v>3601</v>
      </c>
      <c r="AU604" s="5" t="s">
        <v>3602</v>
      </c>
      <c r="AV604" s="5" t="s">
        <v>3604</v>
      </c>
    </row>
    <row r="605" spans="1:48" ht="45" customHeight="1" x14ac:dyDescent="0.15">
      <c r="A605" s="5" t="s">
        <v>3605</v>
      </c>
      <c r="B605" s="5">
        <v>2014</v>
      </c>
      <c r="C605" s="5" t="s">
        <v>3606</v>
      </c>
      <c r="D605" s="5" t="s">
        <v>27</v>
      </c>
      <c r="E605" s="5" t="s">
        <v>18453</v>
      </c>
      <c r="F605" s="5" t="s">
        <v>3609</v>
      </c>
      <c r="G605" s="5"/>
      <c r="H605" s="5"/>
      <c r="I605" s="5"/>
      <c r="J605" s="5"/>
      <c r="K605" s="5"/>
      <c r="L605" s="5"/>
      <c r="M605" s="5"/>
      <c r="N605" s="5"/>
      <c r="O605" s="5"/>
      <c r="P605" s="5"/>
      <c r="Q605" s="5"/>
      <c r="AL605" s="7" t="str">
        <f>HYPERLINK("http://dx.doi.org/10.1890/13-0264.1","http://dx.doi.org/10.1890/13-0264.1")</f>
        <v>http://dx.doi.org/10.1890/13-0264.1</v>
      </c>
      <c r="AM605" s="5">
        <v>40</v>
      </c>
      <c r="AN605" s="5">
        <v>41</v>
      </c>
      <c r="AO605" s="5">
        <v>95</v>
      </c>
      <c r="AP605" s="5">
        <v>2</v>
      </c>
      <c r="AQ605" s="5">
        <v>538</v>
      </c>
      <c r="AR605" s="5">
        <v>552</v>
      </c>
      <c r="AS605" s="5" t="s">
        <v>16</v>
      </c>
      <c r="AT605" s="5" t="s">
        <v>3607</v>
      </c>
      <c r="AU605" s="5" t="s">
        <v>3608</v>
      </c>
      <c r="AV605" s="5" t="s">
        <v>3610</v>
      </c>
    </row>
    <row r="606" spans="1:48" ht="45" customHeight="1" x14ac:dyDescent="0.15">
      <c r="A606" s="5" t="s">
        <v>3611</v>
      </c>
      <c r="B606" s="5">
        <v>2019</v>
      </c>
      <c r="C606" s="5" t="s">
        <v>3612</v>
      </c>
      <c r="D606" s="5" t="s">
        <v>1445</v>
      </c>
      <c r="E606" s="5" t="s">
        <v>18453</v>
      </c>
      <c r="F606" s="5" t="s">
        <v>3615</v>
      </c>
      <c r="G606" s="5"/>
      <c r="H606" s="5"/>
      <c r="I606" s="5"/>
      <c r="J606" s="5"/>
      <c r="K606" s="5"/>
      <c r="L606" s="5"/>
      <c r="M606" s="5"/>
      <c r="N606" s="5"/>
      <c r="O606" s="5"/>
      <c r="P606" s="5"/>
      <c r="Q606" s="5"/>
      <c r="AL606" s="7" t="str">
        <f>HYPERLINK("http://dx.doi.org/10.1080/02705060.2019.1581101","http://dx.doi.org/10.1080/02705060.2019.1581101")</f>
        <v>http://dx.doi.org/10.1080/02705060.2019.1581101</v>
      </c>
      <c r="AM606" s="5">
        <v>7</v>
      </c>
      <c r="AN606" s="5">
        <v>7</v>
      </c>
      <c r="AO606" s="5">
        <v>34</v>
      </c>
      <c r="AP606" s="5">
        <v>1</v>
      </c>
      <c r="AQ606" s="5">
        <v>231</v>
      </c>
      <c r="AR606" s="5">
        <v>247</v>
      </c>
      <c r="AS606" s="5" t="s">
        <v>16</v>
      </c>
      <c r="AT606" s="5" t="s">
        <v>3613</v>
      </c>
      <c r="AU606" s="5" t="s">
        <v>3614</v>
      </c>
      <c r="AV606" s="5" t="s">
        <v>3616</v>
      </c>
    </row>
    <row r="607" spans="1:48" ht="45" customHeight="1" x14ac:dyDescent="0.15">
      <c r="A607" s="5" t="s">
        <v>3617</v>
      </c>
      <c r="B607" s="5">
        <v>2021</v>
      </c>
      <c r="C607" s="5" t="s">
        <v>3618</v>
      </c>
      <c r="D607" s="5" t="s">
        <v>116</v>
      </c>
      <c r="E607" s="5" t="s">
        <v>18453</v>
      </c>
      <c r="F607" s="5" t="s">
        <v>3621</v>
      </c>
      <c r="G607" s="5"/>
      <c r="H607" s="5"/>
      <c r="I607" s="5"/>
      <c r="J607" s="5"/>
      <c r="K607" s="5"/>
      <c r="L607" s="5"/>
      <c r="M607" s="5"/>
      <c r="N607" s="5"/>
      <c r="O607" s="5"/>
      <c r="P607" s="5"/>
      <c r="Q607" s="5"/>
      <c r="AL607" s="7" t="str">
        <f>HYPERLINK("http://dx.doi.org/10.1007/s10641-021-01157-w","http://dx.doi.org/10.1007/s10641-021-01157-w")</f>
        <v>http://dx.doi.org/10.1007/s10641-021-01157-w</v>
      </c>
      <c r="AM607" s="5">
        <v>0</v>
      </c>
      <c r="AN607" s="5">
        <v>0</v>
      </c>
      <c r="AO607" s="5">
        <v>104</v>
      </c>
      <c r="AP607" s="5">
        <v>12</v>
      </c>
      <c r="AQ607" s="5">
        <v>1525</v>
      </c>
      <c r="AR607" s="5">
        <v>1540</v>
      </c>
      <c r="AS607" s="5" t="s">
        <v>16</v>
      </c>
      <c r="AT607" s="5" t="s">
        <v>3619</v>
      </c>
      <c r="AU607" s="5" t="s">
        <v>3620</v>
      </c>
      <c r="AV607" s="5" t="s">
        <v>3622</v>
      </c>
    </row>
    <row r="608" spans="1:48" ht="45" customHeight="1" x14ac:dyDescent="0.15">
      <c r="A608" s="5" t="s">
        <v>3623</v>
      </c>
      <c r="B608" s="5">
        <v>2020</v>
      </c>
      <c r="C608" s="5" t="s">
        <v>3624</v>
      </c>
      <c r="D608" s="5" t="s">
        <v>190</v>
      </c>
      <c r="E608" s="5" t="s">
        <v>18453</v>
      </c>
      <c r="F608" s="5" t="s">
        <v>3627</v>
      </c>
      <c r="G608" s="5"/>
      <c r="H608" s="5"/>
      <c r="I608" s="5"/>
      <c r="J608" s="5"/>
      <c r="K608" s="5"/>
      <c r="L608" s="5"/>
      <c r="M608" s="5"/>
      <c r="N608" s="5"/>
      <c r="O608" s="5"/>
      <c r="P608" s="5"/>
      <c r="Q608" s="5"/>
      <c r="AL608" s="7" t="str">
        <f>HYPERLINK("http://dx.doi.org/10.1007/s10530-019-02113-7","http://dx.doi.org/10.1007/s10530-019-02113-7")</f>
        <v>http://dx.doi.org/10.1007/s10530-019-02113-7</v>
      </c>
      <c r="AM608" s="5">
        <v>6</v>
      </c>
      <c r="AN608" s="5">
        <v>6</v>
      </c>
      <c r="AO608" s="5">
        <v>22</v>
      </c>
      <c r="AP608" s="5">
        <v>2</v>
      </c>
      <c r="AQ608" s="5">
        <v>509</v>
      </c>
      <c r="AR608" s="5">
        <v>522</v>
      </c>
      <c r="AS608" s="5" t="s">
        <v>16</v>
      </c>
      <c r="AT608" s="5" t="s">
        <v>3625</v>
      </c>
      <c r="AU608" s="5" t="s">
        <v>3626</v>
      </c>
      <c r="AV608" s="5" t="s">
        <v>3628</v>
      </c>
    </row>
    <row r="609" spans="1:48" ht="45" customHeight="1" x14ac:dyDescent="0.15">
      <c r="A609" s="5" t="s">
        <v>3629</v>
      </c>
      <c r="B609" s="5">
        <v>2022</v>
      </c>
      <c r="C609" s="5" t="s">
        <v>3630</v>
      </c>
      <c r="D609" s="5" t="s">
        <v>44</v>
      </c>
      <c r="E609" s="5" t="s">
        <v>18453</v>
      </c>
      <c r="F609" s="5" t="s">
        <v>3633</v>
      </c>
      <c r="G609" s="5"/>
      <c r="H609" s="5"/>
      <c r="I609" s="5"/>
      <c r="J609" s="5"/>
      <c r="K609" s="5"/>
      <c r="L609" s="5"/>
      <c r="M609" s="5"/>
      <c r="N609" s="5"/>
      <c r="O609" s="5"/>
      <c r="P609" s="5"/>
      <c r="Q609" s="5"/>
      <c r="AL609" s="7" t="str">
        <f>HYPERLINK("http://dx.doi.org/10.3389/fevo.2022.886372","http://dx.doi.org/10.3389/fevo.2022.886372")</f>
        <v>http://dx.doi.org/10.3389/fevo.2022.886372</v>
      </c>
      <c r="AM609" s="5">
        <v>0</v>
      </c>
      <c r="AN609" s="5">
        <v>0</v>
      </c>
      <c r="AO609" s="5">
        <v>10</v>
      </c>
      <c r="AP609" s="5" t="s">
        <v>16</v>
      </c>
      <c r="AQ609" s="5" t="s">
        <v>16</v>
      </c>
      <c r="AR609" s="5" t="s">
        <v>16</v>
      </c>
      <c r="AS609" s="5">
        <v>886372</v>
      </c>
      <c r="AT609" s="5" t="s">
        <v>3631</v>
      </c>
      <c r="AU609" s="5" t="s">
        <v>3632</v>
      </c>
      <c r="AV609" s="5" t="s">
        <v>3634</v>
      </c>
    </row>
    <row r="610" spans="1:48" ht="45" customHeight="1" x14ac:dyDescent="0.15">
      <c r="A610" s="5" t="s">
        <v>3635</v>
      </c>
      <c r="B610" s="5">
        <v>2009</v>
      </c>
      <c r="C610" s="5" t="s">
        <v>3636</v>
      </c>
      <c r="D610" s="5" t="s">
        <v>1765</v>
      </c>
      <c r="E610" s="5" t="s">
        <v>18453</v>
      </c>
      <c r="F610" s="5" t="s">
        <v>3639</v>
      </c>
      <c r="G610" s="5"/>
      <c r="H610" s="5"/>
      <c r="I610" s="5"/>
      <c r="J610" s="5"/>
      <c r="K610" s="5"/>
      <c r="L610" s="5"/>
      <c r="M610" s="5"/>
      <c r="N610" s="5"/>
      <c r="O610" s="5"/>
      <c r="P610" s="5"/>
      <c r="Q610" s="5"/>
      <c r="AL610" s="7" t="str">
        <f>HYPERLINK("http://dx.doi.org/10.1016/j.agee.2009.04.004","http://dx.doi.org/10.1016/j.agee.2009.04.004")</f>
        <v>http://dx.doi.org/10.1016/j.agee.2009.04.004</v>
      </c>
      <c r="AM610" s="5">
        <v>117</v>
      </c>
      <c r="AN610" s="5">
        <v>131</v>
      </c>
      <c r="AO610" s="5">
        <v>132</v>
      </c>
      <c r="AP610" s="5" t="s">
        <v>639</v>
      </c>
      <c r="AQ610" s="5">
        <v>223</v>
      </c>
      <c r="AR610" s="5">
        <v>231</v>
      </c>
      <c r="AS610" s="5" t="s">
        <v>16</v>
      </c>
      <c r="AT610" s="5" t="s">
        <v>3637</v>
      </c>
      <c r="AU610" s="5" t="s">
        <v>3638</v>
      </c>
      <c r="AV610" s="5" t="s">
        <v>3640</v>
      </c>
    </row>
    <row r="611" spans="1:48" ht="45" customHeight="1" x14ac:dyDescent="0.15">
      <c r="A611" s="5" t="s">
        <v>3641</v>
      </c>
      <c r="B611" s="5">
        <v>2023</v>
      </c>
      <c r="C611" s="5" t="s">
        <v>3642</v>
      </c>
      <c r="D611" s="5" t="s">
        <v>3183</v>
      </c>
      <c r="E611" s="5" t="s">
        <v>18453</v>
      </c>
      <c r="F611" s="5" t="s">
        <v>3645</v>
      </c>
      <c r="G611" s="5"/>
      <c r="H611" s="5"/>
      <c r="I611" s="5"/>
      <c r="J611" s="5"/>
      <c r="K611" s="5"/>
      <c r="L611" s="5"/>
      <c r="M611" s="5"/>
      <c r="N611" s="5"/>
      <c r="O611" s="5"/>
      <c r="P611" s="5"/>
      <c r="Q611" s="5"/>
      <c r="AL611" s="7" t="str">
        <f>HYPERLINK("http://dx.doi.org/10.1016/j.pedobi.2023.150863","http://dx.doi.org/10.1016/j.pedobi.2023.150863")</f>
        <v>http://dx.doi.org/10.1016/j.pedobi.2023.150863</v>
      </c>
      <c r="AM611" s="5">
        <v>0</v>
      </c>
      <c r="AN611" s="5">
        <v>0</v>
      </c>
      <c r="AO611" s="5">
        <v>96</v>
      </c>
      <c r="AP611" s="5" t="s">
        <v>16</v>
      </c>
      <c r="AQ611" s="5" t="s">
        <v>16</v>
      </c>
      <c r="AR611" s="5" t="s">
        <v>16</v>
      </c>
      <c r="AS611" s="5">
        <v>150863</v>
      </c>
      <c r="AT611" s="5" t="s">
        <v>3643</v>
      </c>
      <c r="AU611" s="5" t="s">
        <v>3644</v>
      </c>
      <c r="AV611" s="5" t="s">
        <v>3646</v>
      </c>
    </row>
    <row r="612" spans="1:48" ht="45" customHeight="1" x14ac:dyDescent="0.15">
      <c r="A612" s="5" t="s">
        <v>3647</v>
      </c>
      <c r="B612" s="5">
        <v>2010</v>
      </c>
      <c r="C612" s="5" t="s">
        <v>3648</v>
      </c>
      <c r="D612" s="5" t="s">
        <v>33</v>
      </c>
      <c r="E612" s="5" t="s">
        <v>18453</v>
      </c>
      <c r="F612" s="5" t="s">
        <v>3651</v>
      </c>
      <c r="G612" s="5"/>
      <c r="H612" s="5"/>
      <c r="I612" s="5"/>
      <c r="J612" s="5"/>
      <c r="K612" s="5"/>
      <c r="L612" s="5"/>
      <c r="M612" s="5"/>
      <c r="N612" s="5"/>
      <c r="O612" s="5"/>
      <c r="P612" s="5"/>
      <c r="Q612" s="5"/>
      <c r="AL612" s="7" t="str">
        <f>HYPERLINK("http://dx.doi.org/10.1111/j.1365-2486.2009.02042.x","http://dx.doi.org/10.1111/j.1365-2486.2009.02042.x")</f>
        <v>http://dx.doi.org/10.1111/j.1365-2486.2009.02042.x</v>
      </c>
      <c r="AM612" s="5">
        <v>71</v>
      </c>
      <c r="AN612" s="5">
        <v>73</v>
      </c>
      <c r="AO612" s="5">
        <v>16</v>
      </c>
      <c r="AP612" s="5">
        <v>4</v>
      </c>
      <c r="AQ612" s="5">
        <v>1338</v>
      </c>
      <c r="AR612" s="5">
        <v>1350</v>
      </c>
      <c r="AS612" s="5" t="s">
        <v>16</v>
      </c>
      <c r="AT612" s="5" t="s">
        <v>3649</v>
      </c>
      <c r="AU612" s="5" t="s">
        <v>3650</v>
      </c>
      <c r="AV612" s="5" t="s">
        <v>3652</v>
      </c>
    </row>
    <row r="613" spans="1:48" ht="45" customHeight="1" x14ac:dyDescent="0.15">
      <c r="A613" s="5" t="s">
        <v>3653</v>
      </c>
      <c r="B613" s="5">
        <v>2022</v>
      </c>
      <c r="C613" s="5" t="s">
        <v>3654</v>
      </c>
      <c r="D613" s="5" t="s">
        <v>973</v>
      </c>
      <c r="E613" s="5" t="s">
        <v>18453</v>
      </c>
      <c r="F613" s="5" t="s">
        <v>3656</v>
      </c>
      <c r="G613" s="5"/>
      <c r="H613" s="5"/>
      <c r="I613" s="5"/>
      <c r="J613" s="5"/>
      <c r="K613" s="5"/>
      <c r="L613" s="5"/>
      <c r="M613" s="5"/>
      <c r="N613" s="5"/>
      <c r="O613" s="5"/>
      <c r="P613" s="5"/>
      <c r="Q613" s="5"/>
      <c r="AL613" s="7" t="str">
        <f>HYPERLINK("http://dx.doi.org/10.5194/bg-19-1853-2022","http://dx.doi.org/10.5194/bg-19-1853-2022")</f>
        <v>http://dx.doi.org/10.5194/bg-19-1853-2022</v>
      </c>
      <c r="AM613" s="5">
        <v>0</v>
      </c>
      <c r="AN613" s="5">
        <v>0</v>
      </c>
      <c r="AO613" s="5">
        <v>19</v>
      </c>
      <c r="AP613" s="5">
        <v>6</v>
      </c>
      <c r="AQ613" s="5">
        <v>1853</v>
      </c>
      <c r="AR613" s="5">
        <v>1869</v>
      </c>
      <c r="AS613" s="5" t="s">
        <v>16</v>
      </c>
      <c r="AT613" s="5" t="s">
        <v>16</v>
      </c>
      <c r="AU613" s="5" t="s">
        <v>3655</v>
      </c>
      <c r="AV613" s="5" t="s">
        <v>3657</v>
      </c>
    </row>
    <row r="614" spans="1:48" ht="45" customHeight="1" x14ac:dyDescent="0.15">
      <c r="A614" s="5" t="s">
        <v>3658</v>
      </c>
      <c r="B614" s="5">
        <v>2018</v>
      </c>
      <c r="C614" s="5" t="s">
        <v>3659</v>
      </c>
      <c r="D614" s="5" t="s">
        <v>2087</v>
      </c>
      <c r="E614" s="5" t="s">
        <v>18453</v>
      </c>
      <c r="F614" s="5" t="s">
        <v>3662</v>
      </c>
      <c r="G614" s="5"/>
      <c r="H614" s="5"/>
      <c r="I614" s="5"/>
      <c r="J614" s="5"/>
      <c r="K614" s="5"/>
      <c r="L614" s="5"/>
      <c r="M614" s="5"/>
      <c r="N614" s="5"/>
      <c r="O614" s="5"/>
      <c r="P614" s="5"/>
      <c r="Q614" s="5"/>
      <c r="AL614" s="7" t="str">
        <f>HYPERLINK("http://dx.doi.org/10.1002/eco.1918","http://dx.doi.org/10.1002/eco.1918")</f>
        <v>http://dx.doi.org/10.1002/eco.1918</v>
      </c>
      <c r="AM614" s="5">
        <v>29</v>
      </c>
      <c r="AN614" s="5">
        <v>29</v>
      </c>
      <c r="AO614" s="5">
        <v>11</v>
      </c>
      <c r="AP614" s="5">
        <v>3</v>
      </c>
      <c r="AQ614" s="5" t="s">
        <v>16</v>
      </c>
      <c r="AR614" s="5" t="s">
        <v>16</v>
      </c>
      <c r="AS614" s="5" t="s">
        <v>3663</v>
      </c>
      <c r="AT614" s="5" t="s">
        <v>3660</v>
      </c>
      <c r="AU614" s="5" t="s">
        <v>3661</v>
      </c>
      <c r="AV614" s="5" t="s">
        <v>3664</v>
      </c>
    </row>
    <row r="615" spans="1:48" ht="45" customHeight="1" x14ac:dyDescent="0.15">
      <c r="A615" s="5" t="s">
        <v>3665</v>
      </c>
      <c r="B615" s="5">
        <v>2014</v>
      </c>
      <c r="C615" s="5" t="s">
        <v>3666</v>
      </c>
      <c r="D615" s="5" t="s">
        <v>27</v>
      </c>
      <c r="E615" s="5" t="s">
        <v>18453</v>
      </c>
      <c r="F615" s="5" t="s">
        <v>3669</v>
      </c>
      <c r="G615" s="5"/>
      <c r="H615" s="5"/>
      <c r="I615" s="5"/>
      <c r="J615" s="5"/>
      <c r="K615" s="5"/>
      <c r="L615" s="5"/>
      <c r="M615" s="5"/>
      <c r="N615" s="5"/>
      <c r="O615" s="5"/>
      <c r="P615" s="5"/>
      <c r="Q615" s="5"/>
      <c r="AL615" s="7" t="str">
        <f>HYPERLINK("http://dx.doi.org/10.1890/13-1157.1","http://dx.doi.org/10.1890/13-1157.1")</f>
        <v>http://dx.doi.org/10.1890/13-1157.1</v>
      </c>
      <c r="AM615" s="5">
        <v>147</v>
      </c>
      <c r="AN615" s="5">
        <v>153</v>
      </c>
      <c r="AO615" s="5">
        <v>95</v>
      </c>
      <c r="AP615" s="5">
        <v>3</v>
      </c>
      <c r="AQ615" s="5">
        <v>726</v>
      </c>
      <c r="AR615" s="5">
        <v>736</v>
      </c>
      <c r="AS615" s="5" t="s">
        <v>16</v>
      </c>
      <c r="AT615" s="5" t="s">
        <v>3667</v>
      </c>
      <c r="AU615" s="5" t="s">
        <v>3668</v>
      </c>
      <c r="AV615" s="5" t="s">
        <v>3670</v>
      </c>
    </row>
    <row r="616" spans="1:48" ht="45" customHeight="1" x14ac:dyDescent="0.15">
      <c r="A616" s="5" t="s">
        <v>3671</v>
      </c>
      <c r="B616" s="5">
        <v>2022</v>
      </c>
      <c r="C616" s="5" t="s">
        <v>3672</v>
      </c>
      <c r="D616" s="5" t="s">
        <v>33</v>
      </c>
      <c r="E616" s="5" t="s">
        <v>18453</v>
      </c>
      <c r="F616" s="5" t="s">
        <v>3675</v>
      </c>
      <c r="G616" s="5"/>
      <c r="H616" s="5"/>
      <c r="I616" s="5"/>
      <c r="J616" s="5"/>
      <c r="K616" s="5"/>
      <c r="L616" s="5"/>
      <c r="M616" s="5"/>
      <c r="N616" s="5"/>
      <c r="O616" s="5"/>
      <c r="P616" s="5"/>
      <c r="Q616" s="5"/>
      <c r="AL616" s="7" t="str">
        <f>HYPERLINK("http://dx.doi.org/10.1111/gcb.16537","http://dx.doi.org/10.1111/gcb.16537")</f>
        <v>http://dx.doi.org/10.1111/gcb.16537</v>
      </c>
      <c r="AM616" s="5">
        <v>8</v>
      </c>
      <c r="AN616" s="5">
        <v>8</v>
      </c>
      <c r="AO616" s="5" t="s">
        <v>16</v>
      </c>
      <c r="AP616" s="5" t="s">
        <v>16</v>
      </c>
      <c r="AQ616" s="5" t="s">
        <v>16</v>
      </c>
      <c r="AR616" s="5" t="s">
        <v>16</v>
      </c>
      <c r="AS616" s="5" t="s">
        <v>16</v>
      </c>
      <c r="AT616" s="5" t="s">
        <v>3673</v>
      </c>
      <c r="AU616" s="5" t="s">
        <v>3674</v>
      </c>
      <c r="AV616" s="5" t="s">
        <v>3676</v>
      </c>
    </row>
    <row r="617" spans="1:48" ht="45" customHeight="1" x14ac:dyDescent="0.15">
      <c r="A617" s="5" t="s">
        <v>3677</v>
      </c>
      <c r="B617" s="5">
        <v>2009</v>
      </c>
      <c r="C617" s="5" t="s">
        <v>3678</v>
      </c>
      <c r="D617" s="5" t="s">
        <v>269</v>
      </c>
      <c r="E617" s="5" t="s">
        <v>18453</v>
      </c>
      <c r="F617" s="5" t="s">
        <v>3681</v>
      </c>
      <c r="G617" s="5"/>
      <c r="H617" s="5"/>
      <c r="I617" s="5"/>
      <c r="J617" s="5"/>
      <c r="K617" s="5"/>
      <c r="L617" s="5"/>
      <c r="M617" s="5"/>
      <c r="N617" s="5"/>
      <c r="O617" s="5"/>
      <c r="P617" s="5"/>
      <c r="Q617" s="5"/>
      <c r="AL617" s="7" t="str">
        <f>HYPERLINK("http://dx.doi.org/10.1080/14634980802700995","http://dx.doi.org/10.1080/14634980802700995")</f>
        <v>http://dx.doi.org/10.1080/14634980802700995</v>
      </c>
      <c r="AM617" s="5">
        <v>21</v>
      </c>
      <c r="AN617" s="5">
        <v>22</v>
      </c>
      <c r="AO617" s="5">
        <v>12</v>
      </c>
      <c r="AP617" s="5">
        <v>1</v>
      </c>
      <c r="AQ617" s="5">
        <v>37</v>
      </c>
      <c r="AR617" s="5">
        <v>44</v>
      </c>
      <c r="AS617" s="5" t="s">
        <v>3682</v>
      </c>
      <c r="AT617" s="5" t="s">
        <v>3679</v>
      </c>
      <c r="AU617" s="5" t="s">
        <v>3680</v>
      </c>
      <c r="AV617" s="5" t="s">
        <v>3683</v>
      </c>
    </row>
    <row r="618" spans="1:48" ht="45" customHeight="1" x14ac:dyDescent="0.15">
      <c r="A618" s="5" t="s">
        <v>3684</v>
      </c>
      <c r="B618" s="5">
        <v>2017</v>
      </c>
      <c r="C618" s="5" t="s">
        <v>3685</v>
      </c>
      <c r="D618" s="5" t="s">
        <v>942</v>
      </c>
      <c r="E618" s="5" t="s">
        <v>18453</v>
      </c>
      <c r="F618" s="5" t="s">
        <v>3688</v>
      </c>
      <c r="G618" s="5"/>
      <c r="H618" s="5"/>
      <c r="I618" s="5"/>
      <c r="J618" s="5"/>
      <c r="K618" s="5"/>
      <c r="L618" s="5"/>
      <c r="M618" s="5"/>
      <c r="N618" s="5"/>
      <c r="O618" s="5"/>
      <c r="P618" s="5"/>
      <c r="Q618" s="5"/>
      <c r="AL618" s="7" t="str">
        <f>HYPERLINK("http://dx.doi.org/10.1016/j.rsma.2017.08.008","http://dx.doi.org/10.1016/j.rsma.2017.08.008")</f>
        <v>http://dx.doi.org/10.1016/j.rsma.2017.08.008</v>
      </c>
      <c r="AM618" s="5">
        <v>1</v>
      </c>
      <c r="AN618" s="5">
        <v>1</v>
      </c>
      <c r="AO618" s="5">
        <v>16</v>
      </c>
      <c r="AP618" s="5" t="s">
        <v>16</v>
      </c>
      <c r="AQ618" s="5">
        <v>145</v>
      </c>
      <c r="AR618" s="5">
        <v>151</v>
      </c>
      <c r="AS618" s="5" t="s">
        <v>16</v>
      </c>
      <c r="AT618" s="5" t="s">
        <v>3686</v>
      </c>
      <c r="AU618" s="5" t="s">
        <v>3687</v>
      </c>
      <c r="AV618" s="5" t="s">
        <v>3689</v>
      </c>
    </row>
    <row r="619" spans="1:48" ht="45" customHeight="1" x14ac:dyDescent="0.15">
      <c r="A619" s="5" t="s">
        <v>3690</v>
      </c>
      <c r="B619" s="5">
        <v>2015</v>
      </c>
      <c r="C619" s="5" t="s">
        <v>3691</v>
      </c>
      <c r="D619" s="5" t="s">
        <v>15</v>
      </c>
      <c r="E619" s="5" t="s">
        <v>18453</v>
      </c>
      <c r="F619" s="5" t="s">
        <v>3694</v>
      </c>
      <c r="G619" s="5"/>
      <c r="H619" s="5"/>
      <c r="I619" s="5"/>
      <c r="J619" s="5"/>
      <c r="K619" s="5"/>
      <c r="L619" s="5"/>
      <c r="M619" s="5"/>
      <c r="N619" s="5"/>
      <c r="O619" s="5"/>
      <c r="P619" s="5"/>
      <c r="Q619" s="5"/>
      <c r="AL619" s="7" t="str">
        <f>HYPERLINK("http://dx.doi.org/10.1002/ece3.1499","http://dx.doi.org/10.1002/ece3.1499")</f>
        <v>http://dx.doi.org/10.1002/ece3.1499</v>
      </c>
      <c r="AM619" s="5">
        <v>33</v>
      </c>
      <c r="AN619" s="5">
        <v>33</v>
      </c>
      <c r="AO619" s="5">
        <v>5</v>
      </c>
      <c r="AP619" s="5">
        <v>9</v>
      </c>
      <c r="AQ619" s="5">
        <v>1881</v>
      </c>
      <c r="AR619" s="5">
        <v>1895</v>
      </c>
      <c r="AS619" s="5" t="s">
        <v>16</v>
      </c>
      <c r="AT619" s="5" t="s">
        <v>3692</v>
      </c>
      <c r="AU619" s="5" t="s">
        <v>3693</v>
      </c>
      <c r="AV619" s="5" t="s">
        <v>3695</v>
      </c>
    </row>
    <row r="620" spans="1:48" ht="45" customHeight="1" x14ac:dyDescent="0.15">
      <c r="A620" s="5" t="s">
        <v>3696</v>
      </c>
      <c r="B620" s="5">
        <v>2014</v>
      </c>
      <c r="C620" s="5" t="s">
        <v>3697</v>
      </c>
      <c r="D620" s="5" t="s">
        <v>2087</v>
      </c>
      <c r="E620" s="5" t="s">
        <v>18453</v>
      </c>
      <c r="F620" s="5" t="s">
        <v>3700</v>
      </c>
      <c r="G620" s="5"/>
      <c r="H620" s="5"/>
      <c r="I620" s="5"/>
      <c r="J620" s="5"/>
      <c r="K620" s="5"/>
      <c r="L620" s="5"/>
      <c r="M620" s="5"/>
      <c r="N620" s="5"/>
      <c r="O620" s="5"/>
      <c r="P620" s="5"/>
      <c r="Q620" s="5"/>
      <c r="AL620" s="7" t="str">
        <f>HYPERLINK("http://dx.doi.org/10.1002/eco.1401","http://dx.doi.org/10.1002/eco.1401")</f>
        <v>http://dx.doi.org/10.1002/eco.1401</v>
      </c>
      <c r="AM620" s="5">
        <v>7</v>
      </c>
      <c r="AN620" s="5">
        <v>7</v>
      </c>
      <c r="AO620" s="5">
        <v>7</v>
      </c>
      <c r="AP620" s="5">
        <v>2</v>
      </c>
      <c r="AQ620" s="5">
        <v>783</v>
      </c>
      <c r="AR620" s="5">
        <v>793</v>
      </c>
      <c r="AS620" s="5" t="s">
        <v>16</v>
      </c>
      <c r="AT620" s="5" t="s">
        <v>3698</v>
      </c>
      <c r="AU620" s="5" t="s">
        <v>3699</v>
      </c>
      <c r="AV620" s="5" t="s">
        <v>3701</v>
      </c>
    </row>
    <row r="621" spans="1:48" ht="45" customHeight="1" x14ac:dyDescent="0.15">
      <c r="A621" s="5" t="s">
        <v>3702</v>
      </c>
      <c r="B621" s="5">
        <v>2018</v>
      </c>
      <c r="C621" s="5" t="s">
        <v>3703</v>
      </c>
      <c r="D621" s="5" t="s">
        <v>59</v>
      </c>
      <c r="E621" s="5" t="s">
        <v>18453</v>
      </c>
      <c r="F621" s="5" t="s">
        <v>3706</v>
      </c>
      <c r="G621" s="5"/>
      <c r="H621" s="5"/>
      <c r="I621" s="5"/>
      <c r="J621" s="5"/>
      <c r="K621" s="5"/>
      <c r="L621" s="5"/>
      <c r="M621" s="5"/>
      <c r="N621" s="5"/>
      <c r="O621" s="5"/>
      <c r="P621" s="5"/>
      <c r="Q621" s="5"/>
      <c r="AL621" s="7" t="str">
        <f>HYPERLINK("http://dx.doi.org/10.1111/ele.12935","http://dx.doi.org/10.1111/ele.12935")</f>
        <v>http://dx.doi.org/10.1111/ele.12935</v>
      </c>
      <c r="AM621" s="5">
        <v>16</v>
      </c>
      <c r="AN621" s="5">
        <v>16</v>
      </c>
      <c r="AO621" s="5">
        <v>21</v>
      </c>
      <c r="AP621" s="5">
        <v>5</v>
      </c>
      <c r="AQ621" s="5">
        <v>674</v>
      </c>
      <c r="AR621" s="5">
        <v>682</v>
      </c>
      <c r="AS621" s="5" t="s">
        <v>16</v>
      </c>
      <c r="AT621" s="5" t="s">
        <v>3704</v>
      </c>
      <c r="AU621" s="5" t="s">
        <v>3705</v>
      </c>
      <c r="AV621" s="5" t="s">
        <v>3707</v>
      </c>
    </row>
    <row r="622" spans="1:48" ht="45" customHeight="1" x14ac:dyDescent="0.15">
      <c r="A622" s="5" t="s">
        <v>3708</v>
      </c>
      <c r="B622" s="5">
        <v>2010</v>
      </c>
      <c r="C622" s="5" t="s">
        <v>3709</v>
      </c>
      <c r="D622" s="5" t="s">
        <v>2517</v>
      </c>
      <c r="E622" s="5" t="s">
        <v>18453</v>
      </c>
      <c r="F622" s="5" t="s">
        <v>3712</v>
      </c>
      <c r="G622" s="5"/>
      <c r="H622" s="5"/>
      <c r="I622" s="5"/>
      <c r="J622" s="5"/>
      <c r="K622" s="5"/>
      <c r="L622" s="5"/>
      <c r="M622" s="5"/>
      <c r="N622" s="5"/>
      <c r="O622" s="5"/>
      <c r="P622" s="5"/>
      <c r="Q622" s="5"/>
      <c r="AL622" s="7" t="str">
        <f>HYPERLINK("http://dx.doi.org/10.1016/j.ecolecon.2009.12.009","http://dx.doi.org/10.1016/j.ecolecon.2009.12.009")</f>
        <v>http://dx.doi.org/10.1016/j.ecolecon.2009.12.009</v>
      </c>
      <c r="AM622" s="5">
        <v>221</v>
      </c>
      <c r="AN622" s="5">
        <v>227</v>
      </c>
      <c r="AO622" s="5">
        <v>69</v>
      </c>
      <c r="AP622" s="5">
        <v>5</v>
      </c>
      <c r="AQ622" s="5">
        <v>1148</v>
      </c>
      <c r="AR622" s="5">
        <v>1158</v>
      </c>
      <c r="AS622" s="5" t="s">
        <v>16</v>
      </c>
      <c r="AT622" s="5" t="s">
        <v>3710</v>
      </c>
      <c r="AU622" s="5" t="s">
        <v>3711</v>
      </c>
      <c r="AV622" s="5" t="s">
        <v>3713</v>
      </c>
    </row>
    <row r="623" spans="1:48" ht="45" customHeight="1" x14ac:dyDescent="0.15">
      <c r="A623" s="5" t="s">
        <v>3714</v>
      </c>
      <c r="B623" s="5">
        <v>2010</v>
      </c>
      <c r="C623" s="5" t="s">
        <v>3715</v>
      </c>
      <c r="D623" s="5" t="s">
        <v>82</v>
      </c>
      <c r="E623" s="5" t="s">
        <v>18453</v>
      </c>
      <c r="F623" s="5" t="s">
        <v>3718</v>
      </c>
      <c r="G623" s="5"/>
      <c r="H623" s="5"/>
      <c r="I623" s="5"/>
      <c r="J623" s="5"/>
      <c r="K623" s="5"/>
      <c r="L623" s="5"/>
      <c r="M623" s="5"/>
      <c r="N623" s="5"/>
      <c r="O623" s="5"/>
      <c r="P623" s="5"/>
      <c r="Q623" s="5"/>
      <c r="AL623" s="7" t="str">
        <f>HYPERLINK("http://dx.doi.org/10.1890/08-0780.1","http://dx.doi.org/10.1890/08-0780.1")</f>
        <v>http://dx.doi.org/10.1890/08-0780.1</v>
      </c>
      <c r="AM623" s="5">
        <v>17</v>
      </c>
      <c r="AN623" s="5">
        <v>18</v>
      </c>
      <c r="AO623" s="5">
        <v>20</v>
      </c>
      <c r="AP623" s="5">
        <v>2</v>
      </c>
      <c r="AQ623" s="5">
        <v>381</v>
      </c>
      <c r="AR623" s="5">
        <v>397</v>
      </c>
      <c r="AS623" s="5" t="s">
        <v>16</v>
      </c>
      <c r="AT623" s="5" t="s">
        <v>3716</v>
      </c>
      <c r="AU623" s="5" t="s">
        <v>3717</v>
      </c>
      <c r="AV623" s="5" t="s">
        <v>3719</v>
      </c>
    </row>
    <row r="624" spans="1:48" ht="45" customHeight="1" x14ac:dyDescent="0.15">
      <c r="A624" s="5" t="s">
        <v>3720</v>
      </c>
      <c r="B624" s="5">
        <v>2017</v>
      </c>
      <c r="C624" s="5" t="s">
        <v>3721</v>
      </c>
      <c r="D624" s="5" t="s">
        <v>3722</v>
      </c>
      <c r="E624" s="5" t="s">
        <v>18453</v>
      </c>
      <c r="F624" s="5" t="s">
        <v>3725</v>
      </c>
      <c r="G624" s="5"/>
      <c r="H624" s="5"/>
      <c r="I624" s="5"/>
      <c r="J624" s="5"/>
      <c r="K624" s="5"/>
      <c r="L624" s="5"/>
      <c r="M624" s="5"/>
      <c r="N624" s="5"/>
      <c r="O624" s="5"/>
      <c r="P624" s="5"/>
      <c r="Q624" s="5"/>
      <c r="AL624" s="7" t="str">
        <f>HYPERLINK("http://dx.doi.org/10.1007/s11355-016-0307-5","http://dx.doi.org/10.1007/s11355-016-0307-5")</f>
        <v>http://dx.doi.org/10.1007/s11355-016-0307-5</v>
      </c>
      <c r="AM624" s="5">
        <v>2</v>
      </c>
      <c r="AN624" s="5">
        <v>4</v>
      </c>
      <c r="AO624" s="5">
        <v>13</v>
      </c>
      <c r="AP624" s="5">
        <v>1</v>
      </c>
      <c r="AQ624" s="5">
        <v>119</v>
      </c>
      <c r="AR624" s="5">
        <v>129</v>
      </c>
      <c r="AS624" s="5" t="s">
        <v>16</v>
      </c>
      <c r="AT624" s="5" t="s">
        <v>3723</v>
      </c>
      <c r="AU624" s="5" t="s">
        <v>3724</v>
      </c>
      <c r="AV624" s="5" t="s">
        <v>3726</v>
      </c>
    </row>
    <row r="625" spans="1:48" ht="45" customHeight="1" x14ac:dyDescent="0.15">
      <c r="A625" s="5" t="s">
        <v>3727</v>
      </c>
      <c r="B625" s="5">
        <v>2019</v>
      </c>
      <c r="C625" s="5" t="s">
        <v>3728</v>
      </c>
      <c r="D625" s="5" t="s">
        <v>77</v>
      </c>
      <c r="E625" s="5" t="s">
        <v>18453</v>
      </c>
      <c r="F625" s="5" t="s">
        <v>3731</v>
      </c>
      <c r="G625" s="5"/>
      <c r="H625" s="5"/>
      <c r="I625" s="5"/>
      <c r="J625" s="5"/>
      <c r="K625" s="5"/>
      <c r="L625" s="5"/>
      <c r="M625" s="5"/>
      <c r="N625" s="5"/>
      <c r="O625" s="5"/>
      <c r="P625" s="5"/>
      <c r="Q625" s="5"/>
      <c r="AL625" s="7" t="str">
        <f>HYPERLINK("http://dx.doi.org/10.1111/1365-2656.13056","http://dx.doi.org/10.1111/1365-2656.13056")</f>
        <v>http://dx.doi.org/10.1111/1365-2656.13056</v>
      </c>
      <c r="AM625" s="5">
        <v>14</v>
      </c>
      <c r="AN625" s="5">
        <v>14</v>
      </c>
      <c r="AO625" s="5">
        <v>88</v>
      </c>
      <c r="AP625" s="5">
        <v>10</v>
      </c>
      <c r="AQ625" s="5">
        <v>1564</v>
      </c>
      <c r="AR625" s="5">
        <v>1574</v>
      </c>
      <c r="AS625" s="5" t="s">
        <v>16</v>
      </c>
      <c r="AT625" s="5" t="s">
        <v>3729</v>
      </c>
      <c r="AU625" s="5" t="s">
        <v>3730</v>
      </c>
      <c r="AV625" s="5" t="s">
        <v>3732</v>
      </c>
    </row>
    <row r="626" spans="1:48" ht="45" customHeight="1" x14ac:dyDescent="0.15">
      <c r="A626" s="5" t="s">
        <v>3733</v>
      </c>
      <c r="B626" s="5">
        <v>2009</v>
      </c>
      <c r="C626" s="5" t="s">
        <v>3734</v>
      </c>
      <c r="D626" s="5" t="s">
        <v>82</v>
      </c>
      <c r="E626" s="5" t="s">
        <v>18453</v>
      </c>
      <c r="F626" s="5" t="s">
        <v>3737</v>
      </c>
      <c r="G626" s="5"/>
      <c r="H626" s="5"/>
      <c r="I626" s="5"/>
      <c r="J626" s="5"/>
      <c r="K626" s="5"/>
      <c r="L626" s="5"/>
      <c r="M626" s="5"/>
      <c r="N626" s="5"/>
      <c r="O626" s="5"/>
      <c r="P626" s="5"/>
      <c r="Q626" s="5"/>
      <c r="AL626" s="7" t="str">
        <f>HYPERLINK("http://dx.doi.org/10.1890/07-2002.1","http://dx.doi.org/10.1890/07-2002.1")</f>
        <v>http://dx.doi.org/10.1890/07-2002.1</v>
      </c>
      <c r="AM626" s="5">
        <v>23</v>
      </c>
      <c r="AN626" s="5">
        <v>25</v>
      </c>
      <c r="AO626" s="5">
        <v>19</v>
      </c>
      <c r="AP626" s="5">
        <v>6</v>
      </c>
      <c r="AQ626" s="5">
        <v>1500</v>
      </c>
      <c r="AR626" s="5">
        <v>1514</v>
      </c>
      <c r="AS626" s="5" t="s">
        <v>16</v>
      </c>
      <c r="AT626" s="5" t="s">
        <v>3735</v>
      </c>
      <c r="AU626" s="5" t="s">
        <v>3736</v>
      </c>
      <c r="AV626" s="5" t="s">
        <v>3738</v>
      </c>
    </row>
    <row r="627" spans="1:48" ht="45" customHeight="1" x14ac:dyDescent="0.15">
      <c r="A627" s="5" t="s">
        <v>3739</v>
      </c>
      <c r="B627" s="5">
        <v>2013</v>
      </c>
      <c r="C627" s="5" t="s">
        <v>3740</v>
      </c>
      <c r="D627" s="5" t="s">
        <v>49</v>
      </c>
      <c r="E627" s="5" t="s">
        <v>18453</v>
      </c>
      <c r="F627" s="5" t="s">
        <v>3743</v>
      </c>
      <c r="G627" s="5"/>
      <c r="H627" s="5"/>
      <c r="I627" s="5"/>
      <c r="J627" s="5"/>
      <c r="K627" s="5"/>
      <c r="L627" s="5"/>
      <c r="M627" s="5"/>
      <c r="N627" s="5"/>
      <c r="O627" s="5"/>
      <c r="P627" s="5"/>
      <c r="Q627" s="5"/>
      <c r="AL627" s="7" t="str">
        <f>HYPERLINK("http://dx.doi.org/10.3354/meps10140","http://dx.doi.org/10.3354/meps10140")</f>
        <v>http://dx.doi.org/10.3354/meps10140</v>
      </c>
      <c r="AM627" s="5">
        <v>7</v>
      </c>
      <c r="AN627" s="5">
        <v>7</v>
      </c>
      <c r="AO627" s="5">
        <v>476</v>
      </c>
      <c r="AP627" s="5" t="s">
        <v>16</v>
      </c>
      <c r="AQ627" s="5">
        <v>199</v>
      </c>
      <c r="AR627" s="5">
        <v>214</v>
      </c>
      <c r="AS627" s="5" t="s">
        <v>16</v>
      </c>
      <c r="AT627" s="5" t="s">
        <v>3741</v>
      </c>
      <c r="AU627" s="5" t="s">
        <v>3742</v>
      </c>
      <c r="AV627" s="5" t="s">
        <v>3744</v>
      </c>
    </row>
    <row r="628" spans="1:48" ht="45" customHeight="1" x14ac:dyDescent="0.15">
      <c r="A628" s="5" t="s">
        <v>3745</v>
      </c>
      <c r="B628" s="5">
        <v>2021</v>
      </c>
      <c r="C628" s="5" t="s">
        <v>3746</v>
      </c>
      <c r="D628" s="5" t="s">
        <v>159</v>
      </c>
      <c r="E628" s="5" t="s">
        <v>18453</v>
      </c>
      <c r="F628" s="5" t="s">
        <v>3749</v>
      </c>
      <c r="G628" s="5"/>
      <c r="H628" s="5"/>
      <c r="I628" s="5"/>
      <c r="J628" s="5"/>
      <c r="K628" s="5"/>
      <c r="L628" s="5"/>
      <c r="M628" s="5"/>
      <c r="N628" s="5"/>
      <c r="O628" s="5"/>
      <c r="P628" s="5"/>
      <c r="Q628" s="5"/>
      <c r="AL628" s="7" t="str">
        <f>HYPERLINK("http://dx.doi.org/10.3390/d13040147","http://dx.doi.org/10.3390/d13040147")</f>
        <v>http://dx.doi.org/10.3390/d13040147</v>
      </c>
      <c r="AM628" s="5">
        <v>1</v>
      </c>
      <c r="AN628" s="5">
        <v>1</v>
      </c>
      <c r="AO628" s="5">
        <v>13</v>
      </c>
      <c r="AP628" s="5">
        <v>4</v>
      </c>
      <c r="AQ628" s="5" t="s">
        <v>16</v>
      </c>
      <c r="AR628" s="5" t="s">
        <v>16</v>
      </c>
      <c r="AS628" s="5">
        <v>147</v>
      </c>
      <c r="AT628" s="5" t="s">
        <v>3747</v>
      </c>
      <c r="AU628" s="5" t="s">
        <v>3748</v>
      </c>
      <c r="AV628" s="5" t="s">
        <v>3750</v>
      </c>
    </row>
    <row r="629" spans="1:48" ht="45" customHeight="1" x14ac:dyDescent="0.15">
      <c r="A629" s="5" t="s">
        <v>3751</v>
      </c>
      <c r="B629" s="5">
        <v>2019</v>
      </c>
      <c r="C629" s="5" t="s">
        <v>3752</v>
      </c>
      <c r="D629" s="5" t="s">
        <v>212</v>
      </c>
      <c r="E629" s="5" t="s">
        <v>18453</v>
      </c>
      <c r="F629" s="5" t="s">
        <v>3755</v>
      </c>
      <c r="G629" s="5"/>
      <c r="H629" s="5"/>
      <c r="I629" s="5"/>
      <c r="J629" s="5"/>
      <c r="K629" s="5"/>
      <c r="L629" s="5"/>
      <c r="M629" s="5"/>
      <c r="N629" s="5"/>
      <c r="O629" s="5"/>
      <c r="P629" s="5"/>
      <c r="Q629" s="5"/>
      <c r="AL629" s="7" t="str">
        <f>HYPERLINK("http://dx.doi.org/10.1007/s00300-019-02476-6","http://dx.doi.org/10.1007/s00300-019-02476-6")</f>
        <v>http://dx.doi.org/10.1007/s00300-019-02476-6</v>
      </c>
      <c r="AM629" s="5">
        <v>1</v>
      </c>
      <c r="AN629" s="5">
        <v>1</v>
      </c>
      <c r="AO629" s="5">
        <v>42</v>
      </c>
      <c r="AP629" s="5">
        <v>5</v>
      </c>
      <c r="AQ629" s="5">
        <v>865</v>
      </c>
      <c r="AR629" s="5">
        <v>876</v>
      </c>
      <c r="AS629" s="5" t="s">
        <v>16</v>
      </c>
      <c r="AT629" s="5" t="s">
        <v>3753</v>
      </c>
      <c r="AU629" s="5" t="s">
        <v>3754</v>
      </c>
      <c r="AV629" s="5" t="s">
        <v>3756</v>
      </c>
    </row>
    <row r="630" spans="1:48" ht="45" customHeight="1" x14ac:dyDescent="0.15">
      <c r="A630" s="5" t="s">
        <v>3757</v>
      </c>
      <c r="B630" s="5">
        <v>1994</v>
      </c>
      <c r="C630" s="5" t="s">
        <v>3758</v>
      </c>
      <c r="D630" s="5" t="s">
        <v>1141</v>
      </c>
      <c r="E630" s="5" t="s">
        <v>18453</v>
      </c>
      <c r="F630" s="5" t="s">
        <v>3761</v>
      </c>
      <c r="G630" s="5"/>
      <c r="H630" s="5"/>
      <c r="I630" s="5"/>
      <c r="J630" s="5"/>
      <c r="K630" s="5"/>
      <c r="L630" s="5"/>
      <c r="M630" s="5"/>
      <c r="N630" s="5"/>
      <c r="O630" s="5"/>
      <c r="P630" s="5"/>
      <c r="Q630" s="5"/>
      <c r="AL630" s="7" t="str">
        <f>HYPERLINK("http://dx.doi.org/10.1080/11956860.1994.11682261","http://dx.doi.org/10.1080/11956860.1994.11682261")</f>
        <v>http://dx.doi.org/10.1080/11956860.1994.11682261</v>
      </c>
      <c r="AM630" s="5">
        <v>12</v>
      </c>
      <c r="AN630" s="5">
        <v>12</v>
      </c>
      <c r="AO630" s="5">
        <v>1</v>
      </c>
      <c r="AP630" s="5">
        <v>4</v>
      </c>
      <c r="AQ630" s="5">
        <v>340</v>
      </c>
      <c r="AR630" s="5">
        <v>345</v>
      </c>
      <c r="AS630" s="5" t="s">
        <v>16</v>
      </c>
      <c r="AT630" s="5" t="s">
        <v>3759</v>
      </c>
      <c r="AU630" s="5" t="s">
        <v>3760</v>
      </c>
      <c r="AV630" s="5" t="s">
        <v>3762</v>
      </c>
    </row>
    <row r="631" spans="1:48" ht="45" customHeight="1" x14ac:dyDescent="0.15">
      <c r="A631" s="5" t="s">
        <v>3763</v>
      </c>
      <c r="B631" s="5">
        <v>2007</v>
      </c>
      <c r="C631" s="5" t="s">
        <v>3764</v>
      </c>
      <c r="D631" s="5" t="s">
        <v>172</v>
      </c>
      <c r="E631" s="5" t="s">
        <v>18453</v>
      </c>
      <c r="F631" s="5" t="s">
        <v>3767</v>
      </c>
      <c r="G631" s="5"/>
      <c r="H631" s="5"/>
      <c r="I631" s="5"/>
      <c r="J631" s="5"/>
      <c r="K631" s="5"/>
      <c r="L631" s="5"/>
      <c r="M631" s="5"/>
      <c r="N631" s="5"/>
      <c r="O631" s="5"/>
      <c r="P631" s="5"/>
      <c r="Q631" s="5"/>
      <c r="AL631" s="7" t="str">
        <f>HYPERLINK("http://dx.doi.org/10.1007/s00442-007-0717-z","http://dx.doi.org/10.1007/s00442-007-0717-z")</f>
        <v>http://dx.doi.org/10.1007/s00442-007-0717-z</v>
      </c>
      <c r="AM631" s="5">
        <v>95</v>
      </c>
      <c r="AN631" s="5">
        <v>99</v>
      </c>
      <c r="AO631" s="5">
        <v>153</v>
      </c>
      <c r="AP631" s="5">
        <v>1</v>
      </c>
      <c r="AQ631" s="5">
        <v>11</v>
      </c>
      <c r="AR631" s="5">
        <v>18</v>
      </c>
      <c r="AS631" s="5" t="s">
        <v>16</v>
      </c>
      <c r="AT631" s="5" t="s">
        <v>3765</v>
      </c>
      <c r="AU631" s="5" t="s">
        <v>3766</v>
      </c>
      <c r="AV631" s="5" t="s">
        <v>3768</v>
      </c>
    </row>
    <row r="632" spans="1:48" ht="45" customHeight="1" x14ac:dyDescent="0.15">
      <c r="A632" s="5" t="s">
        <v>3769</v>
      </c>
      <c r="B632" s="5">
        <v>2019</v>
      </c>
      <c r="C632" s="5" t="s">
        <v>3770</v>
      </c>
      <c r="D632" s="5" t="s">
        <v>163</v>
      </c>
      <c r="E632" s="5" t="s">
        <v>18453</v>
      </c>
      <c r="F632" s="5" t="s">
        <v>3773</v>
      </c>
      <c r="G632" s="5"/>
      <c r="H632" s="5"/>
      <c r="I632" s="5"/>
      <c r="J632" s="5"/>
      <c r="K632" s="5"/>
      <c r="L632" s="5"/>
      <c r="M632" s="5"/>
      <c r="N632" s="5"/>
      <c r="O632" s="5"/>
      <c r="P632" s="5"/>
      <c r="Q632" s="5"/>
      <c r="AL632" s="7" t="str">
        <f>HYPERLINK("http://dx.doi.org/10.1080/02757540.2018.1533957","http://dx.doi.org/10.1080/02757540.2018.1533957")</f>
        <v>http://dx.doi.org/10.1080/02757540.2018.1533957</v>
      </c>
      <c r="AM632" s="5">
        <v>3</v>
      </c>
      <c r="AN632" s="5">
        <v>3</v>
      </c>
      <c r="AO632" s="5">
        <v>35</v>
      </c>
      <c r="AP632" s="5">
        <v>2</v>
      </c>
      <c r="AQ632" s="5">
        <v>143</v>
      </c>
      <c r="AR632" s="5">
        <v>163</v>
      </c>
      <c r="AS632" s="5" t="s">
        <v>16</v>
      </c>
      <c r="AT632" s="5" t="s">
        <v>3771</v>
      </c>
      <c r="AU632" s="5" t="s">
        <v>3772</v>
      </c>
      <c r="AV632" s="5" t="s">
        <v>3774</v>
      </c>
    </row>
    <row r="633" spans="1:48" ht="45" customHeight="1" x14ac:dyDescent="0.15">
      <c r="A633" s="5" t="s">
        <v>3775</v>
      </c>
      <c r="B633" s="5">
        <v>2005</v>
      </c>
      <c r="C633" s="5" t="s">
        <v>3776</v>
      </c>
      <c r="D633" s="5" t="s">
        <v>172</v>
      </c>
      <c r="E633" s="5" t="s">
        <v>18453</v>
      </c>
      <c r="F633" s="5" t="s">
        <v>3779</v>
      </c>
      <c r="G633" s="5"/>
      <c r="H633" s="5"/>
      <c r="I633" s="5"/>
      <c r="J633" s="5"/>
      <c r="K633" s="5"/>
      <c r="L633" s="5"/>
      <c r="M633" s="5"/>
      <c r="N633" s="5"/>
      <c r="O633" s="5"/>
      <c r="P633" s="5"/>
      <c r="Q633" s="5"/>
      <c r="AL633" s="7" t="str">
        <f>HYPERLINK("http://dx.doi.org/10.1007/s00442-004-1816-8","http://dx.doi.org/10.1007/s00442-004-1816-8")</f>
        <v>http://dx.doi.org/10.1007/s00442-004-1816-8</v>
      </c>
      <c r="AM633" s="5">
        <v>611</v>
      </c>
      <c r="AN633" s="5">
        <v>676</v>
      </c>
      <c r="AO633" s="5">
        <v>144</v>
      </c>
      <c r="AP633" s="5">
        <v>4</v>
      </c>
      <c r="AQ633" s="5">
        <v>520</v>
      </c>
      <c r="AR633" s="5">
        <v>527</v>
      </c>
      <c r="AS633" s="5" t="s">
        <v>16</v>
      </c>
      <c r="AT633" s="5" t="s">
        <v>3777</v>
      </c>
      <c r="AU633" s="5" t="s">
        <v>3778</v>
      </c>
      <c r="AV633" s="5" t="s">
        <v>3780</v>
      </c>
    </row>
    <row r="634" spans="1:48" ht="45" customHeight="1" x14ac:dyDescent="0.15">
      <c r="A634" s="5" t="s">
        <v>3781</v>
      </c>
      <c r="B634" s="5">
        <v>2020</v>
      </c>
      <c r="C634" s="5" t="s">
        <v>3782</v>
      </c>
      <c r="D634" s="5" t="s">
        <v>62</v>
      </c>
      <c r="E634" s="5" t="s">
        <v>18453</v>
      </c>
      <c r="F634" s="5" t="s">
        <v>3785</v>
      </c>
      <c r="G634" s="5"/>
      <c r="H634" s="5"/>
      <c r="I634" s="5"/>
      <c r="J634" s="5"/>
      <c r="K634" s="5"/>
      <c r="L634" s="5"/>
      <c r="M634" s="5"/>
      <c r="N634" s="5"/>
      <c r="O634" s="5"/>
      <c r="P634" s="5"/>
      <c r="Q634" s="5"/>
      <c r="AL634" s="7" t="str">
        <f>HYPERLINK("http://dx.doi.org/10.1007/s10021-019-00388-4","http://dx.doi.org/10.1007/s10021-019-00388-4")</f>
        <v>http://dx.doi.org/10.1007/s10021-019-00388-4</v>
      </c>
      <c r="AM634" s="5">
        <v>27</v>
      </c>
      <c r="AN634" s="5">
        <v>27</v>
      </c>
      <c r="AO634" s="5">
        <v>23</v>
      </c>
      <c r="AP634" s="5">
        <v>1</v>
      </c>
      <c r="AQ634" s="5">
        <v>217</v>
      </c>
      <c r="AR634" s="5">
        <v>229</v>
      </c>
      <c r="AS634" s="5" t="s">
        <v>16</v>
      </c>
      <c r="AT634" s="5" t="s">
        <v>3783</v>
      </c>
      <c r="AU634" s="5" t="s">
        <v>3784</v>
      </c>
      <c r="AV634" s="5" t="s">
        <v>3786</v>
      </c>
    </row>
    <row r="635" spans="1:48" ht="45" customHeight="1" x14ac:dyDescent="0.15">
      <c r="A635" s="5" t="s">
        <v>3787</v>
      </c>
      <c r="B635" s="5">
        <v>2013</v>
      </c>
      <c r="C635" s="5" t="s">
        <v>3788</v>
      </c>
      <c r="D635" s="5" t="s">
        <v>190</v>
      </c>
      <c r="E635" s="5" t="s">
        <v>18453</v>
      </c>
      <c r="F635" s="5" t="s">
        <v>3791</v>
      </c>
      <c r="G635" s="5"/>
      <c r="H635" s="5"/>
      <c r="I635" s="5"/>
      <c r="J635" s="5"/>
      <c r="K635" s="5"/>
      <c r="L635" s="5"/>
      <c r="M635" s="5"/>
      <c r="N635" s="5"/>
      <c r="O635" s="5"/>
      <c r="P635" s="5"/>
      <c r="Q635" s="5"/>
      <c r="AL635" s="7" t="str">
        <f>HYPERLINK("http://dx.doi.org/10.1007/s10530-012-0401-z","http://dx.doi.org/10.1007/s10530-012-0401-z")</f>
        <v>http://dx.doi.org/10.1007/s10530-012-0401-z</v>
      </c>
      <c r="AM635" s="5">
        <v>60</v>
      </c>
      <c r="AN635" s="5">
        <v>62</v>
      </c>
      <c r="AO635" s="5">
        <v>15</v>
      </c>
      <c r="AP635" s="5">
        <v>8</v>
      </c>
      <c r="AQ635" s="5">
        <v>1695</v>
      </c>
      <c r="AR635" s="5">
        <v>1711</v>
      </c>
      <c r="AS635" s="5" t="s">
        <v>16</v>
      </c>
      <c r="AT635" s="5" t="s">
        <v>3789</v>
      </c>
      <c r="AU635" s="5" t="s">
        <v>3790</v>
      </c>
      <c r="AV635" s="5" t="s">
        <v>3792</v>
      </c>
    </row>
    <row r="636" spans="1:48" ht="45" customHeight="1" x14ac:dyDescent="0.15">
      <c r="A636" s="5" t="s">
        <v>3793</v>
      </c>
      <c r="B636" s="5">
        <v>2010</v>
      </c>
      <c r="C636" s="5" t="s">
        <v>3794</v>
      </c>
      <c r="D636" s="5" t="s">
        <v>27</v>
      </c>
      <c r="E636" s="5" t="s">
        <v>18453</v>
      </c>
      <c r="F636" s="5" t="s">
        <v>3797</v>
      </c>
      <c r="G636" s="5"/>
      <c r="H636" s="5"/>
      <c r="I636" s="5"/>
      <c r="J636" s="5"/>
      <c r="K636" s="5"/>
      <c r="L636" s="5"/>
      <c r="M636" s="5"/>
      <c r="N636" s="5"/>
      <c r="O636" s="5"/>
      <c r="P636" s="5"/>
      <c r="Q636" s="5"/>
      <c r="AL636" s="7" t="str">
        <f>HYPERLINK("http://dx.doi.org/10.1890/09-0979.1","http://dx.doi.org/10.1890/09-0979.1")</f>
        <v>http://dx.doi.org/10.1890/09-0979.1</v>
      </c>
      <c r="AM636" s="5">
        <v>70</v>
      </c>
      <c r="AN636" s="5">
        <v>76</v>
      </c>
      <c r="AO636" s="5">
        <v>91</v>
      </c>
      <c r="AP636" s="5">
        <v>7</v>
      </c>
      <c r="AQ636" s="5">
        <v>2070</v>
      </c>
      <c r="AR636" s="5">
        <v>2079</v>
      </c>
      <c r="AS636" s="5" t="s">
        <v>16</v>
      </c>
      <c r="AT636" s="5" t="s">
        <v>3795</v>
      </c>
      <c r="AU636" s="5" t="s">
        <v>3796</v>
      </c>
      <c r="AV636" s="5" t="s">
        <v>3798</v>
      </c>
    </row>
    <row r="637" spans="1:48" ht="45" customHeight="1" x14ac:dyDescent="0.15">
      <c r="A637" s="5" t="s">
        <v>3799</v>
      </c>
      <c r="B637" s="5">
        <v>1999</v>
      </c>
      <c r="C637" s="5" t="s">
        <v>3800</v>
      </c>
      <c r="D637" s="5" t="s">
        <v>161</v>
      </c>
      <c r="E637" s="5" t="s">
        <v>18453</v>
      </c>
      <c r="F637" s="5" t="s">
        <v>3803</v>
      </c>
      <c r="G637" s="5"/>
      <c r="H637" s="5"/>
      <c r="I637" s="5"/>
      <c r="J637" s="5"/>
      <c r="K637" s="5"/>
      <c r="L637" s="5"/>
      <c r="M637" s="5"/>
      <c r="N637" s="5"/>
      <c r="O637" s="5"/>
      <c r="P637" s="5"/>
      <c r="Q637" s="5"/>
      <c r="AL637" s="7" t="str">
        <f>HYPERLINK("http://dx.doi.org/10.1046/j.1466-822X.1999.00127.x","http://dx.doi.org/10.1046/j.1466-822X.1999.00127.x")</f>
        <v>http://dx.doi.org/10.1046/j.1466-822X.1999.00127.x</v>
      </c>
      <c r="AM637" s="5">
        <v>107</v>
      </c>
      <c r="AN637" s="5">
        <v>113</v>
      </c>
      <c r="AO637" s="5">
        <v>8</v>
      </c>
      <c r="AP637" s="5">
        <v>2</v>
      </c>
      <c r="AQ637" s="5">
        <v>137</v>
      </c>
      <c r="AR637" s="5">
        <v>149</v>
      </c>
      <c r="AS637" s="5" t="s">
        <v>16</v>
      </c>
      <c r="AT637" s="5" t="s">
        <v>3801</v>
      </c>
      <c r="AU637" s="5" t="s">
        <v>3802</v>
      </c>
      <c r="AV637" s="5" t="s">
        <v>3804</v>
      </c>
    </row>
    <row r="638" spans="1:48" ht="45" customHeight="1" x14ac:dyDescent="0.15">
      <c r="A638" s="5" t="s">
        <v>3805</v>
      </c>
      <c r="B638" s="5">
        <v>2010</v>
      </c>
      <c r="C638" s="5" t="s">
        <v>3806</v>
      </c>
      <c r="D638" s="5" t="s">
        <v>190</v>
      </c>
      <c r="E638" s="5" t="s">
        <v>18453</v>
      </c>
      <c r="F638" s="5" t="s">
        <v>3809</v>
      </c>
      <c r="G638" s="5"/>
      <c r="H638" s="5"/>
      <c r="I638" s="5"/>
      <c r="J638" s="5"/>
      <c r="K638" s="5"/>
      <c r="L638" s="5"/>
      <c r="M638" s="5"/>
      <c r="N638" s="5"/>
      <c r="O638" s="5"/>
      <c r="P638" s="5"/>
      <c r="Q638" s="5"/>
      <c r="AL638" s="7" t="str">
        <f>HYPERLINK("http://dx.doi.org/10.1007/s10530-010-9742-7","http://dx.doi.org/10.1007/s10530-010-9742-7")</f>
        <v>http://dx.doi.org/10.1007/s10530-010-9742-7</v>
      </c>
      <c r="AM638" s="5">
        <v>35</v>
      </c>
      <c r="AN638" s="5">
        <v>42</v>
      </c>
      <c r="AO638" s="5">
        <v>12</v>
      </c>
      <c r="AP638" s="5">
        <v>10</v>
      </c>
      <c r="AQ638" s="5">
        <v>3439</v>
      </c>
      <c r="AR638" s="5">
        <v>3448</v>
      </c>
      <c r="AS638" s="5" t="s">
        <v>16</v>
      </c>
      <c r="AT638" s="5" t="s">
        <v>3807</v>
      </c>
      <c r="AU638" s="5" t="s">
        <v>3808</v>
      </c>
      <c r="AV638" s="5" t="s">
        <v>3810</v>
      </c>
    </row>
    <row r="639" spans="1:48" ht="45" customHeight="1" x14ac:dyDescent="0.15">
      <c r="A639" s="5" t="s">
        <v>3811</v>
      </c>
      <c r="B639" s="5">
        <v>2019</v>
      </c>
      <c r="C639" s="5" t="s">
        <v>3812</v>
      </c>
      <c r="D639" s="5" t="s">
        <v>124</v>
      </c>
      <c r="E639" s="5" t="s">
        <v>18453</v>
      </c>
      <c r="F639" s="5" t="s">
        <v>3815</v>
      </c>
      <c r="G639" s="5"/>
      <c r="H639" s="5"/>
      <c r="I639" s="5"/>
      <c r="J639" s="5"/>
      <c r="K639" s="5"/>
      <c r="L639" s="5"/>
      <c r="M639" s="5"/>
      <c r="N639" s="5"/>
      <c r="O639" s="5"/>
      <c r="P639" s="5"/>
      <c r="Q639" s="5"/>
      <c r="AL639" s="7" t="str">
        <f>HYPERLINK("http://dx.doi.org/10.1086/704281","http://dx.doi.org/10.1086/704281")</f>
        <v>http://dx.doi.org/10.1086/704281</v>
      </c>
      <c r="AM639" s="5">
        <v>37</v>
      </c>
      <c r="AN639" s="5">
        <v>37</v>
      </c>
      <c r="AO639" s="5">
        <v>194</v>
      </c>
      <c r="AP639" s="5">
        <v>3</v>
      </c>
      <c r="AQ639" s="5">
        <v>414</v>
      </c>
      <c r="AR639" s="5">
        <v>421</v>
      </c>
      <c r="AS639" s="5" t="s">
        <v>16</v>
      </c>
      <c r="AT639" s="5" t="s">
        <v>3813</v>
      </c>
      <c r="AU639" s="5" t="s">
        <v>3814</v>
      </c>
      <c r="AV639" s="5" t="s">
        <v>3816</v>
      </c>
    </row>
    <row r="640" spans="1:48" ht="45" customHeight="1" x14ac:dyDescent="0.15">
      <c r="A640" s="5" t="s">
        <v>3817</v>
      </c>
      <c r="B640" s="5">
        <v>2005</v>
      </c>
      <c r="C640" s="5" t="s">
        <v>3818</v>
      </c>
      <c r="D640" s="5" t="s">
        <v>27</v>
      </c>
      <c r="E640" s="5" t="s">
        <v>18453</v>
      </c>
      <c r="F640" s="5" t="s">
        <v>3821</v>
      </c>
      <c r="G640" s="5"/>
      <c r="H640" s="5"/>
      <c r="I640" s="5"/>
      <c r="J640" s="5"/>
      <c r="K640" s="5"/>
      <c r="L640" s="5"/>
      <c r="M640" s="5"/>
      <c r="N640" s="5"/>
      <c r="O640" s="5"/>
      <c r="P640" s="5"/>
      <c r="Q640" s="5"/>
      <c r="AL640" s="7" t="str">
        <f>HYPERLINK("http://dx.doi.org/10.1890/04-1730","http://dx.doi.org/10.1890/04-1730")</f>
        <v>http://dx.doi.org/10.1890/04-1730</v>
      </c>
      <c r="AM640" s="5">
        <v>92</v>
      </c>
      <c r="AN640" s="5">
        <v>94</v>
      </c>
      <c r="AO640" s="5">
        <v>86</v>
      </c>
      <c r="AP640" s="5">
        <v>12</v>
      </c>
      <c r="AQ640" s="5">
        <v>3225</v>
      </c>
      <c r="AR640" s="5">
        <v>3231</v>
      </c>
      <c r="AS640" s="5" t="s">
        <v>16</v>
      </c>
      <c r="AT640" s="5" t="s">
        <v>3819</v>
      </c>
      <c r="AU640" s="5" t="s">
        <v>3820</v>
      </c>
      <c r="AV640" s="5" t="s">
        <v>3822</v>
      </c>
    </row>
    <row r="641" spans="1:48" ht="45" customHeight="1" x14ac:dyDescent="0.15">
      <c r="A641" s="5" t="s">
        <v>3823</v>
      </c>
      <c r="B641" s="5">
        <v>2000</v>
      </c>
      <c r="C641" s="5" t="s">
        <v>3824</v>
      </c>
      <c r="D641" s="5" t="s">
        <v>49</v>
      </c>
      <c r="E641" s="5" t="s">
        <v>18453</v>
      </c>
      <c r="F641" s="5" t="s">
        <v>3827</v>
      </c>
      <c r="G641" s="5"/>
      <c r="H641" s="5"/>
      <c r="I641" s="5"/>
      <c r="J641" s="5"/>
      <c r="K641" s="5"/>
      <c r="L641" s="5"/>
      <c r="M641" s="5"/>
      <c r="N641" s="5"/>
      <c r="O641" s="5"/>
      <c r="P641" s="5"/>
      <c r="Q641" s="5"/>
      <c r="AL641" s="7" t="str">
        <f>HYPERLINK("http://dx.doi.org/10.3354/meps198239","http://dx.doi.org/10.3354/meps198239")</f>
        <v>http://dx.doi.org/10.3354/meps198239</v>
      </c>
      <c r="AM641" s="5">
        <v>29</v>
      </c>
      <c r="AN641" s="5">
        <v>30</v>
      </c>
      <c r="AO641" s="5">
        <v>198</v>
      </c>
      <c r="AP641" s="5" t="s">
        <v>16</v>
      </c>
      <c r="AQ641" s="5">
        <v>239</v>
      </c>
      <c r="AR641" s="5">
        <v>247</v>
      </c>
      <c r="AS641" s="5" t="s">
        <v>16</v>
      </c>
      <c r="AT641" s="5" t="s">
        <v>3825</v>
      </c>
      <c r="AU641" s="5" t="s">
        <v>3826</v>
      </c>
      <c r="AV641" s="5" t="s">
        <v>3828</v>
      </c>
    </row>
    <row r="642" spans="1:48" ht="45" customHeight="1" x14ac:dyDescent="0.15">
      <c r="A642" s="5" t="s">
        <v>3829</v>
      </c>
      <c r="B642" s="5">
        <v>2015</v>
      </c>
      <c r="C642" s="5" t="s">
        <v>3830</v>
      </c>
      <c r="D642" s="5" t="s">
        <v>49</v>
      </c>
      <c r="E642" s="5" t="s">
        <v>18453</v>
      </c>
      <c r="F642" s="5" t="s">
        <v>3833</v>
      </c>
      <c r="G642" s="5"/>
      <c r="H642" s="5"/>
      <c r="I642" s="5"/>
      <c r="J642" s="5"/>
      <c r="K642" s="5"/>
      <c r="L642" s="5"/>
      <c r="M642" s="5"/>
      <c r="N642" s="5"/>
      <c r="O642" s="5"/>
      <c r="P642" s="5"/>
      <c r="Q642" s="5"/>
      <c r="AL642" s="7" t="str">
        <f>HYPERLINK("http://dx.doi.org/10.3354/meps11318","http://dx.doi.org/10.3354/meps11318")</f>
        <v>http://dx.doi.org/10.3354/meps11318</v>
      </c>
      <c r="AM642" s="5">
        <v>19</v>
      </c>
      <c r="AN642" s="5">
        <v>19</v>
      </c>
      <c r="AO642" s="5">
        <v>533</v>
      </c>
      <c r="AP642" s="5" t="s">
        <v>16</v>
      </c>
      <c r="AQ642" s="5">
        <v>15</v>
      </c>
      <c r="AR642" s="5">
        <v>28</v>
      </c>
      <c r="AS642" s="5" t="s">
        <v>16</v>
      </c>
      <c r="AT642" s="5" t="s">
        <v>3831</v>
      </c>
      <c r="AU642" s="5" t="s">
        <v>3832</v>
      </c>
      <c r="AV642" s="5" t="s">
        <v>3834</v>
      </c>
    </row>
    <row r="643" spans="1:48" ht="45" customHeight="1" x14ac:dyDescent="0.15">
      <c r="A643" s="5" t="s">
        <v>2079</v>
      </c>
      <c r="B643" s="5">
        <v>2007</v>
      </c>
      <c r="C643" s="5" t="s">
        <v>3835</v>
      </c>
      <c r="D643" s="5" t="s">
        <v>49</v>
      </c>
      <c r="E643" s="5" t="s">
        <v>18453</v>
      </c>
      <c r="F643" s="5" t="s">
        <v>3838</v>
      </c>
      <c r="G643" s="5"/>
      <c r="H643" s="5"/>
      <c r="I643" s="5"/>
      <c r="J643" s="5"/>
      <c r="K643" s="5"/>
      <c r="L643" s="5"/>
      <c r="M643" s="5"/>
      <c r="N643" s="5"/>
      <c r="O643" s="5"/>
      <c r="P643" s="5"/>
      <c r="Q643" s="5"/>
      <c r="AL643" s="7" t="str">
        <f>HYPERLINK("http://dx.doi.org/10.3354/meps339271","http://dx.doi.org/10.3354/meps339271")</f>
        <v>http://dx.doi.org/10.3354/meps339271</v>
      </c>
      <c r="AM643" s="5">
        <v>43</v>
      </c>
      <c r="AN643" s="5">
        <v>44</v>
      </c>
      <c r="AO643" s="5">
        <v>339</v>
      </c>
      <c r="AP643" s="5" t="s">
        <v>16</v>
      </c>
      <c r="AQ643" s="5">
        <v>271</v>
      </c>
      <c r="AR643" s="5">
        <v>282</v>
      </c>
      <c r="AS643" s="5" t="s">
        <v>16</v>
      </c>
      <c r="AT643" s="5" t="s">
        <v>3836</v>
      </c>
      <c r="AU643" s="5" t="s">
        <v>3837</v>
      </c>
      <c r="AV643" s="5" t="s">
        <v>3839</v>
      </c>
    </row>
    <row r="644" spans="1:48" ht="45" customHeight="1" x14ac:dyDescent="0.15">
      <c r="A644" s="5" t="s">
        <v>3840</v>
      </c>
      <c r="B644" s="5">
        <v>2011</v>
      </c>
      <c r="C644" s="5" t="s">
        <v>3841</v>
      </c>
      <c r="D644" s="5" t="s">
        <v>160</v>
      </c>
      <c r="E644" s="5" t="s">
        <v>18453</v>
      </c>
      <c r="F644" s="5" t="s">
        <v>3844</v>
      </c>
      <c r="G644" s="5"/>
      <c r="H644" s="5"/>
      <c r="I644" s="5"/>
      <c r="J644" s="5"/>
      <c r="K644" s="5"/>
      <c r="L644" s="5"/>
      <c r="M644" s="5"/>
      <c r="N644" s="5"/>
      <c r="O644" s="5"/>
      <c r="P644" s="5"/>
      <c r="Q644" s="5"/>
      <c r="AL644" s="7" t="str">
        <f>HYPERLINK("http://dx.doi.org/10.1111/j.1365-2664.2011.02007.x","http://dx.doi.org/10.1111/j.1365-2664.2011.02007.x")</f>
        <v>http://dx.doi.org/10.1111/j.1365-2664.2011.02007.x</v>
      </c>
      <c r="AM644" s="5">
        <v>60</v>
      </c>
      <c r="AN644" s="5">
        <v>62</v>
      </c>
      <c r="AO644" s="5">
        <v>48</v>
      </c>
      <c r="AP644" s="5">
        <v>4</v>
      </c>
      <c r="AQ644" s="5">
        <v>916</v>
      </c>
      <c r="AR644" s="5">
        <v>925</v>
      </c>
      <c r="AS644" s="5" t="s">
        <v>16</v>
      </c>
      <c r="AT644" s="5" t="s">
        <v>3842</v>
      </c>
      <c r="AU644" s="5" t="s">
        <v>3843</v>
      </c>
      <c r="AV644" s="5" t="s">
        <v>3845</v>
      </c>
    </row>
    <row r="645" spans="1:48" ht="45" customHeight="1" x14ac:dyDescent="0.15">
      <c r="A645" s="5" t="s">
        <v>3846</v>
      </c>
      <c r="B645" s="5">
        <v>2006</v>
      </c>
      <c r="C645" s="5" t="s">
        <v>3847</v>
      </c>
      <c r="D645" s="5" t="s">
        <v>77</v>
      </c>
      <c r="E645" s="5" t="s">
        <v>18453</v>
      </c>
      <c r="F645" s="5" t="s">
        <v>3850</v>
      </c>
      <c r="G645" s="5"/>
      <c r="H645" s="5"/>
      <c r="I645" s="5"/>
      <c r="J645" s="5"/>
      <c r="K645" s="5"/>
      <c r="L645" s="5"/>
      <c r="M645" s="5"/>
      <c r="N645" s="5"/>
      <c r="O645" s="5"/>
      <c r="P645" s="5"/>
      <c r="Q645" s="5"/>
      <c r="AL645" s="7" t="str">
        <f>HYPERLINK("http://dx.doi.org/10.1111/j.1365-2656.2006.01148.x","http://dx.doi.org/10.1111/j.1365-2656.2006.01148.x")</f>
        <v>http://dx.doi.org/10.1111/j.1365-2656.2006.01148.x</v>
      </c>
      <c r="AM645" s="5">
        <v>365</v>
      </c>
      <c r="AN645" s="5">
        <v>382</v>
      </c>
      <c r="AO645" s="5">
        <v>75</v>
      </c>
      <c r="AP645" s="5">
        <v>6</v>
      </c>
      <c r="AQ645" s="5">
        <v>1259</v>
      </c>
      <c r="AR645" s="5">
        <v>1268</v>
      </c>
      <c r="AS645" s="5" t="s">
        <v>16</v>
      </c>
      <c r="AT645" s="5" t="s">
        <v>3848</v>
      </c>
      <c r="AU645" s="5" t="s">
        <v>3849</v>
      </c>
      <c r="AV645" s="5" t="s">
        <v>3851</v>
      </c>
    </row>
    <row r="646" spans="1:48" ht="45" customHeight="1" x14ac:dyDescent="0.15">
      <c r="A646" s="5" t="s">
        <v>3852</v>
      </c>
      <c r="B646" s="5">
        <v>2009</v>
      </c>
      <c r="C646" s="5" t="s">
        <v>3853</v>
      </c>
      <c r="D646" s="5" t="s">
        <v>295</v>
      </c>
      <c r="E646" s="5" t="s">
        <v>18453</v>
      </c>
      <c r="F646" s="5" t="s">
        <v>3856</v>
      </c>
      <c r="G646" s="5"/>
      <c r="H646" s="5"/>
      <c r="I646" s="5"/>
      <c r="J646" s="5"/>
      <c r="K646" s="5"/>
      <c r="L646" s="5"/>
      <c r="M646" s="5"/>
      <c r="N646" s="5"/>
      <c r="O646" s="5"/>
      <c r="P646" s="5"/>
      <c r="Q646" s="5"/>
      <c r="AL646" s="7" t="str">
        <f>HYPERLINK("http://dx.doi.org/10.1016/j.jembe.2009.03.006","http://dx.doi.org/10.1016/j.jembe.2009.03.006")</f>
        <v>http://dx.doi.org/10.1016/j.jembe.2009.03.006</v>
      </c>
      <c r="AM646" s="5">
        <v>62</v>
      </c>
      <c r="AN646" s="5">
        <v>64</v>
      </c>
      <c r="AO646" s="5">
        <v>373</v>
      </c>
      <c r="AP646" s="5">
        <v>1</v>
      </c>
      <c r="AQ646" s="5">
        <v>50</v>
      </c>
      <c r="AR646" s="5">
        <v>57</v>
      </c>
      <c r="AS646" s="5" t="s">
        <v>16</v>
      </c>
      <c r="AT646" s="5" t="s">
        <v>3854</v>
      </c>
      <c r="AU646" s="5" t="s">
        <v>3855</v>
      </c>
      <c r="AV646" s="5" t="s">
        <v>3857</v>
      </c>
    </row>
    <row r="647" spans="1:48" ht="45" customHeight="1" x14ac:dyDescent="0.15">
      <c r="A647" s="5" t="s">
        <v>3858</v>
      </c>
      <c r="B647" s="5">
        <v>2014</v>
      </c>
      <c r="C647" s="5" t="s">
        <v>3859</v>
      </c>
      <c r="D647" s="5" t="s">
        <v>3860</v>
      </c>
      <c r="E647" s="5" t="s">
        <v>18453</v>
      </c>
      <c r="F647" s="5" t="s">
        <v>3863</v>
      </c>
      <c r="G647" s="5"/>
      <c r="H647" s="5"/>
      <c r="I647" s="5"/>
      <c r="J647" s="5"/>
      <c r="K647" s="5"/>
      <c r="L647" s="5"/>
      <c r="M647" s="5"/>
      <c r="N647" s="5"/>
      <c r="O647" s="5"/>
      <c r="P647" s="5"/>
      <c r="Q647" s="5"/>
      <c r="AL647" s="7" t="str">
        <f>HYPERLINK("http://dx.doi.org/10.1556/COMEC.15.2014.1.6","http://dx.doi.org/10.1556/COMEC.15.2014.1.6")</f>
        <v>http://dx.doi.org/10.1556/COMEC.15.2014.1.6</v>
      </c>
      <c r="AM647" s="5">
        <v>12</v>
      </c>
      <c r="AN647" s="5">
        <v>12</v>
      </c>
      <c r="AO647" s="5">
        <v>15</v>
      </c>
      <c r="AP647" s="5">
        <v>1</v>
      </c>
      <c r="AQ647" s="5">
        <v>54</v>
      </c>
      <c r="AR647" s="5">
        <v>64</v>
      </c>
      <c r="AS647" s="5" t="s">
        <v>16</v>
      </c>
      <c r="AT647" s="5" t="s">
        <v>3861</v>
      </c>
      <c r="AU647" s="5" t="s">
        <v>3862</v>
      </c>
      <c r="AV647" s="5" t="s">
        <v>3864</v>
      </c>
    </row>
    <row r="648" spans="1:48" ht="45" customHeight="1" x14ac:dyDescent="0.15">
      <c r="A648" s="5" t="s">
        <v>3865</v>
      </c>
      <c r="B648" s="5">
        <v>2010</v>
      </c>
      <c r="C648" s="5" t="s">
        <v>3866</v>
      </c>
      <c r="D648" s="5" t="s">
        <v>49</v>
      </c>
      <c r="E648" s="5" t="s">
        <v>18453</v>
      </c>
      <c r="F648" s="5" t="s">
        <v>3869</v>
      </c>
      <c r="G648" s="5"/>
      <c r="H648" s="5"/>
      <c r="I648" s="5"/>
      <c r="J648" s="5"/>
      <c r="K648" s="5"/>
      <c r="L648" s="5"/>
      <c r="M648" s="5"/>
      <c r="N648" s="5"/>
      <c r="O648" s="5"/>
      <c r="P648" s="5"/>
      <c r="Q648" s="5"/>
      <c r="AL648" s="7" t="str">
        <f>HYPERLINK("http://dx.doi.org/10.3354/meps08825","http://dx.doi.org/10.3354/meps08825")</f>
        <v>http://dx.doi.org/10.3354/meps08825</v>
      </c>
      <c r="AM648" s="5">
        <v>82</v>
      </c>
      <c r="AN648" s="5">
        <v>83</v>
      </c>
      <c r="AO648" s="5">
        <v>419</v>
      </c>
      <c r="AP648" s="5" t="s">
        <v>16</v>
      </c>
      <c r="AQ648" s="5">
        <v>249</v>
      </c>
      <c r="AR648" s="5">
        <v>265</v>
      </c>
      <c r="AS648" s="5" t="s">
        <v>16</v>
      </c>
      <c r="AT648" s="5" t="s">
        <v>3867</v>
      </c>
      <c r="AU648" s="5" t="s">
        <v>3868</v>
      </c>
      <c r="AV648" s="5" t="s">
        <v>3870</v>
      </c>
    </row>
    <row r="649" spans="1:48" ht="45" customHeight="1" x14ac:dyDescent="0.15">
      <c r="A649" s="5" t="s">
        <v>3871</v>
      </c>
      <c r="B649" s="5">
        <v>2016</v>
      </c>
      <c r="C649" s="5" t="s">
        <v>3872</v>
      </c>
      <c r="D649" s="5" t="s">
        <v>49</v>
      </c>
      <c r="E649" s="5" t="s">
        <v>18453</v>
      </c>
      <c r="F649" s="5" t="s">
        <v>3875</v>
      </c>
      <c r="G649" s="5"/>
      <c r="H649" s="5"/>
      <c r="I649" s="5"/>
      <c r="J649" s="5"/>
      <c r="K649" s="5"/>
      <c r="L649" s="5"/>
      <c r="M649" s="5"/>
      <c r="N649" s="5"/>
      <c r="O649" s="5"/>
      <c r="P649" s="5"/>
      <c r="Q649" s="5"/>
      <c r="AL649" s="7" t="str">
        <f>HYPERLINK("http://dx.doi.org/10.3354/meps11794","http://dx.doi.org/10.3354/meps11794")</f>
        <v>http://dx.doi.org/10.3354/meps11794</v>
      </c>
      <c r="AM649" s="5">
        <v>32</v>
      </c>
      <c r="AN649" s="5">
        <v>33</v>
      </c>
      <c r="AO649" s="5">
        <v>554</v>
      </c>
      <c r="AP649" s="5" t="s">
        <v>16</v>
      </c>
      <c r="AQ649" s="5">
        <v>21</v>
      </c>
      <c r="AR649" s="5">
        <v>34</v>
      </c>
      <c r="AS649" s="5" t="s">
        <v>16</v>
      </c>
      <c r="AT649" s="5" t="s">
        <v>3873</v>
      </c>
      <c r="AU649" s="5" t="s">
        <v>3874</v>
      </c>
      <c r="AV649" s="5" t="s">
        <v>3876</v>
      </c>
    </row>
    <row r="650" spans="1:48" ht="45" customHeight="1" x14ac:dyDescent="0.15">
      <c r="A650" s="5" t="s">
        <v>3877</v>
      </c>
      <c r="B650" s="5">
        <v>2021</v>
      </c>
      <c r="C650" s="5" t="s">
        <v>3878</v>
      </c>
      <c r="D650" s="5" t="s">
        <v>49</v>
      </c>
      <c r="E650" s="5" t="s">
        <v>18453</v>
      </c>
      <c r="F650" s="5" t="s">
        <v>3881</v>
      </c>
      <c r="G650" s="5"/>
      <c r="H650" s="5"/>
      <c r="I650" s="5"/>
      <c r="J650" s="5"/>
      <c r="K650" s="5"/>
      <c r="L650" s="5"/>
      <c r="M650" s="5"/>
      <c r="N650" s="5"/>
      <c r="O650" s="5"/>
      <c r="P650" s="5"/>
      <c r="Q650" s="5"/>
      <c r="AL650" s="7" t="str">
        <f>HYPERLINK("http://dx.doi.org/10.3354/meps13702","http://dx.doi.org/10.3354/meps13702")</f>
        <v>http://dx.doi.org/10.3354/meps13702</v>
      </c>
      <c r="AM650" s="5">
        <v>0</v>
      </c>
      <c r="AN650" s="5">
        <v>0</v>
      </c>
      <c r="AO650" s="5">
        <v>667</v>
      </c>
      <c r="AP650" s="5" t="s">
        <v>16</v>
      </c>
      <c r="AQ650" s="5">
        <v>207</v>
      </c>
      <c r="AR650" s="5">
        <v>217</v>
      </c>
      <c r="AS650" s="5" t="s">
        <v>16</v>
      </c>
      <c r="AT650" s="5" t="s">
        <v>3879</v>
      </c>
      <c r="AU650" s="5" t="s">
        <v>3880</v>
      </c>
      <c r="AV650" s="5" t="s">
        <v>3882</v>
      </c>
    </row>
    <row r="651" spans="1:48" ht="45" customHeight="1" x14ac:dyDescent="0.15">
      <c r="A651" s="5" t="s">
        <v>3883</v>
      </c>
      <c r="B651" s="5">
        <v>2008</v>
      </c>
      <c r="C651" s="5" t="s">
        <v>3884</v>
      </c>
      <c r="D651" s="5" t="s">
        <v>172</v>
      </c>
      <c r="E651" s="5" t="s">
        <v>18453</v>
      </c>
      <c r="F651" s="5" t="s">
        <v>3887</v>
      </c>
      <c r="G651" s="5"/>
      <c r="H651" s="5"/>
      <c r="I651" s="5"/>
      <c r="J651" s="5"/>
      <c r="K651" s="5"/>
      <c r="L651" s="5"/>
      <c r="M651" s="5"/>
      <c r="N651" s="5"/>
      <c r="O651" s="5"/>
      <c r="P651" s="5"/>
      <c r="Q651" s="5"/>
      <c r="AL651" s="7" t="str">
        <f>HYPERLINK("http://dx.doi.org/10.1007/s00442-008-1122-y","http://dx.doi.org/10.1007/s00442-008-1122-y")</f>
        <v>http://dx.doi.org/10.1007/s00442-008-1122-y</v>
      </c>
      <c r="AM651" s="5">
        <v>55</v>
      </c>
      <c r="AN651" s="5">
        <v>55</v>
      </c>
      <c r="AO651" s="5">
        <v>158</v>
      </c>
      <c r="AP651" s="5">
        <v>1</v>
      </c>
      <c r="AQ651" s="5">
        <v>11</v>
      </c>
      <c r="AR651" s="5">
        <v>22</v>
      </c>
      <c r="AS651" s="5" t="s">
        <v>16</v>
      </c>
      <c r="AT651" s="5" t="s">
        <v>3885</v>
      </c>
      <c r="AU651" s="5" t="s">
        <v>3886</v>
      </c>
      <c r="AV651" s="5" t="s">
        <v>3888</v>
      </c>
    </row>
    <row r="652" spans="1:48" ht="45" customHeight="1" x14ac:dyDescent="0.15">
      <c r="A652" s="5" t="s">
        <v>3889</v>
      </c>
      <c r="B652" s="5">
        <v>2011</v>
      </c>
      <c r="C652" s="5" t="s">
        <v>3890</v>
      </c>
      <c r="D652" s="5" t="s">
        <v>33</v>
      </c>
      <c r="E652" s="5" t="s">
        <v>18453</v>
      </c>
      <c r="F652" s="5" t="s">
        <v>3893</v>
      </c>
      <c r="G652" s="5"/>
      <c r="H652" s="5"/>
      <c r="I652" s="5"/>
      <c r="J652" s="5"/>
      <c r="K652" s="5"/>
      <c r="L652" s="5"/>
      <c r="M652" s="5"/>
      <c r="N652" s="5"/>
      <c r="O652" s="5"/>
      <c r="P652" s="5"/>
      <c r="Q652" s="5"/>
      <c r="AL652" s="7" t="str">
        <f>HYPERLINK("http://dx.doi.org/10.1111/j.1365-2486.2010.02222.x","http://dx.doi.org/10.1111/j.1365-2486.2010.02222.x")</f>
        <v>http://dx.doi.org/10.1111/j.1365-2486.2010.02222.x</v>
      </c>
      <c r="AM652" s="5">
        <v>126</v>
      </c>
      <c r="AN652" s="5">
        <v>128</v>
      </c>
      <c r="AO652" s="5">
        <v>17</v>
      </c>
      <c r="AP652" s="5">
        <v>2</v>
      </c>
      <c r="AQ652" s="5">
        <v>1049</v>
      </c>
      <c r="AR652" s="5">
        <v>1063</v>
      </c>
      <c r="AS652" s="5" t="s">
        <v>16</v>
      </c>
      <c r="AT652" s="5" t="s">
        <v>3891</v>
      </c>
      <c r="AU652" s="5" t="s">
        <v>3892</v>
      </c>
      <c r="AV652" s="5" t="s">
        <v>3894</v>
      </c>
    </row>
    <row r="653" spans="1:48" ht="45" customHeight="1" x14ac:dyDescent="0.15">
      <c r="A653" s="5" t="s">
        <v>3895</v>
      </c>
      <c r="B653" s="5">
        <v>2012</v>
      </c>
      <c r="C653" s="5" t="s">
        <v>3896</v>
      </c>
      <c r="D653" s="5" t="s">
        <v>27</v>
      </c>
      <c r="E653" s="5" t="s">
        <v>18453</v>
      </c>
      <c r="F653" s="5" t="s">
        <v>3899</v>
      </c>
      <c r="G653" s="5"/>
      <c r="H653" s="5"/>
      <c r="I653" s="5"/>
      <c r="J653" s="5"/>
      <c r="K653" s="5"/>
      <c r="L653" s="5"/>
      <c r="M653" s="5"/>
      <c r="N653" s="5"/>
      <c r="O653" s="5"/>
      <c r="P653" s="5"/>
      <c r="Q653" s="5"/>
      <c r="AL653" s="7" t="str">
        <f>HYPERLINK("http://dx.doi.org/10.1890/11-0996.1","http://dx.doi.org/10.1890/11-0996.1")</f>
        <v>http://dx.doi.org/10.1890/11-0996.1</v>
      </c>
      <c r="AM653" s="5">
        <v>32</v>
      </c>
      <c r="AN653" s="5">
        <v>33</v>
      </c>
      <c r="AO653" s="5">
        <v>93</v>
      </c>
      <c r="AP653" s="5">
        <v>2</v>
      </c>
      <c r="AQ653" s="5">
        <v>314</v>
      </c>
      <c r="AR653" s="5">
        <v>323</v>
      </c>
      <c r="AS653" s="5" t="s">
        <v>16</v>
      </c>
      <c r="AT653" s="5" t="s">
        <v>3897</v>
      </c>
      <c r="AU653" s="5" t="s">
        <v>3898</v>
      </c>
      <c r="AV653" s="5" t="s">
        <v>3900</v>
      </c>
    </row>
    <row r="654" spans="1:48" ht="45" customHeight="1" x14ac:dyDescent="0.15">
      <c r="A654" s="5" t="s">
        <v>3901</v>
      </c>
      <c r="B654" s="5">
        <v>2021</v>
      </c>
      <c r="C654" s="5" t="s">
        <v>3902</v>
      </c>
      <c r="D654" s="5" t="s">
        <v>59</v>
      </c>
      <c r="E654" s="5" t="s">
        <v>18453</v>
      </c>
      <c r="F654" s="5" t="s">
        <v>3905</v>
      </c>
      <c r="G654" s="5"/>
      <c r="H654" s="5"/>
      <c r="I654" s="5"/>
      <c r="J654" s="5"/>
      <c r="K654" s="5"/>
      <c r="L654" s="5"/>
      <c r="M654" s="5"/>
      <c r="N654" s="5"/>
      <c r="O654" s="5"/>
      <c r="P654" s="5"/>
      <c r="Q654" s="5"/>
      <c r="AL654" s="7" t="str">
        <f>HYPERLINK("http://dx.doi.org/10.1111/ele.13866","http://dx.doi.org/10.1111/ele.13866")</f>
        <v>http://dx.doi.org/10.1111/ele.13866</v>
      </c>
      <c r="AM654" s="5">
        <v>12</v>
      </c>
      <c r="AN654" s="5">
        <v>12</v>
      </c>
      <c r="AO654" s="5">
        <v>24</v>
      </c>
      <c r="AP654" s="5">
        <v>12</v>
      </c>
      <c r="AQ654" s="5">
        <v>2563</v>
      </c>
      <c r="AR654" s="5">
        <v>2575</v>
      </c>
      <c r="AS654" s="5" t="s">
        <v>16</v>
      </c>
      <c r="AT654" s="5" t="s">
        <v>3903</v>
      </c>
      <c r="AU654" s="5" t="s">
        <v>3904</v>
      </c>
      <c r="AV654" s="5" t="s">
        <v>3906</v>
      </c>
    </row>
    <row r="655" spans="1:48" ht="45" customHeight="1" x14ac:dyDescent="0.15">
      <c r="A655" s="5" t="s">
        <v>3907</v>
      </c>
      <c r="B655" s="5">
        <v>2008</v>
      </c>
      <c r="C655" s="5" t="s">
        <v>3908</v>
      </c>
      <c r="D655" s="5" t="s">
        <v>172</v>
      </c>
      <c r="E655" s="5" t="s">
        <v>18453</v>
      </c>
      <c r="F655" s="5" t="s">
        <v>3911</v>
      </c>
      <c r="G655" s="5"/>
      <c r="H655" s="5"/>
      <c r="I655" s="5"/>
      <c r="J655" s="5"/>
      <c r="K655" s="5"/>
      <c r="L655" s="5"/>
      <c r="M655" s="5"/>
      <c r="N655" s="5"/>
      <c r="O655" s="5"/>
      <c r="P655" s="5"/>
      <c r="Q655" s="5"/>
      <c r="AL655" s="7" t="str">
        <f>HYPERLINK("http://dx.doi.org/10.1007/s00442-007-0904-y","http://dx.doi.org/10.1007/s00442-007-0904-y")</f>
        <v>http://dx.doi.org/10.1007/s00442-007-0904-y</v>
      </c>
      <c r="AM655" s="5">
        <v>62</v>
      </c>
      <c r="AN655" s="5">
        <v>65</v>
      </c>
      <c r="AO655" s="5">
        <v>155</v>
      </c>
      <c r="AP655" s="5">
        <v>2</v>
      </c>
      <c r="AQ655" s="5">
        <v>227</v>
      </c>
      <c r="AR655" s="5">
        <v>235</v>
      </c>
      <c r="AS655" s="5" t="s">
        <v>16</v>
      </c>
      <c r="AT655" s="5" t="s">
        <v>3909</v>
      </c>
      <c r="AU655" s="5" t="s">
        <v>3910</v>
      </c>
      <c r="AV655" s="5" t="s">
        <v>3912</v>
      </c>
    </row>
    <row r="656" spans="1:48" ht="45" customHeight="1" x14ac:dyDescent="0.15">
      <c r="A656" s="5" t="s">
        <v>3913</v>
      </c>
      <c r="B656" s="5">
        <v>2017</v>
      </c>
      <c r="C656" s="5" t="s">
        <v>3914</v>
      </c>
      <c r="D656" s="5" t="s">
        <v>190</v>
      </c>
      <c r="E656" s="5" t="s">
        <v>18453</v>
      </c>
      <c r="F656" s="5" t="s">
        <v>3917</v>
      </c>
      <c r="G656" s="5"/>
      <c r="H656" s="5"/>
      <c r="I656" s="5"/>
      <c r="J656" s="5"/>
      <c r="K656" s="5"/>
      <c r="L656" s="5"/>
      <c r="M656" s="5"/>
      <c r="N656" s="5"/>
      <c r="O656" s="5"/>
      <c r="P656" s="5"/>
      <c r="Q656" s="5"/>
      <c r="AL656" s="7" t="str">
        <f>HYPERLINK("http://dx.doi.org/10.1007/s10530-016-1336-6","http://dx.doi.org/10.1007/s10530-016-1336-6")</f>
        <v>http://dx.doi.org/10.1007/s10530-016-1336-6</v>
      </c>
      <c r="AM656" s="5">
        <v>8</v>
      </c>
      <c r="AN656" s="5">
        <v>8</v>
      </c>
      <c r="AO656" s="5">
        <v>19</v>
      </c>
      <c r="AP656" s="5">
        <v>3</v>
      </c>
      <c r="AQ656" s="5">
        <v>955</v>
      </c>
      <c r="AR656" s="5">
        <v>969</v>
      </c>
      <c r="AS656" s="5" t="s">
        <v>16</v>
      </c>
      <c r="AT656" s="5" t="s">
        <v>3915</v>
      </c>
      <c r="AU656" s="5" t="s">
        <v>3916</v>
      </c>
      <c r="AV656" s="5" t="s">
        <v>3918</v>
      </c>
    </row>
    <row r="657" spans="1:48" ht="45" customHeight="1" x14ac:dyDescent="0.15">
      <c r="A657" s="5" t="s">
        <v>3919</v>
      </c>
      <c r="B657" s="5">
        <v>2021</v>
      </c>
      <c r="C657" s="5" t="s">
        <v>3920</v>
      </c>
      <c r="D657" s="5" t="s">
        <v>17</v>
      </c>
      <c r="E657" s="5" t="s">
        <v>18453</v>
      </c>
      <c r="F657" s="5" t="s">
        <v>3923</v>
      </c>
      <c r="G657" s="5"/>
      <c r="H657" s="5"/>
      <c r="I657" s="5"/>
      <c r="J657" s="5"/>
      <c r="K657" s="5"/>
      <c r="L657" s="5"/>
      <c r="M657" s="5"/>
      <c r="N657" s="5"/>
      <c r="O657" s="5"/>
      <c r="P657" s="5"/>
      <c r="Q657" s="5"/>
      <c r="AL657" s="7" t="str">
        <f>HYPERLINK("http://dx.doi.org/10.1111/fwb.13792","http://dx.doi.org/10.1111/fwb.13792")</f>
        <v>http://dx.doi.org/10.1111/fwb.13792</v>
      </c>
      <c r="AM657" s="5">
        <v>4</v>
      </c>
      <c r="AN657" s="5">
        <v>4</v>
      </c>
      <c r="AO657" s="5">
        <v>66</v>
      </c>
      <c r="AP657" s="5">
        <v>9</v>
      </c>
      <c r="AQ657" s="5">
        <v>1782</v>
      </c>
      <c r="AR657" s="5">
        <v>1798</v>
      </c>
      <c r="AS657" s="5" t="s">
        <v>16</v>
      </c>
      <c r="AT657" s="5" t="s">
        <v>3921</v>
      </c>
      <c r="AU657" s="5" t="s">
        <v>3922</v>
      </c>
      <c r="AV657" s="5" t="s">
        <v>3924</v>
      </c>
    </row>
    <row r="658" spans="1:48" ht="45" customHeight="1" x14ac:dyDescent="0.15">
      <c r="A658" s="5" t="s">
        <v>3925</v>
      </c>
      <c r="B658" s="5">
        <v>2005</v>
      </c>
      <c r="C658" s="5" t="s">
        <v>3926</v>
      </c>
      <c r="D658" s="5" t="s">
        <v>49</v>
      </c>
      <c r="E658" s="5" t="s">
        <v>18453</v>
      </c>
      <c r="F658" s="5" t="s">
        <v>3929</v>
      </c>
      <c r="G658" s="5"/>
      <c r="H658" s="5"/>
      <c r="I658" s="5"/>
      <c r="J658" s="5"/>
      <c r="K658" s="5"/>
      <c r="L658" s="5"/>
      <c r="M658" s="5"/>
      <c r="N658" s="5"/>
      <c r="O658" s="5"/>
      <c r="P658" s="5"/>
      <c r="Q658" s="5"/>
      <c r="AL658" s="7" t="str">
        <f>HYPERLINK("http://dx.doi.org/10.3354/meps302199","http://dx.doi.org/10.3354/meps302199")</f>
        <v>http://dx.doi.org/10.3354/meps302199</v>
      </c>
      <c r="AM658" s="5">
        <v>171</v>
      </c>
      <c r="AN658" s="5">
        <v>182</v>
      </c>
      <c r="AO658" s="5">
        <v>302</v>
      </c>
      <c r="AP658" s="5" t="s">
        <v>16</v>
      </c>
      <c r="AQ658" s="5">
        <v>199</v>
      </c>
      <c r="AR658" s="5">
        <v>206</v>
      </c>
      <c r="AS658" s="5" t="s">
        <v>16</v>
      </c>
      <c r="AT658" s="5" t="s">
        <v>3927</v>
      </c>
      <c r="AU658" s="5" t="s">
        <v>3928</v>
      </c>
      <c r="AV658" s="5" t="s">
        <v>3930</v>
      </c>
    </row>
    <row r="659" spans="1:48" ht="45" customHeight="1" x14ac:dyDescent="0.15">
      <c r="A659" s="5" t="s">
        <v>3931</v>
      </c>
      <c r="B659" s="5">
        <v>2021</v>
      </c>
      <c r="C659" s="5" t="s">
        <v>3932</v>
      </c>
      <c r="D659" s="5" t="s">
        <v>312</v>
      </c>
      <c r="E659" s="5" t="s">
        <v>18453</v>
      </c>
      <c r="F659" s="5" t="s">
        <v>3935</v>
      </c>
      <c r="G659" s="5"/>
      <c r="H659" s="5"/>
      <c r="I659" s="5"/>
      <c r="J659" s="5"/>
      <c r="K659" s="5"/>
      <c r="L659" s="5"/>
      <c r="M659" s="5"/>
      <c r="N659" s="5"/>
      <c r="O659" s="5"/>
      <c r="P659" s="5"/>
      <c r="Q659" s="5"/>
      <c r="AL659" s="7" t="str">
        <f>HYPERLINK("http://dx.doi.org/10.1016/j.ecolmodel.2021.109679","http://dx.doi.org/10.1016/j.ecolmodel.2021.109679")</f>
        <v>http://dx.doi.org/10.1016/j.ecolmodel.2021.109679</v>
      </c>
      <c r="AM659" s="5">
        <v>2</v>
      </c>
      <c r="AN659" s="5">
        <v>2</v>
      </c>
      <c r="AO659" s="5">
        <v>457</v>
      </c>
      <c r="AP659" s="5" t="s">
        <v>16</v>
      </c>
      <c r="AQ659" s="5" t="s">
        <v>16</v>
      </c>
      <c r="AR659" s="5" t="s">
        <v>16</v>
      </c>
      <c r="AS659" s="5">
        <v>109679</v>
      </c>
      <c r="AT659" s="5" t="s">
        <v>3933</v>
      </c>
      <c r="AU659" s="5" t="s">
        <v>3934</v>
      </c>
      <c r="AV659" s="5" t="s">
        <v>3936</v>
      </c>
    </row>
    <row r="660" spans="1:48" ht="45" customHeight="1" x14ac:dyDescent="0.15">
      <c r="A660" s="5" t="s">
        <v>3937</v>
      </c>
      <c r="B660" s="5">
        <v>2008</v>
      </c>
      <c r="C660" s="5" t="s">
        <v>3938</v>
      </c>
      <c r="D660" s="5" t="s">
        <v>3939</v>
      </c>
      <c r="E660" s="5" t="s">
        <v>18453</v>
      </c>
      <c r="F660" s="5" t="s">
        <v>3942</v>
      </c>
      <c r="G660" s="5"/>
      <c r="H660" s="5"/>
      <c r="I660" s="5"/>
      <c r="J660" s="5"/>
      <c r="K660" s="5"/>
      <c r="L660" s="5"/>
      <c r="M660" s="5"/>
      <c r="N660" s="5"/>
      <c r="O660" s="5"/>
      <c r="P660" s="5"/>
      <c r="Q660" s="5"/>
      <c r="AL660" s="7" t="str">
        <f>HYPERLINK("http://dx.doi.org/10.1016/j.landurbplan.2008.08.007","http://dx.doi.org/10.1016/j.landurbplan.2008.08.007")</f>
        <v>http://dx.doi.org/10.1016/j.landurbplan.2008.08.007</v>
      </c>
      <c r="AM660" s="5">
        <v>54</v>
      </c>
      <c r="AN660" s="5">
        <v>57</v>
      </c>
      <c r="AO660" s="5">
        <v>88</v>
      </c>
      <c r="AP660" s="5" t="s">
        <v>3943</v>
      </c>
      <c r="AQ660" s="5">
        <v>46</v>
      </c>
      <c r="AR660" s="5">
        <v>53</v>
      </c>
      <c r="AS660" s="5" t="s">
        <v>16</v>
      </c>
      <c r="AT660" s="5" t="s">
        <v>3940</v>
      </c>
      <c r="AU660" s="5" t="s">
        <v>3941</v>
      </c>
      <c r="AV660" s="5" t="s">
        <v>3944</v>
      </c>
    </row>
    <row r="661" spans="1:48" ht="45" customHeight="1" x14ac:dyDescent="0.15">
      <c r="A661" s="5" t="s">
        <v>3945</v>
      </c>
      <c r="B661" s="5">
        <v>2022</v>
      </c>
      <c r="C661" s="5" t="s">
        <v>3946</v>
      </c>
      <c r="D661" s="5" t="s">
        <v>15</v>
      </c>
      <c r="E661" s="5" t="s">
        <v>18453</v>
      </c>
      <c r="F661" s="5" t="s">
        <v>3949</v>
      </c>
      <c r="G661" s="5"/>
      <c r="H661" s="5"/>
      <c r="I661" s="5"/>
      <c r="J661" s="5"/>
      <c r="K661" s="5"/>
      <c r="L661" s="5"/>
      <c r="M661" s="5"/>
      <c r="N661" s="5"/>
      <c r="O661" s="5"/>
      <c r="P661" s="5"/>
      <c r="Q661" s="5"/>
      <c r="AL661" s="7" t="str">
        <f>HYPERLINK("http://dx.doi.org/10.1002/ece3.9202","http://dx.doi.org/10.1002/ece3.9202")</f>
        <v>http://dx.doi.org/10.1002/ece3.9202</v>
      </c>
      <c r="AM661" s="5">
        <v>1</v>
      </c>
      <c r="AN661" s="5">
        <v>1</v>
      </c>
      <c r="AO661" s="5">
        <v>12</v>
      </c>
      <c r="AP661" s="5">
        <v>8</v>
      </c>
      <c r="AQ661" s="5" t="s">
        <v>16</v>
      </c>
      <c r="AR661" s="5" t="s">
        <v>16</v>
      </c>
      <c r="AS661" s="5" t="s">
        <v>3950</v>
      </c>
      <c r="AT661" s="5" t="s">
        <v>3947</v>
      </c>
      <c r="AU661" s="5" t="s">
        <v>3948</v>
      </c>
      <c r="AV661" s="5" t="s">
        <v>3951</v>
      </c>
    </row>
    <row r="662" spans="1:48" ht="45" customHeight="1" x14ac:dyDescent="0.15">
      <c r="A662" s="5" t="s">
        <v>3952</v>
      </c>
      <c r="B662" s="5">
        <v>2022</v>
      </c>
      <c r="C662" s="5" t="s">
        <v>3953</v>
      </c>
      <c r="D662" s="5" t="s">
        <v>3954</v>
      </c>
      <c r="E662" s="5" t="s">
        <v>18453</v>
      </c>
      <c r="F662" s="5" t="s">
        <v>3957</v>
      </c>
      <c r="G662" s="5"/>
      <c r="H662" s="5"/>
      <c r="I662" s="5"/>
      <c r="J662" s="5"/>
      <c r="K662" s="5"/>
      <c r="L662" s="5"/>
      <c r="M662" s="5"/>
      <c r="N662" s="5"/>
      <c r="O662" s="5"/>
      <c r="P662" s="5"/>
      <c r="Q662" s="5"/>
      <c r="AL662" s="7" t="str">
        <f>HYPERLINK("http://dx.doi.org/10.1016/j.flora.2022.152073","http://dx.doi.org/10.1016/j.flora.2022.152073")</f>
        <v>http://dx.doi.org/10.1016/j.flora.2022.152073</v>
      </c>
      <c r="AM662" s="5">
        <v>1</v>
      </c>
      <c r="AN662" s="5">
        <v>1</v>
      </c>
      <c r="AO662" s="5">
        <v>291</v>
      </c>
      <c r="AP662" s="5" t="s">
        <v>16</v>
      </c>
      <c r="AQ662" s="5" t="s">
        <v>16</v>
      </c>
      <c r="AR662" s="5" t="s">
        <v>16</v>
      </c>
      <c r="AS662" s="5">
        <v>152073</v>
      </c>
      <c r="AT662" s="5" t="s">
        <v>3955</v>
      </c>
      <c r="AU662" s="5" t="s">
        <v>3956</v>
      </c>
      <c r="AV662" s="5" t="s">
        <v>3958</v>
      </c>
    </row>
    <row r="663" spans="1:48" ht="45" customHeight="1" x14ac:dyDescent="0.15">
      <c r="A663" s="5" t="s">
        <v>3959</v>
      </c>
      <c r="B663" s="5">
        <v>2018</v>
      </c>
      <c r="C663" s="5" t="s">
        <v>3960</v>
      </c>
      <c r="D663" s="5" t="s">
        <v>18</v>
      </c>
      <c r="E663" s="5" t="s">
        <v>18453</v>
      </c>
      <c r="F663" s="5" t="s">
        <v>3963</v>
      </c>
      <c r="G663" s="5"/>
      <c r="H663" s="5"/>
      <c r="I663" s="5"/>
      <c r="J663" s="5"/>
      <c r="K663" s="5"/>
      <c r="L663" s="5"/>
      <c r="M663" s="5"/>
      <c r="N663" s="5"/>
      <c r="O663" s="5"/>
      <c r="P663" s="5"/>
      <c r="Q663" s="5"/>
      <c r="AL663" s="7" t="str">
        <f>HYPERLINK("http://dx.doi.org/10.1002/ecs2.2061","http://dx.doi.org/10.1002/ecs2.2061")</f>
        <v>http://dx.doi.org/10.1002/ecs2.2061</v>
      </c>
      <c r="AM663" s="5">
        <v>11</v>
      </c>
      <c r="AN663" s="5">
        <v>11</v>
      </c>
      <c r="AO663" s="5">
        <v>9</v>
      </c>
      <c r="AP663" s="5">
        <v>1</v>
      </c>
      <c r="AQ663" s="5" t="s">
        <v>16</v>
      </c>
      <c r="AR663" s="5" t="s">
        <v>16</v>
      </c>
      <c r="AS663" s="5" t="s">
        <v>3964</v>
      </c>
      <c r="AT663" s="5" t="s">
        <v>3961</v>
      </c>
      <c r="AU663" s="5" t="s">
        <v>3962</v>
      </c>
      <c r="AV663" s="5" t="s">
        <v>3965</v>
      </c>
    </row>
    <row r="664" spans="1:48" ht="45" customHeight="1" x14ac:dyDescent="0.15">
      <c r="A664" s="5" t="s">
        <v>3966</v>
      </c>
      <c r="B664" s="5">
        <v>2019</v>
      </c>
      <c r="C664" s="5" t="s">
        <v>3967</v>
      </c>
      <c r="D664" s="5" t="s">
        <v>289</v>
      </c>
      <c r="E664" s="5" t="s">
        <v>18453</v>
      </c>
      <c r="F664" s="5" t="s">
        <v>3970</v>
      </c>
      <c r="G664" s="5"/>
      <c r="H664" s="5"/>
      <c r="I664" s="5"/>
      <c r="J664" s="5"/>
      <c r="K664" s="5"/>
      <c r="L664" s="5"/>
      <c r="M664" s="5"/>
      <c r="N664" s="5"/>
      <c r="O664" s="5"/>
      <c r="P664" s="5"/>
      <c r="Q664" s="5"/>
      <c r="AL664" s="7" t="str">
        <f>HYPERLINK("http://dx.doi.org/10.1111/1365-2745.13022","http://dx.doi.org/10.1111/1365-2745.13022")</f>
        <v>http://dx.doi.org/10.1111/1365-2745.13022</v>
      </c>
      <c r="AM664" s="5">
        <v>115</v>
      </c>
      <c r="AN664" s="5">
        <v>117</v>
      </c>
      <c r="AO664" s="5">
        <v>107</v>
      </c>
      <c r="AP664" s="5">
        <v>1</v>
      </c>
      <c r="AQ664" s="5">
        <v>318</v>
      </c>
      <c r="AR664" s="5">
        <v>333</v>
      </c>
      <c r="AS664" s="5" t="s">
        <v>16</v>
      </c>
      <c r="AT664" s="5" t="s">
        <v>3968</v>
      </c>
      <c r="AU664" s="5" t="s">
        <v>3969</v>
      </c>
      <c r="AV664" s="5" t="s">
        <v>3971</v>
      </c>
    </row>
    <row r="665" spans="1:48" ht="45" customHeight="1" x14ac:dyDescent="0.15">
      <c r="A665" s="5" t="s">
        <v>3972</v>
      </c>
      <c r="B665" s="5">
        <v>2008</v>
      </c>
      <c r="C665" s="5" t="s">
        <v>3973</v>
      </c>
      <c r="D665" s="5" t="s">
        <v>295</v>
      </c>
      <c r="E665" s="5" t="s">
        <v>18453</v>
      </c>
      <c r="F665" s="5" t="s">
        <v>3976</v>
      </c>
      <c r="G665" s="5"/>
      <c r="H665" s="5"/>
      <c r="I665" s="5"/>
      <c r="J665" s="5"/>
      <c r="K665" s="5"/>
      <c r="L665" s="5"/>
      <c r="M665" s="5"/>
      <c r="N665" s="5"/>
      <c r="O665" s="5"/>
      <c r="P665" s="5"/>
      <c r="Q665" s="5"/>
      <c r="AL665" s="7" t="str">
        <f>HYPERLINK("http://dx.doi.org/10.1016/j.jembe.2008.01.021","http://dx.doi.org/10.1016/j.jembe.2008.01.021")</f>
        <v>http://dx.doi.org/10.1016/j.jembe.2008.01.021</v>
      </c>
      <c r="AM665" s="5">
        <v>30</v>
      </c>
      <c r="AN665" s="5">
        <v>30</v>
      </c>
      <c r="AO665" s="5">
        <v>358</v>
      </c>
      <c r="AP665" s="5">
        <v>1</v>
      </c>
      <c r="AQ665" s="5">
        <v>98</v>
      </c>
      <c r="AR665" s="5">
        <v>109</v>
      </c>
      <c r="AS665" s="5" t="s">
        <v>16</v>
      </c>
      <c r="AT665" s="5" t="s">
        <v>3974</v>
      </c>
      <c r="AU665" s="5" t="s">
        <v>3975</v>
      </c>
      <c r="AV665" s="5" t="s">
        <v>3977</v>
      </c>
    </row>
    <row r="666" spans="1:48" ht="45" customHeight="1" x14ac:dyDescent="0.15">
      <c r="A666" s="5" t="s">
        <v>3978</v>
      </c>
      <c r="B666" s="5">
        <v>2018</v>
      </c>
      <c r="C666" s="5" t="s">
        <v>3979</v>
      </c>
      <c r="D666" s="5" t="s">
        <v>3980</v>
      </c>
      <c r="E666" s="5" t="s">
        <v>18453</v>
      </c>
      <c r="F666" s="5" t="s">
        <v>3983</v>
      </c>
      <c r="G666" s="5"/>
      <c r="H666" s="5"/>
      <c r="I666" s="5"/>
      <c r="J666" s="5"/>
      <c r="K666" s="5"/>
      <c r="L666" s="5"/>
      <c r="M666" s="5"/>
      <c r="N666" s="5"/>
      <c r="O666" s="5"/>
      <c r="P666" s="5"/>
      <c r="Q666" s="5"/>
      <c r="AL666" s="7" t="str">
        <f>HYPERLINK("http://dx.doi.org/10.1111/btp.12503","http://dx.doi.org/10.1111/btp.12503")</f>
        <v>http://dx.doi.org/10.1111/btp.12503</v>
      </c>
      <c r="AM666" s="5">
        <v>8</v>
      </c>
      <c r="AN666" s="5">
        <v>9</v>
      </c>
      <c r="AO666" s="5">
        <v>50</v>
      </c>
      <c r="AP666" s="5">
        <v>1</v>
      </c>
      <c r="AQ666" s="5">
        <v>157</v>
      </c>
      <c r="AR666" s="5">
        <v>168</v>
      </c>
      <c r="AS666" s="5" t="s">
        <v>16</v>
      </c>
      <c r="AT666" s="5" t="s">
        <v>3981</v>
      </c>
      <c r="AU666" s="5" t="s">
        <v>3982</v>
      </c>
      <c r="AV666" s="5" t="s">
        <v>3984</v>
      </c>
    </row>
    <row r="667" spans="1:48" ht="45" customHeight="1" x14ac:dyDescent="0.15">
      <c r="A667" s="5" t="s">
        <v>3985</v>
      </c>
      <c r="B667" s="5">
        <v>2017</v>
      </c>
      <c r="C667" s="5" t="s">
        <v>3986</v>
      </c>
      <c r="D667" s="5" t="s">
        <v>3987</v>
      </c>
      <c r="E667" s="5" t="s">
        <v>18453</v>
      </c>
      <c r="F667" s="5" t="s">
        <v>3989</v>
      </c>
      <c r="G667" s="5"/>
      <c r="H667" s="5"/>
      <c r="I667" s="5"/>
      <c r="J667" s="5"/>
      <c r="K667" s="5"/>
      <c r="L667" s="5"/>
      <c r="M667" s="5"/>
      <c r="N667" s="5"/>
      <c r="O667" s="5"/>
      <c r="P667" s="5"/>
      <c r="Q667" s="5"/>
      <c r="AL667" s="7" t="str">
        <f>HYPERLINK("http://dx.doi.org/10.1080/20964129.2017.1410451","http://dx.doi.org/10.1080/20964129.2017.1410451")</f>
        <v>http://dx.doi.org/10.1080/20964129.2017.1410451</v>
      </c>
      <c r="AM667" s="5">
        <v>0</v>
      </c>
      <c r="AN667" s="5">
        <v>0</v>
      </c>
      <c r="AO667" s="5">
        <v>3</v>
      </c>
      <c r="AP667" s="5">
        <v>11</v>
      </c>
      <c r="AQ667" s="5" t="s">
        <v>16</v>
      </c>
      <c r="AR667" s="5" t="s">
        <v>16</v>
      </c>
      <c r="AS667" s="5">
        <v>1410451</v>
      </c>
      <c r="AT667" s="5" t="s">
        <v>16</v>
      </c>
      <c r="AU667" s="5" t="s">
        <v>3988</v>
      </c>
      <c r="AV667" s="5" t="s">
        <v>3990</v>
      </c>
    </row>
    <row r="668" spans="1:48" ht="45" customHeight="1" x14ac:dyDescent="0.15">
      <c r="A668" s="5" t="s">
        <v>3991</v>
      </c>
      <c r="B668" s="5">
        <v>2012</v>
      </c>
      <c r="C668" s="5" t="s">
        <v>3992</v>
      </c>
      <c r="D668" s="5" t="s">
        <v>33</v>
      </c>
      <c r="E668" s="5" t="s">
        <v>18453</v>
      </c>
      <c r="F668" s="5" t="s">
        <v>3995</v>
      </c>
      <c r="G668" s="5"/>
      <c r="H668" s="5"/>
      <c r="I668" s="5"/>
      <c r="J668" s="5"/>
      <c r="K668" s="5"/>
      <c r="L668" s="5"/>
      <c r="M668" s="5"/>
      <c r="N668" s="5"/>
      <c r="O668" s="5"/>
      <c r="P668" s="5"/>
      <c r="Q668" s="5"/>
      <c r="AL668" s="7" t="str">
        <f>HYPERLINK("http://dx.doi.org/10.1111/j.1365-2486.2011.02519.x","http://dx.doi.org/10.1111/j.1365-2486.2011.02519.x")</f>
        <v>http://dx.doi.org/10.1111/j.1365-2486.2011.02519.x</v>
      </c>
      <c r="AM668" s="5">
        <v>122</v>
      </c>
      <c r="AN668" s="5">
        <v>131</v>
      </c>
      <c r="AO668" s="5">
        <v>18</v>
      </c>
      <c r="AP668" s="5">
        <v>2</v>
      </c>
      <c r="AQ668" s="5">
        <v>515</v>
      </c>
      <c r="AR668" s="5">
        <v>527</v>
      </c>
      <c r="AS668" s="5" t="s">
        <v>16</v>
      </c>
      <c r="AT668" s="5" t="s">
        <v>3993</v>
      </c>
      <c r="AU668" s="5" t="s">
        <v>3994</v>
      </c>
      <c r="AV668" s="5" t="s">
        <v>3996</v>
      </c>
    </row>
    <row r="669" spans="1:48" ht="45" customHeight="1" x14ac:dyDescent="0.15">
      <c r="A669" s="5" t="s">
        <v>3997</v>
      </c>
      <c r="B669" s="5">
        <v>2012</v>
      </c>
      <c r="C669" s="5" t="s">
        <v>3998</v>
      </c>
      <c r="D669" s="5" t="s">
        <v>295</v>
      </c>
      <c r="E669" s="5" t="s">
        <v>18453</v>
      </c>
      <c r="F669" s="5" t="s">
        <v>4001</v>
      </c>
      <c r="G669" s="5"/>
      <c r="H669" s="5"/>
      <c r="I669" s="5"/>
      <c r="J669" s="5"/>
      <c r="K669" s="5"/>
      <c r="L669" s="5"/>
      <c r="M669" s="5"/>
      <c r="N669" s="5"/>
      <c r="O669" s="5"/>
      <c r="P669" s="5"/>
      <c r="Q669" s="5"/>
      <c r="AL669" s="7" t="str">
        <f>HYPERLINK("http://dx.doi.org/10.1016/j.jembe.2012.06.015","http://dx.doi.org/10.1016/j.jembe.2012.06.015")</f>
        <v>http://dx.doi.org/10.1016/j.jembe.2012.06.015</v>
      </c>
      <c r="AM669" s="5">
        <v>19</v>
      </c>
      <c r="AN669" s="5">
        <v>19</v>
      </c>
      <c r="AO669" s="5">
        <v>430</v>
      </c>
      <c r="AP669" s="5" t="s">
        <v>16</v>
      </c>
      <c r="AQ669" s="5">
        <v>32</v>
      </c>
      <c r="AR669" s="5">
        <v>42</v>
      </c>
      <c r="AS669" s="5" t="s">
        <v>16</v>
      </c>
      <c r="AT669" s="5" t="s">
        <v>3999</v>
      </c>
      <c r="AU669" s="5" t="s">
        <v>4000</v>
      </c>
      <c r="AV669" s="5" t="s">
        <v>4002</v>
      </c>
    </row>
    <row r="670" spans="1:48" ht="45" customHeight="1" x14ac:dyDescent="0.15">
      <c r="A670" s="5" t="s">
        <v>4003</v>
      </c>
      <c r="B670" s="5">
        <v>2021</v>
      </c>
      <c r="C670" s="5" t="s">
        <v>4004</v>
      </c>
      <c r="D670" s="5" t="s">
        <v>4005</v>
      </c>
      <c r="E670" s="5" t="s">
        <v>18453</v>
      </c>
      <c r="F670" s="5" t="s">
        <v>4008</v>
      </c>
      <c r="G670" s="5"/>
      <c r="H670" s="5"/>
      <c r="I670" s="5"/>
      <c r="J670" s="5"/>
      <c r="K670" s="5"/>
      <c r="L670" s="5"/>
      <c r="M670" s="5"/>
      <c r="N670" s="5"/>
      <c r="O670" s="5"/>
      <c r="P670" s="5"/>
      <c r="Q670" s="5"/>
      <c r="AL670" s="7" t="str">
        <f>HYPERLINK("http://dx.doi.org/10.1093/beheco/arab100","http://dx.doi.org/10.1093/beheco/arab100")</f>
        <v>http://dx.doi.org/10.1093/beheco/arab100</v>
      </c>
      <c r="AM670" s="5">
        <v>0</v>
      </c>
      <c r="AN670" s="5">
        <v>0</v>
      </c>
      <c r="AO670" s="5">
        <v>32</v>
      </c>
      <c r="AP670" s="5">
        <v>6</v>
      </c>
      <c r="AQ670" s="5">
        <v>1339</v>
      </c>
      <c r="AR670" s="5">
        <v>1351</v>
      </c>
      <c r="AS670" s="5" t="s">
        <v>16</v>
      </c>
      <c r="AT670" s="5" t="s">
        <v>4006</v>
      </c>
      <c r="AU670" s="5" t="s">
        <v>4007</v>
      </c>
      <c r="AV670" s="5" t="s">
        <v>4009</v>
      </c>
    </row>
    <row r="671" spans="1:48" ht="45" customHeight="1" x14ac:dyDescent="0.15">
      <c r="A671" s="5" t="s">
        <v>4010</v>
      </c>
      <c r="B671" s="5">
        <v>2003</v>
      </c>
      <c r="C671" s="5" t="s">
        <v>4011</v>
      </c>
      <c r="D671" s="5" t="s">
        <v>295</v>
      </c>
      <c r="E671" s="5" t="s">
        <v>18453</v>
      </c>
      <c r="F671" s="5" t="s">
        <v>4014</v>
      </c>
      <c r="G671" s="5"/>
      <c r="H671" s="5"/>
      <c r="I671" s="5"/>
      <c r="J671" s="5"/>
      <c r="K671" s="5"/>
      <c r="L671" s="5"/>
      <c r="M671" s="5"/>
      <c r="N671" s="5"/>
      <c r="O671" s="5"/>
      <c r="P671" s="5"/>
      <c r="Q671" s="5"/>
      <c r="AL671" s="7" t="str">
        <f>HYPERLINK("http://dx.doi.org/10.1016/S0022-0981(03)00034-0","http://dx.doi.org/10.1016/S0022-0981(03)00034-0")</f>
        <v>http://dx.doi.org/10.1016/S0022-0981(03)00034-0</v>
      </c>
      <c r="AM671" s="5">
        <v>90</v>
      </c>
      <c r="AN671" s="5">
        <v>90</v>
      </c>
      <c r="AO671" s="5">
        <v>289</v>
      </c>
      <c r="AP671" s="5">
        <v>1</v>
      </c>
      <c r="AQ671" s="5">
        <v>41</v>
      </c>
      <c r="AR671" s="5">
        <v>58</v>
      </c>
      <c r="AS671" s="5" t="s">
        <v>16</v>
      </c>
      <c r="AT671" s="5" t="s">
        <v>4012</v>
      </c>
      <c r="AU671" s="5" t="s">
        <v>4013</v>
      </c>
      <c r="AV671" s="5" t="s">
        <v>4015</v>
      </c>
    </row>
    <row r="672" spans="1:48" ht="45" customHeight="1" x14ac:dyDescent="0.15">
      <c r="A672" s="5" t="s">
        <v>4016</v>
      </c>
      <c r="B672" s="5">
        <v>2022</v>
      </c>
      <c r="C672" s="5" t="s">
        <v>4017</v>
      </c>
      <c r="D672" s="5" t="s">
        <v>15</v>
      </c>
      <c r="E672" s="5" t="s">
        <v>18453</v>
      </c>
      <c r="F672" s="5" t="s">
        <v>4020</v>
      </c>
      <c r="G672" s="5"/>
      <c r="H672" s="5"/>
      <c r="I672" s="5"/>
      <c r="J672" s="5"/>
      <c r="K672" s="5"/>
      <c r="L672" s="5"/>
      <c r="M672" s="5"/>
      <c r="N672" s="5"/>
      <c r="O672" s="5"/>
      <c r="P672" s="5"/>
      <c r="Q672" s="5"/>
      <c r="AL672" s="7" t="str">
        <f>HYPERLINK("http://dx.doi.org/10.1002/ece3.9087","http://dx.doi.org/10.1002/ece3.9087")</f>
        <v>http://dx.doi.org/10.1002/ece3.9087</v>
      </c>
      <c r="AM672" s="5">
        <v>1</v>
      </c>
      <c r="AN672" s="5">
        <v>1</v>
      </c>
      <c r="AO672" s="5">
        <v>12</v>
      </c>
      <c r="AP672" s="5">
        <v>7</v>
      </c>
      <c r="AQ672" s="5" t="s">
        <v>16</v>
      </c>
      <c r="AR672" s="5" t="s">
        <v>16</v>
      </c>
      <c r="AS672" s="5" t="s">
        <v>4021</v>
      </c>
      <c r="AT672" s="5" t="s">
        <v>4018</v>
      </c>
      <c r="AU672" s="5" t="s">
        <v>4019</v>
      </c>
      <c r="AV672" s="5" t="s">
        <v>4022</v>
      </c>
    </row>
    <row r="673" spans="1:48" ht="45" customHeight="1" x14ac:dyDescent="0.15">
      <c r="A673" s="5" t="s">
        <v>4023</v>
      </c>
      <c r="B673" s="5">
        <v>2005</v>
      </c>
      <c r="C673" s="5" t="s">
        <v>4024</v>
      </c>
      <c r="D673" s="5" t="s">
        <v>116</v>
      </c>
      <c r="E673" s="5" t="s">
        <v>18453</v>
      </c>
      <c r="F673" s="5" t="s">
        <v>4027</v>
      </c>
      <c r="G673" s="5"/>
      <c r="H673" s="5"/>
      <c r="I673" s="5"/>
      <c r="J673" s="5"/>
      <c r="K673" s="5"/>
      <c r="L673" s="5"/>
      <c r="M673" s="5"/>
      <c r="N673" s="5"/>
      <c r="O673" s="5"/>
      <c r="P673" s="5"/>
      <c r="Q673" s="5"/>
      <c r="AL673" s="7" t="str">
        <f>HYPERLINK("http://dx.doi.org/10.1007/s10641-005-3190-8","http://dx.doi.org/10.1007/s10641-005-3190-8")</f>
        <v>http://dx.doi.org/10.1007/s10641-005-3190-8</v>
      </c>
      <c r="AM673" s="5">
        <v>18</v>
      </c>
      <c r="AN673" s="5">
        <v>18</v>
      </c>
      <c r="AO673" s="5">
        <v>74</v>
      </c>
      <c r="AP673" s="5" t="s">
        <v>639</v>
      </c>
      <c r="AQ673" s="5">
        <v>247</v>
      </c>
      <c r="AR673" s="5">
        <v>260</v>
      </c>
      <c r="AS673" s="5" t="s">
        <v>16</v>
      </c>
      <c r="AT673" s="5" t="s">
        <v>4025</v>
      </c>
      <c r="AU673" s="5" t="s">
        <v>4026</v>
      </c>
      <c r="AV673" s="5" t="s">
        <v>4028</v>
      </c>
    </row>
    <row r="674" spans="1:48" ht="45" customHeight="1" x14ac:dyDescent="0.15">
      <c r="A674" s="5" t="s">
        <v>4029</v>
      </c>
      <c r="B674" s="5">
        <v>2018</v>
      </c>
      <c r="C674" s="5" t="s">
        <v>4030</v>
      </c>
      <c r="D674" s="5" t="s">
        <v>33</v>
      </c>
      <c r="E674" s="5" t="s">
        <v>18453</v>
      </c>
      <c r="F674" s="5" t="s">
        <v>4033</v>
      </c>
      <c r="G674" s="5"/>
      <c r="H674" s="5"/>
      <c r="I674" s="5"/>
      <c r="J674" s="5"/>
      <c r="K674" s="5"/>
      <c r="L674" s="5"/>
      <c r="M674" s="5"/>
      <c r="N674" s="5"/>
      <c r="O674" s="5"/>
      <c r="P674" s="5"/>
      <c r="Q674" s="5"/>
      <c r="AL674" s="7" t="str">
        <f>HYPERLINK("http://dx.doi.org/10.1111/gcb.14311","http://dx.doi.org/10.1111/gcb.14311")</f>
        <v>http://dx.doi.org/10.1111/gcb.14311</v>
      </c>
      <c r="AM674" s="5">
        <v>52</v>
      </c>
      <c r="AN674" s="5">
        <v>52</v>
      </c>
      <c r="AO674" s="5">
        <v>24</v>
      </c>
      <c r="AP674" s="5">
        <v>9</v>
      </c>
      <c r="AQ674" s="5">
        <v>4069</v>
      </c>
      <c r="AR674" s="5">
        <v>4083</v>
      </c>
      <c r="AS674" s="5" t="s">
        <v>16</v>
      </c>
      <c r="AT674" s="5" t="s">
        <v>4031</v>
      </c>
      <c r="AU674" s="5" t="s">
        <v>4032</v>
      </c>
      <c r="AV674" s="5" t="s">
        <v>4034</v>
      </c>
    </row>
    <row r="675" spans="1:48" ht="45" customHeight="1" x14ac:dyDescent="0.15">
      <c r="A675" s="5" t="s">
        <v>4035</v>
      </c>
      <c r="B675" s="5">
        <v>2002</v>
      </c>
      <c r="C675" s="5" t="s">
        <v>4036</v>
      </c>
      <c r="D675" s="5" t="s">
        <v>160</v>
      </c>
      <c r="E675" s="5" t="s">
        <v>18453</v>
      </c>
      <c r="F675" s="5" t="s">
        <v>4039</v>
      </c>
      <c r="G675" s="5"/>
      <c r="H675" s="5"/>
      <c r="I675" s="5"/>
      <c r="J675" s="5"/>
      <c r="K675" s="5"/>
      <c r="L675" s="5"/>
      <c r="M675" s="5"/>
      <c r="N675" s="5"/>
      <c r="O675" s="5"/>
      <c r="P675" s="5"/>
      <c r="Q675" s="5"/>
      <c r="AL675" s="7" t="str">
        <f>HYPERLINK("http://dx.doi.org/10.1046/j.1365-2664.2002.00754.x","http://dx.doi.org/10.1046/j.1365-2664.2002.00754.x")</f>
        <v>http://dx.doi.org/10.1046/j.1365-2664.2002.00754.x</v>
      </c>
      <c r="AM675" s="5">
        <v>58</v>
      </c>
      <c r="AN675" s="5">
        <v>65</v>
      </c>
      <c r="AO675" s="5">
        <v>39</v>
      </c>
      <c r="AP675" s="5">
        <v>5</v>
      </c>
      <c r="AQ675" s="5">
        <v>831</v>
      </c>
      <c r="AR675" s="5">
        <v>840</v>
      </c>
      <c r="AS675" s="5" t="s">
        <v>16</v>
      </c>
      <c r="AT675" s="5" t="s">
        <v>4037</v>
      </c>
      <c r="AU675" s="5" t="s">
        <v>4038</v>
      </c>
      <c r="AV675" s="5" t="s">
        <v>4040</v>
      </c>
    </row>
    <row r="676" spans="1:48" ht="45" customHeight="1" x14ac:dyDescent="0.15">
      <c r="A676" s="5" t="s">
        <v>4041</v>
      </c>
      <c r="B676" s="5">
        <v>2020</v>
      </c>
      <c r="C676" s="5" t="s">
        <v>4042</v>
      </c>
      <c r="D676" s="5" t="s">
        <v>1765</v>
      </c>
      <c r="E676" s="5" t="s">
        <v>18453</v>
      </c>
      <c r="F676" s="5" t="s">
        <v>4045</v>
      </c>
      <c r="G676" s="5"/>
      <c r="H676" s="5"/>
      <c r="I676" s="5"/>
      <c r="J676" s="5"/>
      <c r="K676" s="5"/>
      <c r="L676" s="5"/>
      <c r="M676" s="5"/>
      <c r="N676" s="5"/>
      <c r="O676" s="5"/>
      <c r="P676" s="5"/>
      <c r="Q676" s="5"/>
      <c r="AL676" s="7" t="str">
        <f>HYPERLINK("http://dx.doi.org/10.1016/j.agee.2020.106883","http://dx.doi.org/10.1016/j.agee.2020.106883")</f>
        <v>http://dx.doi.org/10.1016/j.agee.2020.106883</v>
      </c>
      <c r="AM676" s="5">
        <v>37</v>
      </c>
      <c r="AN676" s="5">
        <v>38</v>
      </c>
      <c r="AO676" s="5">
        <v>294</v>
      </c>
      <c r="AP676" s="5" t="s">
        <v>16</v>
      </c>
      <c r="AQ676" s="5" t="s">
        <v>16</v>
      </c>
      <c r="AR676" s="5" t="s">
        <v>16</v>
      </c>
      <c r="AS676" s="5">
        <v>106883</v>
      </c>
      <c r="AT676" s="5" t="s">
        <v>4043</v>
      </c>
      <c r="AU676" s="5" t="s">
        <v>4044</v>
      </c>
      <c r="AV676" s="5" t="s">
        <v>4046</v>
      </c>
    </row>
    <row r="677" spans="1:48" ht="45" customHeight="1" x14ac:dyDescent="0.15">
      <c r="A677" s="5" t="s">
        <v>4047</v>
      </c>
      <c r="B677" s="5">
        <v>2013</v>
      </c>
      <c r="C677" s="5" t="s">
        <v>4048</v>
      </c>
      <c r="D677" s="5" t="s">
        <v>49</v>
      </c>
      <c r="E677" s="5" t="s">
        <v>18453</v>
      </c>
      <c r="F677" s="5" t="s">
        <v>4051</v>
      </c>
      <c r="G677" s="5"/>
      <c r="H677" s="5"/>
      <c r="I677" s="5"/>
      <c r="J677" s="5"/>
      <c r="K677" s="5"/>
      <c r="L677" s="5"/>
      <c r="M677" s="5"/>
      <c r="N677" s="5"/>
      <c r="O677" s="5"/>
      <c r="P677" s="5"/>
      <c r="Q677" s="5"/>
      <c r="AL677" s="7" t="str">
        <f>HYPERLINK("http://dx.doi.org/10.3354/meps10251","http://dx.doi.org/10.3354/meps10251")</f>
        <v>http://dx.doi.org/10.3354/meps10251</v>
      </c>
      <c r="AM677" s="5">
        <v>21</v>
      </c>
      <c r="AN677" s="5">
        <v>22</v>
      </c>
      <c r="AO677" s="5">
        <v>483</v>
      </c>
      <c r="AP677" s="5" t="s">
        <v>16</v>
      </c>
      <c r="AQ677" s="5">
        <v>153</v>
      </c>
      <c r="AR677" s="5">
        <v>167</v>
      </c>
      <c r="AS677" s="5" t="s">
        <v>16</v>
      </c>
      <c r="AT677" s="5" t="s">
        <v>4049</v>
      </c>
      <c r="AU677" s="5" t="s">
        <v>4050</v>
      </c>
      <c r="AV677" s="5" t="s">
        <v>4052</v>
      </c>
    </row>
    <row r="678" spans="1:48" ht="45" customHeight="1" x14ac:dyDescent="0.15">
      <c r="A678" s="5" t="s">
        <v>4053</v>
      </c>
      <c r="B678" s="5">
        <v>2009</v>
      </c>
      <c r="C678" s="5" t="s">
        <v>4054</v>
      </c>
      <c r="D678" s="5" t="s">
        <v>383</v>
      </c>
      <c r="E678" s="5" t="s">
        <v>18453</v>
      </c>
      <c r="F678" s="5" t="s">
        <v>4057</v>
      </c>
      <c r="G678" s="5"/>
      <c r="H678" s="5"/>
      <c r="I678" s="5"/>
      <c r="J678" s="5"/>
      <c r="K678" s="5"/>
      <c r="L678" s="5"/>
      <c r="M678" s="5"/>
      <c r="N678" s="5"/>
      <c r="O678" s="5"/>
      <c r="P678" s="5"/>
      <c r="Q678" s="5"/>
      <c r="AL678" s="7" t="str">
        <f>HYPERLINK("http://dx.doi.org/10.1007/s11284-008-0487-z","http://dx.doi.org/10.1007/s11284-008-0487-z")</f>
        <v>http://dx.doi.org/10.1007/s11284-008-0487-z</v>
      </c>
      <c r="AM678" s="5">
        <v>91</v>
      </c>
      <c r="AN678" s="5">
        <v>93</v>
      </c>
      <c r="AO678" s="5">
        <v>24</v>
      </c>
      <c r="AP678" s="5">
        <v>1</v>
      </c>
      <c r="AQ678" s="5">
        <v>109</v>
      </c>
      <c r="AR678" s="5">
        <v>118</v>
      </c>
      <c r="AS678" s="5" t="s">
        <v>16</v>
      </c>
      <c r="AT678" s="5" t="s">
        <v>4055</v>
      </c>
      <c r="AU678" s="5" t="s">
        <v>4056</v>
      </c>
      <c r="AV678" s="5" t="s">
        <v>4058</v>
      </c>
    </row>
    <row r="679" spans="1:48" ht="45" customHeight="1" x14ac:dyDescent="0.15">
      <c r="A679" s="5" t="s">
        <v>4059</v>
      </c>
      <c r="B679" s="5">
        <v>2015</v>
      </c>
      <c r="C679" s="5" t="s">
        <v>4060</v>
      </c>
      <c r="D679" s="5" t="s">
        <v>17</v>
      </c>
      <c r="E679" s="5" t="s">
        <v>18453</v>
      </c>
      <c r="F679" s="5" t="s">
        <v>4063</v>
      </c>
      <c r="G679" s="5"/>
      <c r="H679" s="5"/>
      <c r="I679" s="5"/>
      <c r="J679" s="5"/>
      <c r="K679" s="5"/>
      <c r="L679" s="5"/>
      <c r="M679" s="5"/>
      <c r="N679" s="5"/>
      <c r="O679" s="5"/>
      <c r="P679" s="5"/>
      <c r="Q679" s="5"/>
      <c r="AL679" s="7" t="str">
        <f>HYPERLINK("http://dx.doi.org/10.1111/fwb.12476","http://dx.doi.org/10.1111/fwb.12476")</f>
        <v>http://dx.doi.org/10.1111/fwb.12476</v>
      </c>
      <c r="AM679" s="5">
        <v>58</v>
      </c>
      <c r="AN679" s="5">
        <v>63</v>
      </c>
      <c r="AO679" s="5">
        <v>60</v>
      </c>
      <c r="AP679" s="5">
        <v>1</v>
      </c>
      <c r="AQ679" s="5">
        <v>136</v>
      </c>
      <c r="AR679" s="5">
        <v>149</v>
      </c>
      <c r="AS679" s="5" t="s">
        <v>16</v>
      </c>
      <c r="AT679" s="5" t="s">
        <v>4061</v>
      </c>
      <c r="AU679" s="5" t="s">
        <v>4062</v>
      </c>
      <c r="AV679" s="5" t="s">
        <v>4064</v>
      </c>
    </row>
    <row r="680" spans="1:48" ht="45" customHeight="1" x14ac:dyDescent="0.15">
      <c r="A680" s="5" t="s">
        <v>4065</v>
      </c>
      <c r="B680" s="5">
        <v>2015</v>
      </c>
      <c r="C680" s="5" t="s">
        <v>4066</v>
      </c>
      <c r="D680" s="5" t="s">
        <v>217</v>
      </c>
      <c r="E680" s="5" t="s">
        <v>18453</v>
      </c>
      <c r="F680" s="5" t="s">
        <v>4069</v>
      </c>
      <c r="G680" s="5"/>
      <c r="H680" s="5"/>
      <c r="I680" s="5"/>
      <c r="J680" s="5"/>
      <c r="K680" s="5"/>
      <c r="L680" s="5"/>
      <c r="M680" s="5"/>
      <c r="N680" s="5"/>
      <c r="O680" s="5"/>
      <c r="P680" s="5"/>
      <c r="Q680" s="5"/>
      <c r="AL680" s="7" t="str">
        <f>HYPERLINK("http://dx.doi.org/10.1111/2041-210X.12313","http://dx.doi.org/10.1111/2041-210X.12313")</f>
        <v>http://dx.doi.org/10.1111/2041-210X.12313</v>
      </c>
      <c r="AM680" s="5">
        <v>30</v>
      </c>
      <c r="AN680" s="5">
        <v>30</v>
      </c>
      <c r="AO680" s="5">
        <v>6</v>
      </c>
      <c r="AP680" s="5">
        <v>3</v>
      </c>
      <c r="AQ680" s="5">
        <v>307</v>
      </c>
      <c r="AR680" s="5">
        <v>314</v>
      </c>
      <c r="AS680" s="5" t="s">
        <v>16</v>
      </c>
      <c r="AT680" s="5" t="s">
        <v>4067</v>
      </c>
      <c r="AU680" s="5" t="s">
        <v>4068</v>
      </c>
      <c r="AV680" s="5" t="s">
        <v>4070</v>
      </c>
    </row>
    <row r="681" spans="1:48" ht="45" customHeight="1" x14ac:dyDescent="0.15">
      <c r="A681" s="5" t="s">
        <v>4071</v>
      </c>
      <c r="B681" s="5">
        <v>2016</v>
      </c>
      <c r="C681" s="5" t="s">
        <v>4072</v>
      </c>
      <c r="D681" s="5" t="s">
        <v>468</v>
      </c>
      <c r="E681" s="5" t="s">
        <v>18453</v>
      </c>
      <c r="F681" s="5" t="s">
        <v>4075</v>
      </c>
      <c r="G681" s="5"/>
      <c r="H681" s="5"/>
      <c r="I681" s="5"/>
      <c r="J681" s="5"/>
      <c r="K681" s="5"/>
      <c r="L681" s="5"/>
      <c r="M681" s="5"/>
      <c r="N681" s="5"/>
      <c r="O681" s="5"/>
      <c r="P681" s="5"/>
      <c r="Q681" s="5"/>
      <c r="AL681" s="7" t="str">
        <f>HYPERLINK("http://dx.doi.org/10.1016/j.ecoinf.2016.02.002","http://dx.doi.org/10.1016/j.ecoinf.2016.02.002")</f>
        <v>http://dx.doi.org/10.1016/j.ecoinf.2016.02.002</v>
      </c>
      <c r="AM681" s="5">
        <v>32</v>
      </c>
      <c r="AN681" s="5">
        <v>34</v>
      </c>
      <c r="AO681" s="5">
        <v>32</v>
      </c>
      <c r="AP681" s="5" t="s">
        <v>16</v>
      </c>
      <c r="AQ681" s="5">
        <v>145</v>
      </c>
      <c r="AR681" s="5">
        <v>155</v>
      </c>
      <c r="AS681" s="5" t="s">
        <v>16</v>
      </c>
      <c r="AT681" s="5" t="s">
        <v>4073</v>
      </c>
      <c r="AU681" s="5" t="s">
        <v>4074</v>
      </c>
      <c r="AV681" s="5" t="s">
        <v>4076</v>
      </c>
    </row>
    <row r="682" spans="1:48" ht="45" customHeight="1" x14ac:dyDescent="0.15">
      <c r="A682" s="5" t="s">
        <v>4077</v>
      </c>
      <c r="B682" s="5">
        <v>2009</v>
      </c>
      <c r="C682" s="5" t="s">
        <v>4078</v>
      </c>
      <c r="D682" s="5" t="s">
        <v>295</v>
      </c>
      <c r="E682" s="5" t="s">
        <v>18453</v>
      </c>
      <c r="F682" s="5" t="s">
        <v>4081</v>
      </c>
      <c r="G682" s="5"/>
      <c r="H682" s="5"/>
      <c r="I682" s="5"/>
      <c r="J682" s="5"/>
      <c r="K682" s="5"/>
      <c r="L682" s="5"/>
      <c r="M682" s="5"/>
      <c r="N682" s="5"/>
      <c r="O682" s="5"/>
      <c r="P682" s="5"/>
      <c r="Q682" s="5"/>
      <c r="AL682" s="7" t="str">
        <f>HYPERLINK("http://dx.doi.org/10.1016/j.jembe.2008.09.027","http://dx.doi.org/10.1016/j.jembe.2008.09.027")</f>
        <v>http://dx.doi.org/10.1016/j.jembe.2008.09.027</v>
      </c>
      <c r="AM682" s="5">
        <v>27</v>
      </c>
      <c r="AN682" s="5">
        <v>27</v>
      </c>
      <c r="AO682" s="5">
        <v>369</v>
      </c>
      <c r="AP682" s="5">
        <v>1</v>
      </c>
      <c r="AQ682" s="5">
        <v>8</v>
      </c>
      <c r="AR682" s="5">
        <v>16</v>
      </c>
      <c r="AS682" s="5" t="s">
        <v>16</v>
      </c>
      <c r="AT682" s="5" t="s">
        <v>4079</v>
      </c>
      <c r="AU682" s="5" t="s">
        <v>4080</v>
      </c>
      <c r="AV682" s="5" t="s">
        <v>4082</v>
      </c>
    </row>
    <row r="683" spans="1:48" ht="45" customHeight="1" x14ac:dyDescent="0.15">
      <c r="A683" s="5" t="s">
        <v>4083</v>
      </c>
      <c r="B683" s="5">
        <v>2016</v>
      </c>
      <c r="C683" s="5" t="s">
        <v>4084</v>
      </c>
      <c r="D683" s="5" t="s">
        <v>92</v>
      </c>
      <c r="E683" s="5" t="s">
        <v>18453</v>
      </c>
      <c r="F683" s="5" t="s">
        <v>4087</v>
      </c>
      <c r="G683" s="5"/>
      <c r="H683" s="5"/>
      <c r="I683" s="5"/>
      <c r="J683" s="5"/>
      <c r="K683" s="5"/>
      <c r="L683" s="5"/>
      <c r="M683" s="5"/>
      <c r="N683" s="5"/>
      <c r="O683" s="5"/>
      <c r="P683" s="5"/>
      <c r="Q683" s="5"/>
      <c r="AL683" s="7" t="str">
        <f>HYPERLINK("http://dx.doi.org/10.1086/687284","http://dx.doi.org/10.1086/687284")</f>
        <v>http://dx.doi.org/10.1086/687284</v>
      </c>
      <c r="AM683" s="5">
        <v>9</v>
      </c>
      <c r="AN683" s="5">
        <v>9</v>
      </c>
      <c r="AO683" s="5">
        <v>35</v>
      </c>
      <c r="AP683" s="5">
        <v>3</v>
      </c>
      <c r="AQ683" s="5">
        <v>909</v>
      </c>
      <c r="AR683" s="5">
        <v>921</v>
      </c>
      <c r="AS683" s="5" t="s">
        <v>16</v>
      </c>
      <c r="AT683" s="5" t="s">
        <v>4085</v>
      </c>
      <c r="AU683" s="5" t="s">
        <v>4086</v>
      </c>
      <c r="AV683" s="5" t="s">
        <v>4088</v>
      </c>
    </row>
    <row r="684" spans="1:48" ht="45" customHeight="1" x14ac:dyDescent="0.15">
      <c r="A684" s="5" t="s">
        <v>4089</v>
      </c>
      <c r="B684" s="5">
        <v>2021</v>
      </c>
      <c r="C684" s="5" t="s">
        <v>4090</v>
      </c>
      <c r="D684" s="5" t="s">
        <v>212</v>
      </c>
      <c r="E684" s="5" t="s">
        <v>18453</v>
      </c>
      <c r="F684" s="5" t="s">
        <v>4093</v>
      </c>
      <c r="G684" s="5"/>
      <c r="H684" s="5"/>
      <c r="I684" s="5"/>
      <c r="J684" s="5"/>
      <c r="K684" s="5"/>
      <c r="L684" s="5"/>
      <c r="M684" s="5"/>
      <c r="N684" s="5"/>
      <c r="O684" s="5"/>
      <c r="P684" s="5"/>
      <c r="Q684" s="5"/>
      <c r="AL684" s="7" t="str">
        <f>HYPERLINK("http://dx.doi.org/10.1007/s00300-020-02775-3","http://dx.doi.org/10.1007/s00300-020-02775-3")</f>
        <v>http://dx.doi.org/10.1007/s00300-020-02775-3</v>
      </c>
      <c r="AM684" s="5">
        <v>7</v>
      </c>
      <c r="AN684" s="5">
        <v>8</v>
      </c>
      <c r="AO684" s="5">
        <v>44</v>
      </c>
      <c r="AP684" s="5">
        <v>1</v>
      </c>
      <c r="AQ684" s="5">
        <v>57</v>
      </c>
      <c r="AR684" s="5">
        <v>71</v>
      </c>
      <c r="AS684" s="5" t="s">
        <v>16</v>
      </c>
      <c r="AT684" s="5" t="s">
        <v>4091</v>
      </c>
      <c r="AU684" s="5" t="s">
        <v>4092</v>
      </c>
      <c r="AV684" s="5" t="s">
        <v>4094</v>
      </c>
    </row>
    <row r="685" spans="1:48" ht="45" customHeight="1" x14ac:dyDescent="0.15">
      <c r="A685" s="5" t="s">
        <v>4095</v>
      </c>
      <c r="B685" s="5">
        <v>2008</v>
      </c>
      <c r="C685" s="5" t="s">
        <v>4096</v>
      </c>
      <c r="D685" s="5" t="s">
        <v>49</v>
      </c>
      <c r="E685" s="5" t="s">
        <v>18453</v>
      </c>
      <c r="F685" s="5" t="s">
        <v>4099</v>
      </c>
      <c r="G685" s="5"/>
      <c r="H685" s="5"/>
      <c r="I685" s="5"/>
      <c r="J685" s="5"/>
      <c r="K685" s="5"/>
      <c r="L685" s="5"/>
      <c r="M685" s="5"/>
      <c r="N685" s="5"/>
      <c r="O685" s="5"/>
      <c r="P685" s="5"/>
      <c r="Q685" s="5"/>
      <c r="AL685" s="7" t="str">
        <f>HYPERLINK("http://dx.doi.org/10.3354/meps07397","http://dx.doi.org/10.3354/meps07397")</f>
        <v>http://dx.doi.org/10.3354/meps07397</v>
      </c>
      <c r="AM685" s="5">
        <v>16</v>
      </c>
      <c r="AN685" s="5">
        <v>17</v>
      </c>
      <c r="AO685" s="5">
        <v>362</v>
      </c>
      <c r="AP685" s="5" t="s">
        <v>16</v>
      </c>
      <c r="AQ685" s="5">
        <v>279</v>
      </c>
      <c r="AR685" s="5">
        <v>289</v>
      </c>
      <c r="AS685" s="5" t="s">
        <v>16</v>
      </c>
      <c r="AT685" s="5" t="s">
        <v>4097</v>
      </c>
      <c r="AU685" s="5" t="s">
        <v>4098</v>
      </c>
      <c r="AV685" s="5" t="s">
        <v>4100</v>
      </c>
    </row>
    <row r="686" spans="1:48" ht="45" customHeight="1" x14ac:dyDescent="0.15">
      <c r="A686" s="5" t="s">
        <v>4101</v>
      </c>
      <c r="B686" s="5">
        <v>2016</v>
      </c>
      <c r="C686" s="5" t="s">
        <v>4102</v>
      </c>
      <c r="D686" s="5" t="s">
        <v>1134</v>
      </c>
      <c r="E686" s="5" t="s">
        <v>18453</v>
      </c>
      <c r="F686" s="5" t="s">
        <v>4105</v>
      </c>
      <c r="G686" s="5"/>
      <c r="H686" s="5"/>
      <c r="I686" s="5"/>
      <c r="J686" s="5"/>
      <c r="K686" s="5"/>
      <c r="L686" s="5"/>
      <c r="M686" s="5"/>
      <c r="N686" s="5"/>
      <c r="O686" s="5"/>
      <c r="P686" s="5"/>
      <c r="Q686" s="5"/>
      <c r="AL686" s="7" t="str">
        <f>HYPERLINK("http://dx.doi.org/10.1080/17451000.2016.1209526","http://dx.doi.org/10.1080/17451000.2016.1209526")</f>
        <v>http://dx.doi.org/10.1080/17451000.2016.1209526</v>
      </c>
      <c r="AM686" s="5">
        <v>5</v>
      </c>
      <c r="AN686" s="5">
        <v>5</v>
      </c>
      <c r="AO686" s="5">
        <v>12</v>
      </c>
      <c r="AP686" s="5">
        <v>8</v>
      </c>
      <c r="AQ686" s="5">
        <v>881</v>
      </c>
      <c r="AR686" s="5">
        <v>887</v>
      </c>
      <c r="AS686" s="5" t="s">
        <v>16</v>
      </c>
      <c r="AT686" s="5" t="s">
        <v>4103</v>
      </c>
      <c r="AU686" s="5" t="s">
        <v>4104</v>
      </c>
      <c r="AV686" s="5" t="s">
        <v>4106</v>
      </c>
    </row>
    <row r="687" spans="1:48" ht="45" customHeight="1" x14ac:dyDescent="0.15">
      <c r="A687" s="5" t="s">
        <v>4107</v>
      </c>
      <c r="B687" s="5">
        <v>2016</v>
      </c>
      <c r="C687" s="5" t="s">
        <v>4108</v>
      </c>
      <c r="D687" s="5" t="s">
        <v>17</v>
      </c>
      <c r="E687" s="5" t="s">
        <v>18453</v>
      </c>
      <c r="F687" s="5" t="s">
        <v>4111</v>
      </c>
      <c r="G687" s="5"/>
      <c r="H687" s="5"/>
      <c r="I687" s="5"/>
      <c r="J687" s="5"/>
      <c r="K687" s="5"/>
      <c r="L687" s="5"/>
      <c r="M687" s="5"/>
      <c r="N687" s="5"/>
      <c r="O687" s="5"/>
      <c r="P687" s="5"/>
      <c r="Q687" s="5"/>
      <c r="AL687" s="7" t="str">
        <f>HYPERLINK("http://dx.doi.org/10.1111/fwb.12775","http://dx.doi.org/10.1111/fwb.12775")</f>
        <v>http://dx.doi.org/10.1111/fwb.12775</v>
      </c>
      <c r="AM687" s="5">
        <v>8</v>
      </c>
      <c r="AN687" s="5">
        <v>8</v>
      </c>
      <c r="AO687" s="5">
        <v>61</v>
      </c>
      <c r="AP687" s="5">
        <v>7</v>
      </c>
      <c r="AQ687" s="5">
        <v>1143</v>
      </c>
      <c r="AR687" s="5">
        <v>1156</v>
      </c>
      <c r="AS687" s="5" t="s">
        <v>16</v>
      </c>
      <c r="AT687" s="5" t="s">
        <v>4109</v>
      </c>
      <c r="AU687" s="5" t="s">
        <v>4110</v>
      </c>
      <c r="AV687" s="5" t="s">
        <v>4112</v>
      </c>
    </row>
    <row r="688" spans="1:48" ht="45" customHeight="1" x14ac:dyDescent="0.15">
      <c r="A688" s="5" t="s">
        <v>4113</v>
      </c>
      <c r="B688" s="5">
        <v>2014</v>
      </c>
      <c r="C688" s="5" t="s">
        <v>4114</v>
      </c>
      <c r="D688" s="5" t="s">
        <v>82</v>
      </c>
      <c r="E688" s="5" t="s">
        <v>18453</v>
      </c>
      <c r="F688" s="5" t="s">
        <v>4117</v>
      </c>
      <c r="G688" s="5"/>
      <c r="H688" s="5"/>
      <c r="I688" s="5"/>
      <c r="J688" s="5"/>
      <c r="K688" s="5"/>
      <c r="L688" s="5"/>
      <c r="M688" s="5"/>
      <c r="N688" s="5"/>
      <c r="O688" s="5"/>
      <c r="P688" s="5"/>
      <c r="Q688" s="5"/>
      <c r="AL688" s="7" t="str">
        <f>HYPERLINK("http://dx.doi.org/10.1890/13-0607.1","http://dx.doi.org/10.1890/13-0607.1")</f>
        <v>http://dx.doi.org/10.1890/13-0607.1</v>
      </c>
      <c r="AM688" s="5">
        <v>27</v>
      </c>
      <c r="AN688" s="5">
        <v>27</v>
      </c>
      <c r="AO688" s="5">
        <v>24</v>
      </c>
      <c r="AP688" s="5">
        <v>2</v>
      </c>
      <c r="AQ688" s="5">
        <v>375</v>
      </c>
      <c r="AR688" s="5">
        <v>384</v>
      </c>
      <c r="AS688" s="5" t="s">
        <v>16</v>
      </c>
      <c r="AT688" s="5" t="s">
        <v>4115</v>
      </c>
      <c r="AU688" s="5" t="s">
        <v>4116</v>
      </c>
      <c r="AV688" s="5" t="s">
        <v>4118</v>
      </c>
    </row>
    <row r="689" spans="1:48" ht="45" customHeight="1" x14ac:dyDescent="0.15">
      <c r="A689" s="5" t="s">
        <v>4119</v>
      </c>
      <c r="B689" s="5">
        <v>2010</v>
      </c>
      <c r="C689" s="5" t="s">
        <v>4120</v>
      </c>
      <c r="D689" s="5" t="s">
        <v>83</v>
      </c>
      <c r="E689" s="5" t="s">
        <v>18453</v>
      </c>
      <c r="F689" s="5" t="s">
        <v>4123</v>
      </c>
      <c r="G689" s="5"/>
      <c r="H689" s="5"/>
      <c r="I689" s="5"/>
      <c r="J689" s="5"/>
      <c r="K689" s="5"/>
      <c r="L689" s="5"/>
      <c r="M689" s="5"/>
      <c r="N689" s="5"/>
      <c r="O689" s="5"/>
      <c r="P689" s="5"/>
      <c r="Q689" s="5"/>
      <c r="AL689" s="7" t="str">
        <f>HYPERLINK("http://dx.doi.org/10.1007/s10646-009-0407-1","http://dx.doi.org/10.1007/s10646-009-0407-1")</f>
        <v>http://dx.doi.org/10.1007/s10646-009-0407-1</v>
      </c>
      <c r="AM689" s="5">
        <v>12</v>
      </c>
      <c r="AN689" s="5">
        <v>12</v>
      </c>
      <c r="AO689" s="5">
        <v>19</v>
      </c>
      <c r="AP689" s="5">
        <v>1</v>
      </c>
      <c r="AQ689" s="5">
        <v>223</v>
      </c>
      <c r="AR689" s="5">
        <v>227</v>
      </c>
      <c r="AS689" s="5" t="s">
        <v>16</v>
      </c>
      <c r="AT689" s="5" t="s">
        <v>4121</v>
      </c>
      <c r="AU689" s="5" t="s">
        <v>4122</v>
      </c>
      <c r="AV689" s="5" t="s">
        <v>4124</v>
      </c>
    </row>
    <row r="690" spans="1:48" ht="45" customHeight="1" x14ac:dyDescent="0.15">
      <c r="A690" s="5" t="s">
        <v>4125</v>
      </c>
      <c r="B690" s="5">
        <v>2019</v>
      </c>
      <c r="C690" s="5" t="s">
        <v>4126</v>
      </c>
      <c r="D690" s="5" t="s">
        <v>77</v>
      </c>
      <c r="E690" s="5" t="s">
        <v>18453</v>
      </c>
      <c r="F690" s="5" t="s">
        <v>4129</v>
      </c>
      <c r="G690" s="5"/>
      <c r="H690" s="5"/>
      <c r="I690" s="5"/>
      <c r="J690" s="5"/>
      <c r="K690" s="5"/>
      <c r="L690" s="5"/>
      <c r="M690" s="5"/>
      <c r="N690" s="5"/>
      <c r="O690" s="5"/>
      <c r="P690" s="5"/>
      <c r="Q690" s="5"/>
      <c r="AL690" s="7" t="str">
        <f>HYPERLINK("http://dx.doi.org/10.1111/1365-2656.13029","http://dx.doi.org/10.1111/1365-2656.13029")</f>
        <v>http://dx.doi.org/10.1111/1365-2656.13029</v>
      </c>
      <c r="AM690" s="5">
        <v>10</v>
      </c>
      <c r="AN690" s="5">
        <v>10</v>
      </c>
      <c r="AO690" s="5">
        <v>88</v>
      </c>
      <c r="AP690" s="5">
        <v>9</v>
      </c>
      <c r="AQ690" s="5">
        <v>1392</v>
      </c>
      <c r="AR690" s="5">
        <v>1405</v>
      </c>
      <c r="AS690" s="5" t="s">
        <v>16</v>
      </c>
      <c r="AT690" s="5" t="s">
        <v>4127</v>
      </c>
      <c r="AU690" s="5" t="s">
        <v>4128</v>
      </c>
      <c r="AV690" s="5" t="s">
        <v>4130</v>
      </c>
    </row>
    <row r="691" spans="1:48" ht="45" customHeight="1" x14ac:dyDescent="0.15">
      <c r="A691" s="5" t="s">
        <v>4131</v>
      </c>
      <c r="B691" s="5">
        <v>2006</v>
      </c>
      <c r="C691" s="5" t="s">
        <v>4132</v>
      </c>
      <c r="D691" s="5" t="s">
        <v>27</v>
      </c>
      <c r="E691" s="5" t="s">
        <v>18453</v>
      </c>
      <c r="F691" s="5" t="s">
        <v>4135</v>
      </c>
      <c r="G691" s="5"/>
      <c r="H691" s="5"/>
      <c r="I691" s="5"/>
      <c r="J691" s="5"/>
      <c r="K691" s="5"/>
      <c r="L691" s="5"/>
      <c r="M691" s="5"/>
      <c r="N691" s="5"/>
      <c r="O691" s="5"/>
      <c r="P691" s="5"/>
      <c r="Q691" s="5"/>
      <c r="AL691" s="7" t="str">
        <f>HYPERLINK("http://dx.doi.org/10.1890/04-1752","http://dx.doi.org/10.1890/04-1752")</f>
        <v>http://dx.doi.org/10.1890/04-1752</v>
      </c>
      <c r="AM691" s="5">
        <v>190</v>
      </c>
      <c r="AN691" s="5">
        <v>205</v>
      </c>
      <c r="AO691" s="5">
        <v>87</v>
      </c>
      <c r="AP691" s="5">
        <v>2</v>
      </c>
      <c r="AQ691" s="5">
        <v>419</v>
      </c>
      <c r="AR691" s="5">
        <v>432</v>
      </c>
      <c r="AS691" s="5" t="s">
        <v>16</v>
      </c>
      <c r="AT691" s="5" t="s">
        <v>4133</v>
      </c>
      <c r="AU691" s="5" t="s">
        <v>4134</v>
      </c>
      <c r="AV691" s="5" t="s">
        <v>4136</v>
      </c>
    </row>
    <row r="692" spans="1:48" ht="45" customHeight="1" x14ac:dyDescent="0.15">
      <c r="A692" s="5" t="s">
        <v>4137</v>
      </c>
      <c r="B692" s="5">
        <v>2023</v>
      </c>
      <c r="C692" s="5" t="s">
        <v>4138</v>
      </c>
      <c r="D692" s="5" t="s">
        <v>251</v>
      </c>
      <c r="E692" s="5" t="s">
        <v>18453</v>
      </c>
      <c r="F692" s="5" t="s">
        <v>4141</v>
      </c>
      <c r="G692" s="5"/>
      <c r="H692" s="5"/>
      <c r="I692" s="5"/>
      <c r="J692" s="5"/>
      <c r="K692" s="5"/>
      <c r="L692" s="5"/>
      <c r="M692" s="5"/>
      <c r="N692" s="5"/>
      <c r="O692" s="5"/>
      <c r="P692" s="5"/>
      <c r="Q692" s="5"/>
      <c r="AL692" s="7" t="str">
        <f>HYPERLINK("http://dx.doi.org/10.1016/j.biocon.2023.110067","http://dx.doi.org/10.1016/j.biocon.2023.110067")</f>
        <v>http://dx.doi.org/10.1016/j.biocon.2023.110067</v>
      </c>
      <c r="AM692" s="5">
        <v>0</v>
      </c>
      <c r="AN692" s="5">
        <v>0</v>
      </c>
      <c r="AO692" s="5">
        <v>282</v>
      </c>
      <c r="AP692" s="5" t="s">
        <v>16</v>
      </c>
      <c r="AQ692" s="5" t="s">
        <v>16</v>
      </c>
      <c r="AR692" s="5" t="s">
        <v>16</v>
      </c>
      <c r="AS692" s="5">
        <v>110067</v>
      </c>
      <c r="AT692" s="5" t="s">
        <v>4139</v>
      </c>
      <c r="AU692" s="5" t="s">
        <v>4140</v>
      </c>
      <c r="AV692" s="5" t="s">
        <v>4142</v>
      </c>
    </row>
    <row r="693" spans="1:48" ht="45" customHeight="1" x14ac:dyDescent="0.15">
      <c r="A693" s="5" t="s">
        <v>4143</v>
      </c>
      <c r="B693" s="5">
        <v>2018</v>
      </c>
      <c r="C693" s="5" t="s">
        <v>4144</v>
      </c>
      <c r="D693" s="5" t="s">
        <v>1758</v>
      </c>
      <c r="E693" s="5" t="s">
        <v>18453</v>
      </c>
      <c r="F693" s="5" t="s">
        <v>4147</v>
      </c>
      <c r="G693" s="5"/>
      <c r="H693" s="5"/>
      <c r="I693" s="5"/>
      <c r="J693" s="5"/>
      <c r="K693" s="5"/>
      <c r="L693" s="5"/>
      <c r="M693" s="5"/>
      <c r="N693" s="5"/>
      <c r="O693" s="5"/>
      <c r="P693" s="5"/>
      <c r="Q693" s="5"/>
      <c r="AL693" s="7" t="str">
        <f>HYPERLINK("http://dx.doi.org/10.1007/s13157-018-1019-4","http://dx.doi.org/10.1007/s13157-018-1019-4")</f>
        <v>http://dx.doi.org/10.1007/s13157-018-1019-4</v>
      </c>
      <c r="AM693" s="5">
        <v>10</v>
      </c>
      <c r="AN693" s="5">
        <v>12</v>
      </c>
      <c r="AO693" s="5">
        <v>38</v>
      </c>
      <c r="AP693" s="5">
        <v>4</v>
      </c>
      <c r="AQ693" s="5">
        <v>739</v>
      </c>
      <c r="AR693" s="5">
        <v>753</v>
      </c>
      <c r="AS693" s="5" t="s">
        <v>16</v>
      </c>
      <c r="AT693" s="5" t="s">
        <v>4145</v>
      </c>
      <c r="AU693" s="5" t="s">
        <v>4146</v>
      </c>
      <c r="AV693" s="5" t="s">
        <v>4148</v>
      </c>
    </row>
    <row r="694" spans="1:48" ht="45" customHeight="1" x14ac:dyDescent="0.15">
      <c r="A694" s="5" t="s">
        <v>4149</v>
      </c>
      <c r="B694" s="5">
        <v>2016</v>
      </c>
      <c r="C694" s="5" t="s">
        <v>4150</v>
      </c>
      <c r="D694" s="5" t="s">
        <v>138</v>
      </c>
      <c r="E694" s="5" t="s">
        <v>18453</v>
      </c>
      <c r="F694" s="5" t="s">
        <v>4153</v>
      </c>
      <c r="G694" s="5"/>
      <c r="H694" s="5"/>
      <c r="I694" s="5"/>
      <c r="J694" s="5"/>
      <c r="K694" s="5"/>
      <c r="L694" s="5"/>
      <c r="M694" s="5"/>
      <c r="N694" s="5"/>
      <c r="O694" s="5"/>
      <c r="P694" s="5"/>
      <c r="Q694" s="5"/>
      <c r="AL694" s="7" t="str">
        <f>HYPERLINK("http://dx.doi.org/10.1111/aec.12352","http://dx.doi.org/10.1111/aec.12352")</f>
        <v>http://dx.doi.org/10.1111/aec.12352</v>
      </c>
      <c r="AM694" s="5">
        <v>8</v>
      </c>
      <c r="AN694" s="5">
        <v>8</v>
      </c>
      <c r="AO694" s="5">
        <v>41</v>
      </c>
      <c r="AP694" s="5">
        <v>6</v>
      </c>
      <c r="AQ694" s="5">
        <v>633</v>
      </c>
      <c r="AR694" s="5">
        <v>643</v>
      </c>
      <c r="AS694" s="5" t="s">
        <v>16</v>
      </c>
      <c r="AT694" s="5" t="s">
        <v>4151</v>
      </c>
      <c r="AU694" s="5" t="s">
        <v>4152</v>
      </c>
      <c r="AV694" s="5" t="s">
        <v>4154</v>
      </c>
    </row>
    <row r="695" spans="1:48" ht="45" customHeight="1" x14ac:dyDescent="0.15">
      <c r="A695" s="5" t="s">
        <v>4155</v>
      </c>
      <c r="B695" s="5">
        <v>2018</v>
      </c>
      <c r="C695" s="5" t="s">
        <v>4156</v>
      </c>
      <c r="D695" s="5" t="s">
        <v>15</v>
      </c>
      <c r="E695" s="5" t="s">
        <v>18453</v>
      </c>
      <c r="F695" s="5" t="s">
        <v>4159</v>
      </c>
      <c r="G695" s="5"/>
      <c r="H695" s="5"/>
      <c r="I695" s="5"/>
      <c r="J695" s="5"/>
      <c r="K695" s="5"/>
      <c r="L695" s="5"/>
      <c r="M695" s="5"/>
      <c r="N695" s="5"/>
      <c r="O695" s="5"/>
      <c r="P695" s="5"/>
      <c r="Q695" s="5"/>
      <c r="AL695" s="7" t="str">
        <f>HYPERLINK("http://dx.doi.org/10.1002/ece3.4415","http://dx.doi.org/10.1002/ece3.4415")</f>
        <v>http://dx.doi.org/10.1002/ece3.4415</v>
      </c>
      <c r="AM695" s="5">
        <v>7</v>
      </c>
      <c r="AN695" s="5">
        <v>7</v>
      </c>
      <c r="AO695" s="5">
        <v>8</v>
      </c>
      <c r="AP695" s="5">
        <v>22</v>
      </c>
      <c r="AQ695" s="5">
        <v>10662</v>
      </c>
      <c r="AR695" s="5">
        <v>10672</v>
      </c>
      <c r="AS695" s="5" t="s">
        <v>16</v>
      </c>
      <c r="AT695" s="5" t="s">
        <v>4157</v>
      </c>
      <c r="AU695" s="5" t="s">
        <v>4158</v>
      </c>
      <c r="AV695" s="5" t="s">
        <v>4160</v>
      </c>
    </row>
    <row r="696" spans="1:48" ht="45" customHeight="1" x14ac:dyDescent="0.15">
      <c r="A696" s="5" t="s">
        <v>4161</v>
      </c>
      <c r="B696" s="5">
        <v>2020</v>
      </c>
      <c r="C696" s="5" t="s">
        <v>4162</v>
      </c>
      <c r="D696" s="5" t="s">
        <v>312</v>
      </c>
      <c r="E696" s="5" t="s">
        <v>18453</v>
      </c>
      <c r="F696" s="5" t="s">
        <v>4165</v>
      </c>
      <c r="G696" s="5"/>
      <c r="H696" s="5"/>
      <c r="I696" s="5"/>
      <c r="J696" s="5"/>
      <c r="K696" s="5"/>
      <c r="L696" s="5"/>
      <c r="M696" s="5"/>
      <c r="N696" s="5"/>
      <c r="O696" s="5"/>
      <c r="P696" s="5"/>
      <c r="Q696" s="5"/>
      <c r="AL696" s="7" t="str">
        <f>HYPERLINK("http://dx.doi.org/10.1016/j.ecolmodel.2019.108928","http://dx.doi.org/10.1016/j.ecolmodel.2019.108928")</f>
        <v>http://dx.doi.org/10.1016/j.ecolmodel.2019.108928</v>
      </c>
      <c r="AM696" s="5">
        <v>7</v>
      </c>
      <c r="AN696" s="5">
        <v>9</v>
      </c>
      <c r="AO696" s="5">
        <v>417</v>
      </c>
      <c r="AP696" s="5" t="s">
        <v>16</v>
      </c>
      <c r="AQ696" s="5" t="s">
        <v>16</v>
      </c>
      <c r="AR696" s="5" t="s">
        <v>16</v>
      </c>
      <c r="AS696" s="5">
        <v>108928</v>
      </c>
      <c r="AT696" s="5" t="s">
        <v>4163</v>
      </c>
      <c r="AU696" s="5" t="s">
        <v>4164</v>
      </c>
      <c r="AV696" s="5" t="s">
        <v>4166</v>
      </c>
    </row>
    <row r="697" spans="1:48" ht="45" customHeight="1" x14ac:dyDescent="0.15">
      <c r="A697" s="5" t="s">
        <v>4167</v>
      </c>
      <c r="B697" s="5">
        <v>2013</v>
      </c>
      <c r="C697" s="5" t="s">
        <v>4168</v>
      </c>
      <c r="D697" s="5" t="s">
        <v>17</v>
      </c>
      <c r="E697" s="5" t="s">
        <v>18453</v>
      </c>
      <c r="F697" s="5" t="s">
        <v>4171</v>
      </c>
      <c r="G697" s="5"/>
      <c r="H697" s="5"/>
      <c r="I697" s="5"/>
      <c r="J697" s="5"/>
      <c r="K697" s="5"/>
      <c r="L697" s="5"/>
      <c r="M697" s="5"/>
      <c r="N697" s="5"/>
      <c r="O697" s="5"/>
      <c r="P697" s="5"/>
      <c r="Q697" s="5"/>
      <c r="AL697" s="7" t="str">
        <f>HYPERLINK("http://dx.doi.org/10.1111/fwb.12175","http://dx.doi.org/10.1111/fwb.12175")</f>
        <v>http://dx.doi.org/10.1111/fwb.12175</v>
      </c>
      <c r="AM697" s="5">
        <v>24</v>
      </c>
      <c r="AN697" s="5">
        <v>24</v>
      </c>
      <c r="AO697" s="5">
        <v>58</v>
      </c>
      <c r="AP697" s="5">
        <v>9</v>
      </c>
      <c r="AQ697" s="5">
        <v>1864</v>
      </c>
      <c r="AR697" s="5">
        <v>1877</v>
      </c>
      <c r="AS697" s="5" t="s">
        <v>16</v>
      </c>
      <c r="AT697" s="5" t="s">
        <v>4169</v>
      </c>
      <c r="AU697" s="5" t="s">
        <v>4170</v>
      </c>
      <c r="AV697" s="5" t="s">
        <v>4172</v>
      </c>
    </row>
    <row r="698" spans="1:48" ht="45" customHeight="1" x14ac:dyDescent="0.15">
      <c r="A698" s="5" t="s">
        <v>4173</v>
      </c>
      <c r="B698" s="5">
        <v>2020</v>
      </c>
      <c r="C698" s="5" t="s">
        <v>4174</v>
      </c>
      <c r="D698" s="5" t="s">
        <v>15</v>
      </c>
      <c r="E698" s="5" t="s">
        <v>18453</v>
      </c>
      <c r="F698" s="5" t="s">
        <v>4177</v>
      </c>
      <c r="G698" s="5"/>
      <c r="H698" s="5"/>
      <c r="I698" s="5"/>
      <c r="J698" s="5"/>
      <c r="K698" s="5"/>
      <c r="L698" s="5"/>
      <c r="M698" s="5"/>
      <c r="N698" s="5"/>
      <c r="O698" s="5"/>
      <c r="P698" s="5"/>
      <c r="Q698" s="5"/>
      <c r="AL698" s="7" t="str">
        <f>HYPERLINK("http://dx.doi.org/10.1002/ece3.6624","http://dx.doi.org/10.1002/ece3.6624")</f>
        <v>http://dx.doi.org/10.1002/ece3.6624</v>
      </c>
      <c r="AM698" s="5">
        <v>2</v>
      </c>
      <c r="AN698" s="5">
        <v>2</v>
      </c>
      <c r="AO698" s="5">
        <v>10</v>
      </c>
      <c r="AP698" s="5">
        <v>18</v>
      </c>
      <c r="AQ698" s="5">
        <v>9827</v>
      </c>
      <c r="AR698" s="5">
        <v>9840</v>
      </c>
      <c r="AS698" s="5" t="s">
        <v>16</v>
      </c>
      <c r="AT698" s="5" t="s">
        <v>4175</v>
      </c>
      <c r="AU698" s="5" t="s">
        <v>4176</v>
      </c>
      <c r="AV698" s="5" t="s">
        <v>4178</v>
      </c>
    </row>
    <row r="699" spans="1:48" ht="45" customHeight="1" x14ac:dyDescent="0.15">
      <c r="A699" s="5" t="s">
        <v>4179</v>
      </c>
      <c r="B699" s="5">
        <v>2010</v>
      </c>
      <c r="C699" s="5" t="s">
        <v>4180</v>
      </c>
      <c r="D699" s="5" t="s">
        <v>1785</v>
      </c>
      <c r="E699" s="5" t="s">
        <v>18453</v>
      </c>
      <c r="F699" s="5" t="s">
        <v>4183</v>
      </c>
      <c r="G699" s="5"/>
      <c r="H699" s="5"/>
      <c r="I699" s="5"/>
      <c r="J699" s="5"/>
      <c r="K699" s="5"/>
      <c r="L699" s="5"/>
      <c r="M699" s="5"/>
      <c r="N699" s="5"/>
      <c r="O699" s="5"/>
      <c r="P699" s="5"/>
      <c r="Q699" s="5"/>
      <c r="AL699" s="5" t="s">
        <v>16</v>
      </c>
      <c r="AM699" s="5">
        <v>28</v>
      </c>
      <c r="AN699" s="5">
        <v>29</v>
      </c>
      <c r="AO699" s="5">
        <v>5</v>
      </c>
      <c r="AP699" s="5">
        <v>2</v>
      </c>
      <c r="AQ699" s="5" t="s">
        <v>16</v>
      </c>
      <c r="AR699" s="5" t="s">
        <v>16</v>
      </c>
      <c r="AS699" s="5">
        <v>7</v>
      </c>
      <c r="AT699" s="5" t="s">
        <v>4181</v>
      </c>
      <c r="AU699" s="5" t="s">
        <v>4182</v>
      </c>
      <c r="AV699" s="5" t="s">
        <v>16</v>
      </c>
    </row>
    <row r="700" spans="1:48" ht="45" customHeight="1" x14ac:dyDescent="0.15">
      <c r="A700" s="5" t="s">
        <v>4184</v>
      </c>
      <c r="B700" s="5">
        <v>2021</v>
      </c>
      <c r="C700" s="5" t="s">
        <v>4185</v>
      </c>
      <c r="D700" s="5" t="s">
        <v>17</v>
      </c>
      <c r="E700" s="5" t="s">
        <v>18453</v>
      </c>
      <c r="F700" s="5" t="s">
        <v>4188</v>
      </c>
      <c r="G700" s="5"/>
      <c r="H700" s="5"/>
      <c r="I700" s="5"/>
      <c r="J700" s="5"/>
      <c r="K700" s="5"/>
      <c r="L700" s="5"/>
      <c r="M700" s="5"/>
      <c r="N700" s="5"/>
      <c r="O700" s="5"/>
      <c r="P700" s="5"/>
      <c r="Q700" s="5"/>
      <c r="AL700" s="7" t="str">
        <f>HYPERLINK("http://dx.doi.org/10.1111/fwb.13820","http://dx.doi.org/10.1111/fwb.13820")</f>
        <v>http://dx.doi.org/10.1111/fwb.13820</v>
      </c>
      <c r="AM700" s="5">
        <v>0</v>
      </c>
      <c r="AN700" s="5">
        <v>0</v>
      </c>
      <c r="AO700" s="5">
        <v>66</v>
      </c>
      <c r="AP700" s="5">
        <v>11</v>
      </c>
      <c r="AQ700" s="5">
        <v>2118</v>
      </c>
      <c r="AR700" s="5">
        <v>2132</v>
      </c>
      <c r="AS700" s="5" t="s">
        <v>16</v>
      </c>
      <c r="AT700" s="5" t="s">
        <v>4186</v>
      </c>
      <c r="AU700" s="5" t="s">
        <v>4187</v>
      </c>
      <c r="AV700" s="5" t="s">
        <v>4189</v>
      </c>
    </row>
    <row r="701" spans="1:48" ht="45" customHeight="1" x14ac:dyDescent="0.15">
      <c r="A701" s="5" t="s">
        <v>4190</v>
      </c>
      <c r="B701" s="5">
        <v>2020</v>
      </c>
      <c r="C701" s="5" t="s">
        <v>4191</v>
      </c>
      <c r="D701" s="5" t="s">
        <v>49</v>
      </c>
      <c r="E701" s="5" t="s">
        <v>18453</v>
      </c>
      <c r="F701" s="5" t="s">
        <v>4194</v>
      </c>
      <c r="G701" s="5"/>
      <c r="H701" s="5"/>
      <c r="I701" s="5"/>
      <c r="J701" s="5"/>
      <c r="K701" s="5"/>
      <c r="L701" s="5"/>
      <c r="M701" s="5"/>
      <c r="N701" s="5"/>
      <c r="O701" s="5"/>
      <c r="P701" s="5"/>
      <c r="Q701" s="5"/>
      <c r="AL701" s="7" t="str">
        <f>HYPERLINK("http://dx.doi.org/10.3354/meps13457","http://dx.doi.org/10.3354/meps13457")</f>
        <v>http://dx.doi.org/10.3354/meps13457</v>
      </c>
      <c r="AM701" s="5">
        <v>3</v>
      </c>
      <c r="AN701" s="5">
        <v>3</v>
      </c>
      <c r="AO701" s="5">
        <v>651</v>
      </c>
      <c r="AP701" s="5" t="s">
        <v>16</v>
      </c>
      <c r="AQ701" s="5">
        <v>111</v>
      </c>
      <c r="AR701" s="5">
        <v>123</v>
      </c>
      <c r="AS701" s="5" t="s">
        <v>16</v>
      </c>
      <c r="AT701" s="5" t="s">
        <v>4192</v>
      </c>
      <c r="AU701" s="5" t="s">
        <v>4193</v>
      </c>
      <c r="AV701" s="5" t="s">
        <v>4195</v>
      </c>
    </row>
    <row r="702" spans="1:48" ht="45" customHeight="1" x14ac:dyDescent="0.15">
      <c r="A702" s="5" t="s">
        <v>4196</v>
      </c>
      <c r="B702" s="5">
        <v>2014</v>
      </c>
      <c r="C702" s="5" t="s">
        <v>4197</v>
      </c>
      <c r="D702" s="5" t="s">
        <v>27</v>
      </c>
      <c r="E702" s="5" t="s">
        <v>18453</v>
      </c>
      <c r="F702" s="5" t="s">
        <v>4200</v>
      </c>
      <c r="G702" s="5"/>
      <c r="H702" s="5"/>
      <c r="I702" s="5"/>
      <c r="J702" s="5"/>
      <c r="K702" s="5"/>
      <c r="L702" s="5"/>
      <c r="M702" s="5"/>
      <c r="N702" s="5"/>
      <c r="O702" s="5"/>
      <c r="P702" s="5"/>
      <c r="Q702" s="5"/>
      <c r="AL702" s="7" t="str">
        <f>HYPERLINK("http://dx.doi.org/10.1890/13-0014.1","http://dx.doi.org/10.1890/13-0014.1")</f>
        <v>http://dx.doi.org/10.1890/13-0014.1</v>
      </c>
      <c r="AM702" s="5">
        <v>26</v>
      </c>
      <c r="AN702" s="5">
        <v>26</v>
      </c>
      <c r="AO702" s="5">
        <v>95</v>
      </c>
      <c r="AP702" s="5">
        <v>1</v>
      </c>
      <c r="AQ702" s="5">
        <v>164</v>
      </c>
      <c r="AR702" s="5">
        <v>172</v>
      </c>
      <c r="AS702" s="5" t="s">
        <v>16</v>
      </c>
      <c r="AT702" s="5" t="s">
        <v>4198</v>
      </c>
      <c r="AU702" s="5" t="s">
        <v>4199</v>
      </c>
      <c r="AV702" s="5" t="s">
        <v>4201</v>
      </c>
    </row>
    <row r="703" spans="1:48" ht="45" customHeight="1" x14ac:dyDescent="0.15">
      <c r="A703" s="5" t="s">
        <v>4202</v>
      </c>
      <c r="B703" s="5">
        <v>2017</v>
      </c>
      <c r="C703" s="5" t="s">
        <v>4203</v>
      </c>
      <c r="D703" s="5" t="s">
        <v>212</v>
      </c>
      <c r="E703" s="5" t="s">
        <v>18453</v>
      </c>
      <c r="F703" s="5" t="s">
        <v>4206</v>
      </c>
      <c r="G703" s="5"/>
      <c r="H703" s="5"/>
      <c r="I703" s="5"/>
      <c r="J703" s="5"/>
      <c r="K703" s="5"/>
      <c r="L703" s="5"/>
      <c r="M703" s="5"/>
      <c r="N703" s="5"/>
      <c r="O703" s="5"/>
      <c r="P703" s="5"/>
      <c r="Q703" s="5"/>
      <c r="AL703" s="7" t="str">
        <f>HYPERLINK("http://dx.doi.org/10.1007/s00300-017-2141-0","http://dx.doi.org/10.1007/s00300-017-2141-0")</f>
        <v>http://dx.doi.org/10.1007/s00300-017-2141-0</v>
      </c>
      <c r="AM703" s="5">
        <v>15</v>
      </c>
      <c r="AN703" s="5">
        <v>15</v>
      </c>
      <c r="AO703" s="5">
        <v>40</v>
      </c>
      <c r="AP703" s="5">
        <v>11</v>
      </c>
      <c r="AQ703" s="5">
        <v>2291</v>
      </c>
      <c r="AR703" s="5">
        <v>2296</v>
      </c>
      <c r="AS703" s="5" t="s">
        <v>16</v>
      </c>
      <c r="AT703" s="5" t="s">
        <v>4204</v>
      </c>
      <c r="AU703" s="5" t="s">
        <v>4205</v>
      </c>
      <c r="AV703" s="5" t="s">
        <v>4207</v>
      </c>
    </row>
    <row r="704" spans="1:48" ht="45" customHeight="1" x14ac:dyDescent="0.15">
      <c r="A704" s="5" t="s">
        <v>4208</v>
      </c>
      <c r="B704" s="5">
        <v>2020</v>
      </c>
      <c r="C704" s="5" t="s">
        <v>4209</v>
      </c>
      <c r="D704" s="5" t="s">
        <v>2087</v>
      </c>
      <c r="E704" s="5" t="s">
        <v>18453</v>
      </c>
      <c r="F704" s="5" t="s">
        <v>4212</v>
      </c>
      <c r="G704" s="5"/>
      <c r="H704" s="5"/>
      <c r="I704" s="5"/>
      <c r="J704" s="5"/>
      <c r="K704" s="5"/>
      <c r="L704" s="5"/>
      <c r="M704" s="5"/>
      <c r="N704" s="5"/>
      <c r="O704" s="5"/>
      <c r="P704" s="5"/>
      <c r="Q704" s="5"/>
      <c r="AL704" s="7" t="str">
        <f>HYPERLINK("http://dx.doi.org/10.1002/eco.2240","http://dx.doi.org/10.1002/eco.2240")</f>
        <v>http://dx.doi.org/10.1002/eco.2240</v>
      </c>
      <c r="AM704" s="5">
        <v>11</v>
      </c>
      <c r="AN704" s="5">
        <v>11</v>
      </c>
      <c r="AO704" s="5">
        <v>13</v>
      </c>
      <c r="AP704" s="5">
        <v>7</v>
      </c>
      <c r="AQ704" s="5" t="s">
        <v>16</v>
      </c>
      <c r="AR704" s="5" t="s">
        <v>16</v>
      </c>
      <c r="AS704" s="5" t="s">
        <v>4213</v>
      </c>
      <c r="AT704" s="5" t="s">
        <v>4210</v>
      </c>
      <c r="AU704" s="5" t="s">
        <v>4211</v>
      </c>
      <c r="AV704" s="5" t="s">
        <v>4214</v>
      </c>
    </row>
    <row r="705" spans="1:48" ht="45" customHeight="1" x14ac:dyDescent="0.15">
      <c r="A705" s="5" t="s">
        <v>4215</v>
      </c>
      <c r="B705" s="5">
        <v>2008</v>
      </c>
      <c r="C705" s="5" t="s">
        <v>4216</v>
      </c>
      <c r="D705" s="5" t="s">
        <v>4217</v>
      </c>
      <c r="E705" s="5" t="s">
        <v>18453</v>
      </c>
      <c r="F705" s="5" t="s">
        <v>4220</v>
      </c>
      <c r="G705" s="5"/>
      <c r="H705" s="5"/>
      <c r="I705" s="5"/>
      <c r="J705" s="5"/>
      <c r="K705" s="5"/>
      <c r="L705" s="5"/>
      <c r="M705" s="5"/>
      <c r="N705" s="5"/>
      <c r="O705" s="5"/>
      <c r="P705" s="5"/>
      <c r="Q705" s="5"/>
      <c r="AL705" s="5" t="s">
        <v>16</v>
      </c>
      <c r="AM705" s="5">
        <v>2</v>
      </c>
      <c r="AN705" s="5">
        <v>2</v>
      </c>
      <c r="AO705" s="5">
        <v>10</v>
      </c>
      <c r="AP705" s="5">
        <v>8</v>
      </c>
      <c r="AQ705" s="5">
        <v>1131</v>
      </c>
      <c r="AR705" s="5">
        <v>1156</v>
      </c>
      <c r="AS705" s="5" t="s">
        <v>16</v>
      </c>
      <c r="AT705" s="5" t="s">
        <v>4218</v>
      </c>
      <c r="AU705" s="5" t="s">
        <v>4219</v>
      </c>
      <c r="AV705" s="5" t="s">
        <v>16</v>
      </c>
    </row>
    <row r="706" spans="1:48" ht="45" customHeight="1" x14ac:dyDescent="0.15">
      <c r="A706" s="5" t="s">
        <v>4221</v>
      </c>
      <c r="B706" s="5">
        <v>2016</v>
      </c>
      <c r="C706" s="5" t="s">
        <v>4222</v>
      </c>
      <c r="D706" s="5" t="s">
        <v>161</v>
      </c>
      <c r="E706" s="5" t="s">
        <v>18453</v>
      </c>
      <c r="F706" s="5" t="s">
        <v>4225</v>
      </c>
      <c r="G706" s="5"/>
      <c r="H706" s="5"/>
      <c r="I706" s="5"/>
      <c r="J706" s="5"/>
      <c r="K706" s="5"/>
      <c r="L706" s="5"/>
      <c r="M706" s="5"/>
      <c r="N706" s="5"/>
      <c r="O706" s="5"/>
      <c r="P706" s="5"/>
      <c r="Q706" s="5"/>
      <c r="AL706" s="7" t="str">
        <f>HYPERLINK("http://dx.doi.org/10.1111/geb.12436","http://dx.doi.org/10.1111/geb.12436")</f>
        <v>http://dx.doi.org/10.1111/geb.12436</v>
      </c>
      <c r="AM706" s="5">
        <v>68</v>
      </c>
      <c r="AN706" s="5">
        <v>69</v>
      </c>
      <c r="AO706" s="5">
        <v>25</v>
      </c>
      <c r="AP706" s="5">
        <v>5</v>
      </c>
      <c r="AQ706" s="5">
        <v>596</v>
      </c>
      <c r="AR706" s="5">
        <v>606</v>
      </c>
      <c r="AS706" s="5" t="s">
        <v>16</v>
      </c>
      <c r="AT706" s="5" t="s">
        <v>4223</v>
      </c>
      <c r="AU706" s="5" t="s">
        <v>4224</v>
      </c>
      <c r="AV706" s="5" t="s">
        <v>4226</v>
      </c>
    </row>
    <row r="707" spans="1:48" ht="45" customHeight="1" x14ac:dyDescent="0.15">
      <c r="A707" s="5" t="s">
        <v>4227</v>
      </c>
      <c r="B707" s="5">
        <v>2017</v>
      </c>
      <c r="C707" s="5" t="s">
        <v>4228</v>
      </c>
      <c r="D707" s="5" t="s">
        <v>172</v>
      </c>
      <c r="E707" s="5" t="s">
        <v>18453</v>
      </c>
      <c r="F707" s="5" t="s">
        <v>4231</v>
      </c>
      <c r="G707" s="5"/>
      <c r="H707" s="5"/>
      <c r="I707" s="5"/>
      <c r="J707" s="5"/>
      <c r="K707" s="5"/>
      <c r="L707" s="5"/>
      <c r="M707" s="5"/>
      <c r="N707" s="5"/>
      <c r="O707" s="5"/>
      <c r="P707" s="5"/>
      <c r="Q707" s="5"/>
      <c r="AL707" s="7" t="str">
        <f>HYPERLINK("http://dx.doi.org/10.1007/s00442-017-3921-5","http://dx.doi.org/10.1007/s00442-017-3921-5")</f>
        <v>http://dx.doi.org/10.1007/s00442-017-3921-5</v>
      </c>
      <c r="AM707" s="5">
        <v>7</v>
      </c>
      <c r="AN707" s="5">
        <v>7</v>
      </c>
      <c r="AO707" s="5">
        <v>184</v>
      </c>
      <c r="AP707" s="5">
        <v>4</v>
      </c>
      <c r="AQ707" s="5">
        <v>901</v>
      </c>
      <c r="AR707" s="5">
        <v>916</v>
      </c>
      <c r="AS707" s="5" t="s">
        <v>16</v>
      </c>
      <c r="AT707" s="5" t="s">
        <v>4229</v>
      </c>
      <c r="AU707" s="5" t="s">
        <v>4230</v>
      </c>
      <c r="AV707" s="5" t="s">
        <v>4232</v>
      </c>
    </row>
    <row r="708" spans="1:48" ht="45" customHeight="1" x14ac:dyDescent="0.15">
      <c r="A708" s="5" t="s">
        <v>4233</v>
      </c>
      <c r="B708" s="5">
        <v>2020</v>
      </c>
      <c r="C708" s="5" t="s">
        <v>4234</v>
      </c>
      <c r="D708" s="5" t="s">
        <v>49</v>
      </c>
      <c r="E708" s="5" t="s">
        <v>18453</v>
      </c>
      <c r="F708" s="5" t="s">
        <v>4237</v>
      </c>
      <c r="G708" s="5"/>
      <c r="H708" s="5"/>
      <c r="I708" s="5"/>
      <c r="J708" s="5"/>
      <c r="K708" s="5"/>
      <c r="L708" s="5"/>
      <c r="M708" s="5"/>
      <c r="N708" s="5"/>
      <c r="O708" s="5"/>
      <c r="P708" s="5"/>
      <c r="Q708" s="5"/>
      <c r="AL708" s="7" t="str">
        <f>HYPERLINK("http://dx.doi.org/10.3354/meps13439","http://dx.doi.org/10.3354/meps13439")</f>
        <v>http://dx.doi.org/10.3354/meps13439</v>
      </c>
      <c r="AM708" s="5">
        <v>5</v>
      </c>
      <c r="AN708" s="5">
        <v>5</v>
      </c>
      <c r="AO708" s="5">
        <v>651</v>
      </c>
      <c r="AP708" s="5" t="s">
        <v>16</v>
      </c>
      <c r="AQ708" s="5">
        <v>163</v>
      </c>
      <c r="AR708" s="5">
        <v>181</v>
      </c>
      <c r="AS708" s="5" t="s">
        <v>16</v>
      </c>
      <c r="AT708" s="5" t="s">
        <v>4235</v>
      </c>
      <c r="AU708" s="5" t="s">
        <v>4236</v>
      </c>
      <c r="AV708" s="5" t="s">
        <v>4238</v>
      </c>
    </row>
    <row r="709" spans="1:48" ht="45" customHeight="1" x14ac:dyDescent="0.15">
      <c r="A709" s="5" t="s">
        <v>4239</v>
      </c>
      <c r="B709" s="5">
        <v>2018</v>
      </c>
      <c r="C709" s="5" t="s">
        <v>4240</v>
      </c>
      <c r="D709" s="5" t="s">
        <v>33</v>
      </c>
      <c r="E709" s="5" t="s">
        <v>18453</v>
      </c>
      <c r="F709" s="5" t="s">
        <v>4243</v>
      </c>
      <c r="G709" s="5"/>
      <c r="H709" s="5"/>
      <c r="I709" s="5"/>
      <c r="J709" s="5"/>
      <c r="K709" s="5"/>
      <c r="L709" s="5"/>
      <c r="M709" s="5"/>
      <c r="N709" s="5"/>
      <c r="O709" s="5"/>
      <c r="P709" s="5"/>
      <c r="Q709" s="5"/>
      <c r="AL709" s="7" t="str">
        <f>HYPERLINK("http://dx.doi.org/10.1111/gcb.14064","http://dx.doi.org/10.1111/gcb.14064")</f>
        <v>http://dx.doi.org/10.1111/gcb.14064</v>
      </c>
      <c r="AM709" s="5">
        <v>42</v>
      </c>
      <c r="AN709" s="5">
        <v>42</v>
      </c>
      <c r="AO709" s="5">
        <v>24</v>
      </c>
      <c r="AP709" s="5">
        <v>7</v>
      </c>
      <c r="AQ709" s="5">
        <v>3254</v>
      </c>
      <c r="AR709" s="5">
        <v>3265</v>
      </c>
      <c r="AS709" s="5" t="s">
        <v>16</v>
      </c>
      <c r="AT709" s="5" t="s">
        <v>4241</v>
      </c>
      <c r="AU709" s="5" t="s">
        <v>4242</v>
      </c>
      <c r="AV709" s="5" t="s">
        <v>4244</v>
      </c>
    </row>
    <row r="710" spans="1:48" ht="45" customHeight="1" x14ac:dyDescent="0.15">
      <c r="A710" s="5" t="s">
        <v>4245</v>
      </c>
      <c r="B710" s="5">
        <v>2007</v>
      </c>
      <c r="C710" s="5" t="s">
        <v>4246</v>
      </c>
      <c r="D710" s="5" t="s">
        <v>33</v>
      </c>
      <c r="E710" s="5" t="s">
        <v>18453</v>
      </c>
      <c r="F710" s="5" t="s">
        <v>4249</v>
      </c>
      <c r="G710" s="5"/>
      <c r="H710" s="5"/>
      <c r="I710" s="5"/>
      <c r="J710" s="5"/>
      <c r="K710" s="5"/>
      <c r="L710" s="5"/>
      <c r="M710" s="5"/>
      <c r="N710" s="5"/>
      <c r="O710" s="5"/>
      <c r="P710" s="5"/>
      <c r="Q710" s="5"/>
      <c r="AL710" s="7" t="str">
        <f>HYPERLINK("http://dx.doi.org/10.1111/j.1365-2486.2007.01350.x","http://dx.doi.org/10.1111/j.1365-2486.2007.01350.x")</f>
        <v>http://dx.doi.org/10.1111/j.1365-2486.2007.01350.x</v>
      </c>
      <c r="AM710" s="5">
        <v>28</v>
      </c>
      <c r="AN710" s="5">
        <v>31</v>
      </c>
      <c r="AO710" s="5">
        <v>13</v>
      </c>
      <c r="AP710" s="5">
        <v>6</v>
      </c>
      <c r="AQ710" s="5">
        <v>1122</v>
      </c>
      <c r="AR710" s="5">
        <v>1137</v>
      </c>
      <c r="AS710" s="5" t="s">
        <v>16</v>
      </c>
      <c r="AT710" s="5" t="s">
        <v>4247</v>
      </c>
      <c r="AU710" s="5" t="s">
        <v>4248</v>
      </c>
      <c r="AV710" s="5" t="s">
        <v>4250</v>
      </c>
    </row>
    <row r="711" spans="1:48" ht="45" customHeight="1" x14ac:dyDescent="0.15">
      <c r="A711" s="5" t="s">
        <v>4251</v>
      </c>
      <c r="B711" s="5">
        <v>2014</v>
      </c>
      <c r="C711" s="5" t="s">
        <v>4252</v>
      </c>
      <c r="D711" s="5" t="s">
        <v>312</v>
      </c>
      <c r="E711" s="5" t="s">
        <v>18453</v>
      </c>
      <c r="F711" s="5" t="s">
        <v>4255</v>
      </c>
      <c r="G711" s="5"/>
      <c r="H711" s="5"/>
      <c r="I711" s="5"/>
      <c r="J711" s="5"/>
      <c r="K711" s="5"/>
      <c r="L711" s="5"/>
      <c r="M711" s="5"/>
      <c r="N711" s="5"/>
      <c r="O711" s="5"/>
      <c r="P711" s="5"/>
      <c r="Q711" s="5"/>
      <c r="AL711" s="7" t="str">
        <f>HYPERLINK("http://dx.doi.org/10.1016/j.ecolmodel.2014.06.005","http://dx.doi.org/10.1016/j.ecolmodel.2014.06.005")</f>
        <v>http://dx.doi.org/10.1016/j.ecolmodel.2014.06.005</v>
      </c>
      <c r="AM711" s="5">
        <v>9</v>
      </c>
      <c r="AN711" s="5">
        <v>10</v>
      </c>
      <c r="AO711" s="5">
        <v>293</v>
      </c>
      <c r="AP711" s="5" t="s">
        <v>16</v>
      </c>
      <c r="AQ711" s="5">
        <v>91</v>
      </c>
      <c r="AR711" s="5">
        <v>101</v>
      </c>
      <c r="AS711" s="5" t="s">
        <v>16</v>
      </c>
      <c r="AT711" s="5" t="s">
        <v>4253</v>
      </c>
      <c r="AU711" s="5" t="s">
        <v>4254</v>
      </c>
      <c r="AV711" s="5" t="s">
        <v>4256</v>
      </c>
    </row>
    <row r="712" spans="1:48" ht="45" customHeight="1" x14ac:dyDescent="0.15">
      <c r="A712" s="5" t="s">
        <v>4257</v>
      </c>
      <c r="B712" s="5">
        <v>2021</v>
      </c>
      <c r="C712" s="5" t="s">
        <v>4258</v>
      </c>
      <c r="D712" s="5" t="s">
        <v>27</v>
      </c>
      <c r="E712" s="5" t="s">
        <v>18453</v>
      </c>
      <c r="F712" s="5" t="s">
        <v>16</v>
      </c>
      <c r="G712" s="5"/>
      <c r="H712" s="5"/>
      <c r="I712" s="5"/>
      <c r="J712" s="5"/>
      <c r="K712" s="5"/>
      <c r="L712" s="5"/>
      <c r="M712" s="5"/>
      <c r="N712" s="5"/>
      <c r="O712" s="5"/>
      <c r="P712" s="5"/>
      <c r="Q712" s="5"/>
      <c r="AL712" s="7" t="str">
        <f>HYPERLINK("http://dx.doi.org/10.1002/ecy.3265","http://dx.doi.org/10.1002/ecy.3265")</f>
        <v>http://dx.doi.org/10.1002/ecy.3265</v>
      </c>
      <c r="AM712" s="5">
        <v>2</v>
      </c>
      <c r="AN712" s="5">
        <v>2</v>
      </c>
      <c r="AO712" s="5">
        <v>102</v>
      </c>
      <c r="AP712" s="5">
        <v>3</v>
      </c>
      <c r="AQ712" s="5" t="s">
        <v>16</v>
      </c>
      <c r="AR712" s="5" t="s">
        <v>16</v>
      </c>
      <c r="AS712" s="5" t="s">
        <v>4260</v>
      </c>
      <c r="AT712" s="5" t="s">
        <v>4259</v>
      </c>
      <c r="AU712" s="5" t="s">
        <v>16</v>
      </c>
      <c r="AV712" s="5" t="s">
        <v>4261</v>
      </c>
    </row>
    <row r="713" spans="1:48" ht="45" customHeight="1" x14ac:dyDescent="0.15">
      <c r="A713" s="5" t="s">
        <v>4262</v>
      </c>
      <c r="B713" s="5">
        <v>2023</v>
      </c>
      <c r="C713" s="5" t="s">
        <v>4263</v>
      </c>
      <c r="D713" s="5" t="s">
        <v>212</v>
      </c>
      <c r="E713" s="5" t="s">
        <v>18453</v>
      </c>
      <c r="F713" s="5" t="s">
        <v>4266</v>
      </c>
      <c r="G713" s="5"/>
      <c r="H713" s="5"/>
      <c r="I713" s="5"/>
      <c r="J713" s="5"/>
      <c r="K713" s="5"/>
      <c r="L713" s="5"/>
      <c r="M713" s="5"/>
      <c r="N713" s="5"/>
      <c r="O713" s="5"/>
      <c r="P713" s="5"/>
      <c r="Q713" s="5"/>
      <c r="AL713" s="7" t="str">
        <f>HYPERLINK("http://dx.doi.org/10.1007/s00300-023-03129-5","http://dx.doi.org/10.1007/s00300-023-03129-5")</f>
        <v>http://dx.doi.org/10.1007/s00300-023-03129-5</v>
      </c>
      <c r="AM713" s="5">
        <v>0</v>
      </c>
      <c r="AN713" s="5">
        <v>0</v>
      </c>
      <c r="AO713" s="5">
        <v>46</v>
      </c>
      <c r="AP713" s="5">
        <v>4</v>
      </c>
      <c r="AQ713" s="5">
        <v>319</v>
      </c>
      <c r="AR713" s="5">
        <v>338</v>
      </c>
      <c r="AS713" s="5" t="s">
        <v>16</v>
      </c>
      <c r="AT713" s="5" t="s">
        <v>4264</v>
      </c>
      <c r="AU713" s="5" t="s">
        <v>4265</v>
      </c>
      <c r="AV713" s="5" t="s">
        <v>4267</v>
      </c>
    </row>
    <row r="714" spans="1:48" ht="45" customHeight="1" x14ac:dyDescent="0.15">
      <c r="A714" s="5" t="s">
        <v>4268</v>
      </c>
      <c r="B714" s="5">
        <v>2022</v>
      </c>
      <c r="C714" s="5" t="s">
        <v>4269</v>
      </c>
      <c r="D714" s="5" t="s">
        <v>44</v>
      </c>
      <c r="E714" s="5" t="s">
        <v>18453</v>
      </c>
      <c r="F714" s="5" t="s">
        <v>4272</v>
      </c>
      <c r="G714" s="5"/>
      <c r="H714" s="5"/>
      <c r="I714" s="5"/>
      <c r="J714" s="5"/>
      <c r="K714" s="5"/>
      <c r="L714" s="5"/>
      <c r="M714" s="5"/>
      <c r="N714" s="5"/>
      <c r="O714" s="5"/>
      <c r="P714" s="5"/>
      <c r="Q714" s="5"/>
      <c r="AL714" s="7" t="str">
        <f>HYPERLINK("http://dx.doi.org/10.3389/fevo.2022.1071947","http://dx.doi.org/10.3389/fevo.2022.1071947")</f>
        <v>http://dx.doi.org/10.3389/fevo.2022.1071947</v>
      </c>
      <c r="AM714" s="5">
        <v>0</v>
      </c>
      <c r="AN714" s="5">
        <v>0</v>
      </c>
      <c r="AO714" s="5">
        <v>10</v>
      </c>
      <c r="AP714" s="5" t="s">
        <v>16</v>
      </c>
      <c r="AQ714" s="5" t="s">
        <v>16</v>
      </c>
      <c r="AR714" s="5" t="s">
        <v>16</v>
      </c>
      <c r="AS714" s="5">
        <v>1071947</v>
      </c>
      <c r="AT714" s="5" t="s">
        <v>4270</v>
      </c>
      <c r="AU714" s="5" t="s">
        <v>4271</v>
      </c>
      <c r="AV714" s="5" t="s">
        <v>4273</v>
      </c>
    </row>
    <row r="715" spans="1:48" ht="45" customHeight="1" x14ac:dyDescent="0.15">
      <c r="A715" s="5" t="s">
        <v>4274</v>
      </c>
      <c r="B715" s="5">
        <v>2020</v>
      </c>
      <c r="C715" s="5" t="s">
        <v>4275</v>
      </c>
      <c r="D715" s="5" t="s">
        <v>1758</v>
      </c>
      <c r="E715" s="5" t="s">
        <v>18453</v>
      </c>
      <c r="F715" s="5" t="s">
        <v>4278</v>
      </c>
      <c r="G715" s="5"/>
      <c r="H715" s="5"/>
      <c r="I715" s="5"/>
      <c r="J715" s="5"/>
      <c r="K715" s="5"/>
      <c r="L715" s="5"/>
      <c r="M715" s="5"/>
      <c r="N715" s="5"/>
      <c r="O715" s="5"/>
      <c r="P715" s="5"/>
      <c r="Q715" s="5"/>
      <c r="AL715" s="7" t="str">
        <f>HYPERLINK("http://dx.doi.org/10.1007/s13157-020-01272-x","http://dx.doi.org/10.1007/s13157-020-01272-x")</f>
        <v>http://dx.doi.org/10.1007/s13157-020-01272-x</v>
      </c>
      <c r="AM715" s="5">
        <v>3</v>
      </c>
      <c r="AN715" s="5">
        <v>4</v>
      </c>
      <c r="AO715" s="5">
        <v>40</v>
      </c>
      <c r="AP715" s="5">
        <v>5</v>
      </c>
      <c r="AQ715" s="5">
        <v>1207</v>
      </c>
      <c r="AR715" s="5">
        <v>1216</v>
      </c>
      <c r="AS715" s="5" t="s">
        <v>16</v>
      </c>
      <c r="AT715" s="5" t="s">
        <v>4276</v>
      </c>
      <c r="AU715" s="5" t="s">
        <v>4277</v>
      </c>
      <c r="AV715" s="5" t="s">
        <v>4279</v>
      </c>
    </row>
    <row r="716" spans="1:48" ht="45" customHeight="1" x14ac:dyDescent="0.15">
      <c r="A716" s="5" t="s">
        <v>4280</v>
      </c>
      <c r="B716" s="5">
        <v>2010</v>
      </c>
      <c r="C716" s="5" t="s">
        <v>4281</v>
      </c>
      <c r="D716" s="5" t="s">
        <v>295</v>
      </c>
      <c r="E716" s="5" t="s">
        <v>18453</v>
      </c>
      <c r="F716" s="5" t="s">
        <v>4284</v>
      </c>
      <c r="G716" s="5"/>
      <c r="H716" s="5"/>
      <c r="I716" s="5"/>
      <c r="J716" s="5"/>
      <c r="K716" s="5"/>
      <c r="L716" s="5"/>
      <c r="M716" s="5"/>
      <c r="N716" s="5"/>
      <c r="O716" s="5"/>
      <c r="P716" s="5"/>
      <c r="Q716" s="5"/>
      <c r="AL716" s="7" t="str">
        <f>HYPERLINK("http://dx.doi.org/10.1016/j.jembe.2010.06.027","http://dx.doi.org/10.1016/j.jembe.2010.06.027")</f>
        <v>http://dx.doi.org/10.1016/j.jembe.2010.06.027</v>
      </c>
      <c r="AM716" s="5">
        <v>77</v>
      </c>
      <c r="AN716" s="5">
        <v>80</v>
      </c>
      <c r="AO716" s="5">
        <v>391</v>
      </c>
      <c r="AP716" s="5" t="s">
        <v>778</v>
      </c>
      <c r="AQ716" s="5">
        <v>190</v>
      </c>
      <c r="AR716" s="5">
        <v>200</v>
      </c>
      <c r="AS716" s="5" t="s">
        <v>16</v>
      </c>
      <c r="AT716" s="5" t="s">
        <v>4282</v>
      </c>
      <c r="AU716" s="5" t="s">
        <v>4283</v>
      </c>
      <c r="AV716" s="5" t="s">
        <v>4285</v>
      </c>
    </row>
    <row r="717" spans="1:48" ht="45" customHeight="1" x14ac:dyDescent="0.15">
      <c r="A717" s="5" t="s">
        <v>4286</v>
      </c>
      <c r="B717" s="5">
        <v>2023</v>
      </c>
      <c r="C717" s="5" t="s">
        <v>4287</v>
      </c>
      <c r="D717" s="5" t="s">
        <v>116</v>
      </c>
      <c r="E717" s="5" t="s">
        <v>18453</v>
      </c>
      <c r="F717" s="5" t="s">
        <v>4290</v>
      </c>
      <c r="G717" s="5"/>
      <c r="H717" s="5"/>
      <c r="I717" s="5"/>
      <c r="J717" s="5"/>
      <c r="K717" s="5"/>
      <c r="L717" s="5"/>
      <c r="M717" s="5"/>
      <c r="N717" s="5"/>
      <c r="O717" s="5"/>
      <c r="P717" s="5"/>
      <c r="Q717" s="5"/>
      <c r="AL717" s="7" t="str">
        <f>HYPERLINK("http://dx.doi.org/10.1007/s10641-023-01412-2","http://dx.doi.org/10.1007/s10641-023-01412-2")</f>
        <v>http://dx.doi.org/10.1007/s10641-023-01412-2</v>
      </c>
      <c r="AM717" s="5">
        <v>0</v>
      </c>
      <c r="AN717" s="5">
        <v>0</v>
      </c>
      <c r="AO717" s="5">
        <v>106</v>
      </c>
      <c r="AP717" s="5">
        <v>6</v>
      </c>
      <c r="AQ717" s="5">
        <v>1477</v>
      </c>
      <c r="AR717" s="5">
        <v>1492</v>
      </c>
      <c r="AS717" s="5" t="s">
        <v>16</v>
      </c>
      <c r="AT717" s="5" t="s">
        <v>4288</v>
      </c>
      <c r="AU717" s="5" t="s">
        <v>4289</v>
      </c>
      <c r="AV717" s="5" t="s">
        <v>4291</v>
      </c>
    </row>
    <row r="718" spans="1:48" ht="45" customHeight="1" x14ac:dyDescent="0.15">
      <c r="A718" s="5" t="s">
        <v>4292</v>
      </c>
      <c r="B718" s="5">
        <v>2018</v>
      </c>
      <c r="C718" s="5" t="s">
        <v>4293</v>
      </c>
      <c r="D718" s="5" t="s">
        <v>162</v>
      </c>
      <c r="E718" s="5" t="s">
        <v>18453</v>
      </c>
      <c r="F718" s="5" t="s">
        <v>4296</v>
      </c>
      <c r="G718" s="5"/>
      <c r="H718" s="5"/>
      <c r="I718" s="5"/>
      <c r="J718" s="5"/>
      <c r="K718" s="5"/>
      <c r="L718" s="5"/>
      <c r="M718" s="5"/>
      <c r="N718" s="5"/>
      <c r="O718" s="5"/>
      <c r="P718" s="5"/>
      <c r="Q718" s="5"/>
      <c r="AL718" s="7" t="str">
        <f>HYPERLINK("http://dx.doi.org/10.1111/1365-2435.13012","http://dx.doi.org/10.1111/1365-2435.13012")</f>
        <v>http://dx.doi.org/10.1111/1365-2435.13012</v>
      </c>
      <c r="AM718" s="5">
        <v>14</v>
      </c>
      <c r="AN718" s="5">
        <v>16</v>
      </c>
      <c r="AO718" s="5">
        <v>32</v>
      </c>
      <c r="AP718" s="5">
        <v>3</v>
      </c>
      <c r="AQ718" s="5">
        <v>820</v>
      </c>
      <c r="AR718" s="5">
        <v>830</v>
      </c>
      <c r="AS718" s="5" t="s">
        <v>16</v>
      </c>
      <c r="AT718" s="5" t="s">
        <v>4294</v>
      </c>
      <c r="AU718" s="5" t="s">
        <v>4295</v>
      </c>
      <c r="AV718" s="5" t="s">
        <v>4297</v>
      </c>
    </row>
    <row r="719" spans="1:48" ht="45" customHeight="1" x14ac:dyDescent="0.15">
      <c r="A719" s="5" t="s">
        <v>4298</v>
      </c>
      <c r="B719" s="5">
        <v>2016</v>
      </c>
      <c r="C719" s="5" t="s">
        <v>4299</v>
      </c>
      <c r="D719" s="5" t="s">
        <v>18</v>
      </c>
      <c r="E719" s="5" t="s">
        <v>18453</v>
      </c>
      <c r="F719" s="5" t="s">
        <v>4302</v>
      </c>
      <c r="G719" s="5"/>
      <c r="H719" s="5"/>
      <c r="I719" s="5"/>
      <c r="J719" s="5"/>
      <c r="K719" s="5"/>
      <c r="L719" s="5"/>
      <c r="M719" s="5"/>
      <c r="N719" s="5"/>
      <c r="O719" s="5"/>
      <c r="P719" s="5"/>
      <c r="Q719" s="5"/>
      <c r="AL719" s="7" t="str">
        <f>HYPERLINK("http://dx.doi.org/10.1002/ecs2.1626","http://dx.doi.org/10.1002/ecs2.1626")</f>
        <v>http://dx.doi.org/10.1002/ecs2.1626</v>
      </c>
      <c r="AM719" s="5">
        <v>5</v>
      </c>
      <c r="AN719" s="5">
        <v>5</v>
      </c>
      <c r="AO719" s="5">
        <v>7</v>
      </c>
      <c r="AP719" s="5">
        <v>12</v>
      </c>
      <c r="AQ719" s="5" t="s">
        <v>16</v>
      </c>
      <c r="AR719" s="5" t="s">
        <v>16</v>
      </c>
      <c r="AS719" s="5" t="s">
        <v>4303</v>
      </c>
      <c r="AT719" s="5" t="s">
        <v>4300</v>
      </c>
      <c r="AU719" s="5" t="s">
        <v>4301</v>
      </c>
      <c r="AV719" s="5" t="s">
        <v>4304</v>
      </c>
    </row>
    <row r="720" spans="1:48" ht="45" customHeight="1" x14ac:dyDescent="0.15">
      <c r="A720" s="5" t="s">
        <v>4305</v>
      </c>
      <c r="B720" s="5">
        <v>2020</v>
      </c>
      <c r="C720" s="5" t="s">
        <v>4306</v>
      </c>
      <c r="D720" s="5" t="s">
        <v>83</v>
      </c>
      <c r="E720" s="5" t="s">
        <v>18453</v>
      </c>
      <c r="F720" s="5" t="s">
        <v>4309</v>
      </c>
      <c r="G720" s="5"/>
      <c r="H720" s="5"/>
      <c r="I720" s="5"/>
      <c r="J720" s="5"/>
      <c r="K720" s="5"/>
      <c r="L720" s="5"/>
      <c r="M720" s="5"/>
      <c r="N720" s="5"/>
      <c r="O720" s="5"/>
      <c r="P720" s="5"/>
      <c r="Q720" s="5"/>
      <c r="AL720" s="7" t="str">
        <f>HYPERLINK("http://dx.doi.org/10.1007/s10646-019-02156-5","http://dx.doi.org/10.1007/s10646-019-02156-5")</f>
        <v>http://dx.doi.org/10.1007/s10646-019-02156-5</v>
      </c>
      <c r="AM720" s="5">
        <v>3</v>
      </c>
      <c r="AN720" s="5">
        <v>3</v>
      </c>
      <c r="AO720" s="5">
        <v>29</v>
      </c>
      <c r="AP720" s="5">
        <v>10</v>
      </c>
      <c r="AQ720" s="5">
        <v>1762</v>
      </c>
      <c r="AR720" s="5">
        <v>1773</v>
      </c>
      <c r="AS720" s="5" t="s">
        <v>16</v>
      </c>
      <c r="AT720" s="5" t="s">
        <v>4307</v>
      </c>
      <c r="AU720" s="5" t="s">
        <v>4308</v>
      </c>
      <c r="AV720" s="5" t="s">
        <v>4310</v>
      </c>
    </row>
    <row r="721" spans="1:48" ht="45" customHeight="1" x14ac:dyDescent="0.15">
      <c r="A721" s="5" t="s">
        <v>4311</v>
      </c>
      <c r="B721" s="5">
        <v>2023</v>
      </c>
      <c r="C721" s="5" t="s">
        <v>4312</v>
      </c>
      <c r="D721" s="5" t="s">
        <v>468</v>
      </c>
      <c r="E721" s="5" t="s">
        <v>18453</v>
      </c>
      <c r="F721" s="5" t="s">
        <v>4315</v>
      </c>
      <c r="G721" s="5"/>
      <c r="H721" s="5"/>
      <c r="I721" s="5"/>
      <c r="J721" s="5"/>
      <c r="K721" s="5"/>
      <c r="L721" s="5"/>
      <c r="M721" s="5"/>
      <c r="N721" s="5"/>
      <c r="O721" s="5"/>
      <c r="P721" s="5"/>
      <c r="Q721" s="5"/>
      <c r="AL721" s="7" t="str">
        <f>HYPERLINK("http://dx.doi.org/10.1016/j.ecoinf.2023.102069","http://dx.doi.org/10.1016/j.ecoinf.2023.102069")</f>
        <v>http://dx.doi.org/10.1016/j.ecoinf.2023.102069</v>
      </c>
      <c r="AM721" s="5">
        <v>0</v>
      </c>
      <c r="AN721" s="5">
        <v>0</v>
      </c>
      <c r="AO721" s="5">
        <v>75</v>
      </c>
      <c r="AP721" s="5" t="s">
        <v>16</v>
      </c>
      <c r="AQ721" s="5" t="s">
        <v>16</v>
      </c>
      <c r="AR721" s="5" t="s">
        <v>16</v>
      </c>
      <c r="AS721" s="5">
        <v>102069</v>
      </c>
      <c r="AT721" s="5" t="s">
        <v>4313</v>
      </c>
      <c r="AU721" s="5" t="s">
        <v>4314</v>
      </c>
      <c r="AV721" s="5" t="s">
        <v>4316</v>
      </c>
    </row>
    <row r="722" spans="1:48" ht="45" customHeight="1" x14ac:dyDescent="0.15">
      <c r="A722" s="5" t="s">
        <v>4317</v>
      </c>
      <c r="B722" s="5">
        <v>2020</v>
      </c>
      <c r="C722" s="5" t="s">
        <v>4318</v>
      </c>
      <c r="D722" s="5" t="s">
        <v>159</v>
      </c>
      <c r="E722" s="5" t="s">
        <v>18453</v>
      </c>
      <c r="F722" s="5" t="s">
        <v>4321</v>
      </c>
      <c r="G722" s="5"/>
      <c r="H722" s="5"/>
      <c r="I722" s="5"/>
      <c r="J722" s="5"/>
      <c r="K722" s="5"/>
      <c r="L722" s="5"/>
      <c r="M722" s="5"/>
      <c r="N722" s="5"/>
      <c r="O722" s="5"/>
      <c r="P722" s="5"/>
      <c r="Q722" s="5"/>
      <c r="AL722" s="7" t="str">
        <f>HYPERLINK("http://dx.doi.org/10.3390/d12120462","http://dx.doi.org/10.3390/d12120462")</f>
        <v>http://dx.doi.org/10.3390/d12120462</v>
      </c>
      <c r="AM722" s="5">
        <v>13</v>
      </c>
      <c r="AN722" s="5">
        <v>14</v>
      </c>
      <c r="AO722" s="5">
        <v>12</v>
      </c>
      <c r="AP722" s="5">
        <v>12</v>
      </c>
      <c r="AQ722" s="5" t="s">
        <v>16</v>
      </c>
      <c r="AR722" s="5" t="s">
        <v>16</v>
      </c>
      <c r="AS722" s="5">
        <v>462</v>
      </c>
      <c r="AT722" s="5" t="s">
        <v>4319</v>
      </c>
      <c r="AU722" s="5" t="s">
        <v>4320</v>
      </c>
      <c r="AV722" s="5" t="s">
        <v>4322</v>
      </c>
    </row>
    <row r="723" spans="1:48" ht="45" customHeight="1" x14ac:dyDescent="0.15">
      <c r="A723" s="5" t="s">
        <v>4323</v>
      </c>
      <c r="B723" s="5">
        <v>1998</v>
      </c>
      <c r="C723" s="5" t="s">
        <v>4324</v>
      </c>
      <c r="D723" s="5" t="s">
        <v>262</v>
      </c>
      <c r="E723" s="5" t="s">
        <v>18453</v>
      </c>
      <c r="F723" s="5" t="s">
        <v>4326</v>
      </c>
      <c r="G723" s="5"/>
      <c r="H723" s="5"/>
      <c r="I723" s="5"/>
      <c r="J723" s="5"/>
      <c r="K723" s="5"/>
      <c r="L723" s="5"/>
      <c r="M723" s="5"/>
      <c r="N723" s="5"/>
      <c r="O723" s="5"/>
      <c r="P723" s="5"/>
      <c r="Q723" s="5"/>
      <c r="AL723" s="7" t="str">
        <f>HYPERLINK("http://dx.doi.org/10.2307/3546469","http://dx.doi.org/10.2307/3546469")</f>
        <v>http://dx.doi.org/10.2307/3546469</v>
      </c>
      <c r="AM723" s="5">
        <v>119</v>
      </c>
      <c r="AN723" s="5">
        <v>126</v>
      </c>
      <c r="AO723" s="5">
        <v>81</v>
      </c>
      <c r="AP723" s="5">
        <v>1</v>
      </c>
      <c r="AQ723" s="5">
        <v>75</v>
      </c>
      <c r="AR723" s="5">
        <v>80</v>
      </c>
      <c r="AS723" s="5" t="s">
        <v>16</v>
      </c>
      <c r="AT723" s="5" t="s">
        <v>16</v>
      </c>
      <c r="AU723" s="5" t="s">
        <v>4325</v>
      </c>
      <c r="AV723" s="5" t="s">
        <v>4327</v>
      </c>
    </row>
    <row r="724" spans="1:48" ht="45" customHeight="1" x14ac:dyDescent="0.15">
      <c r="A724" s="5" t="s">
        <v>4328</v>
      </c>
      <c r="B724" s="5">
        <v>2022</v>
      </c>
      <c r="C724" s="5" t="s">
        <v>4329</v>
      </c>
      <c r="D724" s="5" t="s">
        <v>49</v>
      </c>
      <c r="E724" s="5" t="s">
        <v>18453</v>
      </c>
      <c r="F724" s="5" t="s">
        <v>4332</v>
      </c>
      <c r="G724" s="5"/>
      <c r="H724" s="5"/>
      <c r="I724" s="5"/>
      <c r="J724" s="5"/>
      <c r="K724" s="5"/>
      <c r="L724" s="5"/>
      <c r="M724" s="5"/>
      <c r="N724" s="5"/>
      <c r="O724" s="5"/>
      <c r="P724" s="5"/>
      <c r="Q724" s="5"/>
      <c r="AL724" s="7" t="str">
        <f>HYPERLINK("http://dx.doi.org/10.3354/meps14002","http://dx.doi.org/10.3354/meps14002")</f>
        <v>http://dx.doi.org/10.3354/meps14002</v>
      </c>
      <c r="AM724" s="5">
        <v>0</v>
      </c>
      <c r="AN724" s="5">
        <v>0</v>
      </c>
      <c r="AO724" s="5">
        <v>687</v>
      </c>
      <c r="AP724" s="5" t="s">
        <v>16</v>
      </c>
      <c r="AQ724" s="5">
        <v>125</v>
      </c>
      <c r="AR724" s="5">
        <v>132</v>
      </c>
      <c r="AS724" s="5" t="s">
        <v>16</v>
      </c>
      <c r="AT724" s="5" t="s">
        <v>4330</v>
      </c>
      <c r="AU724" s="5" t="s">
        <v>4331</v>
      </c>
      <c r="AV724" s="5" t="s">
        <v>4333</v>
      </c>
    </row>
    <row r="725" spans="1:48" ht="45" customHeight="1" x14ac:dyDescent="0.15">
      <c r="A725" s="5" t="s">
        <v>4334</v>
      </c>
      <c r="B725" s="5">
        <v>2022</v>
      </c>
      <c r="C725" s="5" t="s">
        <v>4335</v>
      </c>
      <c r="D725" s="5" t="s">
        <v>172</v>
      </c>
      <c r="E725" s="5" t="s">
        <v>18453</v>
      </c>
      <c r="F725" s="5" t="s">
        <v>4338</v>
      </c>
      <c r="G725" s="5"/>
      <c r="H725" s="5"/>
      <c r="I725" s="5"/>
      <c r="J725" s="5"/>
      <c r="K725" s="5"/>
      <c r="L725" s="5"/>
      <c r="M725" s="5"/>
      <c r="N725" s="5"/>
      <c r="O725" s="5"/>
      <c r="P725" s="5"/>
      <c r="Q725" s="5"/>
      <c r="AL725" s="7" t="str">
        <f>HYPERLINK("http://dx.doi.org/10.1007/s00442-022-05140-9","http://dx.doi.org/10.1007/s00442-022-05140-9")</f>
        <v>http://dx.doi.org/10.1007/s00442-022-05140-9</v>
      </c>
      <c r="AM725" s="5">
        <v>1</v>
      </c>
      <c r="AN725" s="5">
        <v>1</v>
      </c>
      <c r="AO725" s="5">
        <v>198</v>
      </c>
      <c r="AP725" s="5">
        <v>3</v>
      </c>
      <c r="AQ725" s="5">
        <v>645</v>
      </c>
      <c r="AR725" s="5">
        <v>661</v>
      </c>
      <c r="AS725" s="5" t="s">
        <v>16</v>
      </c>
      <c r="AT725" s="5" t="s">
        <v>4336</v>
      </c>
      <c r="AU725" s="5" t="s">
        <v>4337</v>
      </c>
      <c r="AV725" s="5" t="s">
        <v>4339</v>
      </c>
    </row>
    <row r="726" spans="1:48" ht="45" customHeight="1" x14ac:dyDescent="0.15">
      <c r="A726" s="5" t="s">
        <v>4340</v>
      </c>
      <c r="B726" s="5">
        <v>2017</v>
      </c>
      <c r="C726" s="5" t="s">
        <v>4341</v>
      </c>
      <c r="D726" s="5" t="s">
        <v>212</v>
      </c>
      <c r="E726" s="5" t="s">
        <v>18453</v>
      </c>
      <c r="F726" s="5" t="s">
        <v>4344</v>
      </c>
      <c r="G726" s="5"/>
      <c r="H726" s="5"/>
      <c r="I726" s="5"/>
      <c r="J726" s="5"/>
      <c r="K726" s="5"/>
      <c r="L726" s="5"/>
      <c r="M726" s="5"/>
      <c r="N726" s="5"/>
      <c r="O726" s="5"/>
      <c r="P726" s="5"/>
      <c r="Q726" s="5"/>
      <c r="AL726" s="7" t="str">
        <f>HYPERLINK("http://dx.doi.org/10.1007/s00300-017-2136-x","http://dx.doi.org/10.1007/s00300-017-2136-x")</f>
        <v>http://dx.doi.org/10.1007/s00300-017-2136-x</v>
      </c>
      <c r="AM726" s="5">
        <v>13</v>
      </c>
      <c r="AN726" s="5">
        <v>13</v>
      </c>
      <c r="AO726" s="5">
        <v>40</v>
      </c>
      <c r="AP726" s="5">
        <v>11</v>
      </c>
      <c r="AQ726" s="5">
        <v>2225</v>
      </c>
      <c r="AR726" s="5">
        <v>2238</v>
      </c>
      <c r="AS726" s="5" t="s">
        <v>16</v>
      </c>
      <c r="AT726" s="5" t="s">
        <v>4342</v>
      </c>
      <c r="AU726" s="5" t="s">
        <v>4343</v>
      </c>
      <c r="AV726" s="5" t="s">
        <v>4345</v>
      </c>
    </row>
    <row r="727" spans="1:48" ht="45" customHeight="1" x14ac:dyDescent="0.15">
      <c r="A727" s="5" t="s">
        <v>4346</v>
      </c>
      <c r="B727" s="5">
        <v>2014</v>
      </c>
      <c r="C727" s="5" t="s">
        <v>4347</v>
      </c>
      <c r="D727" s="5" t="s">
        <v>259</v>
      </c>
      <c r="E727" s="5" t="s">
        <v>18453</v>
      </c>
      <c r="F727" s="5" t="s">
        <v>4350</v>
      </c>
      <c r="G727" s="5"/>
      <c r="H727" s="5"/>
      <c r="I727" s="5"/>
      <c r="J727" s="5"/>
      <c r="K727" s="5"/>
      <c r="L727" s="5"/>
      <c r="M727" s="5"/>
      <c r="N727" s="5"/>
      <c r="O727" s="5"/>
      <c r="P727" s="5"/>
      <c r="Q727" s="5"/>
      <c r="AL727" s="7" t="str">
        <f>HYPERLINK("http://dx.doi.org/10.1002/jwmg.771","http://dx.doi.org/10.1002/jwmg.771")</f>
        <v>http://dx.doi.org/10.1002/jwmg.771</v>
      </c>
      <c r="AM727" s="5">
        <v>2</v>
      </c>
      <c r="AN727" s="5">
        <v>2</v>
      </c>
      <c r="AO727" s="5">
        <v>78</v>
      </c>
      <c r="AP727" s="5">
        <v>7</v>
      </c>
      <c r="AQ727" s="5">
        <v>1250</v>
      </c>
      <c r="AR727" s="5">
        <v>1260</v>
      </c>
      <c r="AS727" s="5" t="s">
        <v>16</v>
      </c>
      <c r="AT727" s="5" t="s">
        <v>4348</v>
      </c>
      <c r="AU727" s="5" t="s">
        <v>4349</v>
      </c>
      <c r="AV727" s="5" t="s">
        <v>4351</v>
      </c>
    </row>
    <row r="728" spans="1:48" ht="45" customHeight="1" x14ac:dyDescent="0.15">
      <c r="A728" s="5" t="s">
        <v>4352</v>
      </c>
      <c r="B728" s="5">
        <v>2022</v>
      </c>
      <c r="C728" s="5" t="s">
        <v>4353</v>
      </c>
      <c r="D728" s="5" t="s">
        <v>116</v>
      </c>
      <c r="E728" s="5" t="s">
        <v>18453</v>
      </c>
      <c r="F728" s="5" t="s">
        <v>4356</v>
      </c>
      <c r="G728" s="5"/>
      <c r="H728" s="5"/>
      <c r="I728" s="5"/>
      <c r="J728" s="5"/>
      <c r="K728" s="5"/>
      <c r="L728" s="5"/>
      <c r="M728" s="5"/>
      <c r="N728" s="5"/>
      <c r="O728" s="5"/>
      <c r="P728" s="5"/>
      <c r="Q728" s="5"/>
      <c r="AL728" s="7" t="str">
        <f>HYPERLINK("http://dx.doi.org/10.1007/s10641-022-01326-5","http://dx.doi.org/10.1007/s10641-022-01326-5")</f>
        <v>http://dx.doi.org/10.1007/s10641-022-01326-5</v>
      </c>
      <c r="AM728" s="5">
        <v>0</v>
      </c>
      <c r="AN728" s="5">
        <v>0</v>
      </c>
      <c r="AO728" s="5">
        <v>105</v>
      </c>
      <c r="AP728" s="5">
        <v>9</v>
      </c>
      <c r="AQ728" s="5">
        <v>1153</v>
      </c>
      <c r="AR728" s="5">
        <v>1164</v>
      </c>
      <c r="AS728" s="5" t="s">
        <v>16</v>
      </c>
      <c r="AT728" s="5" t="s">
        <v>4354</v>
      </c>
      <c r="AU728" s="5" t="s">
        <v>4355</v>
      </c>
      <c r="AV728" s="5" t="s">
        <v>4357</v>
      </c>
    </row>
    <row r="729" spans="1:48" ht="45" customHeight="1" x14ac:dyDescent="0.15">
      <c r="A729" s="5" t="s">
        <v>4358</v>
      </c>
      <c r="B729" s="5">
        <v>2018</v>
      </c>
      <c r="C729" s="5" t="s">
        <v>4359</v>
      </c>
      <c r="D729" s="5" t="s">
        <v>262</v>
      </c>
      <c r="E729" s="5" t="s">
        <v>18453</v>
      </c>
      <c r="F729" s="5" t="s">
        <v>4362</v>
      </c>
      <c r="G729" s="5"/>
      <c r="H729" s="5"/>
      <c r="I729" s="5"/>
      <c r="J729" s="5"/>
      <c r="K729" s="5"/>
      <c r="L729" s="5"/>
      <c r="M729" s="5"/>
      <c r="N729" s="5"/>
      <c r="O729" s="5"/>
      <c r="P729" s="5"/>
      <c r="Q729" s="5"/>
      <c r="AL729" s="7" t="str">
        <f>HYPERLINK("http://dx.doi.org/10.1111/oik.05556","http://dx.doi.org/10.1111/oik.05556")</f>
        <v>http://dx.doi.org/10.1111/oik.05556</v>
      </c>
      <c r="AM729" s="5">
        <v>5</v>
      </c>
      <c r="AN729" s="5">
        <v>5</v>
      </c>
      <c r="AO729" s="5">
        <v>127</v>
      </c>
      <c r="AP729" s="5">
        <v>12</v>
      </c>
      <c r="AQ729" s="5">
        <v>1800</v>
      </c>
      <c r="AR729" s="5">
        <v>1811</v>
      </c>
      <c r="AS729" s="5" t="s">
        <v>16</v>
      </c>
      <c r="AT729" s="5" t="s">
        <v>4360</v>
      </c>
      <c r="AU729" s="5" t="s">
        <v>4361</v>
      </c>
      <c r="AV729" s="5" t="s">
        <v>4363</v>
      </c>
    </row>
    <row r="730" spans="1:48" ht="45" customHeight="1" x14ac:dyDescent="0.15">
      <c r="A730" s="5" t="s">
        <v>4364</v>
      </c>
      <c r="B730" s="5">
        <v>2015</v>
      </c>
      <c r="C730" s="5" t="s">
        <v>4365</v>
      </c>
      <c r="D730" s="5" t="s">
        <v>296</v>
      </c>
      <c r="E730" s="5" t="s">
        <v>18453</v>
      </c>
      <c r="F730" s="5" t="s">
        <v>4368</v>
      </c>
      <c r="G730" s="5"/>
      <c r="H730" s="5"/>
      <c r="I730" s="5"/>
      <c r="J730" s="5"/>
      <c r="K730" s="5"/>
      <c r="L730" s="5"/>
      <c r="M730" s="5"/>
      <c r="N730" s="5"/>
      <c r="O730" s="5"/>
      <c r="P730" s="5"/>
      <c r="Q730" s="5"/>
      <c r="AL730" s="7" t="str">
        <f>HYPERLINK("http://dx.doi.org/10.1098/rspb.2015.1546","http://dx.doi.org/10.1098/rspb.2015.1546")</f>
        <v>http://dx.doi.org/10.1098/rspb.2015.1546</v>
      </c>
      <c r="AM730" s="5">
        <v>232</v>
      </c>
      <c r="AN730" s="5">
        <v>234</v>
      </c>
      <c r="AO730" s="5">
        <v>282</v>
      </c>
      <c r="AP730" s="5">
        <v>1814</v>
      </c>
      <c r="AQ730" s="5">
        <v>31</v>
      </c>
      <c r="AR730" s="5">
        <v>39</v>
      </c>
      <c r="AS730" s="5">
        <v>20151546</v>
      </c>
      <c r="AT730" s="5" t="s">
        <v>4366</v>
      </c>
      <c r="AU730" s="5" t="s">
        <v>4367</v>
      </c>
      <c r="AV730" s="5" t="s">
        <v>4369</v>
      </c>
    </row>
    <row r="731" spans="1:48" ht="45" customHeight="1" x14ac:dyDescent="0.15">
      <c r="A731" s="5" t="s">
        <v>4370</v>
      </c>
      <c r="B731" s="5">
        <v>2019</v>
      </c>
      <c r="C731" s="5" t="s">
        <v>4371</v>
      </c>
      <c r="D731" s="5" t="s">
        <v>49</v>
      </c>
      <c r="E731" s="5" t="s">
        <v>18453</v>
      </c>
      <c r="F731" s="5" t="s">
        <v>4374</v>
      </c>
      <c r="G731" s="5"/>
      <c r="H731" s="5"/>
      <c r="I731" s="5"/>
      <c r="J731" s="5"/>
      <c r="K731" s="5"/>
      <c r="L731" s="5"/>
      <c r="M731" s="5"/>
      <c r="N731" s="5"/>
      <c r="O731" s="5"/>
      <c r="P731" s="5"/>
      <c r="Q731" s="5"/>
      <c r="AL731" s="7" t="str">
        <f>HYPERLINK("http://dx.doi.org/10.3354/meps12841","http://dx.doi.org/10.3354/meps12841")</f>
        <v>http://dx.doi.org/10.3354/meps12841</v>
      </c>
      <c r="AM731" s="5">
        <v>5</v>
      </c>
      <c r="AN731" s="5">
        <v>5</v>
      </c>
      <c r="AO731" s="5">
        <v>610</v>
      </c>
      <c r="AP731" s="5" t="s">
        <v>16</v>
      </c>
      <c r="AQ731" s="5">
        <v>191</v>
      </c>
      <c r="AR731" s="5">
        <v>203</v>
      </c>
      <c r="AS731" s="5" t="s">
        <v>16</v>
      </c>
      <c r="AT731" s="5" t="s">
        <v>4372</v>
      </c>
      <c r="AU731" s="5" t="s">
        <v>4373</v>
      </c>
      <c r="AV731" s="5" t="s">
        <v>4375</v>
      </c>
    </row>
    <row r="732" spans="1:48" ht="45" customHeight="1" x14ac:dyDescent="0.15">
      <c r="A732" s="5" t="s">
        <v>4376</v>
      </c>
      <c r="B732" s="5">
        <v>2022</v>
      </c>
      <c r="C732" s="5" t="s">
        <v>4377</v>
      </c>
      <c r="D732" s="5" t="s">
        <v>242</v>
      </c>
      <c r="E732" s="5" t="s">
        <v>18453</v>
      </c>
      <c r="F732" s="5" t="s">
        <v>4380</v>
      </c>
      <c r="G732" s="5"/>
      <c r="H732" s="5"/>
      <c r="I732" s="5"/>
      <c r="J732" s="5"/>
      <c r="K732" s="5"/>
      <c r="L732" s="5"/>
      <c r="M732" s="5"/>
      <c r="N732" s="5"/>
      <c r="O732" s="5"/>
      <c r="P732" s="5"/>
      <c r="Q732" s="5"/>
      <c r="AL732" s="7" t="str">
        <f>HYPERLINK("http://dx.doi.org/10.1007/s10980-022-01526-5","http://dx.doi.org/10.1007/s10980-022-01526-5")</f>
        <v>http://dx.doi.org/10.1007/s10980-022-01526-5</v>
      </c>
      <c r="AM732" s="5">
        <v>0</v>
      </c>
      <c r="AN732" s="5">
        <v>0</v>
      </c>
      <c r="AO732" s="5">
        <v>37</v>
      </c>
      <c r="AP732" s="5">
        <v>12</v>
      </c>
      <c r="AQ732" s="5">
        <v>2991</v>
      </c>
      <c r="AR732" s="5">
        <v>3009</v>
      </c>
      <c r="AS732" s="5" t="s">
        <v>16</v>
      </c>
      <c r="AT732" s="5" t="s">
        <v>4378</v>
      </c>
      <c r="AU732" s="5" t="s">
        <v>4379</v>
      </c>
      <c r="AV732" s="5" t="s">
        <v>4381</v>
      </c>
    </row>
    <row r="733" spans="1:48" ht="45" customHeight="1" x14ac:dyDescent="0.15">
      <c r="A733" s="5" t="s">
        <v>4382</v>
      </c>
      <c r="B733" s="5">
        <v>2016</v>
      </c>
      <c r="C733" s="5" t="s">
        <v>4383</v>
      </c>
      <c r="D733" s="5" t="s">
        <v>49</v>
      </c>
      <c r="E733" s="5" t="s">
        <v>18453</v>
      </c>
      <c r="F733" s="5" t="s">
        <v>4386</v>
      </c>
      <c r="G733" s="5"/>
      <c r="H733" s="5"/>
      <c r="I733" s="5"/>
      <c r="J733" s="5"/>
      <c r="K733" s="5"/>
      <c r="L733" s="5"/>
      <c r="M733" s="5"/>
      <c r="N733" s="5"/>
      <c r="O733" s="5"/>
      <c r="P733" s="5"/>
      <c r="Q733" s="5"/>
      <c r="AL733" s="7" t="str">
        <f>HYPERLINK("http://dx.doi.org/10.3354/meps11897","http://dx.doi.org/10.3354/meps11897")</f>
        <v>http://dx.doi.org/10.3354/meps11897</v>
      </c>
      <c r="AM733" s="5">
        <v>34</v>
      </c>
      <c r="AN733" s="5">
        <v>35</v>
      </c>
      <c r="AO733" s="5">
        <v>559</v>
      </c>
      <c r="AP733" s="5" t="s">
        <v>16</v>
      </c>
      <c r="AQ733" s="5">
        <v>217</v>
      </c>
      <c r="AR733" s="5">
        <v>229</v>
      </c>
      <c r="AS733" s="5" t="s">
        <v>16</v>
      </c>
      <c r="AT733" s="5" t="s">
        <v>4384</v>
      </c>
      <c r="AU733" s="5" t="s">
        <v>4385</v>
      </c>
      <c r="AV733" s="5" t="s">
        <v>4387</v>
      </c>
    </row>
    <row r="734" spans="1:48" ht="45" customHeight="1" x14ac:dyDescent="0.15">
      <c r="A734" s="5" t="s">
        <v>4388</v>
      </c>
      <c r="B734" s="5">
        <v>2023</v>
      </c>
      <c r="C734" s="5" t="s">
        <v>4389</v>
      </c>
      <c r="D734" s="5" t="s">
        <v>18</v>
      </c>
      <c r="E734" s="5" t="s">
        <v>18453</v>
      </c>
      <c r="F734" s="5" t="s">
        <v>4392</v>
      </c>
      <c r="G734" s="5"/>
      <c r="H734" s="5"/>
      <c r="I734" s="5"/>
      <c r="J734" s="5"/>
      <c r="K734" s="5"/>
      <c r="L734" s="5"/>
      <c r="M734" s="5"/>
      <c r="N734" s="5"/>
      <c r="O734" s="5"/>
      <c r="P734" s="5"/>
      <c r="Q734" s="5"/>
      <c r="AL734" s="7" t="str">
        <f>HYPERLINK("http://dx.doi.org/10.1002/ecs2.4511","http://dx.doi.org/10.1002/ecs2.4511")</f>
        <v>http://dx.doi.org/10.1002/ecs2.4511</v>
      </c>
      <c r="AM734" s="5">
        <v>0</v>
      </c>
      <c r="AN734" s="5">
        <v>0</v>
      </c>
      <c r="AO734" s="5">
        <v>14</v>
      </c>
      <c r="AP734" s="5">
        <v>5</v>
      </c>
      <c r="AQ734" s="5" t="s">
        <v>16</v>
      </c>
      <c r="AR734" s="5" t="s">
        <v>16</v>
      </c>
      <c r="AS734" s="5" t="s">
        <v>4393</v>
      </c>
      <c r="AT734" s="5" t="s">
        <v>4390</v>
      </c>
      <c r="AU734" s="5" t="s">
        <v>4391</v>
      </c>
      <c r="AV734" s="5" t="s">
        <v>4394</v>
      </c>
    </row>
    <row r="735" spans="1:48" ht="45" customHeight="1" x14ac:dyDescent="0.15">
      <c r="A735" s="5" t="s">
        <v>4395</v>
      </c>
      <c r="B735" s="5">
        <v>2010</v>
      </c>
      <c r="C735" s="5" t="s">
        <v>4396</v>
      </c>
      <c r="D735" s="5" t="s">
        <v>1531</v>
      </c>
      <c r="E735" s="5" t="s">
        <v>18453</v>
      </c>
      <c r="F735" s="5" t="s">
        <v>4399</v>
      </c>
      <c r="G735" s="5"/>
      <c r="H735" s="5"/>
      <c r="I735" s="5"/>
      <c r="J735" s="5"/>
      <c r="K735" s="5"/>
      <c r="L735" s="5"/>
      <c r="M735" s="5"/>
      <c r="N735" s="5"/>
      <c r="O735" s="5"/>
      <c r="P735" s="5"/>
      <c r="Q735" s="5"/>
      <c r="AL735" s="7" t="str">
        <f>HYPERLINK("http://dx.doi.org/10.1899/10-002.1","http://dx.doi.org/10.1899/10-002.1")</f>
        <v>http://dx.doi.org/10.1899/10-002.1</v>
      </c>
      <c r="AM735" s="5">
        <v>36</v>
      </c>
      <c r="AN735" s="5">
        <v>36</v>
      </c>
      <c r="AO735" s="5">
        <v>29</v>
      </c>
      <c r="AP735" s="5">
        <v>4</v>
      </c>
      <c r="AQ735" s="5">
        <v>1339</v>
      </c>
      <c r="AR735" s="5">
        <v>1348</v>
      </c>
      <c r="AS735" s="5" t="s">
        <v>16</v>
      </c>
      <c r="AT735" s="5" t="s">
        <v>4397</v>
      </c>
      <c r="AU735" s="5" t="s">
        <v>4398</v>
      </c>
      <c r="AV735" s="5" t="s">
        <v>4400</v>
      </c>
    </row>
    <row r="736" spans="1:48" ht="45" customHeight="1" x14ac:dyDescent="0.15">
      <c r="A736" s="5" t="s">
        <v>4401</v>
      </c>
      <c r="B736" s="5">
        <v>2017</v>
      </c>
      <c r="C736" s="5" t="s">
        <v>4402</v>
      </c>
      <c r="D736" s="5" t="s">
        <v>41</v>
      </c>
      <c r="E736" s="5" t="s">
        <v>18453</v>
      </c>
      <c r="F736" s="5" t="s">
        <v>4405</v>
      </c>
      <c r="G736" s="5"/>
      <c r="H736" s="5"/>
      <c r="I736" s="5"/>
      <c r="J736" s="5"/>
      <c r="K736" s="5"/>
      <c r="L736" s="5"/>
      <c r="M736" s="5"/>
      <c r="N736" s="5"/>
      <c r="O736" s="5"/>
      <c r="P736" s="5"/>
      <c r="Q736" s="5"/>
      <c r="AL736" s="7" t="str">
        <f>HYPERLINK("http://dx.doi.org/10.1016/j.actao.2017.02.004","http://dx.doi.org/10.1016/j.actao.2017.02.004")</f>
        <v>http://dx.doi.org/10.1016/j.actao.2017.02.004</v>
      </c>
      <c r="AM736" s="5">
        <v>19</v>
      </c>
      <c r="AN736" s="5">
        <v>19</v>
      </c>
      <c r="AO736" s="5">
        <v>80</v>
      </c>
      <c r="AP736" s="5" t="s">
        <v>16</v>
      </c>
      <c r="AQ736" s="5">
        <v>8</v>
      </c>
      <c r="AR736" s="5">
        <v>17</v>
      </c>
      <c r="AS736" s="5" t="s">
        <v>16</v>
      </c>
      <c r="AT736" s="5" t="s">
        <v>4403</v>
      </c>
      <c r="AU736" s="5" t="s">
        <v>4404</v>
      </c>
      <c r="AV736" s="5" t="s">
        <v>4406</v>
      </c>
    </row>
    <row r="737" spans="1:48" ht="45" customHeight="1" x14ac:dyDescent="0.15">
      <c r="A737" s="5" t="s">
        <v>4407</v>
      </c>
      <c r="B737" s="5">
        <v>2021</v>
      </c>
      <c r="C737" s="5" t="s">
        <v>4408</v>
      </c>
      <c r="D737" s="5" t="s">
        <v>4409</v>
      </c>
      <c r="E737" s="5" t="s">
        <v>18453</v>
      </c>
      <c r="F737" s="5" t="s">
        <v>4412</v>
      </c>
      <c r="G737" s="5"/>
      <c r="H737" s="5"/>
      <c r="I737" s="5"/>
      <c r="J737" s="5"/>
      <c r="K737" s="5"/>
      <c r="L737" s="5"/>
      <c r="M737" s="5"/>
      <c r="N737" s="5"/>
      <c r="O737" s="5"/>
      <c r="P737" s="5"/>
      <c r="Q737" s="5"/>
      <c r="AL737" s="7" t="str">
        <f>HYPERLINK("http://dx.doi.org/10.1002/2688-8319.12082","http://dx.doi.org/10.1002/2688-8319.12082")</f>
        <v>http://dx.doi.org/10.1002/2688-8319.12082</v>
      </c>
      <c r="AM737" s="5">
        <v>3</v>
      </c>
      <c r="AN737" s="5">
        <v>3</v>
      </c>
      <c r="AO737" s="5">
        <v>2</v>
      </c>
      <c r="AP737" s="5">
        <v>3</v>
      </c>
      <c r="AQ737" s="5" t="s">
        <v>16</v>
      </c>
      <c r="AR737" s="5" t="s">
        <v>16</v>
      </c>
      <c r="AS737" s="5" t="s">
        <v>4413</v>
      </c>
      <c r="AT737" s="5" t="s">
        <v>4410</v>
      </c>
      <c r="AU737" s="5" t="s">
        <v>4411</v>
      </c>
      <c r="AV737" s="5" t="s">
        <v>4414</v>
      </c>
    </row>
    <row r="738" spans="1:48" ht="45" customHeight="1" x14ac:dyDescent="0.15">
      <c r="A738" s="5" t="s">
        <v>4415</v>
      </c>
      <c r="B738" s="5">
        <v>2012</v>
      </c>
      <c r="C738" s="5" t="s">
        <v>4416</v>
      </c>
      <c r="D738" s="5" t="s">
        <v>3980</v>
      </c>
      <c r="E738" s="5" t="s">
        <v>18453</v>
      </c>
      <c r="F738" s="5" t="s">
        <v>4419</v>
      </c>
      <c r="G738" s="5"/>
      <c r="H738" s="5"/>
      <c r="I738" s="5"/>
      <c r="J738" s="5"/>
      <c r="K738" s="5"/>
      <c r="L738" s="5"/>
      <c r="M738" s="5"/>
      <c r="N738" s="5"/>
      <c r="O738" s="5"/>
      <c r="P738" s="5"/>
      <c r="Q738" s="5"/>
      <c r="AL738" s="7" t="str">
        <f>HYPERLINK("http://dx.doi.org/10.1111/j.1744-7429.2011.00840.x","http://dx.doi.org/10.1111/j.1744-7429.2011.00840.x")</f>
        <v>http://dx.doi.org/10.1111/j.1744-7429.2011.00840.x</v>
      </c>
      <c r="AM738" s="5">
        <v>12</v>
      </c>
      <c r="AN738" s="5">
        <v>13</v>
      </c>
      <c r="AO738" s="5">
        <v>44</v>
      </c>
      <c r="AP738" s="5">
        <v>4</v>
      </c>
      <c r="AQ738" s="5">
        <v>521</v>
      </c>
      <c r="AR738" s="5">
        <v>530</v>
      </c>
      <c r="AS738" s="5" t="s">
        <v>16</v>
      </c>
      <c r="AT738" s="5" t="s">
        <v>4417</v>
      </c>
      <c r="AU738" s="5" t="s">
        <v>4418</v>
      </c>
      <c r="AV738" s="5" t="s">
        <v>4420</v>
      </c>
    </row>
    <row r="739" spans="1:48" ht="45" customHeight="1" x14ac:dyDescent="0.15">
      <c r="A739" s="5" t="s">
        <v>4421</v>
      </c>
      <c r="B739" s="5">
        <v>2013</v>
      </c>
      <c r="C739" s="5" t="s">
        <v>4422</v>
      </c>
      <c r="D739" s="5" t="s">
        <v>49</v>
      </c>
      <c r="E739" s="5" t="s">
        <v>18453</v>
      </c>
      <c r="F739" s="5" t="s">
        <v>4425</v>
      </c>
      <c r="G739" s="5"/>
      <c r="H739" s="5"/>
      <c r="I739" s="5"/>
      <c r="J739" s="5"/>
      <c r="K739" s="5"/>
      <c r="L739" s="5"/>
      <c r="M739" s="5"/>
      <c r="N739" s="5"/>
      <c r="O739" s="5"/>
      <c r="P739" s="5"/>
      <c r="Q739" s="5"/>
      <c r="AL739" s="7" t="str">
        <f>HYPERLINK("http://dx.doi.org/10.3354/meps10487","http://dx.doi.org/10.3354/meps10487")</f>
        <v>http://dx.doi.org/10.3354/meps10487</v>
      </c>
      <c r="AM739" s="5">
        <v>9</v>
      </c>
      <c r="AN739" s="5">
        <v>10</v>
      </c>
      <c r="AO739" s="5">
        <v>491</v>
      </c>
      <c r="AP739" s="5" t="s">
        <v>16</v>
      </c>
      <c r="AQ739" s="5">
        <v>265</v>
      </c>
      <c r="AR739" s="5" t="s">
        <v>260</v>
      </c>
      <c r="AS739" s="5" t="s">
        <v>16</v>
      </c>
      <c r="AT739" s="5" t="s">
        <v>4423</v>
      </c>
      <c r="AU739" s="5" t="s">
        <v>4424</v>
      </c>
      <c r="AV739" s="5" t="s">
        <v>4426</v>
      </c>
    </row>
    <row r="740" spans="1:48" ht="45" customHeight="1" x14ac:dyDescent="0.15">
      <c r="A740" s="5" t="s">
        <v>4427</v>
      </c>
      <c r="B740" s="5">
        <v>2016</v>
      </c>
      <c r="C740" s="5" t="s">
        <v>4428</v>
      </c>
      <c r="D740" s="5" t="s">
        <v>172</v>
      </c>
      <c r="E740" s="5" t="s">
        <v>18453</v>
      </c>
      <c r="F740" s="5" t="s">
        <v>4431</v>
      </c>
      <c r="G740" s="5"/>
      <c r="H740" s="5"/>
      <c r="I740" s="5"/>
      <c r="J740" s="5"/>
      <c r="K740" s="5"/>
      <c r="L740" s="5"/>
      <c r="M740" s="5"/>
      <c r="N740" s="5"/>
      <c r="O740" s="5"/>
      <c r="P740" s="5"/>
      <c r="Q740" s="5"/>
      <c r="AL740" s="7" t="str">
        <f>HYPERLINK("http://dx.doi.org/10.1007/s00442-016-3676-4","http://dx.doi.org/10.1007/s00442-016-3676-4")</f>
        <v>http://dx.doi.org/10.1007/s00442-016-3676-4</v>
      </c>
      <c r="AM740" s="5">
        <v>17</v>
      </c>
      <c r="AN740" s="5">
        <v>18</v>
      </c>
      <c r="AO740" s="5">
        <v>182</v>
      </c>
      <c r="AP740" s="5">
        <v>2</v>
      </c>
      <c r="AQ740" s="5">
        <v>463</v>
      </c>
      <c r="AR740" s="5">
        <v>473</v>
      </c>
      <c r="AS740" s="5" t="s">
        <v>16</v>
      </c>
      <c r="AT740" s="5" t="s">
        <v>4429</v>
      </c>
      <c r="AU740" s="5" t="s">
        <v>4430</v>
      </c>
      <c r="AV740" s="5" t="s">
        <v>4432</v>
      </c>
    </row>
    <row r="741" spans="1:48" ht="45" customHeight="1" x14ac:dyDescent="0.15">
      <c r="A741" s="5" t="s">
        <v>4433</v>
      </c>
      <c r="B741" s="5">
        <v>2011</v>
      </c>
      <c r="C741" s="5" t="s">
        <v>4434</v>
      </c>
      <c r="D741" s="5" t="s">
        <v>49</v>
      </c>
      <c r="E741" s="5" t="s">
        <v>18453</v>
      </c>
      <c r="F741" s="5" t="s">
        <v>4437</v>
      </c>
      <c r="G741" s="5"/>
      <c r="H741" s="5"/>
      <c r="I741" s="5"/>
      <c r="J741" s="5"/>
      <c r="K741" s="5"/>
      <c r="L741" s="5"/>
      <c r="M741" s="5"/>
      <c r="N741" s="5"/>
      <c r="O741" s="5"/>
      <c r="P741" s="5"/>
      <c r="Q741" s="5"/>
      <c r="AL741" s="7" t="str">
        <f>HYPERLINK("http://dx.doi.org/10.3354/meps08933","http://dx.doi.org/10.3354/meps08933")</f>
        <v>http://dx.doi.org/10.3354/meps08933</v>
      </c>
      <c r="AM741" s="5">
        <v>40</v>
      </c>
      <c r="AN741" s="5">
        <v>40</v>
      </c>
      <c r="AO741" s="5">
        <v>422</v>
      </c>
      <c r="AP741" s="5" t="s">
        <v>16</v>
      </c>
      <c r="AQ741" s="5">
        <v>291</v>
      </c>
      <c r="AR741" s="5">
        <v>302</v>
      </c>
      <c r="AS741" s="5" t="s">
        <v>16</v>
      </c>
      <c r="AT741" s="5" t="s">
        <v>4435</v>
      </c>
      <c r="AU741" s="5" t="s">
        <v>4436</v>
      </c>
      <c r="AV741" s="5" t="s">
        <v>4438</v>
      </c>
    </row>
    <row r="742" spans="1:48" ht="45" customHeight="1" x14ac:dyDescent="0.15">
      <c r="A742" s="5" t="s">
        <v>4439</v>
      </c>
      <c r="B742" s="5">
        <v>2023</v>
      </c>
      <c r="C742" s="5" t="s">
        <v>4440</v>
      </c>
      <c r="D742" s="5" t="s">
        <v>33</v>
      </c>
      <c r="E742" s="5" t="s">
        <v>18453</v>
      </c>
      <c r="F742" s="5" t="s">
        <v>4443</v>
      </c>
      <c r="G742" s="5"/>
      <c r="H742" s="5"/>
      <c r="I742" s="5"/>
      <c r="J742" s="5"/>
      <c r="K742" s="5"/>
      <c r="L742" s="5"/>
      <c r="M742" s="5"/>
      <c r="N742" s="5"/>
      <c r="O742" s="5"/>
      <c r="P742" s="5"/>
      <c r="Q742" s="5"/>
      <c r="AL742" s="7" t="str">
        <f>HYPERLINK("http://dx.doi.org/10.1111/gcb.16762","http://dx.doi.org/10.1111/gcb.16762")</f>
        <v>http://dx.doi.org/10.1111/gcb.16762</v>
      </c>
      <c r="AM742" s="5">
        <v>0</v>
      </c>
      <c r="AN742" s="5">
        <v>0</v>
      </c>
      <c r="AO742" s="5">
        <v>29</v>
      </c>
      <c r="AP742" s="5">
        <v>15</v>
      </c>
      <c r="AQ742" s="5">
        <v>4354</v>
      </c>
      <c r="AR742" s="5">
        <v>4367</v>
      </c>
      <c r="AS742" s="5" t="s">
        <v>16</v>
      </c>
      <c r="AT742" s="5" t="s">
        <v>4441</v>
      </c>
      <c r="AU742" s="5" t="s">
        <v>4442</v>
      </c>
      <c r="AV742" s="5" t="s">
        <v>4444</v>
      </c>
    </row>
    <row r="743" spans="1:48" ht="45" customHeight="1" x14ac:dyDescent="0.15">
      <c r="A743" s="5" t="s">
        <v>4445</v>
      </c>
      <c r="B743" s="5">
        <v>2022</v>
      </c>
      <c r="C743" s="5" t="s">
        <v>4446</v>
      </c>
      <c r="D743" s="5" t="s">
        <v>18</v>
      </c>
      <c r="E743" s="5" t="s">
        <v>18453</v>
      </c>
      <c r="F743" s="5" t="s">
        <v>4449</v>
      </c>
      <c r="G743" s="5"/>
      <c r="H743" s="5"/>
      <c r="I743" s="5"/>
      <c r="J743" s="5"/>
      <c r="K743" s="5"/>
      <c r="L743" s="5"/>
      <c r="M743" s="5"/>
      <c r="N743" s="5"/>
      <c r="O743" s="5"/>
      <c r="P743" s="5"/>
      <c r="Q743" s="5"/>
      <c r="AL743" s="7" t="str">
        <f>HYPERLINK("http://dx.doi.org/10.1002/ecs2.4221","http://dx.doi.org/10.1002/ecs2.4221")</f>
        <v>http://dx.doi.org/10.1002/ecs2.4221</v>
      </c>
      <c r="AM743" s="5">
        <v>2</v>
      </c>
      <c r="AN743" s="5">
        <v>2</v>
      </c>
      <c r="AO743" s="5">
        <v>13</v>
      </c>
      <c r="AP743" s="5">
        <v>9</v>
      </c>
      <c r="AQ743" s="5" t="s">
        <v>16</v>
      </c>
      <c r="AR743" s="5" t="s">
        <v>16</v>
      </c>
      <c r="AS743" s="5" t="s">
        <v>4450</v>
      </c>
      <c r="AT743" s="5" t="s">
        <v>4447</v>
      </c>
      <c r="AU743" s="5" t="s">
        <v>4448</v>
      </c>
      <c r="AV743" s="5" t="s">
        <v>4451</v>
      </c>
    </row>
    <row r="744" spans="1:48" ht="45" customHeight="1" x14ac:dyDescent="0.15">
      <c r="A744" s="5" t="s">
        <v>4452</v>
      </c>
      <c r="B744" s="5">
        <v>2021</v>
      </c>
      <c r="C744" s="5" t="s">
        <v>4453</v>
      </c>
      <c r="D744" s="5" t="s">
        <v>49</v>
      </c>
      <c r="E744" s="5" t="s">
        <v>18453</v>
      </c>
      <c r="F744" s="5" t="s">
        <v>4456</v>
      </c>
      <c r="G744" s="5"/>
      <c r="H744" s="5"/>
      <c r="I744" s="5"/>
      <c r="J744" s="5"/>
      <c r="K744" s="5"/>
      <c r="L744" s="5"/>
      <c r="M744" s="5"/>
      <c r="N744" s="5"/>
      <c r="O744" s="5"/>
      <c r="P744" s="5"/>
      <c r="Q744" s="5"/>
      <c r="AL744" s="7" t="str">
        <f>HYPERLINK("http://dx.doi.org/10.3354/meps13871","http://dx.doi.org/10.3354/meps13871")</f>
        <v>http://dx.doi.org/10.3354/meps13871</v>
      </c>
      <c r="AM744" s="5">
        <v>1</v>
      </c>
      <c r="AN744" s="5">
        <v>1</v>
      </c>
      <c r="AO744" s="5">
        <v>677</v>
      </c>
      <c r="AP744" s="5" t="s">
        <v>16</v>
      </c>
      <c r="AQ744" s="5">
        <v>219</v>
      </c>
      <c r="AR744" s="5">
        <v>232</v>
      </c>
      <c r="AS744" s="5" t="s">
        <v>16</v>
      </c>
      <c r="AT744" s="5" t="s">
        <v>4454</v>
      </c>
      <c r="AU744" s="5" t="s">
        <v>4455</v>
      </c>
      <c r="AV744" s="5" t="s">
        <v>4457</v>
      </c>
    </row>
    <row r="745" spans="1:48" ht="45" customHeight="1" x14ac:dyDescent="0.15">
      <c r="A745" s="5" t="s">
        <v>4458</v>
      </c>
      <c r="B745" s="5">
        <v>2017</v>
      </c>
      <c r="C745" s="5" t="s">
        <v>4459</v>
      </c>
      <c r="D745" s="5" t="s">
        <v>212</v>
      </c>
      <c r="E745" s="5" t="s">
        <v>18453</v>
      </c>
      <c r="F745" s="5" t="s">
        <v>4462</v>
      </c>
      <c r="G745" s="5"/>
      <c r="H745" s="5"/>
      <c r="I745" s="5"/>
      <c r="J745" s="5"/>
      <c r="K745" s="5"/>
      <c r="L745" s="5"/>
      <c r="M745" s="5"/>
      <c r="N745" s="5"/>
      <c r="O745" s="5"/>
      <c r="P745" s="5"/>
      <c r="Q745" s="5"/>
      <c r="AL745" s="7" t="str">
        <f>HYPERLINK("http://dx.doi.org/10.1007/s00300-016-2041-8","http://dx.doi.org/10.1007/s00300-016-2041-8")</f>
        <v>http://dx.doi.org/10.1007/s00300-016-2041-8</v>
      </c>
      <c r="AM745" s="5">
        <v>11</v>
      </c>
      <c r="AN745" s="5">
        <v>12</v>
      </c>
      <c r="AO745" s="5">
        <v>40</v>
      </c>
      <c r="AP745" s="5">
        <v>7</v>
      </c>
      <c r="AQ745" s="5">
        <v>1451</v>
      </c>
      <c r="AR745" s="5">
        <v>1463</v>
      </c>
      <c r="AS745" s="5" t="s">
        <v>16</v>
      </c>
      <c r="AT745" s="5" t="s">
        <v>4460</v>
      </c>
      <c r="AU745" s="5" t="s">
        <v>4461</v>
      </c>
      <c r="AV745" s="5" t="s">
        <v>4463</v>
      </c>
    </row>
    <row r="746" spans="1:48" ht="45" customHeight="1" x14ac:dyDescent="0.15">
      <c r="A746" s="5" t="s">
        <v>4464</v>
      </c>
      <c r="B746" s="5">
        <v>2018</v>
      </c>
      <c r="C746" s="5" t="s">
        <v>4465</v>
      </c>
      <c r="D746" s="5" t="s">
        <v>212</v>
      </c>
      <c r="E746" s="5" t="s">
        <v>18453</v>
      </c>
      <c r="F746" s="5" t="s">
        <v>4468</v>
      </c>
      <c r="G746" s="5"/>
      <c r="H746" s="5"/>
      <c r="I746" s="5"/>
      <c r="J746" s="5"/>
      <c r="K746" s="5"/>
      <c r="L746" s="5"/>
      <c r="M746" s="5"/>
      <c r="N746" s="5"/>
      <c r="O746" s="5"/>
      <c r="P746" s="5"/>
      <c r="Q746" s="5"/>
      <c r="AL746" s="7" t="str">
        <f>HYPERLINK("http://dx.doi.org/10.1007/s00300-017-2182-4","http://dx.doi.org/10.1007/s00300-017-2182-4")</f>
        <v>http://dx.doi.org/10.1007/s00300-017-2182-4</v>
      </c>
      <c r="AM746" s="5">
        <v>12</v>
      </c>
      <c r="AN746" s="5">
        <v>12</v>
      </c>
      <c r="AO746" s="5">
        <v>41</v>
      </c>
      <c r="AP746" s="5">
        <v>2</v>
      </c>
      <c r="AQ746" s="5">
        <v>207</v>
      </c>
      <c r="AR746" s="5">
        <v>224</v>
      </c>
      <c r="AS746" s="5" t="s">
        <v>16</v>
      </c>
      <c r="AT746" s="5" t="s">
        <v>4466</v>
      </c>
      <c r="AU746" s="5" t="s">
        <v>4467</v>
      </c>
      <c r="AV746" s="5" t="s">
        <v>4469</v>
      </c>
    </row>
    <row r="747" spans="1:48" ht="45" customHeight="1" x14ac:dyDescent="0.15">
      <c r="A747" s="5" t="s">
        <v>4470</v>
      </c>
      <c r="B747" s="5">
        <v>2010</v>
      </c>
      <c r="C747" s="5" t="s">
        <v>4471</v>
      </c>
      <c r="D747" s="5" t="s">
        <v>172</v>
      </c>
      <c r="E747" s="5" t="s">
        <v>18453</v>
      </c>
      <c r="F747" s="5" t="s">
        <v>4474</v>
      </c>
      <c r="G747" s="5"/>
      <c r="H747" s="5"/>
      <c r="I747" s="5"/>
      <c r="J747" s="5"/>
      <c r="K747" s="5"/>
      <c r="L747" s="5"/>
      <c r="M747" s="5"/>
      <c r="N747" s="5"/>
      <c r="O747" s="5"/>
      <c r="P747" s="5"/>
      <c r="Q747" s="5"/>
      <c r="AL747" s="7" t="str">
        <f>HYPERLINK("http://dx.doi.org/10.1007/s00442-009-1455-1","http://dx.doi.org/10.1007/s00442-009-1455-1")</f>
        <v>http://dx.doi.org/10.1007/s00442-009-1455-1</v>
      </c>
      <c r="AM747" s="5">
        <v>58</v>
      </c>
      <c r="AN747" s="5">
        <v>75</v>
      </c>
      <c r="AO747" s="5">
        <v>162</v>
      </c>
      <c r="AP747" s="5">
        <v>2</v>
      </c>
      <c r="AQ747" s="5">
        <v>283</v>
      </c>
      <c r="AR747" s="5">
        <v>292</v>
      </c>
      <c r="AS747" s="5" t="s">
        <v>16</v>
      </c>
      <c r="AT747" s="5" t="s">
        <v>4472</v>
      </c>
      <c r="AU747" s="5" t="s">
        <v>4473</v>
      </c>
      <c r="AV747" s="5" t="s">
        <v>4475</v>
      </c>
    </row>
    <row r="748" spans="1:48" ht="45" customHeight="1" x14ac:dyDescent="0.15">
      <c r="A748" s="5" t="s">
        <v>4476</v>
      </c>
      <c r="B748" s="5">
        <v>2018</v>
      </c>
      <c r="C748" s="5" t="s">
        <v>4477</v>
      </c>
      <c r="D748" s="5" t="s">
        <v>3980</v>
      </c>
      <c r="E748" s="5" t="s">
        <v>18453</v>
      </c>
      <c r="F748" s="5" t="s">
        <v>4480</v>
      </c>
      <c r="G748" s="5"/>
      <c r="H748" s="5"/>
      <c r="I748" s="5"/>
      <c r="J748" s="5"/>
      <c r="K748" s="5"/>
      <c r="L748" s="5"/>
      <c r="M748" s="5"/>
      <c r="N748" s="5"/>
      <c r="O748" s="5"/>
      <c r="P748" s="5"/>
      <c r="Q748" s="5"/>
      <c r="AL748" s="7" t="str">
        <f>HYPERLINK("http://dx.doi.org/10.1111/btp.12612","http://dx.doi.org/10.1111/btp.12612")</f>
        <v>http://dx.doi.org/10.1111/btp.12612</v>
      </c>
      <c r="AM748" s="5">
        <v>10</v>
      </c>
      <c r="AN748" s="5">
        <v>10</v>
      </c>
      <c r="AO748" s="5">
        <v>50</v>
      </c>
      <c r="AP748" s="5">
        <v>6</v>
      </c>
      <c r="AQ748" s="5">
        <v>859</v>
      </c>
      <c r="AR748" s="5">
        <v>867</v>
      </c>
      <c r="AS748" s="5" t="s">
        <v>16</v>
      </c>
      <c r="AT748" s="5" t="s">
        <v>4478</v>
      </c>
      <c r="AU748" s="5" t="s">
        <v>4479</v>
      </c>
      <c r="AV748" s="5" t="s">
        <v>4481</v>
      </c>
    </row>
    <row r="749" spans="1:48" ht="45" customHeight="1" x14ac:dyDescent="0.15">
      <c r="A749" s="5" t="s">
        <v>4482</v>
      </c>
      <c r="B749" s="5">
        <v>2014</v>
      </c>
      <c r="C749" s="5" t="s">
        <v>4483</v>
      </c>
      <c r="D749" s="5" t="s">
        <v>116</v>
      </c>
      <c r="E749" s="5" t="s">
        <v>18453</v>
      </c>
      <c r="F749" s="5" t="s">
        <v>4486</v>
      </c>
      <c r="G749" s="5"/>
      <c r="H749" s="5"/>
      <c r="I749" s="5"/>
      <c r="J749" s="5"/>
      <c r="K749" s="5"/>
      <c r="L749" s="5"/>
      <c r="M749" s="5"/>
      <c r="N749" s="5"/>
      <c r="O749" s="5"/>
      <c r="P749" s="5"/>
      <c r="Q749" s="5"/>
      <c r="AL749" s="7" t="str">
        <f>HYPERLINK("http://dx.doi.org/10.1007/s10641-013-0156-0","http://dx.doi.org/10.1007/s10641-013-0156-0")</f>
        <v>http://dx.doi.org/10.1007/s10641-013-0156-0</v>
      </c>
      <c r="AM749" s="5">
        <v>26</v>
      </c>
      <c r="AN749" s="5">
        <v>28</v>
      </c>
      <c r="AO749" s="5">
        <v>97</v>
      </c>
      <c r="AP749" s="5">
        <v>4</v>
      </c>
      <c r="AQ749" s="5">
        <v>343</v>
      </c>
      <c r="AR749" s="5">
        <v>355</v>
      </c>
      <c r="AS749" s="5" t="s">
        <v>16</v>
      </c>
      <c r="AT749" s="5" t="s">
        <v>4484</v>
      </c>
      <c r="AU749" s="5" t="s">
        <v>4485</v>
      </c>
      <c r="AV749" s="5" t="s">
        <v>4487</v>
      </c>
    </row>
    <row r="750" spans="1:48" ht="45" customHeight="1" x14ac:dyDescent="0.15">
      <c r="A750" s="5" t="s">
        <v>4488</v>
      </c>
      <c r="B750" s="5">
        <v>2022</v>
      </c>
      <c r="C750" s="5" t="s">
        <v>4489</v>
      </c>
      <c r="D750" s="5" t="s">
        <v>15</v>
      </c>
      <c r="E750" s="5" t="s">
        <v>18453</v>
      </c>
      <c r="F750" s="5" t="s">
        <v>4492</v>
      </c>
      <c r="G750" s="5"/>
      <c r="H750" s="5"/>
      <c r="I750" s="5"/>
      <c r="J750" s="5"/>
      <c r="K750" s="5"/>
      <c r="L750" s="5"/>
      <c r="M750" s="5"/>
      <c r="N750" s="5"/>
      <c r="O750" s="5"/>
      <c r="P750" s="5"/>
      <c r="Q750" s="5"/>
      <c r="AL750" s="7" t="str">
        <f>HYPERLINK("http://dx.doi.org/10.1002/ece3.9074","http://dx.doi.org/10.1002/ece3.9074")</f>
        <v>http://dx.doi.org/10.1002/ece3.9074</v>
      </c>
      <c r="AM750" s="5">
        <v>2</v>
      </c>
      <c r="AN750" s="5">
        <v>2</v>
      </c>
      <c r="AO750" s="5">
        <v>12</v>
      </c>
      <c r="AP750" s="5">
        <v>7</v>
      </c>
      <c r="AQ750" s="5" t="s">
        <v>16</v>
      </c>
      <c r="AR750" s="5" t="s">
        <v>16</v>
      </c>
      <c r="AS750" s="5" t="s">
        <v>4493</v>
      </c>
      <c r="AT750" s="5" t="s">
        <v>4490</v>
      </c>
      <c r="AU750" s="5" t="s">
        <v>4491</v>
      </c>
      <c r="AV750" s="5" t="s">
        <v>4494</v>
      </c>
    </row>
    <row r="751" spans="1:48" ht="45" customHeight="1" x14ac:dyDescent="0.15">
      <c r="A751" s="5" t="s">
        <v>4495</v>
      </c>
      <c r="B751" s="5">
        <v>2020</v>
      </c>
      <c r="C751" s="5" t="s">
        <v>4496</v>
      </c>
      <c r="D751" s="5" t="s">
        <v>782</v>
      </c>
      <c r="E751" s="5" t="s">
        <v>18453</v>
      </c>
      <c r="F751" s="5" t="s">
        <v>4499</v>
      </c>
      <c r="G751" s="5"/>
      <c r="H751" s="5"/>
      <c r="I751" s="5"/>
      <c r="J751" s="5"/>
      <c r="K751" s="5"/>
      <c r="L751" s="5"/>
      <c r="M751" s="5"/>
      <c r="N751" s="5"/>
      <c r="O751" s="5"/>
      <c r="P751" s="5"/>
      <c r="Q751" s="5"/>
      <c r="AL751" s="7" t="str">
        <f>HYPERLINK("http://dx.doi.org/10.1093/jpe/rtaa017","http://dx.doi.org/10.1093/jpe/rtaa017")</f>
        <v>http://dx.doi.org/10.1093/jpe/rtaa017</v>
      </c>
      <c r="AM751" s="5">
        <v>14</v>
      </c>
      <c r="AN751" s="5">
        <v>14</v>
      </c>
      <c r="AO751" s="5">
        <v>13</v>
      </c>
      <c r="AP751" s="5">
        <v>4</v>
      </c>
      <c r="AQ751" s="5">
        <v>389</v>
      </c>
      <c r="AR751" s="5">
        <v>397</v>
      </c>
      <c r="AS751" s="5" t="s">
        <v>16</v>
      </c>
      <c r="AT751" s="5" t="s">
        <v>4497</v>
      </c>
      <c r="AU751" s="5" t="s">
        <v>4498</v>
      </c>
      <c r="AV751" s="5" t="s">
        <v>4500</v>
      </c>
    </row>
    <row r="752" spans="1:48" ht="45" customHeight="1" x14ac:dyDescent="0.15">
      <c r="A752" s="5" t="s">
        <v>4501</v>
      </c>
      <c r="B752" s="5">
        <v>2000</v>
      </c>
      <c r="C752" s="5" t="s">
        <v>4502</v>
      </c>
      <c r="D752" s="5" t="s">
        <v>172</v>
      </c>
      <c r="E752" s="5" t="s">
        <v>18453</v>
      </c>
      <c r="F752" s="5" t="s">
        <v>4505</v>
      </c>
      <c r="G752" s="5"/>
      <c r="H752" s="5"/>
      <c r="I752" s="5"/>
      <c r="J752" s="5"/>
      <c r="K752" s="5"/>
      <c r="L752" s="5"/>
      <c r="M752" s="5"/>
      <c r="N752" s="5"/>
      <c r="O752" s="5"/>
      <c r="P752" s="5"/>
      <c r="Q752" s="5"/>
      <c r="AL752" s="7" t="str">
        <f>HYPERLINK("http://dx.doi.org/10.1007/PL00008863","http://dx.doi.org/10.1007/PL00008863")</f>
        <v>http://dx.doi.org/10.1007/PL00008863</v>
      </c>
      <c r="AM752" s="5">
        <v>103</v>
      </c>
      <c r="AN752" s="5">
        <v>106</v>
      </c>
      <c r="AO752" s="5">
        <v>123</v>
      </c>
      <c r="AP752" s="5">
        <v>4</v>
      </c>
      <c r="AQ752" s="5">
        <v>582</v>
      </c>
      <c r="AR752" s="5">
        <v>586</v>
      </c>
      <c r="AS752" s="5" t="s">
        <v>16</v>
      </c>
      <c r="AT752" s="5" t="s">
        <v>4503</v>
      </c>
      <c r="AU752" s="5" t="s">
        <v>4504</v>
      </c>
      <c r="AV752" s="5" t="s">
        <v>4506</v>
      </c>
    </row>
    <row r="753" spans="1:48" ht="45" customHeight="1" x14ac:dyDescent="0.15">
      <c r="A753" s="5" t="s">
        <v>4507</v>
      </c>
      <c r="B753" s="5">
        <v>2017</v>
      </c>
      <c r="C753" s="5" t="s">
        <v>4508</v>
      </c>
      <c r="D753" s="5" t="s">
        <v>251</v>
      </c>
      <c r="E753" s="5" t="s">
        <v>18453</v>
      </c>
      <c r="F753" s="5" t="s">
        <v>4511</v>
      </c>
      <c r="G753" s="5"/>
      <c r="H753" s="5"/>
      <c r="I753" s="5"/>
      <c r="J753" s="5"/>
      <c r="K753" s="5"/>
      <c r="L753" s="5"/>
      <c r="M753" s="5"/>
      <c r="N753" s="5"/>
      <c r="O753" s="5"/>
      <c r="P753" s="5"/>
      <c r="Q753" s="5"/>
      <c r="AL753" s="7" t="str">
        <f>HYPERLINK("http://dx.doi.org/10.1016/j.biocon.2016.12.013","http://dx.doi.org/10.1016/j.biocon.2016.12.013")</f>
        <v>http://dx.doi.org/10.1016/j.biocon.2016.12.013</v>
      </c>
      <c r="AM753" s="5">
        <v>27</v>
      </c>
      <c r="AN753" s="5">
        <v>28</v>
      </c>
      <c r="AO753" s="5">
        <v>206</v>
      </c>
      <c r="AP753" s="5" t="s">
        <v>16</v>
      </c>
      <c r="AQ753" s="5">
        <v>31</v>
      </c>
      <c r="AR753" s="5">
        <v>36</v>
      </c>
      <c r="AS753" s="5" t="s">
        <v>16</v>
      </c>
      <c r="AT753" s="5" t="s">
        <v>4509</v>
      </c>
      <c r="AU753" s="5" t="s">
        <v>4510</v>
      </c>
      <c r="AV753" s="5" t="s">
        <v>4512</v>
      </c>
    </row>
    <row r="754" spans="1:48" ht="45" customHeight="1" x14ac:dyDescent="0.15">
      <c r="A754" s="5" t="s">
        <v>4513</v>
      </c>
      <c r="B754" s="5">
        <v>2015</v>
      </c>
      <c r="C754" s="5" t="s">
        <v>4514</v>
      </c>
      <c r="D754" s="5" t="s">
        <v>212</v>
      </c>
      <c r="E754" s="5" t="s">
        <v>18453</v>
      </c>
      <c r="F754" s="5" t="s">
        <v>4517</v>
      </c>
      <c r="G754" s="5"/>
      <c r="H754" s="5"/>
      <c r="I754" s="5"/>
      <c r="J754" s="5"/>
      <c r="K754" s="5"/>
      <c r="L754" s="5"/>
      <c r="M754" s="5"/>
      <c r="N754" s="5"/>
      <c r="O754" s="5"/>
      <c r="P754" s="5"/>
      <c r="Q754" s="5"/>
      <c r="AL754" s="7" t="str">
        <f>HYPERLINK("http://dx.doi.org/10.1007/s00300-015-1665-4","http://dx.doi.org/10.1007/s00300-015-1665-4")</f>
        <v>http://dx.doi.org/10.1007/s00300-015-1665-4</v>
      </c>
      <c r="AM754" s="5">
        <v>49</v>
      </c>
      <c r="AN754" s="5">
        <v>50</v>
      </c>
      <c r="AO754" s="5">
        <v>38</v>
      </c>
      <c r="AP754" s="5">
        <v>7</v>
      </c>
      <c r="AQ754" s="5">
        <v>1035</v>
      </c>
      <c r="AR754" s="5">
        <v>1047</v>
      </c>
      <c r="AS754" s="5" t="s">
        <v>16</v>
      </c>
      <c r="AT754" s="5" t="s">
        <v>4515</v>
      </c>
      <c r="AU754" s="5" t="s">
        <v>4516</v>
      </c>
      <c r="AV754" s="5" t="s">
        <v>4518</v>
      </c>
    </row>
    <row r="755" spans="1:48" ht="45" customHeight="1" x14ac:dyDescent="0.15">
      <c r="A755" s="5" t="s">
        <v>4519</v>
      </c>
      <c r="B755" s="5">
        <v>2017</v>
      </c>
      <c r="C755" s="5" t="s">
        <v>4520</v>
      </c>
      <c r="D755" s="5" t="s">
        <v>172</v>
      </c>
      <c r="E755" s="5" t="s">
        <v>18453</v>
      </c>
      <c r="F755" s="5" t="s">
        <v>4523</v>
      </c>
      <c r="G755" s="5"/>
      <c r="H755" s="5"/>
      <c r="I755" s="5"/>
      <c r="J755" s="5"/>
      <c r="K755" s="5"/>
      <c r="L755" s="5"/>
      <c r="M755" s="5"/>
      <c r="N755" s="5"/>
      <c r="O755" s="5"/>
      <c r="P755" s="5"/>
      <c r="Q755" s="5"/>
      <c r="AL755" s="7" t="str">
        <f>HYPERLINK("http://dx.doi.org/10.1007/s00442-017-3883-7","http://dx.doi.org/10.1007/s00442-017-3883-7")</f>
        <v>http://dx.doi.org/10.1007/s00442-017-3883-7</v>
      </c>
      <c r="AM755" s="5">
        <v>7</v>
      </c>
      <c r="AN755" s="5">
        <v>7</v>
      </c>
      <c r="AO755" s="5">
        <v>184</v>
      </c>
      <c r="AP755" s="5">
        <v>2</v>
      </c>
      <c r="AQ755" s="5">
        <v>385</v>
      </c>
      <c r="AR755" s="5">
        <v>398</v>
      </c>
      <c r="AS755" s="5" t="s">
        <v>16</v>
      </c>
      <c r="AT755" s="5" t="s">
        <v>4521</v>
      </c>
      <c r="AU755" s="5" t="s">
        <v>4522</v>
      </c>
      <c r="AV755" s="5" t="s">
        <v>4524</v>
      </c>
    </row>
    <row r="756" spans="1:48" ht="45" customHeight="1" x14ac:dyDescent="0.15">
      <c r="A756" s="5" t="s">
        <v>4525</v>
      </c>
      <c r="B756" s="5">
        <v>2020</v>
      </c>
      <c r="C756" s="5" t="s">
        <v>4526</v>
      </c>
      <c r="D756" s="5" t="s">
        <v>1765</v>
      </c>
      <c r="E756" s="5" t="s">
        <v>18453</v>
      </c>
      <c r="F756" s="5" t="s">
        <v>4529</v>
      </c>
      <c r="G756" s="5"/>
      <c r="H756" s="5"/>
      <c r="I756" s="5"/>
      <c r="J756" s="5"/>
      <c r="K756" s="5"/>
      <c r="L756" s="5"/>
      <c r="M756" s="5"/>
      <c r="N756" s="5"/>
      <c r="O756" s="5"/>
      <c r="P756" s="5"/>
      <c r="Q756" s="5"/>
      <c r="AL756" s="7" t="str">
        <f>HYPERLINK("http://dx.doi.org/10.1016/j.agee.2020.107077","http://dx.doi.org/10.1016/j.agee.2020.107077")</f>
        <v>http://dx.doi.org/10.1016/j.agee.2020.107077</v>
      </c>
      <c r="AM756" s="5">
        <v>16</v>
      </c>
      <c r="AN756" s="5">
        <v>18</v>
      </c>
      <c r="AO756" s="5">
        <v>302</v>
      </c>
      <c r="AP756" s="5" t="s">
        <v>16</v>
      </c>
      <c r="AQ756" s="5" t="s">
        <v>16</v>
      </c>
      <c r="AR756" s="5" t="s">
        <v>16</v>
      </c>
      <c r="AS756" s="5">
        <v>107077</v>
      </c>
      <c r="AT756" s="5" t="s">
        <v>4527</v>
      </c>
      <c r="AU756" s="5" t="s">
        <v>4528</v>
      </c>
      <c r="AV756" s="5" t="s">
        <v>4530</v>
      </c>
    </row>
    <row r="757" spans="1:48" ht="45" customHeight="1" x14ac:dyDescent="0.15">
      <c r="A757" s="5" t="s">
        <v>4531</v>
      </c>
      <c r="B757" s="5">
        <v>2019</v>
      </c>
      <c r="C757" s="5" t="s">
        <v>4532</v>
      </c>
      <c r="D757" s="5" t="s">
        <v>172</v>
      </c>
      <c r="E757" s="5" t="s">
        <v>18453</v>
      </c>
      <c r="F757" s="5" t="s">
        <v>4535</v>
      </c>
      <c r="G757" s="5"/>
      <c r="H757" s="5"/>
      <c r="I757" s="5"/>
      <c r="J757" s="5"/>
      <c r="K757" s="5"/>
      <c r="L757" s="5"/>
      <c r="M757" s="5"/>
      <c r="N757" s="5"/>
      <c r="O757" s="5"/>
      <c r="P757" s="5"/>
      <c r="Q757" s="5"/>
      <c r="AL757" s="7" t="str">
        <f>HYPERLINK("http://dx.doi.org/10.1007/s00442-019-04490-1","http://dx.doi.org/10.1007/s00442-019-04490-1")</f>
        <v>http://dx.doi.org/10.1007/s00442-019-04490-1</v>
      </c>
      <c r="AM757" s="5">
        <v>13</v>
      </c>
      <c r="AN757" s="5">
        <v>15</v>
      </c>
      <c r="AO757" s="5">
        <v>191</v>
      </c>
      <c r="AP757" s="5">
        <v>2</v>
      </c>
      <c r="AQ757" s="5">
        <v>389</v>
      </c>
      <c r="AR757" s="5">
        <v>396</v>
      </c>
      <c r="AS757" s="5" t="s">
        <v>16</v>
      </c>
      <c r="AT757" s="5" t="s">
        <v>4533</v>
      </c>
      <c r="AU757" s="5" t="s">
        <v>4534</v>
      </c>
      <c r="AV757" s="5" t="s">
        <v>4536</v>
      </c>
    </row>
    <row r="758" spans="1:48" ht="45" customHeight="1" x14ac:dyDescent="0.15">
      <c r="A758" s="5" t="s">
        <v>4537</v>
      </c>
      <c r="B758" s="5">
        <v>2016</v>
      </c>
      <c r="C758" s="5" t="s">
        <v>4538</v>
      </c>
      <c r="D758" s="5" t="s">
        <v>15</v>
      </c>
      <c r="E758" s="5" t="s">
        <v>18453</v>
      </c>
      <c r="F758" s="5" t="s">
        <v>4541</v>
      </c>
      <c r="G758" s="5"/>
      <c r="H758" s="5"/>
      <c r="I758" s="5"/>
      <c r="J758" s="5"/>
      <c r="K758" s="5"/>
      <c r="L758" s="5"/>
      <c r="M758" s="5"/>
      <c r="N758" s="5"/>
      <c r="O758" s="5"/>
      <c r="P758" s="5"/>
      <c r="Q758" s="5"/>
      <c r="AL758" s="7" t="str">
        <f>HYPERLINK("http://dx.doi.org/10.1002/ece3.2536","http://dx.doi.org/10.1002/ece3.2536")</f>
        <v>http://dx.doi.org/10.1002/ece3.2536</v>
      </c>
      <c r="AM758" s="5">
        <v>23</v>
      </c>
      <c r="AN758" s="5">
        <v>28</v>
      </c>
      <c r="AO758" s="5">
        <v>6</v>
      </c>
      <c r="AP758" s="5">
        <v>23</v>
      </c>
      <c r="AQ758" s="5">
        <v>8431</v>
      </c>
      <c r="AR758" s="5">
        <v>8439</v>
      </c>
      <c r="AS758" s="5" t="s">
        <v>16</v>
      </c>
      <c r="AT758" s="5" t="s">
        <v>4539</v>
      </c>
      <c r="AU758" s="5" t="s">
        <v>4540</v>
      </c>
      <c r="AV758" s="5" t="s">
        <v>4542</v>
      </c>
    </row>
    <row r="759" spans="1:48" ht="45" customHeight="1" x14ac:dyDescent="0.15">
      <c r="A759" s="5" t="s">
        <v>4543</v>
      </c>
      <c r="B759" s="5">
        <v>2005</v>
      </c>
      <c r="C759" s="5" t="s">
        <v>4544</v>
      </c>
      <c r="D759" s="5" t="s">
        <v>33</v>
      </c>
      <c r="E759" s="5" t="s">
        <v>18453</v>
      </c>
      <c r="F759" s="5" t="s">
        <v>4546</v>
      </c>
      <c r="G759" s="5"/>
      <c r="H759" s="5"/>
      <c r="I759" s="5"/>
      <c r="J759" s="5"/>
      <c r="K759" s="5"/>
      <c r="L759" s="5"/>
      <c r="M759" s="5"/>
      <c r="N759" s="5"/>
      <c r="O759" s="5"/>
      <c r="P759" s="5"/>
      <c r="Q759" s="5"/>
      <c r="AL759" s="7" t="str">
        <f>HYPERLINK("http://dx.doi.org/10.1111/j.1365-2486.2005.00961.x","http://dx.doi.org/10.1111/j.1365-2486.2005.00961.x")</f>
        <v>http://dx.doi.org/10.1111/j.1365-2486.2005.00961.x</v>
      </c>
      <c r="AM759" s="5">
        <v>56</v>
      </c>
      <c r="AN759" s="5">
        <v>56</v>
      </c>
      <c r="AO759" s="5">
        <v>11</v>
      </c>
      <c r="AP759" s="5">
        <v>7</v>
      </c>
      <c r="AQ759" s="5">
        <v>997</v>
      </c>
      <c r="AR759" s="5">
        <v>1002</v>
      </c>
      <c r="AS759" s="5" t="s">
        <v>16</v>
      </c>
      <c r="AT759" s="5" t="s">
        <v>16</v>
      </c>
      <c r="AU759" s="5" t="s">
        <v>4545</v>
      </c>
      <c r="AV759" s="5" t="s">
        <v>4547</v>
      </c>
    </row>
    <row r="760" spans="1:48" ht="45" customHeight="1" x14ac:dyDescent="0.15">
      <c r="A760" s="5" t="s">
        <v>4548</v>
      </c>
      <c r="B760" s="5">
        <v>2018</v>
      </c>
      <c r="C760" s="5" t="s">
        <v>4549</v>
      </c>
      <c r="D760" s="5" t="s">
        <v>49</v>
      </c>
      <c r="E760" s="5" t="s">
        <v>18453</v>
      </c>
      <c r="F760" s="5" t="s">
        <v>4552</v>
      </c>
      <c r="G760" s="5"/>
      <c r="H760" s="5"/>
      <c r="I760" s="5"/>
      <c r="J760" s="5"/>
      <c r="K760" s="5"/>
      <c r="L760" s="5"/>
      <c r="M760" s="5"/>
      <c r="N760" s="5"/>
      <c r="O760" s="5"/>
      <c r="P760" s="5"/>
      <c r="Q760" s="5"/>
      <c r="AL760" s="7" t="str">
        <f>HYPERLINK("http://dx.doi.org/10.3354/meps12679","http://dx.doi.org/10.3354/meps12679")</f>
        <v>http://dx.doi.org/10.3354/meps12679</v>
      </c>
      <c r="AM760" s="5">
        <v>22</v>
      </c>
      <c r="AN760" s="5">
        <v>22</v>
      </c>
      <c r="AO760" s="5">
        <v>600</v>
      </c>
      <c r="AP760" s="5" t="s">
        <v>16</v>
      </c>
      <c r="AQ760" s="5">
        <v>193</v>
      </c>
      <c r="AR760" s="5">
        <v>206</v>
      </c>
      <c r="AS760" s="5" t="s">
        <v>16</v>
      </c>
      <c r="AT760" s="5" t="s">
        <v>4550</v>
      </c>
      <c r="AU760" s="5" t="s">
        <v>4551</v>
      </c>
      <c r="AV760" s="5" t="s">
        <v>4553</v>
      </c>
    </row>
    <row r="761" spans="1:48" ht="45" customHeight="1" x14ac:dyDescent="0.15">
      <c r="A761" s="5" t="s">
        <v>4554</v>
      </c>
      <c r="B761" s="5">
        <v>2017</v>
      </c>
      <c r="C761" s="5" t="s">
        <v>4555</v>
      </c>
      <c r="D761" s="5" t="s">
        <v>296</v>
      </c>
      <c r="E761" s="5" t="s">
        <v>18453</v>
      </c>
      <c r="F761" s="5" t="s">
        <v>4558</v>
      </c>
      <c r="G761" s="5"/>
      <c r="H761" s="5"/>
      <c r="I761" s="5"/>
      <c r="J761" s="5"/>
      <c r="K761" s="5"/>
      <c r="L761" s="5"/>
      <c r="M761" s="5"/>
      <c r="N761" s="5"/>
      <c r="O761" s="5"/>
      <c r="P761" s="5"/>
      <c r="Q761" s="5"/>
      <c r="AL761" s="7" t="str">
        <f>HYPERLINK("http://dx.doi.org/10.1098/rspb.2016.2436","http://dx.doi.org/10.1098/rspb.2016.2436")</f>
        <v>http://dx.doi.org/10.1098/rspb.2016.2436</v>
      </c>
      <c r="AM761" s="5">
        <v>23</v>
      </c>
      <c r="AN761" s="5">
        <v>23</v>
      </c>
      <c r="AO761" s="5">
        <v>284</v>
      </c>
      <c r="AP761" s="5">
        <v>1851</v>
      </c>
      <c r="AQ761" s="5" t="s">
        <v>16</v>
      </c>
      <c r="AR761" s="5" t="s">
        <v>16</v>
      </c>
      <c r="AS761" s="5">
        <v>20162436</v>
      </c>
      <c r="AT761" s="5" t="s">
        <v>4556</v>
      </c>
      <c r="AU761" s="5" t="s">
        <v>4557</v>
      </c>
      <c r="AV761" s="5" t="s">
        <v>4559</v>
      </c>
    </row>
    <row r="762" spans="1:48" ht="45" customHeight="1" x14ac:dyDescent="0.15">
      <c r="A762" s="5" t="s">
        <v>2735</v>
      </c>
      <c r="B762" s="5">
        <v>2015</v>
      </c>
      <c r="C762" s="5" t="s">
        <v>4560</v>
      </c>
      <c r="D762" s="5" t="s">
        <v>18</v>
      </c>
      <c r="E762" s="5" t="s">
        <v>18453</v>
      </c>
      <c r="F762" s="5" t="s">
        <v>4563</v>
      </c>
      <c r="G762" s="5"/>
      <c r="H762" s="5"/>
      <c r="I762" s="5"/>
      <c r="J762" s="5"/>
      <c r="K762" s="5"/>
      <c r="L762" s="5"/>
      <c r="M762" s="5"/>
      <c r="N762" s="5"/>
      <c r="O762" s="5"/>
      <c r="P762" s="5"/>
      <c r="Q762" s="5"/>
      <c r="AL762" s="7" t="str">
        <f>HYPERLINK("http://dx.doi.org/10.1890/ES15-00255.1","http://dx.doi.org/10.1890/ES15-00255.1")</f>
        <v>http://dx.doi.org/10.1890/ES15-00255.1</v>
      </c>
      <c r="AM762" s="5">
        <v>28</v>
      </c>
      <c r="AN762" s="5">
        <v>30</v>
      </c>
      <c r="AO762" s="5">
        <v>6</v>
      </c>
      <c r="AP762" s="5">
        <v>11</v>
      </c>
      <c r="AQ762" s="5" t="s">
        <v>16</v>
      </c>
      <c r="AR762" s="5" t="s">
        <v>16</v>
      </c>
      <c r="AS762" s="5">
        <v>244</v>
      </c>
      <c r="AT762" s="5" t="s">
        <v>4561</v>
      </c>
      <c r="AU762" s="5" t="s">
        <v>4562</v>
      </c>
      <c r="AV762" s="5" t="s">
        <v>4564</v>
      </c>
    </row>
    <row r="763" spans="1:48" ht="45" customHeight="1" x14ac:dyDescent="0.15">
      <c r="A763" s="5" t="s">
        <v>4565</v>
      </c>
      <c r="B763" s="5">
        <v>2009</v>
      </c>
      <c r="C763" s="5" t="s">
        <v>4566</v>
      </c>
      <c r="D763" s="5" t="s">
        <v>162</v>
      </c>
      <c r="E763" s="5" t="s">
        <v>18453</v>
      </c>
      <c r="F763" s="5" t="s">
        <v>4569</v>
      </c>
      <c r="G763" s="5"/>
      <c r="H763" s="5"/>
      <c r="I763" s="5"/>
      <c r="J763" s="5"/>
      <c r="K763" s="5"/>
      <c r="L763" s="5"/>
      <c r="M763" s="5"/>
      <c r="N763" s="5"/>
      <c r="O763" s="5"/>
      <c r="P763" s="5"/>
      <c r="Q763" s="5"/>
      <c r="AL763" s="7" t="str">
        <f>HYPERLINK("http://dx.doi.org/10.1111/j.1365-2435.2009.01589.x","http://dx.doi.org/10.1111/j.1365-2435.2009.01589.x")</f>
        <v>http://dx.doi.org/10.1111/j.1365-2435.2009.01589.x</v>
      </c>
      <c r="AM763" s="5">
        <v>126</v>
      </c>
      <c r="AN763" s="5">
        <v>129</v>
      </c>
      <c r="AO763" s="5">
        <v>23</v>
      </c>
      <c r="AP763" s="5">
        <v>6</v>
      </c>
      <c r="AQ763" s="5">
        <v>1122</v>
      </c>
      <c r="AR763" s="5">
        <v>1131</v>
      </c>
      <c r="AS763" s="5" t="s">
        <v>16</v>
      </c>
      <c r="AT763" s="5" t="s">
        <v>4567</v>
      </c>
      <c r="AU763" s="5" t="s">
        <v>4568</v>
      </c>
      <c r="AV763" s="5" t="s">
        <v>4570</v>
      </c>
    </row>
    <row r="764" spans="1:48" ht="45" customHeight="1" x14ac:dyDescent="0.15">
      <c r="A764" s="5" t="s">
        <v>4571</v>
      </c>
      <c r="B764" s="5">
        <v>2007</v>
      </c>
      <c r="C764" s="5" t="s">
        <v>4572</v>
      </c>
      <c r="D764" s="5" t="s">
        <v>49</v>
      </c>
      <c r="E764" s="5" t="s">
        <v>18453</v>
      </c>
      <c r="F764" s="5" t="s">
        <v>4575</v>
      </c>
      <c r="G764" s="5"/>
      <c r="H764" s="5"/>
      <c r="I764" s="5"/>
      <c r="J764" s="5"/>
      <c r="K764" s="5"/>
      <c r="L764" s="5"/>
      <c r="M764" s="5"/>
      <c r="N764" s="5"/>
      <c r="O764" s="5"/>
      <c r="P764" s="5"/>
      <c r="Q764" s="5"/>
      <c r="AL764" s="7" t="str">
        <f>HYPERLINK("http://dx.doi.org/10.3354/meps342303","http://dx.doi.org/10.3354/meps342303")</f>
        <v>http://dx.doi.org/10.3354/meps342303</v>
      </c>
      <c r="AM764" s="5">
        <v>21</v>
      </c>
      <c r="AN764" s="5">
        <v>21</v>
      </c>
      <c r="AO764" s="5">
        <v>342</v>
      </c>
      <c r="AP764" s="5" t="s">
        <v>16</v>
      </c>
      <c r="AQ764" s="5">
        <v>303</v>
      </c>
      <c r="AR764" s="5">
        <v>310</v>
      </c>
      <c r="AS764" s="5" t="s">
        <v>16</v>
      </c>
      <c r="AT764" s="5" t="s">
        <v>4573</v>
      </c>
      <c r="AU764" s="5" t="s">
        <v>4574</v>
      </c>
      <c r="AV764" s="5" t="s">
        <v>4576</v>
      </c>
    </row>
    <row r="765" spans="1:48" ht="45" customHeight="1" x14ac:dyDescent="0.15">
      <c r="A765" s="5" t="s">
        <v>4577</v>
      </c>
      <c r="B765" s="5">
        <v>2013</v>
      </c>
      <c r="C765" s="5" t="s">
        <v>4578</v>
      </c>
      <c r="D765" s="5" t="s">
        <v>251</v>
      </c>
      <c r="E765" s="5" t="s">
        <v>18453</v>
      </c>
      <c r="F765" s="5" t="s">
        <v>4581</v>
      </c>
      <c r="G765" s="5"/>
      <c r="H765" s="5"/>
      <c r="I765" s="5"/>
      <c r="J765" s="5"/>
      <c r="K765" s="5"/>
      <c r="L765" s="5"/>
      <c r="M765" s="5"/>
      <c r="N765" s="5"/>
      <c r="O765" s="5"/>
      <c r="P765" s="5"/>
      <c r="Q765" s="5"/>
      <c r="AL765" s="7" t="str">
        <f>HYPERLINK("http://dx.doi.org/10.1016/j.biocon.2013.04.018","http://dx.doi.org/10.1016/j.biocon.2013.04.018")</f>
        <v>http://dx.doi.org/10.1016/j.biocon.2013.04.018</v>
      </c>
      <c r="AM765" s="5">
        <v>120</v>
      </c>
      <c r="AN765" s="5">
        <v>132</v>
      </c>
      <c r="AO765" s="5">
        <v>163</v>
      </c>
      <c r="AP765" s="5" t="s">
        <v>16</v>
      </c>
      <c r="AQ765" s="5">
        <v>49</v>
      </c>
      <c r="AR765" s="5">
        <v>57</v>
      </c>
      <c r="AS765" s="5" t="s">
        <v>16</v>
      </c>
      <c r="AT765" s="5" t="s">
        <v>4579</v>
      </c>
      <c r="AU765" s="5" t="s">
        <v>4580</v>
      </c>
      <c r="AV765" s="5" t="s">
        <v>4582</v>
      </c>
    </row>
    <row r="766" spans="1:48" ht="45" customHeight="1" x14ac:dyDescent="0.15">
      <c r="A766" s="5" t="s">
        <v>4583</v>
      </c>
      <c r="B766" s="5">
        <v>2020</v>
      </c>
      <c r="C766" s="5" t="s">
        <v>4584</v>
      </c>
      <c r="D766" s="5" t="s">
        <v>212</v>
      </c>
      <c r="E766" s="5" t="s">
        <v>18453</v>
      </c>
      <c r="F766" s="5" t="s">
        <v>4587</v>
      </c>
      <c r="G766" s="5"/>
      <c r="H766" s="5"/>
      <c r="I766" s="5"/>
      <c r="J766" s="5"/>
      <c r="K766" s="5"/>
      <c r="L766" s="5"/>
      <c r="M766" s="5"/>
      <c r="N766" s="5"/>
      <c r="O766" s="5"/>
      <c r="P766" s="5"/>
      <c r="Q766" s="5"/>
      <c r="AL766" s="7" t="str">
        <f>HYPERLINK("http://dx.doi.org/10.1007/s00300-020-02707-1","http://dx.doi.org/10.1007/s00300-020-02707-1")</f>
        <v>http://dx.doi.org/10.1007/s00300-020-02707-1</v>
      </c>
      <c r="AM766" s="5">
        <v>3</v>
      </c>
      <c r="AN766" s="5">
        <v>3</v>
      </c>
      <c r="AO766" s="5">
        <v>43</v>
      </c>
      <c r="AP766" s="5">
        <v>9</v>
      </c>
      <c r="AQ766" s="5">
        <v>1273</v>
      </c>
      <c r="AR766" s="5">
        <v>1285</v>
      </c>
      <c r="AS766" s="5" t="s">
        <v>16</v>
      </c>
      <c r="AT766" s="5" t="s">
        <v>4585</v>
      </c>
      <c r="AU766" s="5" t="s">
        <v>4586</v>
      </c>
      <c r="AV766" s="5" t="s">
        <v>4588</v>
      </c>
    </row>
    <row r="767" spans="1:48" ht="45" customHeight="1" x14ac:dyDescent="0.15">
      <c r="A767" s="5" t="s">
        <v>4589</v>
      </c>
      <c r="B767" s="5">
        <v>2019</v>
      </c>
      <c r="C767" s="5" t="s">
        <v>4590</v>
      </c>
      <c r="D767" s="5" t="s">
        <v>295</v>
      </c>
      <c r="E767" s="5" t="s">
        <v>18453</v>
      </c>
      <c r="F767" s="5" t="s">
        <v>4593</v>
      </c>
      <c r="G767" s="5"/>
      <c r="H767" s="5"/>
      <c r="I767" s="5"/>
      <c r="J767" s="5"/>
      <c r="K767" s="5"/>
      <c r="L767" s="5"/>
      <c r="M767" s="5"/>
      <c r="N767" s="5"/>
      <c r="O767" s="5"/>
      <c r="P767" s="5"/>
      <c r="Q767" s="5"/>
      <c r="AL767" s="7" t="str">
        <f>HYPERLINK("http://dx.doi.org/10.1016/j.jembe.2018.11.005","http://dx.doi.org/10.1016/j.jembe.2018.11.005")</f>
        <v>http://dx.doi.org/10.1016/j.jembe.2018.11.005</v>
      </c>
      <c r="AM767" s="5">
        <v>14</v>
      </c>
      <c r="AN767" s="5">
        <v>14</v>
      </c>
      <c r="AO767" s="5">
        <v>511</v>
      </c>
      <c r="AP767" s="5" t="s">
        <v>16</v>
      </c>
      <c r="AQ767" s="5">
        <v>60</v>
      </c>
      <c r="AR767" s="5">
        <v>67</v>
      </c>
      <c r="AS767" s="5" t="s">
        <v>16</v>
      </c>
      <c r="AT767" s="5" t="s">
        <v>4591</v>
      </c>
      <c r="AU767" s="5" t="s">
        <v>4592</v>
      </c>
      <c r="AV767" s="5" t="s">
        <v>4594</v>
      </c>
    </row>
    <row r="768" spans="1:48" ht="45" customHeight="1" x14ac:dyDescent="0.15">
      <c r="A768" s="5" t="s">
        <v>4595</v>
      </c>
      <c r="B768" s="5">
        <v>2021</v>
      </c>
      <c r="C768" s="5" t="s">
        <v>4596</v>
      </c>
      <c r="D768" s="5" t="s">
        <v>172</v>
      </c>
      <c r="E768" s="5" t="s">
        <v>18453</v>
      </c>
      <c r="F768" s="5" t="s">
        <v>4599</v>
      </c>
      <c r="G768" s="5"/>
      <c r="H768" s="5"/>
      <c r="I768" s="5"/>
      <c r="J768" s="5"/>
      <c r="K768" s="5"/>
      <c r="L768" s="5"/>
      <c r="M768" s="5"/>
      <c r="N768" s="5"/>
      <c r="O768" s="5"/>
      <c r="P768" s="5"/>
      <c r="Q768" s="5"/>
      <c r="AL768" s="7" t="str">
        <f>HYPERLINK("http://dx.doi.org/10.1007/s00442-021-04908-9","http://dx.doi.org/10.1007/s00442-021-04908-9")</f>
        <v>http://dx.doi.org/10.1007/s00442-021-04908-9</v>
      </c>
      <c r="AM768" s="5">
        <v>9</v>
      </c>
      <c r="AN768" s="5">
        <v>9</v>
      </c>
      <c r="AO768" s="5">
        <v>196</v>
      </c>
      <c r="AP768" s="5">
        <v>1</v>
      </c>
      <c r="AQ768" s="5">
        <v>171</v>
      </c>
      <c r="AR768" s="5">
        <v>184</v>
      </c>
      <c r="AS768" s="5" t="s">
        <v>16</v>
      </c>
      <c r="AT768" s="5" t="s">
        <v>4597</v>
      </c>
      <c r="AU768" s="5" t="s">
        <v>4598</v>
      </c>
      <c r="AV768" s="5" t="s">
        <v>4600</v>
      </c>
    </row>
    <row r="769" spans="1:48" ht="45" customHeight="1" x14ac:dyDescent="0.15">
      <c r="A769" s="5" t="s">
        <v>4601</v>
      </c>
      <c r="B769" s="5">
        <v>2014</v>
      </c>
      <c r="C769" s="5" t="s">
        <v>4602</v>
      </c>
      <c r="D769" s="5" t="s">
        <v>1445</v>
      </c>
      <c r="E769" s="5" t="s">
        <v>18453</v>
      </c>
      <c r="F769" s="5" t="s">
        <v>4605</v>
      </c>
      <c r="G769" s="5"/>
      <c r="H769" s="5"/>
      <c r="I769" s="5"/>
      <c r="J769" s="5"/>
      <c r="K769" s="5"/>
      <c r="L769" s="5"/>
      <c r="M769" s="5"/>
      <c r="N769" s="5"/>
      <c r="O769" s="5"/>
      <c r="P769" s="5"/>
      <c r="Q769" s="5"/>
      <c r="AL769" s="7" t="str">
        <f>HYPERLINK("http://dx.doi.org/10.1080/02705060.2014.933450","http://dx.doi.org/10.1080/02705060.2014.933450")</f>
        <v>http://dx.doi.org/10.1080/02705060.2014.933450</v>
      </c>
      <c r="AM769" s="5">
        <v>7</v>
      </c>
      <c r="AN769" s="5">
        <v>7</v>
      </c>
      <c r="AO769" s="5">
        <v>29</v>
      </c>
      <c r="AP769" s="5">
        <v>4</v>
      </c>
      <c r="AQ769" s="5">
        <v>565</v>
      </c>
      <c r="AR769" s="5">
        <v>578</v>
      </c>
      <c r="AS769" s="5" t="s">
        <v>16</v>
      </c>
      <c r="AT769" s="5" t="s">
        <v>4603</v>
      </c>
      <c r="AU769" s="5" t="s">
        <v>4604</v>
      </c>
      <c r="AV769" s="5" t="s">
        <v>4606</v>
      </c>
    </row>
    <row r="770" spans="1:48" ht="45" customHeight="1" x14ac:dyDescent="0.15">
      <c r="A770" s="5" t="s">
        <v>4607</v>
      </c>
      <c r="B770" s="5">
        <v>2010</v>
      </c>
      <c r="C770" s="5" t="s">
        <v>4608</v>
      </c>
      <c r="D770" s="5" t="s">
        <v>57</v>
      </c>
      <c r="E770" s="5" t="s">
        <v>18453</v>
      </c>
      <c r="F770" s="5" t="s">
        <v>4611</v>
      </c>
      <c r="G770" s="5"/>
      <c r="H770" s="5"/>
      <c r="I770" s="5"/>
      <c r="J770" s="5"/>
      <c r="K770" s="5"/>
      <c r="L770" s="5"/>
      <c r="M770" s="5"/>
      <c r="N770" s="5"/>
      <c r="O770" s="5"/>
      <c r="P770" s="5"/>
      <c r="Q770" s="5"/>
      <c r="AL770" s="7" t="str">
        <f>HYPERLINK("http://dx.doi.org/10.1098/rsbl.2010.0124","http://dx.doi.org/10.1098/rsbl.2010.0124")</f>
        <v>http://dx.doi.org/10.1098/rsbl.2010.0124</v>
      </c>
      <c r="AM770" s="5">
        <v>177</v>
      </c>
      <c r="AN770" s="5">
        <v>179</v>
      </c>
      <c r="AO770" s="5">
        <v>6</v>
      </c>
      <c r="AP770" s="5">
        <v>5</v>
      </c>
      <c r="AQ770" s="5">
        <v>711</v>
      </c>
      <c r="AR770" s="5">
        <v>714</v>
      </c>
      <c r="AS770" s="5" t="s">
        <v>16</v>
      </c>
      <c r="AT770" s="5" t="s">
        <v>4609</v>
      </c>
      <c r="AU770" s="5" t="s">
        <v>4610</v>
      </c>
      <c r="AV770" s="5" t="s">
        <v>4612</v>
      </c>
    </row>
    <row r="771" spans="1:48" ht="45" customHeight="1" x14ac:dyDescent="0.15">
      <c r="A771" s="5" t="s">
        <v>4613</v>
      </c>
      <c r="B771" s="5">
        <v>2013</v>
      </c>
      <c r="C771" s="5" t="s">
        <v>4614</v>
      </c>
      <c r="D771" s="5" t="s">
        <v>172</v>
      </c>
      <c r="E771" s="5" t="s">
        <v>18453</v>
      </c>
      <c r="F771" s="5" t="s">
        <v>4617</v>
      </c>
      <c r="G771" s="5"/>
      <c r="H771" s="5"/>
      <c r="I771" s="5"/>
      <c r="J771" s="5"/>
      <c r="K771" s="5"/>
      <c r="L771" s="5"/>
      <c r="M771" s="5"/>
      <c r="N771" s="5"/>
      <c r="O771" s="5"/>
      <c r="P771" s="5"/>
      <c r="Q771" s="5"/>
      <c r="AL771" s="7" t="str">
        <f>HYPERLINK("http://dx.doi.org/10.1007/s00442-012-2422-9","http://dx.doi.org/10.1007/s00442-012-2422-9")</f>
        <v>http://dx.doi.org/10.1007/s00442-012-2422-9</v>
      </c>
      <c r="AM771" s="5">
        <v>21</v>
      </c>
      <c r="AN771" s="5">
        <v>22</v>
      </c>
      <c r="AO771" s="5">
        <v>171</v>
      </c>
      <c r="AP771" s="5">
        <v>2</v>
      </c>
      <c r="AQ771" s="5">
        <v>473</v>
      </c>
      <c r="AR771" s="5">
        <v>486</v>
      </c>
      <c r="AS771" s="5" t="s">
        <v>16</v>
      </c>
      <c r="AT771" s="5" t="s">
        <v>4615</v>
      </c>
      <c r="AU771" s="5" t="s">
        <v>4616</v>
      </c>
      <c r="AV771" s="5" t="s">
        <v>4618</v>
      </c>
    </row>
    <row r="772" spans="1:48" ht="45" customHeight="1" x14ac:dyDescent="0.15">
      <c r="A772" s="5" t="s">
        <v>4619</v>
      </c>
      <c r="B772" s="5">
        <v>2022</v>
      </c>
      <c r="C772" s="5" t="s">
        <v>4620</v>
      </c>
      <c r="D772" s="5" t="s">
        <v>15</v>
      </c>
      <c r="E772" s="5" t="s">
        <v>18453</v>
      </c>
      <c r="F772" s="5" t="s">
        <v>4623</v>
      </c>
      <c r="G772" s="5"/>
      <c r="H772" s="5"/>
      <c r="I772" s="5"/>
      <c r="J772" s="5"/>
      <c r="K772" s="5"/>
      <c r="L772" s="5"/>
      <c r="M772" s="5"/>
      <c r="N772" s="5"/>
      <c r="O772" s="5"/>
      <c r="P772" s="5"/>
      <c r="Q772" s="5"/>
      <c r="AL772" s="7" t="str">
        <f>HYPERLINK("http://dx.doi.org/10.1002/ece3.8634","http://dx.doi.org/10.1002/ece3.8634")</f>
        <v>http://dx.doi.org/10.1002/ece3.8634</v>
      </c>
      <c r="AM772" s="5">
        <v>5</v>
      </c>
      <c r="AN772" s="5">
        <v>5</v>
      </c>
      <c r="AO772" s="5">
        <v>12</v>
      </c>
      <c r="AP772" s="5">
        <v>3</v>
      </c>
      <c r="AQ772" s="5" t="s">
        <v>16</v>
      </c>
      <c r="AR772" s="5" t="s">
        <v>16</v>
      </c>
      <c r="AS772" s="5" t="s">
        <v>4624</v>
      </c>
      <c r="AT772" s="5" t="s">
        <v>4621</v>
      </c>
      <c r="AU772" s="5" t="s">
        <v>4622</v>
      </c>
      <c r="AV772" s="5" t="s">
        <v>4625</v>
      </c>
    </row>
    <row r="773" spans="1:48" ht="45" customHeight="1" x14ac:dyDescent="0.15">
      <c r="A773" s="5" t="s">
        <v>4626</v>
      </c>
      <c r="B773" s="5">
        <v>2021</v>
      </c>
      <c r="C773" s="5" t="s">
        <v>4627</v>
      </c>
      <c r="D773" s="5" t="s">
        <v>124</v>
      </c>
      <c r="E773" s="5" t="s">
        <v>18453</v>
      </c>
      <c r="F773" s="5" t="s">
        <v>4630</v>
      </c>
      <c r="G773" s="5"/>
      <c r="H773" s="5"/>
      <c r="I773" s="5"/>
      <c r="J773" s="5"/>
      <c r="K773" s="5"/>
      <c r="L773" s="5"/>
      <c r="M773" s="5"/>
      <c r="N773" s="5"/>
      <c r="O773" s="5"/>
      <c r="P773" s="5"/>
      <c r="Q773" s="5"/>
      <c r="AL773" s="7" t="str">
        <f>HYPERLINK("http://dx.doi.org/10.1086/716927","http://dx.doi.org/10.1086/716927")</f>
        <v>http://dx.doi.org/10.1086/716927</v>
      </c>
      <c r="AM773" s="5">
        <v>1</v>
      </c>
      <c r="AN773" s="5">
        <v>1</v>
      </c>
      <c r="AO773" s="5" t="s">
        <v>16</v>
      </c>
      <c r="AP773" s="5" t="s">
        <v>16</v>
      </c>
      <c r="AQ773" s="5" t="s">
        <v>16</v>
      </c>
      <c r="AR773" s="5" t="s">
        <v>16</v>
      </c>
      <c r="AS773" s="5" t="s">
        <v>16</v>
      </c>
      <c r="AT773" s="5" t="s">
        <v>4628</v>
      </c>
      <c r="AU773" s="5" t="s">
        <v>4629</v>
      </c>
      <c r="AV773" s="5" t="s">
        <v>4631</v>
      </c>
    </row>
    <row r="774" spans="1:48" ht="45" customHeight="1" x14ac:dyDescent="0.15">
      <c r="A774" s="5" t="s">
        <v>4632</v>
      </c>
      <c r="B774" s="5">
        <v>2021</v>
      </c>
      <c r="C774" s="5" t="s">
        <v>4633</v>
      </c>
      <c r="D774" s="5" t="s">
        <v>62</v>
      </c>
      <c r="E774" s="5" t="s">
        <v>18453</v>
      </c>
      <c r="F774" s="5" t="s">
        <v>4636</v>
      </c>
      <c r="G774" s="5"/>
      <c r="H774" s="5"/>
      <c r="I774" s="5"/>
      <c r="J774" s="5"/>
      <c r="K774" s="5"/>
      <c r="L774" s="5"/>
      <c r="M774" s="5"/>
      <c r="N774" s="5"/>
      <c r="O774" s="5"/>
      <c r="P774" s="5"/>
      <c r="Q774" s="5"/>
      <c r="AL774" s="7" t="str">
        <f>HYPERLINK("http://dx.doi.org/10.1007/s10021-020-00554-z","http://dx.doi.org/10.1007/s10021-020-00554-z")</f>
        <v>http://dx.doi.org/10.1007/s10021-020-00554-z</v>
      </c>
      <c r="AM774" s="5">
        <v>7</v>
      </c>
      <c r="AN774" s="5">
        <v>7</v>
      </c>
      <c r="AO774" s="5">
        <v>24</v>
      </c>
      <c r="AP774" s="5">
        <v>4</v>
      </c>
      <c r="AQ774" s="5">
        <v>840</v>
      </c>
      <c r="AR774" s="5">
        <v>854</v>
      </c>
      <c r="AS774" s="5" t="s">
        <v>16</v>
      </c>
      <c r="AT774" s="5" t="s">
        <v>4634</v>
      </c>
      <c r="AU774" s="5" t="s">
        <v>4635</v>
      </c>
      <c r="AV774" s="5" t="s">
        <v>4637</v>
      </c>
    </row>
    <row r="775" spans="1:48" ht="45" customHeight="1" x14ac:dyDescent="0.15">
      <c r="A775" s="5" t="s">
        <v>4638</v>
      </c>
      <c r="B775" s="5">
        <v>2016</v>
      </c>
      <c r="C775" s="5" t="s">
        <v>4639</v>
      </c>
      <c r="D775" s="5" t="s">
        <v>17</v>
      </c>
      <c r="E775" s="5" t="s">
        <v>18453</v>
      </c>
      <c r="F775" s="5" t="s">
        <v>4642</v>
      </c>
      <c r="G775" s="5"/>
      <c r="H775" s="5"/>
      <c r="I775" s="5"/>
      <c r="J775" s="5"/>
      <c r="K775" s="5"/>
      <c r="L775" s="5"/>
      <c r="M775" s="5"/>
      <c r="N775" s="5"/>
      <c r="O775" s="5"/>
      <c r="P775" s="5"/>
      <c r="Q775" s="5"/>
      <c r="AL775" s="7" t="str">
        <f>HYPERLINK("http://dx.doi.org/10.1111/fwb.12733","http://dx.doi.org/10.1111/fwb.12733")</f>
        <v>http://dx.doi.org/10.1111/fwb.12733</v>
      </c>
      <c r="AM775" s="5">
        <v>10</v>
      </c>
      <c r="AN775" s="5">
        <v>10</v>
      </c>
      <c r="AO775" s="5">
        <v>61</v>
      </c>
      <c r="AP775" s="5">
        <v>12</v>
      </c>
      <c r="AQ775" s="5">
        <v>2051</v>
      </c>
      <c r="AR775" s="5">
        <v>2062</v>
      </c>
      <c r="AS775" s="5" t="s">
        <v>16</v>
      </c>
      <c r="AT775" s="5" t="s">
        <v>4640</v>
      </c>
      <c r="AU775" s="5" t="s">
        <v>4641</v>
      </c>
      <c r="AV775" s="5" t="s">
        <v>4643</v>
      </c>
    </row>
    <row r="776" spans="1:48" ht="45" customHeight="1" x14ac:dyDescent="0.15">
      <c r="A776" s="5" t="s">
        <v>4644</v>
      </c>
      <c r="B776" s="5">
        <v>2019</v>
      </c>
      <c r="C776" s="5" t="s">
        <v>4645</v>
      </c>
      <c r="D776" s="5" t="s">
        <v>27</v>
      </c>
      <c r="E776" s="5" t="s">
        <v>18453</v>
      </c>
      <c r="F776" s="5" t="s">
        <v>4648</v>
      </c>
      <c r="G776" s="5"/>
      <c r="H776" s="5"/>
      <c r="I776" s="5"/>
      <c r="J776" s="5"/>
      <c r="K776" s="5"/>
      <c r="L776" s="5"/>
      <c r="M776" s="5"/>
      <c r="N776" s="5"/>
      <c r="O776" s="5"/>
      <c r="P776" s="5"/>
      <c r="Q776" s="5"/>
      <c r="AL776" s="7" t="str">
        <f>HYPERLINK("http://dx.doi.org/10.1002/ecy.2675","http://dx.doi.org/10.1002/ecy.2675")</f>
        <v>http://dx.doi.org/10.1002/ecy.2675</v>
      </c>
      <c r="AM776" s="5">
        <v>13</v>
      </c>
      <c r="AN776" s="5">
        <v>14</v>
      </c>
      <c r="AO776" s="5">
        <v>100</v>
      </c>
      <c r="AP776" s="5">
        <v>5</v>
      </c>
      <c r="AQ776" s="5" t="s">
        <v>16</v>
      </c>
      <c r="AR776" s="5" t="s">
        <v>16</v>
      </c>
      <c r="AS776" s="5" t="s">
        <v>4649</v>
      </c>
      <c r="AT776" s="5" t="s">
        <v>4646</v>
      </c>
      <c r="AU776" s="5" t="s">
        <v>4647</v>
      </c>
      <c r="AV776" s="5" t="s">
        <v>4650</v>
      </c>
    </row>
    <row r="777" spans="1:48" ht="45" customHeight="1" x14ac:dyDescent="0.15">
      <c r="A777" s="5" t="s">
        <v>4651</v>
      </c>
      <c r="B777" s="5">
        <v>2019</v>
      </c>
      <c r="C777" s="5" t="s">
        <v>4652</v>
      </c>
      <c r="D777" s="5" t="s">
        <v>296</v>
      </c>
      <c r="E777" s="5" t="s">
        <v>18453</v>
      </c>
      <c r="F777" s="5" t="s">
        <v>4655</v>
      </c>
      <c r="G777" s="5"/>
      <c r="H777" s="5"/>
      <c r="I777" s="5"/>
      <c r="J777" s="5"/>
      <c r="K777" s="5"/>
      <c r="L777" s="5"/>
      <c r="M777" s="5"/>
      <c r="N777" s="5"/>
      <c r="O777" s="5"/>
      <c r="P777" s="5"/>
      <c r="Q777" s="5"/>
      <c r="AL777" s="7" t="str">
        <f>HYPERLINK("http://dx.doi.org/10.1098/rspb.2019.0369","http://dx.doi.org/10.1098/rspb.2019.0369")</f>
        <v>http://dx.doi.org/10.1098/rspb.2019.0369</v>
      </c>
      <c r="AM777" s="5">
        <v>61</v>
      </c>
      <c r="AN777" s="5">
        <v>62</v>
      </c>
      <c r="AO777" s="5">
        <v>286</v>
      </c>
      <c r="AP777" s="5">
        <v>1902</v>
      </c>
      <c r="AQ777" s="5" t="s">
        <v>16</v>
      </c>
      <c r="AR777" s="5" t="s">
        <v>16</v>
      </c>
      <c r="AS777" s="5">
        <v>20190369</v>
      </c>
      <c r="AT777" s="5" t="s">
        <v>4653</v>
      </c>
      <c r="AU777" s="5" t="s">
        <v>4654</v>
      </c>
      <c r="AV777" s="5" t="s">
        <v>4656</v>
      </c>
    </row>
    <row r="778" spans="1:48" ht="45" customHeight="1" x14ac:dyDescent="0.15">
      <c r="A778" s="5" t="s">
        <v>4657</v>
      </c>
      <c r="B778" s="5">
        <v>2015</v>
      </c>
      <c r="C778" s="5" t="s">
        <v>4658</v>
      </c>
      <c r="D778" s="5" t="s">
        <v>17</v>
      </c>
      <c r="E778" s="5" t="s">
        <v>18453</v>
      </c>
      <c r="F778" s="5" t="s">
        <v>4661</v>
      </c>
      <c r="G778" s="5"/>
      <c r="H778" s="5"/>
      <c r="I778" s="5"/>
      <c r="J778" s="5"/>
      <c r="K778" s="5"/>
      <c r="L778" s="5"/>
      <c r="M778" s="5"/>
      <c r="N778" s="5"/>
      <c r="O778" s="5"/>
      <c r="P778" s="5"/>
      <c r="Q778" s="5"/>
      <c r="AL778" s="7" t="str">
        <f>HYPERLINK("http://dx.doi.org/10.1111/fwb.12660","http://dx.doi.org/10.1111/fwb.12660")</f>
        <v>http://dx.doi.org/10.1111/fwb.12660</v>
      </c>
      <c r="AM778" s="5">
        <v>9</v>
      </c>
      <c r="AN778" s="5">
        <v>9</v>
      </c>
      <c r="AO778" s="5">
        <v>60</v>
      </c>
      <c r="AP778" s="5">
        <v>11</v>
      </c>
      <c r="AQ778" s="5">
        <v>2337</v>
      </c>
      <c r="AR778" s="5">
        <v>2348</v>
      </c>
      <c r="AS778" s="5" t="s">
        <v>16</v>
      </c>
      <c r="AT778" s="5" t="s">
        <v>4659</v>
      </c>
      <c r="AU778" s="5" t="s">
        <v>4660</v>
      </c>
      <c r="AV778" s="5" t="s">
        <v>4662</v>
      </c>
    </row>
    <row r="779" spans="1:48" ht="45" customHeight="1" x14ac:dyDescent="0.15">
      <c r="A779" s="5" t="s">
        <v>4663</v>
      </c>
      <c r="B779" s="5">
        <v>2010</v>
      </c>
      <c r="C779" s="5" t="s">
        <v>4664</v>
      </c>
      <c r="D779" s="5" t="s">
        <v>27</v>
      </c>
      <c r="E779" s="5" t="s">
        <v>18453</v>
      </c>
      <c r="F779" s="5" t="s">
        <v>4667</v>
      </c>
      <c r="G779" s="5"/>
      <c r="H779" s="5"/>
      <c r="I779" s="5"/>
      <c r="J779" s="5"/>
      <c r="K779" s="5"/>
      <c r="L779" s="5"/>
      <c r="M779" s="5"/>
      <c r="N779" s="5"/>
      <c r="O779" s="5"/>
      <c r="P779" s="5"/>
      <c r="Q779" s="5"/>
      <c r="AL779" s="7" t="str">
        <f>HYPERLINK("http://dx.doi.org/10.1890/09-2278.1","http://dx.doi.org/10.1890/09-2278.1")</f>
        <v>http://dx.doi.org/10.1890/09-2278.1</v>
      </c>
      <c r="AM779" s="5">
        <v>46</v>
      </c>
      <c r="AN779" s="5">
        <v>47</v>
      </c>
      <c r="AO779" s="5">
        <v>91</v>
      </c>
      <c r="AP779" s="5">
        <v>10</v>
      </c>
      <c r="AQ779" s="5">
        <v>2811</v>
      </c>
      <c r="AR779" s="5">
        <v>2818</v>
      </c>
      <c r="AS779" s="5" t="s">
        <v>16</v>
      </c>
      <c r="AT779" s="5" t="s">
        <v>4665</v>
      </c>
      <c r="AU779" s="5" t="s">
        <v>4666</v>
      </c>
      <c r="AV779" s="5" t="s">
        <v>4668</v>
      </c>
    </row>
    <row r="780" spans="1:48" ht="45" customHeight="1" x14ac:dyDescent="0.15">
      <c r="A780" s="5" t="s">
        <v>4669</v>
      </c>
      <c r="B780" s="5">
        <v>2017</v>
      </c>
      <c r="C780" s="5" t="s">
        <v>4670</v>
      </c>
      <c r="D780" s="5" t="s">
        <v>2761</v>
      </c>
      <c r="E780" s="5" t="s">
        <v>18453</v>
      </c>
      <c r="F780" s="5" t="s">
        <v>4673</v>
      </c>
      <c r="G780" s="5"/>
      <c r="H780" s="5"/>
      <c r="I780" s="5"/>
      <c r="J780" s="5"/>
      <c r="K780" s="5"/>
      <c r="L780" s="5"/>
      <c r="M780" s="5"/>
      <c r="N780" s="5"/>
      <c r="O780" s="5"/>
      <c r="P780" s="5"/>
      <c r="Q780" s="5"/>
      <c r="AL780" s="7" t="str">
        <f>HYPERLINK("http://dx.doi.org/10.1186/s12898-017-0125-0","http://dx.doi.org/10.1186/s12898-017-0125-0")</f>
        <v>http://dx.doi.org/10.1186/s12898-017-0125-0</v>
      </c>
      <c r="AM780" s="5">
        <v>16</v>
      </c>
      <c r="AN780" s="5">
        <v>19</v>
      </c>
      <c r="AO780" s="5">
        <v>17</v>
      </c>
      <c r="AP780" s="5" t="s">
        <v>16</v>
      </c>
      <c r="AQ780" s="5" t="s">
        <v>16</v>
      </c>
      <c r="AR780" s="5" t="s">
        <v>16</v>
      </c>
      <c r="AS780" s="5">
        <v>16</v>
      </c>
      <c r="AT780" s="5" t="s">
        <v>4671</v>
      </c>
      <c r="AU780" s="5" t="s">
        <v>4672</v>
      </c>
      <c r="AV780" s="5" t="s">
        <v>4674</v>
      </c>
    </row>
    <row r="781" spans="1:48" ht="45" customHeight="1" x14ac:dyDescent="0.15">
      <c r="A781" s="5" t="s">
        <v>4675</v>
      </c>
      <c r="B781" s="5">
        <v>2023</v>
      </c>
      <c r="C781" s="5" t="s">
        <v>4676</v>
      </c>
      <c r="D781" s="5" t="s">
        <v>116</v>
      </c>
      <c r="E781" s="5" t="s">
        <v>18453</v>
      </c>
      <c r="F781" s="5" t="s">
        <v>4679</v>
      </c>
      <c r="G781" s="5"/>
      <c r="H781" s="5"/>
      <c r="I781" s="5"/>
      <c r="J781" s="5"/>
      <c r="K781" s="5"/>
      <c r="L781" s="5"/>
      <c r="M781" s="5"/>
      <c r="N781" s="5"/>
      <c r="O781" s="5"/>
      <c r="P781" s="5"/>
      <c r="Q781" s="5"/>
      <c r="AL781" s="7" t="str">
        <f>HYPERLINK("http://dx.doi.org/10.1007/s10641-023-01404-2","http://dx.doi.org/10.1007/s10641-023-01404-2")</f>
        <v>http://dx.doi.org/10.1007/s10641-023-01404-2</v>
      </c>
      <c r="AM781" s="5">
        <v>0</v>
      </c>
      <c r="AN781" s="5">
        <v>0</v>
      </c>
      <c r="AO781" s="5">
        <v>106</v>
      </c>
      <c r="AP781" s="5">
        <v>4</v>
      </c>
      <c r="AQ781" s="5">
        <v>657</v>
      </c>
      <c r="AR781" s="5">
        <v>671</v>
      </c>
      <c r="AS781" s="5" t="s">
        <v>16</v>
      </c>
      <c r="AT781" s="5" t="s">
        <v>4677</v>
      </c>
      <c r="AU781" s="5" t="s">
        <v>4678</v>
      </c>
      <c r="AV781" s="5" t="s">
        <v>4680</v>
      </c>
    </row>
    <row r="782" spans="1:48" ht="45" customHeight="1" x14ac:dyDescent="0.15">
      <c r="A782" s="5" t="s">
        <v>4681</v>
      </c>
      <c r="B782" s="5">
        <v>2021</v>
      </c>
      <c r="C782" s="5" t="s">
        <v>4682</v>
      </c>
      <c r="D782" s="5" t="s">
        <v>49</v>
      </c>
      <c r="E782" s="5" t="s">
        <v>18453</v>
      </c>
      <c r="F782" s="5" t="s">
        <v>4685</v>
      </c>
      <c r="G782" s="5"/>
      <c r="H782" s="5"/>
      <c r="I782" s="5"/>
      <c r="J782" s="5"/>
      <c r="K782" s="5"/>
      <c r="L782" s="5"/>
      <c r="M782" s="5"/>
      <c r="N782" s="5"/>
      <c r="O782" s="5"/>
      <c r="P782" s="5"/>
      <c r="Q782" s="5"/>
      <c r="AL782" s="7" t="str">
        <f>HYPERLINK("http://dx.doi.org/10.3354/meps13738","http://dx.doi.org/10.3354/meps13738")</f>
        <v>http://dx.doi.org/10.3354/meps13738</v>
      </c>
      <c r="AM782" s="5">
        <v>2</v>
      </c>
      <c r="AN782" s="5">
        <v>2</v>
      </c>
      <c r="AO782" s="5">
        <v>668</v>
      </c>
      <c r="AP782" s="5" t="s">
        <v>16</v>
      </c>
      <c r="AQ782" s="5">
        <v>163</v>
      </c>
      <c r="AR782" s="5">
        <v>175</v>
      </c>
      <c r="AS782" s="5" t="s">
        <v>16</v>
      </c>
      <c r="AT782" s="5" t="s">
        <v>4683</v>
      </c>
      <c r="AU782" s="5" t="s">
        <v>4684</v>
      </c>
      <c r="AV782" s="5" t="s">
        <v>4686</v>
      </c>
    </row>
    <row r="783" spans="1:48" ht="45" customHeight="1" x14ac:dyDescent="0.15">
      <c r="A783" s="5" t="s">
        <v>4687</v>
      </c>
      <c r="B783" s="5">
        <v>2010</v>
      </c>
      <c r="C783" s="5" t="s">
        <v>4688</v>
      </c>
      <c r="D783" s="5" t="s">
        <v>49</v>
      </c>
      <c r="E783" s="5" t="s">
        <v>18453</v>
      </c>
      <c r="F783" s="5" t="s">
        <v>4691</v>
      </c>
      <c r="G783" s="5"/>
      <c r="H783" s="5"/>
      <c r="I783" s="5"/>
      <c r="J783" s="5"/>
      <c r="K783" s="5"/>
      <c r="L783" s="5"/>
      <c r="M783" s="5"/>
      <c r="N783" s="5"/>
      <c r="O783" s="5"/>
      <c r="P783" s="5"/>
      <c r="Q783" s="5"/>
      <c r="AL783" s="7" t="str">
        <f>HYPERLINK("http://dx.doi.org/10.3354/meps08649","http://dx.doi.org/10.3354/meps08649")</f>
        <v>http://dx.doi.org/10.3354/meps08649</v>
      </c>
      <c r="AM783" s="5">
        <v>30</v>
      </c>
      <c r="AN783" s="5">
        <v>30</v>
      </c>
      <c r="AO783" s="5">
        <v>410</v>
      </c>
      <c r="AP783" s="5" t="s">
        <v>16</v>
      </c>
      <c r="AQ783" s="5">
        <v>25</v>
      </c>
      <c r="AR783" s="5">
        <v>41</v>
      </c>
      <c r="AS783" s="5" t="s">
        <v>16</v>
      </c>
      <c r="AT783" s="5" t="s">
        <v>4689</v>
      </c>
      <c r="AU783" s="5" t="s">
        <v>4690</v>
      </c>
      <c r="AV783" s="5" t="s">
        <v>4692</v>
      </c>
    </row>
    <row r="784" spans="1:48" ht="45" customHeight="1" x14ac:dyDescent="0.15">
      <c r="A784" s="5" t="s">
        <v>4693</v>
      </c>
      <c r="B784" s="5">
        <v>2022</v>
      </c>
      <c r="C784" s="5" t="s">
        <v>4694</v>
      </c>
      <c r="D784" s="5" t="s">
        <v>2087</v>
      </c>
      <c r="E784" s="5" t="s">
        <v>18453</v>
      </c>
      <c r="F784" s="5" t="s">
        <v>4697</v>
      </c>
      <c r="G784" s="5"/>
      <c r="H784" s="5"/>
      <c r="I784" s="5"/>
      <c r="J784" s="5"/>
      <c r="K784" s="5"/>
      <c r="L784" s="5"/>
      <c r="M784" s="5"/>
      <c r="N784" s="5"/>
      <c r="O784" s="5"/>
      <c r="P784" s="5"/>
      <c r="Q784" s="5"/>
      <c r="AL784" s="7" t="str">
        <f>HYPERLINK("http://dx.doi.org/10.1002/eco.2372","http://dx.doi.org/10.1002/eco.2372")</f>
        <v>http://dx.doi.org/10.1002/eco.2372</v>
      </c>
      <c r="AM784" s="5">
        <v>4</v>
      </c>
      <c r="AN784" s="5">
        <v>4</v>
      </c>
      <c r="AO784" s="5">
        <v>15</v>
      </c>
      <c r="AP784" s="5">
        <v>2</v>
      </c>
      <c r="AQ784" s="5" t="s">
        <v>16</v>
      </c>
      <c r="AR784" s="5" t="s">
        <v>16</v>
      </c>
      <c r="AS784" s="5" t="s">
        <v>4698</v>
      </c>
      <c r="AT784" s="5" t="s">
        <v>4695</v>
      </c>
      <c r="AU784" s="5" t="s">
        <v>4696</v>
      </c>
      <c r="AV784" s="5" t="s">
        <v>4699</v>
      </c>
    </row>
    <row r="785" spans="1:48" ht="45" customHeight="1" x14ac:dyDescent="0.15">
      <c r="A785" s="5" t="s">
        <v>4700</v>
      </c>
      <c r="B785" s="5">
        <v>2018</v>
      </c>
      <c r="C785" s="5" t="s">
        <v>4701</v>
      </c>
      <c r="D785" s="5" t="s">
        <v>190</v>
      </c>
      <c r="E785" s="5" t="s">
        <v>18453</v>
      </c>
      <c r="F785" s="5" t="s">
        <v>4704</v>
      </c>
      <c r="G785" s="5"/>
      <c r="H785" s="5"/>
      <c r="I785" s="5"/>
      <c r="J785" s="5"/>
      <c r="K785" s="5"/>
      <c r="L785" s="5"/>
      <c r="M785" s="5"/>
      <c r="N785" s="5"/>
      <c r="O785" s="5"/>
      <c r="P785" s="5"/>
      <c r="Q785" s="5"/>
      <c r="AL785" s="7" t="str">
        <f>HYPERLINK("http://dx.doi.org/10.1007/s10530-018-1699-y","http://dx.doi.org/10.1007/s10530-018-1699-y")</f>
        <v>http://dx.doi.org/10.1007/s10530-018-1699-y</v>
      </c>
      <c r="AM785" s="5">
        <v>4</v>
      </c>
      <c r="AN785" s="5">
        <v>4</v>
      </c>
      <c r="AO785" s="5">
        <v>20</v>
      </c>
      <c r="AP785" s="5">
        <v>8</v>
      </c>
      <c r="AQ785" s="5">
        <v>2245</v>
      </c>
      <c r="AR785" s="5">
        <v>2256</v>
      </c>
      <c r="AS785" s="5" t="s">
        <v>16</v>
      </c>
      <c r="AT785" s="5" t="s">
        <v>4702</v>
      </c>
      <c r="AU785" s="5" t="s">
        <v>4703</v>
      </c>
      <c r="AV785" s="5" t="s">
        <v>4705</v>
      </c>
    </row>
    <row r="786" spans="1:48" ht="45" customHeight="1" x14ac:dyDescent="0.15">
      <c r="A786" s="5" t="s">
        <v>4706</v>
      </c>
      <c r="B786" s="5">
        <v>2021</v>
      </c>
      <c r="C786" s="5" t="s">
        <v>4707</v>
      </c>
      <c r="D786" s="5" t="s">
        <v>172</v>
      </c>
      <c r="E786" s="5" t="s">
        <v>18453</v>
      </c>
      <c r="F786" s="5" t="s">
        <v>4710</v>
      </c>
      <c r="G786" s="5"/>
      <c r="H786" s="5"/>
      <c r="I786" s="5"/>
      <c r="J786" s="5"/>
      <c r="K786" s="5"/>
      <c r="L786" s="5"/>
      <c r="M786" s="5"/>
      <c r="N786" s="5"/>
      <c r="O786" s="5"/>
      <c r="P786" s="5"/>
      <c r="Q786" s="5"/>
      <c r="AL786" s="7" t="str">
        <f>HYPERLINK("http://dx.doi.org/10.1007/s00442-021-04916-9","http://dx.doi.org/10.1007/s00442-021-04916-9")</f>
        <v>http://dx.doi.org/10.1007/s00442-021-04916-9</v>
      </c>
      <c r="AM786" s="5">
        <v>10</v>
      </c>
      <c r="AN786" s="5">
        <v>10</v>
      </c>
      <c r="AO786" s="5">
        <v>197</v>
      </c>
      <c r="AP786" s="5">
        <v>4</v>
      </c>
      <c r="AQ786" s="5">
        <v>1079</v>
      </c>
      <c r="AR786" s="5">
        <v>1094</v>
      </c>
      <c r="AS786" s="5" t="s">
        <v>16</v>
      </c>
      <c r="AT786" s="5" t="s">
        <v>4708</v>
      </c>
      <c r="AU786" s="5" t="s">
        <v>4709</v>
      </c>
      <c r="AV786" s="5" t="s">
        <v>4711</v>
      </c>
    </row>
    <row r="787" spans="1:48" ht="45" customHeight="1" x14ac:dyDescent="0.15">
      <c r="A787" s="5" t="s">
        <v>4712</v>
      </c>
      <c r="B787" s="5">
        <v>2017</v>
      </c>
      <c r="C787" s="5" t="s">
        <v>4713</v>
      </c>
      <c r="D787" s="5" t="s">
        <v>1134</v>
      </c>
      <c r="E787" s="5" t="s">
        <v>18453</v>
      </c>
      <c r="F787" s="5" t="s">
        <v>4716</v>
      </c>
      <c r="G787" s="5"/>
      <c r="H787" s="5"/>
      <c r="I787" s="5"/>
      <c r="J787" s="5"/>
      <c r="K787" s="5"/>
      <c r="L787" s="5"/>
      <c r="M787" s="5"/>
      <c r="N787" s="5"/>
      <c r="O787" s="5"/>
      <c r="P787" s="5"/>
      <c r="Q787" s="5"/>
      <c r="AL787" s="7" t="str">
        <f>HYPERLINK("http://dx.doi.org/10.1080/17451000.2016.1241412","http://dx.doi.org/10.1080/17451000.2016.1241412")</f>
        <v>http://dx.doi.org/10.1080/17451000.2016.1241412</v>
      </c>
      <c r="AM787" s="5">
        <v>27</v>
      </c>
      <c r="AN787" s="5">
        <v>28</v>
      </c>
      <c r="AO787" s="5">
        <v>13</v>
      </c>
      <c r="AP787" s="5">
        <v>2</v>
      </c>
      <c r="AQ787" s="5">
        <v>188</v>
      </c>
      <c r="AR787" s="5">
        <v>197</v>
      </c>
      <c r="AS787" s="5" t="s">
        <v>16</v>
      </c>
      <c r="AT787" s="5" t="s">
        <v>4714</v>
      </c>
      <c r="AU787" s="5" t="s">
        <v>4715</v>
      </c>
      <c r="AV787" s="5" t="s">
        <v>4717</v>
      </c>
    </row>
    <row r="788" spans="1:48" ht="45" customHeight="1" x14ac:dyDescent="0.15">
      <c r="A788" s="5" t="s">
        <v>4718</v>
      </c>
      <c r="B788" s="5">
        <v>2018</v>
      </c>
      <c r="C788" s="5" t="s">
        <v>4719</v>
      </c>
      <c r="D788" s="5" t="s">
        <v>49</v>
      </c>
      <c r="E788" s="5" t="s">
        <v>18453</v>
      </c>
      <c r="F788" s="5" t="s">
        <v>4722</v>
      </c>
      <c r="G788" s="5"/>
      <c r="H788" s="5"/>
      <c r="I788" s="5"/>
      <c r="J788" s="5"/>
      <c r="K788" s="5"/>
      <c r="L788" s="5"/>
      <c r="M788" s="5"/>
      <c r="N788" s="5"/>
      <c r="O788" s="5"/>
      <c r="P788" s="5"/>
      <c r="Q788" s="5"/>
      <c r="AL788" s="7" t="str">
        <f>HYPERLINK("http://dx.doi.org/10.3354/meps12460","http://dx.doi.org/10.3354/meps12460")</f>
        <v>http://dx.doi.org/10.3354/meps12460</v>
      </c>
      <c r="AM788" s="5">
        <v>3</v>
      </c>
      <c r="AN788" s="5">
        <v>3</v>
      </c>
      <c r="AO788" s="5">
        <v>588</v>
      </c>
      <c r="AP788" s="5" t="s">
        <v>16</v>
      </c>
      <c r="AQ788" s="5">
        <v>59</v>
      </c>
      <c r="AR788" s="5">
        <v>70</v>
      </c>
      <c r="AS788" s="5" t="s">
        <v>16</v>
      </c>
      <c r="AT788" s="5" t="s">
        <v>4720</v>
      </c>
      <c r="AU788" s="5" t="s">
        <v>4721</v>
      </c>
      <c r="AV788" s="5" t="s">
        <v>4723</v>
      </c>
    </row>
    <row r="789" spans="1:48" ht="45" customHeight="1" x14ac:dyDescent="0.15">
      <c r="A789" s="5" t="s">
        <v>4724</v>
      </c>
      <c r="B789" s="5">
        <v>2016</v>
      </c>
      <c r="C789" s="5" t="s">
        <v>4725</v>
      </c>
      <c r="D789" s="5" t="s">
        <v>242</v>
      </c>
      <c r="E789" s="5" t="s">
        <v>18453</v>
      </c>
      <c r="F789" s="5" t="s">
        <v>4728</v>
      </c>
      <c r="G789" s="5"/>
      <c r="H789" s="5"/>
      <c r="I789" s="5"/>
      <c r="J789" s="5"/>
      <c r="K789" s="5"/>
      <c r="L789" s="5"/>
      <c r="M789" s="5"/>
      <c r="N789" s="5"/>
      <c r="O789" s="5"/>
      <c r="P789" s="5"/>
      <c r="Q789" s="5"/>
      <c r="AL789" s="7" t="str">
        <f>HYPERLINK("http://dx.doi.org/10.1007/s10980-015-0309-y","http://dx.doi.org/10.1007/s10980-015-0309-y")</f>
        <v>http://dx.doi.org/10.1007/s10980-015-0309-y</v>
      </c>
      <c r="AM789" s="5">
        <v>13</v>
      </c>
      <c r="AN789" s="5">
        <v>14</v>
      </c>
      <c r="AO789" s="5">
        <v>31</v>
      </c>
      <c r="AP789" s="5">
        <v>5</v>
      </c>
      <c r="AQ789" s="5">
        <v>939</v>
      </c>
      <c r="AR789" s="5">
        <v>949</v>
      </c>
      <c r="AS789" s="5" t="s">
        <v>16</v>
      </c>
      <c r="AT789" s="5" t="s">
        <v>4726</v>
      </c>
      <c r="AU789" s="5" t="s">
        <v>4727</v>
      </c>
      <c r="AV789" s="5" t="s">
        <v>4729</v>
      </c>
    </row>
    <row r="790" spans="1:48" ht="45" customHeight="1" x14ac:dyDescent="0.15">
      <c r="A790" s="5" t="s">
        <v>4730</v>
      </c>
      <c r="B790" s="5">
        <v>2006</v>
      </c>
      <c r="C790" s="5" t="s">
        <v>4731</v>
      </c>
      <c r="D790" s="5" t="s">
        <v>33</v>
      </c>
      <c r="E790" s="5" t="s">
        <v>18453</v>
      </c>
      <c r="F790" s="5" t="s">
        <v>4734</v>
      </c>
      <c r="G790" s="5"/>
      <c r="H790" s="5"/>
      <c r="I790" s="5"/>
      <c r="J790" s="5"/>
      <c r="K790" s="5"/>
      <c r="L790" s="5"/>
      <c r="M790" s="5"/>
      <c r="N790" s="5"/>
      <c r="O790" s="5"/>
      <c r="P790" s="5"/>
      <c r="Q790" s="5"/>
      <c r="AL790" s="7" t="str">
        <f>HYPERLINK("http://dx.doi.org/10.1111/j.1365-2486.2006.01182.x","http://dx.doi.org/10.1111/j.1365-2486.2006.01182.x")</f>
        <v>http://dx.doi.org/10.1111/j.1365-2486.2006.01182.x</v>
      </c>
      <c r="AM790" s="5">
        <v>44</v>
      </c>
      <c r="AN790" s="5">
        <v>51</v>
      </c>
      <c r="AO790" s="5">
        <v>12</v>
      </c>
      <c r="AP790" s="5">
        <v>8</v>
      </c>
      <c r="AQ790" s="5">
        <v>1532</v>
      </c>
      <c r="AR790" s="5">
        <v>1544</v>
      </c>
      <c r="AS790" s="5" t="s">
        <v>16</v>
      </c>
      <c r="AT790" s="5" t="s">
        <v>4732</v>
      </c>
      <c r="AU790" s="5" t="s">
        <v>4733</v>
      </c>
      <c r="AV790" s="5" t="s">
        <v>4735</v>
      </c>
    </row>
    <row r="791" spans="1:48" ht="45" customHeight="1" x14ac:dyDescent="0.15">
      <c r="A791" s="5" t="s">
        <v>4736</v>
      </c>
      <c r="B791" s="5">
        <v>2021</v>
      </c>
      <c r="C791" s="5" t="s">
        <v>4737</v>
      </c>
      <c r="D791" s="5" t="s">
        <v>67</v>
      </c>
      <c r="E791" s="5" t="s">
        <v>18453</v>
      </c>
      <c r="F791" s="5" t="s">
        <v>4740</v>
      </c>
      <c r="G791" s="5"/>
      <c r="H791" s="5"/>
      <c r="I791" s="5"/>
      <c r="J791" s="5"/>
      <c r="K791" s="5"/>
      <c r="L791" s="5"/>
      <c r="M791" s="5"/>
      <c r="N791" s="5"/>
      <c r="O791" s="5"/>
      <c r="P791" s="5"/>
      <c r="Q791" s="5"/>
      <c r="AL791" s="7" t="str">
        <f>HYPERLINK("http://dx.doi.org/10.1111/jbi.14111","http://dx.doi.org/10.1111/jbi.14111")</f>
        <v>http://dx.doi.org/10.1111/jbi.14111</v>
      </c>
      <c r="AM791" s="5">
        <v>1</v>
      </c>
      <c r="AN791" s="5">
        <v>1</v>
      </c>
      <c r="AO791" s="5">
        <v>48</v>
      </c>
      <c r="AP791" s="5">
        <v>7</v>
      </c>
      <c r="AQ791" s="5">
        <v>1746</v>
      </c>
      <c r="AR791" s="5">
        <v>1757</v>
      </c>
      <c r="AS791" s="5" t="s">
        <v>16</v>
      </c>
      <c r="AT791" s="5" t="s">
        <v>4738</v>
      </c>
      <c r="AU791" s="5" t="s">
        <v>4739</v>
      </c>
      <c r="AV791" s="5" t="s">
        <v>4741</v>
      </c>
    </row>
    <row r="792" spans="1:48" ht="45" customHeight="1" x14ac:dyDescent="0.15">
      <c r="A792" s="5" t="s">
        <v>4742</v>
      </c>
      <c r="B792" s="5">
        <v>2020</v>
      </c>
      <c r="C792" s="5" t="s">
        <v>4743</v>
      </c>
      <c r="D792" s="5" t="s">
        <v>160</v>
      </c>
      <c r="E792" s="5" t="s">
        <v>18453</v>
      </c>
      <c r="F792" s="5" t="s">
        <v>4746</v>
      </c>
      <c r="G792" s="5"/>
      <c r="H792" s="5"/>
      <c r="I792" s="5"/>
      <c r="J792" s="5"/>
      <c r="K792" s="5"/>
      <c r="L792" s="5"/>
      <c r="M792" s="5"/>
      <c r="N792" s="5"/>
      <c r="O792" s="5"/>
      <c r="P792" s="5"/>
      <c r="Q792" s="5"/>
      <c r="AL792" s="7" t="str">
        <f>HYPERLINK("http://dx.doi.org/10.1111/1365-2664.13573","http://dx.doi.org/10.1111/1365-2664.13573")</f>
        <v>http://dx.doi.org/10.1111/1365-2664.13573</v>
      </c>
      <c r="AM792" s="5">
        <v>14</v>
      </c>
      <c r="AN792" s="5">
        <v>14</v>
      </c>
      <c r="AO792" s="5">
        <v>57</v>
      </c>
      <c r="AP792" s="5">
        <v>4</v>
      </c>
      <c r="AQ792" s="5">
        <v>717</v>
      </c>
      <c r="AR792" s="5">
        <v>728</v>
      </c>
      <c r="AS792" s="5" t="s">
        <v>16</v>
      </c>
      <c r="AT792" s="5" t="s">
        <v>4744</v>
      </c>
      <c r="AU792" s="5" t="s">
        <v>4745</v>
      </c>
      <c r="AV792" s="5" t="s">
        <v>4747</v>
      </c>
    </row>
    <row r="793" spans="1:48" ht="45" customHeight="1" x14ac:dyDescent="0.15">
      <c r="A793" s="5" t="s">
        <v>4748</v>
      </c>
      <c r="B793" s="5">
        <v>2012</v>
      </c>
      <c r="C793" s="5" t="s">
        <v>4749</v>
      </c>
      <c r="D793" s="5" t="s">
        <v>488</v>
      </c>
      <c r="E793" s="5" t="s">
        <v>18453</v>
      </c>
      <c r="F793" s="5" t="s">
        <v>4751</v>
      </c>
      <c r="G793" s="5"/>
      <c r="H793" s="5"/>
      <c r="I793" s="5"/>
      <c r="J793" s="5"/>
      <c r="K793" s="5"/>
      <c r="L793" s="5"/>
      <c r="M793" s="5"/>
      <c r="N793" s="5"/>
      <c r="O793" s="5"/>
      <c r="P793" s="5"/>
      <c r="Q793" s="5"/>
      <c r="AL793" s="7" t="str">
        <f>HYPERLINK("http://dx.doi.org/10.1007/s10344-012-0609-3","http://dx.doi.org/10.1007/s10344-012-0609-3")</f>
        <v>http://dx.doi.org/10.1007/s10344-012-0609-3</v>
      </c>
      <c r="AM793" s="5">
        <v>6</v>
      </c>
      <c r="AN793" s="5">
        <v>6</v>
      </c>
      <c r="AO793" s="5">
        <v>58</v>
      </c>
      <c r="AP793" s="5">
        <v>4</v>
      </c>
      <c r="AQ793" s="5">
        <v>755</v>
      </c>
      <c r="AR793" s="5">
        <v>760</v>
      </c>
      <c r="AS793" s="5" t="s">
        <v>16</v>
      </c>
      <c r="AT793" s="5" t="s">
        <v>4750</v>
      </c>
      <c r="AU793" s="5" t="s">
        <v>16</v>
      </c>
      <c r="AV793" s="5" t="s">
        <v>4752</v>
      </c>
    </row>
    <row r="794" spans="1:48" ht="45" customHeight="1" x14ac:dyDescent="0.15">
      <c r="A794" s="5" t="s">
        <v>4753</v>
      </c>
      <c r="B794" s="5">
        <v>2022</v>
      </c>
      <c r="C794" s="5" t="s">
        <v>4754</v>
      </c>
      <c r="D794" s="5" t="s">
        <v>15</v>
      </c>
      <c r="E794" s="5" t="s">
        <v>18453</v>
      </c>
      <c r="F794" s="5" t="s">
        <v>4757</v>
      </c>
      <c r="G794" s="5"/>
      <c r="H794" s="5"/>
      <c r="I794" s="5"/>
      <c r="J794" s="5"/>
      <c r="K794" s="5"/>
      <c r="L794" s="5"/>
      <c r="M794" s="5"/>
      <c r="N794" s="5"/>
      <c r="O794" s="5"/>
      <c r="P794" s="5"/>
      <c r="Q794" s="5"/>
      <c r="AL794" s="7" t="str">
        <f>HYPERLINK("http://dx.doi.org/10.1002/ece3.8687","http://dx.doi.org/10.1002/ece3.8687")</f>
        <v>http://dx.doi.org/10.1002/ece3.8687</v>
      </c>
      <c r="AM794" s="5">
        <v>5</v>
      </c>
      <c r="AN794" s="5">
        <v>5</v>
      </c>
      <c r="AO794" s="5">
        <v>12</v>
      </c>
      <c r="AP794" s="5">
        <v>3</v>
      </c>
      <c r="AQ794" s="5" t="s">
        <v>16</v>
      </c>
      <c r="AR794" s="5" t="s">
        <v>16</v>
      </c>
      <c r="AS794" s="5" t="s">
        <v>4758</v>
      </c>
      <c r="AT794" s="5" t="s">
        <v>4755</v>
      </c>
      <c r="AU794" s="5" t="s">
        <v>4756</v>
      </c>
      <c r="AV794" s="5" t="s">
        <v>4759</v>
      </c>
    </row>
    <row r="795" spans="1:48" ht="45" customHeight="1" x14ac:dyDescent="0.15">
      <c r="A795" s="5" t="s">
        <v>4760</v>
      </c>
      <c r="B795" s="5">
        <v>2021</v>
      </c>
      <c r="C795" s="5" t="s">
        <v>4761</v>
      </c>
      <c r="D795" s="5" t="s">
        <v>190</v>
      </c>
      <c r="E795" s="5" t="s">
        <v>18453</v>
      </c>
      <c r="F795" s="5" t="s">
        <v>4764</v>
      </c>
      <c r="G795" s="5"/>
      <c r="H795" s="5"/>
      <c r="I795" s="5"/>
      <c r="J795" s="5"/>
      <c r="K795" s="5"/>
      <c r="L795" s="5"/>
      <c r="M795" s="5"/>
      <c r="N795" s="5"/>
      <c r="O795" s="5"/>
      <c r="P795" s="5"/>
      <c r="Q795" s="5"/>
      <c r="AL795" s="7" t="str">
        <f>HYPERLINK("http://dx.doi.org/10.1007/s10530-021-02506-7","http://dx.doi.org/10.1007/s10530-021-02506-7")</f>
        <v>http://dx.doi.org/10.1007/s10530-021-02506-7</v>
      </c>
      <c r="AM795" s="5">
        <v>6</v>
      </c>
      <c r="AN795" s="5">
        <v>6</v>
      </c>
      <c r="AO795" s="5">
        <v>23</v>
      </c>
      <c r="AP795" s="5">
        <v>7</v>
      </c>
      <c r="AQ795" s="5">
        <v>2289</v>
      </c>
      <c r="AR795" s="5">
        <v>2304</v>
      </c>
      <c r="AS795" s="5" t="s">
        <v>16</v>
      </c>
      <c r="AT795" s="5" t="s">
        <v>4762</v>
      </c>
      <c r="AU795" s="5" t="s">
        <v>4763</v>
      </c>
      <c r="AV795" s="5" t="s">
        <v>4765</v>
      </c>
    </row>
    <row r="796" spans="1:48" ht="45" customHeight="1" x14ac:dyDescent="0.15">
      <c r="A796" s="5" t="s">
        <v>4766</v>
      </c>
      <c r="B796" s="5">
        <v>2008</v>
      </c>
      <c r="C796" s="5" t="s">
        <v>4767</v>
      </c>
      <c r="D796" s="5" t="s">
        <v>251</v>
      </c>
      <c r="E796" s="5" t="s">
        <v>18453</v>
      </c>
      <c r="F796" s="5" t="s">
        <v>4770</v>
      </c>
      <c r="G796" s="5"/>
      <c r="H796" s="5"/>
      <c r="I796" s="5"/>
      <c r="J796" s="5"/>
      <c r="K796" s="5"/>
      <c r="L796" s="5"/>
      <c r="M796" s="5"/>
      <c r="N796" s="5"/>
      <c r="O796" s="5"/>
      <c r="P796" s="5"/>
      <c r="Q796" s="5"/>
      <c r="AL796" s="7" t="str">
        <f>HYPERLINK("http://dx.doi.org/10.1016/j.biocon.2008.02.013","http://dx.doi.org/10.1016/j.biocon.2008.02.013")</f>
        <v>http://dx.doi.org/10.1016/j.biocon.2008.02.013</v>
      </c>
      <c r="AM796" s="5">
        <v>57</v>
      </c>
      <c r="AN796" s="5">
        <v>60</v>
      </c>
      <c r="AO796" s="5">
        <v>141</v>
      </c>
      <c r="AP796" s="5">
        <v>4</v>
      </c>
      <c r="AQ796" s="5">
        <v>1138</v>
      </c>
      <c r="AR796" s="5">
        <v>1148</v>
      </c>
      <c r="AS796" s="5" t="s">
        <v>16</v>
      </c>
      <c r="AT796" s="5" t="s">
        <v>4768</v>
      </c>
      <c r="AU796" s="5" t="s">
        <v>4769</v>
      </c>
      <c r="AV796" s="5" t="s">
        <v>4771</v>
      </c>
    </row>
    <row r="797" spans="1:48" ht="45" customHeight="1" x14ac:dyDescent="0.15">
      <c r="A797" s="5" t="s">
        <v>4772</v>
      </c>
      <c r="B797" s="5">
        <v>2022</v>
      </c>
      <c r="C797" s="5" t="s">
        <v>4773</v>
      </c>
      <c r="D797" s="5" t="s">
        <v>33</v>
      </c>
      <c r="E797" s="5" t="s">
        <v>18453</v>
      </c>
      <c r="F797" s="5" t="s">
        <v>4776</v>
      </c>
      <c r="G797" s="5"/>
      <c r="H797" s="5"/>
      <c r="I797" s="5"/>
      <c r="J797" s="5"/>
      <c r="K797" s="5"/>
      <c r="L797" s="5"/>
      <c r="M797" s="5"/>
      <c r="N797" s="5"/>
      <c r="O797" s="5"/>
      <c r="P797" s="5"/>
      <c r="Q797" s="5"/>
      <c r="AL797" s="7" t="str">
        <f>HYPERLINK("http://dx.doi.org/10.1111/gcb.16138","http://dx.doi.org/10.1111/gcb.16138")</f>
        <v>http://dx.doi.org/10.1111/gcb.16138</v>
      </c>
      <c r="AM797" s="5">
        <v>1</v>
      </c>
      <c r="AN797" s="5">
        <v>1</v>
      </c>
      <c r="AO797" s="5">
        <v>28</v>
      </c>
      <c r="AP797" s="5">
        <v>9</v>
      </c>
      <c r="AQ797" s="5">
        <v>3054</v>
      </c>
      <c r="AR797" s="5">
        <v>3065</v>
      </c>
      <c r="AS797" s="5" t="s">
        <v>16</v>
      </c>
      <c r="AT797" s="5" t="s">
        <v>4774</v>
      </c>
      <c r="AU797" s="5" t="s">
        <v>4775</v>
      </c>
      <c r="AV797" s="5" t="s">
        <v>4777</v>
      </c>
    </row>
    <row r="798" spans="1:48" ht="45" customHeight="1" x14ac:dyDescent="0.15">
      <c r="A798" s="5" t="s">
        <v>4778</v>
      </c>
      <c r="B798" s="5">
        <v>2013</v>
      </c>
      <c r="C798" s="5" t="s">
        <v>4779</v>
      </c>
      <c r="D798" s="5" t="s">
        <v>1445</v>
      </c>
      <c r="E798" s="5" t="s">
        <v>18453</v>
      </c>
      <c r="F798" s="5" t="s">
        <v>4782</v>
      </c>
      <c r="G798" s="5"/>
      <c r="H798" s="5"/>
      <c r="I798" s="5"/>
      <c r="J798" s="5"/>
      <c r="K798" s="5"/>
      <c r="L798" s="5"/>
      <c r="M798" s="5"/>
      <c r="N798" s="5"/>
      <c r="O798" s="5"/>
      <c r="P798" s="5"/>
      <c r="Q798" s="5"/>
      <c r="AL798" s="7" t="str">
        <f>HYPERLINK("http://dx.doi.org/10.1080/02705060.2012.689999","http://dx.doi.org/10.1080/02705060.2012.689999")</f>
        <v>http://dx.doi.org/10.1080/02705060.2012.689999</v>
      </c>
      <c r="AM798" s="5">
        <v>16</v>
      </c>
      <c r="AN798" s="5">
        <v>18</v>
      </c>
      <c r="AO798" s="5">
        <v>28</v>
      </c>
      <c r="AP798" s="5">
        <v>1</v>
      </c>
      <c r="AQ798" s="5">
        <v>47</v>
      </c>
      <c r="AR798" s="5">
        <v>62</v>
      </c>
      <c r="AS798" s="5" t="s">
        <v>16</v>
      </c>
      <c r="AT798" s="5" t="s">
        <v>4780</v>
      </c>
      <c r="AU798" s="5" t="s">
        <v>4781</v>
      </c>
      <c r="AV798" s="5" t="s">
        <v>4783</v>
      </c>
    </row>
    <row r="799" spans="1:48" ht="45" customHeight="1" x14ac:dyDescent="0.15">
      <c r="A799" s="5" t="s">
        <v>4784</v>
      </c>
      <c r="B799" s="5">
        <v>2015</v>
      </c>
      <c r="C799" s="5" t="s">
        <v>4785</v>
      </c>
      <c r="D799" s="5" t="s">
        <v>116</v>
      </c>
      <c r="E799" s="5" t="s">
        <v>18453</v>
      </c>
      <c r="F799" s="5" t="s">
        <v>4788</v>
      </c>
      <c r="G799" s="5"/>
      <c r="H799" s="5"/>
      <c r="I799" s="5"/>
      <c r="J799" s="5"/>
      <c r="K799" s="5"/>
      <c r="L799" s="5"/>
      <c r="M799" s="5"/>
      <c r="N799" s="5"/>
      <c r="O799" s="5"/>
      <c r="P799" s="5"/>
      <c r="Q799" s="5"/>
      <c r="AL799" s="7" t="str">
        <f>HYPERLINK("http://dx.doi.org/10.1007/s10641-014-0368-y","http://dx.doi.org/10.1007/s10641-014-0368-y")</f>
        <v>http://dx.doi.org/10.1007/s10641-014-0368-y</v>
      </c>
      <c r="AM799" s="5">
        <v>24</v>
      </c>
      <c r="AN799" s="5">
        <v>25</v>
      </c>
      <c r="AO799" s="5">
        <v>98</v>
      </c>
      <c r="AP799" s="5">
        <v>5</v>
      </c>
      <c r="AQ799" s="5">
        <v>1411</v>
      </c>
      <c r="AR799" s="5">
        <v>1430</v>
      </c>
      <c r="AS799" s="5" t="s">
        <v>16</v>
      </c>
      <c r="AT799" s="5" t="s">
        <v>4786</v>
      </c>
      <c r="AU799" s="5" t="s">
        <v>4787</v>
      </c>
      <c r="AV799" s="5" t="s">
        <v>4789</v>
      </c>
    </row>
    <row r="800" spans="1:48" ht="45" customHeight="1" x14ac:dyDescent="0.15">
      <c r="A800" s="5" t="s">
        <v>4790</v>
      </c>
      <c r="B800" s="5">
        <v>2011</v>
      </c>
      <c r="C800" s="5" t="s">
        <v>4791</v>
      </c>
      <c r="D800" s="5" t="s">
        <v>190</v>
      </c>
      <c r="E800" s="5" t="s">
        <v>18453</v>
      </c>
      <c r="F800" s="5" t="s">
        <v>4794</v>
      </c>
      <c r="G800" s="5"/>
      <c r="H800" s="5"/>
      <c r="I800" s="5"/>
      <c r="J800" s="5"/>
      <c r="K800" s="5"/>
      <c r="L800" s="5"/>
      <c r="M800" s="5"/>
      <c r="N800" s="5"/>
      <c r="O800" s="5"/>
      <c r="P800" s="5"/>
      <c r="Q800" s="5"/>
      <c r="AL800" s="7" t="str">
        <f>HYPERLINK("http://dx.doi.org/10.1007/s10530-010-9802-z","http://dx.doi.org/10.1007/s10530-010-9802-z")</f>
        <v>http://dx.doi.org/10.1007/s10530-010-9802-z</v>
      </c>
      <c r="AM800" s="5">
        <v>42</v>
      </c>
      <c r="AN800" s="5">
        <v>44</v>
      </c>
      <c r="AO800" s="5">
        <v>13</v>
      </c>
      <c r="AP800" s="5">
        <v>1</v>
      </c>
      <c r="AQ800" s="5">
        <v>203</v>
      </c>
      <c r="AR800" s="5">
        <v>213</v>
      </c>
      <c r="AS800" s="5" t="s">
        <v>16</v>
      </c>
      <c r="AT800" s="5" t="s">
        <v>4792</v>
      </c>
      <c r="AU800" s="5" t="s">
        <v>4793</v>
      </c>
      <c r="AV800" s="5" t="s">
        <v>4795</v>
      </c>
    </row>
    <row r="801" spans="1:48" ht="45" customHeight="1" x14ac:dyDescent="0.15">
      <c r="A801" s="5" t="s">
        <v>4796</v>
      </c>
      <c r="B801" s="5">
        <v>2009</v>
      </c>
      <c r="C801" s="5" t="s">
        <v>4797</v>
      </c>
      <c r="D801" s="5" t="s">
        <v>252</v>
      </c>
      <c r="E801" s="5" t="s">
        <v>18453</v>
      </c>
      <c r="F801" s="5" t="s">
        <v>4800</v>
      </c>
      <c r="G801" s="5"/>
      <c r="H801" s="5"/>
      <c r="I801" s="5"/>
      <c r="J801" s="5"/>
      <c r="K801" s="5"/>
      <c r="L801" s="5"/>
      <c r="M801" s="5"/>
      <c r="N801" s="5"/>
      <c r="O801" s="5"/>
      <c r="P801" s="5"/>
      <c r="Q801" s="5"/>
      <c r="AL801" s="7" t="str">
        <f>HYPERLINK("http://dx.doi.org/10.1111/j.1523-1739.2009.01248.x","http://dx.doi.org/10.1111/j.1523-1739.2009.01248.x")</f>
        <v>http://dx.doi.org/10.1111/j.1523-1739.2009.01248.x</v>
      </c>
      <c r="AM801" s="5">
        <v>173</v>
      </c>
      <c r="AN801" s="5">
        <v>184</v>
      </c>
      <c r="AO801" s="5">
        <v>23</v>
      </c>
      <c r="AP801" s="5">
        <v>5</v>
      </c>
      <c r="AQ801" s="5">
        <v>1222</v>
      </c>
      <c r="AR801" s="5">
        <v>1231</v>
      </c>
      <c r="AS801" s="5" t="s">
        <v>16</v>
      </c>
      <c r="AT801" s="5" t="s">
        <v>4798</v>
      </c>
      <c r="AU801" s="5" t="s">
        <v>4799</v>
      </c>
      <c r="AV801" s="5" t="s">
        <v>4801</v>
      </c>
    </row>
    <row r="802" spans="1:48" ht="45" customHeight="1" x14ac:dyDescent="0.15">
      <c r="A802" s="5" t="s">
        <v>4802</v>
      </c>
      <c r="B802" s="5">
        <v>2022</v>
      </c>
      <c r="C802" s="5" t="s">
        <v>4803</v>
      </c>
      <c r="D802" s="5" t="s">
        <v>62</v>
      </c>
      <c r="E802" s="5" t="s">
        <v>18453</v>
      </c>
      <c r="F802" s="5" t="s">
        <v>4806</v>
      </c>
      <c r="G802" s="5"/>
      <c r="H802" s="5"/>
      <c r="I802" s="5"/>
      <c r="J802" s="5"/>
      <c r="K802" s="5"/>
      <c r="L802" s="5"/>
      <c r="M802" s="5"/>
      <c r="N802" s="5"/>
      <c r="O802" s="5"/>
      <c r="P802" s="5"/>
      <c r="Q802" s="5"/>
      <c r="AL802" s="7" t="str">
        <f>HYPERLINK("http://dx.doi.org/10.1007/s10021-021-00734-5","http://dx.doi.org/10.1007/s10021-021-00734-5")</f>
        <v>http://dx.doi.org/10.1007/s10021-021-00734-5</v>
      </c>
      <c r="AM802" s="5">
        <v>2</v>
      </c>
      <c r="AN802" s="5">
        <v>2</v>
      </c>
      <c r="AO802" s="5">
        <v>25</v>
      </c>
      <c r="AP802" s="5">
        <v>7</v>
      </c>
      <c r="AQ802" s="5">
        <v>1571</v>
      </c>
      <c r="AR802" s="5">
        <v>1588</v>
      </c>
      <c r="AS802" s="5" t="s">
        <v>16</v>
      </c>
      <c r="AT802" s="5" t="s">
        <v>4804</v>
      </c>
      <c r="AU802" s="5" t="s">
        <v>4805</v>
      </c>
      <c r="AV802" s="5" t="s">
        <v>4807</v>
      </c>
    </row>
    <row r="803" spans="1:48" ht="45" customHeight="1" x14ac:dyDescent="0.15">
      <c r="A803" s="5" t="s">
        <v>4808</v>
      </c>
      <c r="B803" s="5">
        <v>2006</v>
      </c>
      <c r="C803" s="5" t="s">
        <v>4809</v>
      </c>
      <c r="D803" s="5" t="s">
        <v>33</v>
      </c>
      <c r="E803" s="5" t="s">
        <v>18453</v>
      </c>
      <c r="F803" s="5" t="s">
        <v>4812</v>
      </c>
      <c r="G803" s="5"/>
      <c r="H803" s="5"/>
      <c r="I803" s="5"/>
      <c r="J803" s="5"/>
      <c r="K803" s="5"/>
      <c r="L803" s="5"/>
      <c r="M803" s="5"/>
      <c r="N803" s="5"/>
      <c r="O803" s="5"/>
      <c r="P803" s="5"/>
      <c r="Q803" s="5"/>
      <c r="AL803" s="7" t="str">
        <f>HYPERLINK("http://dx.doi.org/10.1111/j.1365-2486.2006.01130.x","http://dx.doi.org/10.1111/j.1365-2486.2006.01130.x")</f>
        <v>http://dx.doi.org/10.1111/j.1365-2486.2006.01130.x</v>
      </c>
      <c r="AM803" s="5">
        <v>111</v>
      </c>
      <c r="AN803" s="5">
        <v>114</v>
      </c>
      <c r="AO803" s="5">
        <v>12</v>
      </c>
      <c r="AP803" s="5">
        <v>4</v>
      </c>
      <c r="AQ803" s="5">
        <v>611</v>
      </c>
      <c r="AR803" s="5">
        <v>625</v>
      </c>
      <c r="AS803" s="5" t="s">
        <v>16</v>
      </c>
      <c r="AT803" s="5" t="s">
        <v>4810</v>
      </c>
      <c r="AU803" s="5" t="s">
        <v>4811</v>
      </c>
      <c r="AV803" s="5" t="s">
        <v>4813</v>
      </c>
    </row>
    <row r="804" spans="1:48" ht="45" customHeight="1" x14ac:dyDescent="0.15">
      <c r="A804" s="5" t="s">
        <v>4814</v>
      </c>
      <c r="B804" s="5">
        <v>2011</v>
      </c>
      <c r="C804" s="5" t="s">
        <v>4815</v>
      </c>
      <c r="D804" s="5" t="s">
        <v>49</v>
      </c>
      <c r="E804" s="5" t="s">
        <v>18453</v>
      </c>
      <c r="F804" s="5" t="s">
        <v>4818</v>
      </c>
      <c r="G804" s="5"/>
      <c r="H804" s="5"/>
      <c r="I804" s="5"/>
      <c r="J804" s="5"/>
      <c r="K804" s="5"/>
      <c r="L804" s="5"/>
      <c r="M804" s="5"/>
      <c r="N804" s="5"/>
      <c r="O804" s="5"/>
      <c r="P804" s="5"/>
      <c r="Q804" s="5"/>
      <c r="AL804" s="7" t="str">
        <f>HYPERLINK("http://dx.doi.org/10.3354/meps08919","http://dx.doi.org/10.3354/meps08919")</f>
        <v>http://dx.doi.org/10.3354/meps08919</v>
      </c>
      <c r="AM804" s="5">
        <v>29</v>
      </c>
      <c r="AN804" s="5">
        <v>29</v>
      </c>
      <c r="AO804" s="5">
        <v>422</v>
      </c>
      <c r="AP804" s="5" t="s">
        <v>16</v>
      </c>
      <c r="AQ804" s="5">
        <v>9</v>
      </c>
      <c r="AR804" s="5">
        <v>22</v>
      </c>
      <c r="AS804" s="5" t="s">
        <v>16</v>
      </c>
      <c r="AT804" s="5" t="s">
        <v>4816</v>
      </c>
      <c r="AU804" s="5" t="s">
        <v>4817</v>
      </c>
      <c r="AV804" s="5" t="s">
        <v>4819</v>
      </c>
    </row>
    <row r="805" spans="1:48" ht="45" customHeight="1" x14ac:dyDescent="0.15">
      <c r="A805" s="5" t="s">
        <v>4820</v>
      </c>
      <c r="B805" s="5">
        <v>2020</v>
      </c>
      <c r="C805" s="5" t="s">
        <v>4821</v>
      </c>
      <c r="D805" s="5" t="s">
        <v>77</v>
      </c>
      <c r="E805" s="5" t="s">
        <v>18453</v>
      </c>
      <c r="F805" s="5" t="s">
        <v>4824</v>
      </c>
      <c r="G805" s="5"/>
      <c r="H805" s="5"/>
      <c r="I805" s="5"/>
      <c r="J805" s="5"/>
      <c r="K805" s="5"/>
      <c r="L805" s="5"/>
      <c r="M805" s="5"/>
      <c r="N805" s="5"/>
      <c r="O805" s="5"/>
      <c r="P805" s="5"/>
      <c r="Q805" s="5"/>
      <c r="AL805" s="7" t="str">
        <f>HYPERLINK("http://dx.doi.org/10.1111/1365-2656.13191","http://dx.doi.org/10.1111/1365-2656.13191")</f>
        <v>http://dx.doi.org/10.1111/1365-2656.13191</v>
      </c>
      <c r="AM805" s="5">
        <v>18</v>
      </c>
      <c r="AN805" s="5">
        <v>18</v>
      </c>
      <c r="AO805" s="5">
        <v>89</v>
      </c>
      <c r="AP805" s="5">
        <v>5</v>
      </c>
      <c r="AQ805" s="5">
        <v>1286</v>
      </c>
      <c r="AR805" s="5">
        <v>1294</v>
      </c>
      <c r="AS805" s="5" t="s">
        <v>16</v>
      </c>
      <c r="AT805" s="5" t="s">
        <v>4822</v>
      </c>
      <c r="AU805" s="5" t="s">
        <v>4823</v>
      </c>
      <c r="AV805" s="5" t="s">
        <v>4825</v>
      </c>
    </row>
    <row r="806" spans="1:48" ht="45" customHeight="1" x14ac:dyDescent="0.15">
      <c r="A806" s="5" t="s">
        <v>4826</v>
      </c>
      <c r="B806" s="5">
        <v>1994</v>
      </c>
      <c r="C806" s="5" t="s">
        <v>4827</v>
      </c>
      <c r="D806" s="5" t="s">
        <v>1531</v>
      </c>
      <c r="E806" s="5" t="s">
        <v>18453</v>
      </c>
      <c r="F806" s="5" t="s">
        <v>4829</v>
      </c>
      <c r="G806" s="5"/>
      <c r="H806" s="5"/>
      <c r="I806" s="5"/>
      <c r="J806" s="5"/>
      <c r="K806" s="5"/>
      <c r="L806" s="5"/>
      <c r="M806" s="5"/>
      <c r="N806" s="5"/>
      <c r="O806" s="5"/>
      <c r="P806" s="5"/>
      <c r="Q806" s="5"/>
      <c r="AL806" s="7" t="str">
        <f>HYPERLINK("http://dx.doi.org/10.2307/1467845","http://dx.doi.org/10.2307/1467845")</f>
        <v>http://dx.doi.org/10.2307/1467845</v>
      </c>
      <c r="AM806" s="5">
        <v>84</v>
      </c>
      <c r="AN806" s="5">
        <v>93</v>
      </c>
      <c r="AO806" s="5">
        <v>13</v>
      </c>
      <c r="AP806" s="5">
        <v>4</v>
      </c>
      <c r="AQ806" s="5">
        <v>479</v>
      </c>
      <c r="AR806" s="5">
        <v>495</v>
      </c>
      <c r="AS806" s="5" t="s">
        <v>16</v>
      </c>
      <c r="AT806" s="5" t="s">
        <v>4828</v>
      </c>
      <c r="AU806" s="5" t="s">
        <v>16</v>
      </c>
      <c r="AV806" s="5" t="s">
        <v>4830</v>
      </c>
    </row>
    <row r="807" spans="1:48" ht="45" customHeight="1" x14ac:dyDescent="0.15">
      <c r="A807" s="5" t="s">
        <v>4831</v>
      </c>
      <c r="B807" s="5">
        <v>2015</v>
      </c>
      <c r="C807" s="5" t="s">
        <v>4832</v>
      </c>
      <c r="D807" s="5" t="s">
        <v>49</v>
      </c>
      <c r="E807" s="5" t="s">
        <v>18453</v>
      </c>
      <c r="F807" s="5" t="s">
        <v>4835</v>
      </c>
      <c r="G807" s="5"/>
      <c r="H807" s="5"/>
      <c r="I807" s="5"/>
      <c r="J807" s="5"/>
      <c r="K807" s="5"/>
      <c r="L807" s="5"/>
      <c r="M807" s="5"/>
      <c r="N807" s="5"/>
      <c r="O807" s="5"/>
      <c r="P807" s="5"/>
      <c r="Q807" s="5"/>
      <c r="AL807" s="7" t="str">
        <f>HYPERLINK("http://dx.doi.org/10.3354/meps11302","http://dx.doi.org/10.3354/meps11302")</f>
        <v>http://dx.doi.org/10.3354/meps11302</v>
      </c>
      <c r="AM807" s="5">
        <v>42</v>
      </c>
      <c r="AN807" s="5">
        <v>42</v>
      </c>
      <c r="AO807" s="5">
        <v>529</v>
      </c>
      <c r="AP807" s="5" t="s">
        <v>16</v>
      </c>
      <c r="AQ807" s="5">
        <v>185</v>
      </c>
      <c r="AR807" s="5">
        <v>197</v>
      </c>
      <c r="AS807" s="5" t="s">
        <v>16</v>
      </c>
      <c r="AT807" s="5" t="s">
        <v>4833</v>
      </c>
      <c r="AU807" s="5" t="s">
        <v>4834</v>
      </c>
      <c r="AV807" s="5" t="s">
        <v>4836</v>
      </c>
    </row>
    <row r="808" spans="1:48" ht="45" customHeight="1" x14ac:dyDescent="0.15">
      <c r="A808" s="5" t="s">
        <v>4837</v>
      </c>
      <c r="B808" s="5">
        <v>2012</v>
      </c>
      <c r="C808" s="5" t="s">
        <v>4838</v>
      </c>
      <c r="D808" s="5" t="s">
        <v>172</v>
      </c>
      <c r="E808" s="5" t="s">
        <v>18453</v>
      </c>
      <c r="F808" s="5" t="s">
        <v>4841</v>
      </c>
      <c r="G808" s="5"/>
      <c r="H808" s="5"/>
      <c r="I808" s="5"/>
      <c r="J808" s="5"/>
      <c r="K808" s="5"/>
      <c r="L808" s="5"/>
      <c r="M808" s="5"/>
      <c r="N808" s="5"/>
      <c r="O808" s="5"/>
      <c r="P808" s="5"/>
      <c r="Q808" s="5"/>
      <c r="AL808" s="7" t="str">
        <f>HYPERLINK("http://dx.doi.org/10.1007/s00442-011-2178-7","http://dx.doi.org/10.1007/s00442-011-2178-7")</f>
        <v>http://dx.doi.org/10.1007/s00442-011-2178-7</v>
      </c>
      <c r="AM808" s="5">
        <v>32</v>
      </c>
      <c r="AN808" s="5">
        <v>34</v>
      </c>
      <c r="AO808" s="5">
        <v>169</v>
      </c>
      <c r="AP808" s="5">
        <v>1</v>
      </c>
      <c r="AQ808" s="5">
        <v>199</v>
      </c>
      <c r="AR808" s="5">
        <v>209</v>
      </c>
      <c r="AS808" s="5" t="s">
        <v>16</v>
      </c>
      <c r="AT808" s="5" t="s">
        <v>4839</v>
      </c>
      <c r="AU808" s="5" t="s">
        <v>4840</v>
      </c>
      <c r="AV808" s="5" t="s">
        <v>4842</v>
      </c>
    </row>
    <row r="809" spans="1:48" ht="45" customHeight="1" x14ac:dyDescent="0.15">
      <c r="A809" s="5" t="s">
        <v>4843</v>
      </c>
      <c r="B809" s="5">
        <v>2021</v>
      </c>
      <c r="C809" s="5" t="s">
        <v>4844</v>
      </c>
      <c r="D809" s="5" t="s">
        <v>295</v>
      </c>
      <c r="E809" s="5" t="s">
        <v>18453</v>
      </c>
      <c r="F809" s="5" t="s">
        <v>4847</v>
      </c>
      <c r="G809" s="5"/>
      <c r="H809" s="5"/>
      <c r="I809" s="5"/>
      <c r="J809" s="5"/>
      <c r="K809" s="5"/>
      <c r="L809" s="5"/>
      <c r="M809" s="5"/>
      <c r="N809" s="5"/>
      <c r="O809" s="5"/>
      <c r="P809" s="5"/>
      <c r="Q809" s="5"/>
      <c r="AL809" s="7" t="str">
        <f>HYPERLINK("http://dx.doi.org/10.1016/j.jembe.2021.151631","http://dx.doi.org/10.1016/j.jembe.2021.151631")</f>
        <v>http://dx.doi.org/10.1016/j.jembe.2021.151631</v>
      </c>
      <c r="AM809" s="5">
        <v>2</v>
      </c>
      <c r="AN809" s="5">
        <v>2</v>
      </c>
      <c r="AO809" s="5">
        <v>545</v>
      </c>
      <c r="AP809" s="5" t="s">
        <v>16</v>
      </c>
      <c r="AQ809" s="5" t="s">
        <v>16</v>
      </c>
      <c r="AR809" s="5" t="s">
        <v>16</v>
      </c>
      <c r="AS809" s="5">
        <v>151631</v>
      </c>
      <c r="AT809" s="5" t="s">
        <v>4845</v>
      </c>
      <c r="AU809" s="5" t="s">
        <v>4846</v>
      </c>
      <c r="AV809" s="5" t="s">
        <v>4848</v>
      </c>
    </row>
    <row r="810" spans="1:48" ht="45" customHeight="1" x14ac:dyDescent="0.15">
      <c r="A810" s="5" t="s">
        <v>4849</v>
      </c>
      <c r="B810" s="5">
        <v>2020</v>
      </c>
      <c r="C810" s="5" t="s">
        <v>4850</v>
      </c>
      <c r="D810" s="5" t="s">
        <v>2087</v>
      </c>
      <c r="E810" s="5" t="s">
        <v>18453</v>
      </c>
      <c r="F810" s="5" t="s">
        <v>4853</v>
      </c>
      <c r="G810" s="5"/>
      <c r="H810" s="5"/>
      <c r="I810" s="5"/>
      <c r="J810" s="5"/>
      <c r="K810" s="5"/>
      <c r="L810" s="5"/>
      <c r="M810" s="5"/>
      <c r="N810" s="5"/>
      <c r="O810" s="5"/>
      <c r="P810" s="5"/>
      <c r="Q810" s="5"/>
      <c r="AL810" s="7" t="str">
        <f>HYPERLINK("http://dx.doi.org/10.1002/eco.2201","http://dx.doi.org/10.1002/eco.2201")</f>
        <v>http://dx.doi.org/10.1002/eco.2201</v>
      </c>
      <c r="AM810" s="5">
        <v>43</v>
      </c>
      <c r="AN810" s="5">
        <v>44</v>
      </c>
      <c r="AO810" s="5">
        <v>13</v>
      </c>
      <c r="AP810" s="5">
        <v>3</v>
      </c>
      <c r="AQ810" s="5" t="s">
        <v>16</v>
      </c>
      <c r="AR810" s="5" t="s">
        <v>16</v>
      </c>
      <c r="AS810" s="5" t="s">
        <v>4854</v>
      </c>
      <c r="AT810" s="5" t="s">
        <v>4851</v>
      </c>
      <c r="AU810" s="5" t="s">
        <v>4852</v>
      </c>
      <c r="AV810" s="5" t="s">
        <v>4855</v>
      </c>
    </row>
    <row r="811" spans="1:48" ht="45" customHeight="1" x14ac:dyDescent="0.15">
      <c r="A811" s="5" t="s">
        <v>4856</v>
      </c>
      <c r="B811" s="5">
        <v>2009</v>
      </c>
      <c r="C811" s="5" t="s">
        <v>4857</v>
      </c>
      <c r="D811" s="5" t="s">
        <v>49</v>
      </c>
      <c r="E811" s="5" t="s">
        <v>18453</v>
      </c>
      <c r="F811" s="5" t="s">
        <v>4860</v>
      </c>
      <c r="G811" s="5"/>
      <c r="H811" s="5"/>
      <c r="I811" s="5"/>
      <c r="J811" s="5"/>
      <c r="K811" s="5"/>
      <c r="L811" s="5"/>
      <c r="M811" s="5"/>
      <c r="N811" s="5"/>
      <c r="O811" s="5"/>
      <c r="P811" s="5"/>
      <c r="Q811" s="5"/>
      <c r="AL811" s="7" t="str">
        <f>HYPERLINK("http://dx.doi.org/10.3354/meps08166","http://dx.doi.org/10.3354/meps08166")</f>
        <v>http://dx.doi.org/10.3354/meps08166</v>
      </c>
      <c r="AM811" s="5">
        <v>34</v>
      </c>
      <c r="AN811" s="5">
        <v>35</v>
      </c>
      <c r="AO811" s="5">
        <v>397</v>
      </c>
      <c r="AP811" s="5" t="s">
        <v>16</v>
      </c>
      <c r="AQ811" s="5">
        <v>209</v>
      </c>
      <c r="AR811" s="5">
        <v>218</v>
      </c>
      <c r="AS811" s="5" t="s">
        <v>16</v>
      </c>
      <c r="AT811" s="5" t="s">
        <v>4858</v>
      </c>
      <c r="AU811" s="5" t="s">
        <v>4859</v>
      </c>
      <c r="AV811" s="5" t="s">
        <v>4861</v>
      </c>
    </row>
    <row r="812" spans="1:48" ht="45" customHeight="1" x14ac:dyDescent="0.15">
      <c r="A812" s="5" t="s">
        <v>4862</v>
      </c>
      <c r="B812" s="5">
        <v>2018</v>
      </c>
      <c r="C812" s="5" t="s">
        <v>4863</v>
      </c>
      <c r="D812" s="5" t="s">
        <v>172</v>
      </c>
      <c r="E812" s="5" t="s">
        <v>18453</v>
      </c>
      <c r="F812" s="5" t="s">
        <v>4866</v>
      </c>
      <c r="G812" s="5"/>
      <c r="H812" s="5"/>
      <c r="I812" s="5"/>
      <c r="J812" s="5"/>
      <c r="K812" s="5"/>
      <c r="L812" s="5"/>
      <c r="M812" s="5"/>
      <c r="N812" s="5"/>
      <c r="O812" s="5"/>
      <c r="P812" s="5"/>
      <c r="Q812" s="5"/>
      <c r="AL812" s="7" t="str">
        <f>HYPERLINK("http://dx.doi.org/10.1007/s00442-018-4173-8","http://dx.doi.org/10.1007/s00442-018-4173-8")</f>
        <v>http://dx.doi.org/10.1007/s00442-018-4173-8</v>
      </c>
      <c r="AM812" s="5">
        <v>6</v>
      </c>
      <c r="AN812" s="5">
        <v>6</v>
      </c>
      <c r="AO812" s="5">
        <v>188</v>
      </c>
      <c r="AP812" s="5">
        <v>1</v>
      </c>
      <c r="AQ812" s="5">
        <v>263</v>
      </c>
      <c r="AR812" s="5">
        <v>275</v>
      </c>
      <c r="AS812" s="5" t="s">
        <v>16</v>
      </c>
      <c r="AT812" s="5" t="s">
        <v>4864</v>
      </c>
      <c r="AU812" s="5" t="s">
        <v>4865</v>
      </c>
      <c r="AV812" s="5" t="s">
        <v>4867</v>
      </c>
    </row>
    <row r="813" spans="1:48" ht="45" customHeight="1" x14ac:dyDescent="0.15">
      <c r="A813" s="5" t="s">
        <v>4868</v>
      </c>
      <c r="B813" s="5">
        <v>2021</v>
      </c>
      <c r="C813" s="5" t="s">
        <v>4869</v>
      </c>
      <c r="D813" s="5" t="s">
        <v>172</v>
      </c>
      <c r="E813" s="5" t="s">
        <v>18453</v>
      </c>
      <c r="F813" s="5" t="s">
        <v>4872</v>
      </c>
      <c r="G813" s="5"/>
      <c r="H813" s="5"/>
      <c r="I813" s="5"/>
      <c r="J813" s="5"/>
      <c r="K813" s="5"/>
      <c r="L813" s="5"/>
      <c r="M813" s="5"/>
      <c r="N813" s="5"/>
      <c r="O813" s="5"/>
      <c r="P813" s="5"/>
      <c r="Q813" s="5"/>
      <c r="AL813" s="7" t="str">
        <f>HYPERLINK("http://dx.doi.org/10.1007/s00442-021-05029-z","http://dx.doi.org/10.1007/s00442-021-05029-z")</f>
        <v>http://dx.doi.org/10.1007/s00442-021-05029-z</v>
      </c>
      <c r="AM813" s="5">
        <v>7</v>
      </c>
      <c r="AN813" s="5">
        <v>7</v>
      </c>
      <c r="AO813" s="5">
        <v>197</v>
      </c>
      <c r="AP813" s="5">
        <v>2</v>
      </c>
      <c r="AQ813" s="5">
        <v>485</v>
      </c>
      <c r="AR813" s="5">
        <v>500</v>
      </c>
      <c r="AS813" s="5" t="s">
        <v>16</v>
      </c>
      <c r="AT813" s="5" t="s">
        <v>4870</v>
      </c>
      <c r="AU813" s="5" t="s">
        <v>4871</v>
      </c>
      <c r="AV813" s="5" t="s">
        <v>4873</v>
      </c>
    </row>
    <row r="814" spans="1:48" ht="45" customHeight="1" x14ac:dyDescent="0.15">
      <c r="A814" s="5" t="s">
        <v>4874</v>
      </c>
      <c r="B814" s="5">
        <v>2016</v>
      </c>
      <c r="C814" s="5" t="s">
        <v>4875</v>
      </c>
      <c r="D814" s="5" t="s">
        <v>212</v>
      </c>
      <c r="E814" s="5" t="s">
        <v>18453</v>
      </c>
      <c r="F814" s="5" t="s">
        <v>4878</v>
      </c>
      <c r="G814" s="5"/>
      <c r="H814" s="5"/>
      <c r="I814" s="5"/>
      <c r="J814" s="5"/>
      <c r="K814" s="5"/>
      <c r="L814" s="5"/>
      <c r="M814" s="5"/>
      <c r="N814" s="5"/>
      <c r="O814" s="5"/>
      <c r="P814" s="5"/>
      <c r="Q814" s="5"/>
      <c r="AL814" s="7" t="str">
        <f>HYPERLINK("http://dx.doi.org/10.1007/s00300-015-1675-2","http://dx.doi.org/10.1007/s00300-015-1675-2")</f>
        <v>http://dx.doi.org/10.1007/s00300-015-1675-2</v>
      </c>
      <c r="AM814" s="5">
        <v>23</v>
      </c>
      <c r="AN814" s="5">
        <v>25</v>
      </c>
      <c r="AO814" s="5">
        <v>39</v>
      </c>
      <c r="AP814" s="5">
        <v>1</v>
      </c>
      <c r="AQ814" s="5">
        <v>167</v>
      </c>
      <c r="AR814" s="5">
        <v>175</v>
      </c>
      <c r="AS814" s="5" t="s">
        <v>16</v>
      </c>
      <c r="AT814" s="5" t="s">
        <v>4876</v>
      </c>
      <c r="AU814" s="5" t="s">
        <v>4877</v>
      </c>
      <c r="AV814" s="5" t="s">
        <v>4879</v>
      </c>
    </row>
    <row r="815" spans="1:48" ht="45" customHeight="1" x14ac:dyDescent="0.15">
      <c r="A815" s="5" t="s">
        <v>4880</v>
      </c>
      <c r="B815" s="5">
        <v>2017</v>
      </c>
      <c r="C815" s="5" t="s">
        <v>4881</v>
      </c>
      <c r="D815" s="5" t="s">
        <v>2517</v>
      </c>
      <c r="E815" s="5" t="s">
        <v>18453</v>
      </c>
      <c r="F815" s="5" t="s">
        <v>4884</v>
      </c>
      <c r="G815" s="5"/>
      <c r="H815" s="5"/>
      <c r="I815" s="5"/>
      <c r="J815" s="5"/>
      <c r="K815" s="5"/>
      <c r="L815" s="5"/>
      <c r="M815" s="5"/>
      <c r="N815" s="5"/>
      <c r="O815" s="5"/>
      <c r="P815" s="5"/>
      <c r="Q815" s="5"/>
      <c r="AL815" s="7" t="str">
        <f>HYPERLINK("http://dx.doi.org/10.1016/j.ecolecon.2017.02.023","http://dx.doi.org/10.1016/j.ecolecon.2017.02.023")</f>
        <v>http://dx.doi.org/10.1016/j.ecolecon.2017.02.023</v>
      </c>
      <c r="AM815" s="5">
        <v>10</v>
      </c>
      <c r="AN815" s="5">
        <v>10</v>
      </c>
      <c r="AO815" s="5">
        <v>137</v>
      </c>
      <c r="AP815" s="5" t="s">
        <v>16</v>
      </c>
      <c r="AQ815" s="5">
        <v>13</v>
      </c>
      <c r="AR815" s="5">
        <v>19</v>
      </c>
      <c r="AS815" s="5" t="s">
        <v>16</v>
      </c>
      <c r="AT815" s="5" t="s">
        <v>4882</v>
      </c>
      <c r="AU815" s="5" t="s">
        <v>4883</v>
      </c>
      <c r="AV815" s="5" t="s">
        <v>4885</v>
      </c>
    </row>
    <row r="816" spans="1:48" ht="45" customHeight="1" x14ac:dyDescent="0.15">
      <c r="A816" s="5" t="s">
        <v>4886</v>
      </c>
      <c r="B816" s="5">
        <v>2007</v>
      </c>
      <c r="C816" s="5" t="s">
        <v>4887</v>
      </c>
      <c r="D816" s="5" t="s">
        <v>17</v>
      </c>
      <c r="E816" s="5" t="s">
        <v>18453</v>
      </c>
      <c r="F816" s="5" t="s">
        <v>4890</v>
      </c>
      <c r="G816" s="5"/>
      <c r="H816" s="5"/>
      <c r="I816" s="5"/>
      <c r="J816" s="5"/>
      <c r="K816" s="5"/>
      <c r="L816" s="5"/>
      <c r="M816" s="5"/>
      <c r="N816" s="5"/>
      <c r="O816" s="5"/>
      <c r="P816" s="5"/>
      <c r="Q816" s="5"/>
      <c r="AL816" s="7" t="str">
        <f>HYPERLINK("http://dx.doi.org/10.1111/j.1365-2427.2007.01823.x","http://dx.doi.org/10.1111/j.1365-2427.2007.01823.x")</f>
        <v>http://dx.doi.org/10.1111/j.1365-2427.2007.01823.x</v>
      </c>
      <c r="AM816" s="5">
        <v>86</v>
      </c>
      <c r="AN816" s="5">
        <v>89</v>
      </c>
      <c r="AO816" s="5">
        <v>52</v>
      </c>
      <c r="AP816" s="5">
        <v>10</v>
      </c>
      <c r="AQ816" s="5">
        <v>1944</v>
      </c>
      <c r="AR816" s="5">
        <v>1956</v>
      </c>
      <c r="AS816" s="5" t="s">
        <v>16</v>
      </c>
      <c r="AT816" s="5" t="s">
        <v>4888</v>
      </c>
      <c r="AU816" s="5" t="s">
        <v>4889</v>
      </c>
      <c r="AV816" s="5" t="s">
        <v>4891</v>
      </c>
    </row>
    <row r="817" spans="1:48" ht="45" customHeight="1" x14ac:dyDescent="0.15">
      <c r="A817" s="5" t="s">
        <v>4892</v>
      </c>
      <c r="B817" s="5">
        <v>2015</v>
      </c>
      <c r="C817" s="5" t="s">
        <v>4893</v>
      </c>
      <c r="D817" s="5" t="s">
        <v>160</v>
      </c>
      <c r="E817" s="5" t="s">
        <v>18453</v>
      </c>
      <c r="F817" s="5" t="s">
        <v>4896</v>
      </c>
      <c r="G817" s="5"/>
      <c r="H817" s="5"/>
      <c r="I817" s="5"/>
      <c r="J817" s="5"/>
      <c r="K817" s="5"/>
      <c r="L817" s="5"/>
      <c r="M817" s="5"/>
      <c r="N817" s="5"/>
      <c r="O817" s="5"/>
      <c r="P817" s="5"/>
      <c r="Q817" s="5"/>
      <c r="AL817" s="7" t="str">
        <f>HYPERLINK("http://dx.doi.org/10.1111/1365-2664.12381","http://dx.doi.org/10.1111/1365-2664.12381")</f>
        <v>http://dx.doi.org/10.1111/1365-2664.12381</v>
      </c>
      <c r="AM817" s="5">
        <v>83</v>
      </c>
      <c r="AN817" s="5">
        <v>85</v>
      </c>
      <c r="AO817" s="5">
        <v>52</v>
      </c>
      <c r="AP817" s="5">
        <v>2</v>
      </c>
      <c r="AQ817" s="5">
        <v>522</v>
      </c>
      <c r="AR817" s="5">
        <v>531</v>
      </c>
      <c r="AS817" s="5" t="s">
        <v>16</v>
      </c>
      <c r="AT817" s="5" t="s">
        <v>4894</v>
      </c>
      <c r="AU817" s="5" t="s">
        <v>4895</v>
      </c>
      <c r="AV817" s="5" t="s">
        <v>4897</v>
      </c>
    </row>
    <row r="818" spans="1:48" ht="45" customHeight="1" x14ac:dyDescent="0.15">
      <c r="A818" s="5" t="s">
        <v>4898</v>
      </c>
      <c r="B818" s="5">
        <v>2019</v>
      </c>
      <c r="C818" s="5" t="s">
        <v>4899</v>
      </c>
      <c r="D818" s="5" t="s">
        <v>92</v>
      </c>
      <c r="E818" s="5" t="s">
        <v>18453</v>
      </c>
      <c r="F818" s="5" t="s">
        <v>4902</v>
      </c>
      <c r="G818" s="5"/>
      <c r="H818" s="5"/>
      <c r="I818" s="5"/>
      <c r="J818" s="5"/>
      <c r="K818" s="5"/>
      <c r="L818" s="5"/>
      <c r="M818" s="5"/>
      <c r="N818" s="5"/>
      <c r="O818" s="5"/>
      <c r="P818" s="5"/>
      <c r="Q818" s="5"/>
      <c r="AL818" s="7" t="str">
        <f>HYPERLINK("http://dx.doi.org/10.1086/704828","http://dx.doi.org/10.1086/704828")</f>
        <v>http://dx.doi.org/10.1086/704828</v>
      </c>
      <c r="AM818" s="5">
        <v>5</v>
      </c>
      <c r="AN818" s="5">
        <v>5</v>
      </c>
      <c r="AO818" s="5">
        <v>38</v>
      </c>
      <c r="AP818" s="5">
        <v>3</v>
      </c>
      <c r="AQ818" s="5">
        <v>566</v>
      </c>
      <c r="AR818" s="5">
        <v>581</v>
      </c>
      <c r="AS818" s="5" t="s">
        <v>16</v>
      </c>
      <c r="AT818" s="5" t="s">
        <v>4900</v>
      </c>
      <c r="AU818" s="5" t="s">
        <v>4901</v>
      </c>
      <c r="AV818" s="5" t="s">
        <v>4903</v>
      </c>
    </row>
    <row r="819" spans="1:48" ht="45" customHeight="1" x14ac:dyDescent="0.15">
      <c r="A819" s="5" t="s">
        <v>4904</v>
      </c>
      <c r="B819" s="5">
        <v>2016</v>
      </c>
      <c r="C819" s="5" t="s">
        <v>4905</v>
      </c>
      <c r="D819" s="5" t="s">
        <v>513</v>
      </c>
      <c r="E819" s="5" t="s">
        <v>18453</v>
      </c>
      <c r="F819" s="5" t="s">
        <v>4908</v>
      </c>
      <c r="G819" s="5"/>
      <c r="H819" s="5"/>
      <c r="I819" s="5"/>
      <c r="J819" s="5"/>
      <c r="K819" s="5"/>
      <c r="L819" s="5"/>
      <c r="M819" s="5"/>
      <c r="N819" s="5"/>
      <c r="O819" s="5"/>
      <c r="P819" s="5"/>
      <c r="Q819" s="5"/>
      <c r="AL819" s="7" t="str">
        <f>HYPERLINK("http://dx.doi.org/10.1016/j.ecoleng.2015.12.039","http://dx.doi.org/10.1016/j.ecoleng.2015.12.039")</f>
        <v>http://dx.doi.org/10.1016/j.ecoleng.2015.12.039</v>
      </c>
      <c r="AM819" s="5">
        <v>33</v>
      </c>
      <c r="AN819" s="5">
        <v>39</v>
      </c>
      <c r="AO819" s="5">
        <v>88</v>
      </c>
      <c r="AP819" s="5" t="s">
        <v>16</v>
      </c>
      <c r="AQ819" s="5">
        <v>256</v>
      </c>
      <c r="AR819" s="5">
        <v>264</v>
      </c>
      <c r="AS819" s="5" t="s">
        <v>16</v>
      </c>
      <c r="AT819" s="5" t="s">
        <v>4906</v>
      </c>
      <c r="AU819" s="5" t="s">
        <v>4907</v>
      </c>
      <c r="AV819" s="5" t="s">
        <v>4909</v>
      </c>
    </row>
    <row r="820" spans="1:48" ht="45" customHeight="1" x14ac:dyDescent="0.15">
      <c r="A820" s="5" t="s">
        <v>4910</v>
      </c>
      <c r="B820" s="5">
        <v>2010</v>
      </c>
      <c r="C820" s="5" t="s">
        <v>4911</v>
      </c>
      <c r="D820" s="5" t="s">
        <v>3183</v>
      </c>
      <c r="E820" s="5" t="s">
        <v>18453</v>
      </c>
      <c r="F820" s="5" t="s">
        <v>4914</v>
      </c>
      <c r="G820" s="5"/>
      <c r="H820" s="5"/>
      <c r="I820" s="5"/>
      <c r="J820" s="5"/>
      <c r="K820" s="5"/>
      <c r="L820" s="5"/>
      <c r="M820" s="5"/>
      <c r="N820" s="5"/>
      <c r="O820" s="5"/>
      <c r="P820" s="5"/>
      <c r="Q820" s="5"/>
      <c r="AL820" s="7" t="str">
        <f>HYPERLINK("http://dx.doi.org/10.1016/j.pedobi.2009.12.002","http://dx.doi.org/10.1016/j.pedobi.2009.12.002")</f>
        <v>http://dx.doi.org/10.1016/j.pedobi.2009.12.002</v>
      </c>
      <c r="AM820" s="5">
        <v>16</v>
      </c>
      <c r="AN820" s="5">
        <v>17</v>
      </c>
      <c r="AO820" s="5">
        <v>53</v>
      </c>
      <c r="AP820" s="5">
        <v>4</v>
      </c>
      <c r="AQ820" s="5">
        <v>221</v>
      </c>
      <c r="AR820" s="5">
        <v>225</v>
      </c>
      <c r="AS820" s="5" t="s">
        <v>16</v>
      </c>
      <c r="AT820" s="5" t="s">
        <v>4912</v>
      </c>
      <c r="AU820" s="5" t="s">
        <v>4913</v>
      </c>
      <c r="AV820" s="5" t="s">
        <v>4915</v>
      </c>
    </row>
    <row r="821" spans="1:48" ht="45" customHeight="1" x14ac:dyDescent="0.15">
      <c r="A821" s="5" t="s">
        <v>4916</v>
      </c>
      <c r="B821" s="5">
        <v>2010</v>
      </c>
      <c r="C821" s="5" t="s">
        <v>4917</v>
      </c>
      <c r="D821" s="5" t="s">
        <v>2087</v>
      </c>
      <c r="E821" s="5" t="s">
        <v>18453</v>
      </c>
      <c r="F821" s="5" t="s">
        <v>4920</v>
      </c>
      <c r="G821" s="5"/>
      <c r="H821" s="5"/>
      <c r="I821" s="5"/>
      <c r="J821" s="5"/>
      <c r="K821" s="5"/>
      <c r="L821" s="5"/>
      <c r="M821" s="5"/>
      <c r="N821" s="5"/>
      <c r="O821" s="5"/>
      <c r="P821" s="5"/>
      <c r="Q821" s="5"/>
      <c r="AL821" s="7" t="str">
        <f>HYPERLINK("http://dx.doi.org/10.1002/eco.113","http://dx.doi.org/10.1002/eco.113")</f>
        <v>http://dx.doi.org/10.1002/eco.113</v>
      </c>
      <c r="AM821" s="5">
        <v>45</v>
      </c>
      <c r="AN821" s="5">
        <v>46</v>
      </c>
      <c r="AO821" s="5">
        <v>3</v>
      </c>
      <c r="AP821" s="5">
        <v>3</v>
      </c>
      <c r="AQ821" s="5">
        <v>325</v>
      </c>
      <c r="AR821" s="5">
        <v>338</v>
      </c>
      <c r="AS821" s="5" t="s">
        <v>16</v>
      </c>
      <c r="AT821" s="5" t="s">
        <v>4918</v>
      </c>
      <c r="AU821" s="5" t="s">
        <v>4919</v>
      </c>
      <c r="AV821" s="5" t="s">
        <v>4921</v>
      </c>
    </row>
    <row r="822" spans="1:48" ht="45" customHeight="1" x14ac:dyDescent="0.15">
      <c r="A822" s="5" t="s">
        <v>4922</v>
      </c>
      <c r="B822" s="5">
        <v>2010</v>
      </c>
      <c r="C822" s="5" t="s">
        <v>4923</v>
      </c>
      <c r="D822" s="5" t="s">
        <v>49</v>
      </c>
      <c r="E822" s="5" t="s">
        <v>18453</v>
      </c>
      <c r="F822" s="5" t="s">
        <v>4926</v>
      </c>
      <c r="G822" s="5"/>
      <c r="H822" s="5"/>
      <c r="I822" s="5"/>
      <c r="J822" s="5"/>
      <c r="K822" s="5"/>
      <c r="L822" s="5"/>
      <c r="M822" s="5"/>
      <c r="N822" s="5"/>
      <c r="O822" s="5"/>
      <c r="P822" s="5"/>
      <c r="Q822" s="5"/>
      <c r="AL822" s="7" t="str">
        <f>HYPERLINK("http://dx.doi.org/10.3354/meps08677","http://dx.doi.org/10.3354/meps08677")</f>
        <v>http://dx.doi.org/10.3354/meps08677</v>
      </c>
      <c r="AM822" s="5">
        <v>15</v>
      </c>
      <c r="AN822" s="5">
        <v>15</v>
      </c>
      <c r="AO822" s="5">
        <v>411</v>
      </c>
      <c r="AP822" s="5" t="s">
        <v>16</v>
      </c>
      <c r="AQ822" s="5">
        <v>127</v>
      </c>
      <c r="AR822" s="5">
        <v>136</v>
      </c>
      <c r="AS822" s="5" t="s">
        <v>16</v>
      </c>
      <c r="AT822" s="5" t="s">
        <v>4924</v>
      </c>
      <c r="AU822" s="5" t="s">
        <v>4925</v>
      </c>
      <c r="AV822" s="5" t="s">
        <v>4927</v>
      </c>
    </row>
    <row r="823" spans="1:48" ht="45" customHeight="1" x14ac:dyDescent="0.15">
      <c r="A823" s="5" t="s">
        <v>4928</v>
      </c>
      <c r="B823" s="5">
        <v>2010</v>
      </c>
      <c r="C823" s="5" t="s">
        <v>4929</v>
      </c>
      <c r="D823" s="5" t="s">
        <v>49</v>
      </c>
      <c r="E823" s="5" t="s">
        <v>18453</v>
      </c>
      <c r="F823" s="5" t="s">
        <v>4932</v>
      </c>
      <c r="G823" s="5"/>
      <c r="H823" s="5"/>
      <c r="I823" s="5"/>
      <c r="J823" s="5"/>
      <c r="K823" s="5"/>
      <c r="L823" s="5"/>
      <c r="M823" s="5"/>
      <c r="N823" s="5"/>
      <c r="O823" s="5"/>
      <c r="P823" s="5"/>
      <c r="Q823" s="5"/>
      <c r="AL823" s="7" t="str">
        <f>HYPERLINK("http://dx.doi.org/10.3354/meps08799","http://dx.doi.org/10.3354/meps08799")</f>
        <v>http://dx.doi.org/10.3354/meps08799</v>
      </c>
      <c r="AM823" s="5">
        <v>7</v>
      </c>
      <c r="AN823" s="5">
        <v>7</v>
      </c>
      <c r="AO823" s="5">
        <v>417</v>
      </c>
      <c r="AP823" s="5" t="s">
        <v>16</v>
      </c>
      <c r="AQ823" s="5">
        <v>127</v>
      </c>
      <c r="AR823" s="5">
        <v>138</v>
      </c>
      <c r="AS823" s="5" t="s">
        <v>16</v>
      </c>
      <c r="AT823" s="5" t="s">
        <v>4930</v>
      </c>
      <c r="AU823" s="5" t="s">
        <v>4931</v>
      </c>
      <c r="AV823" s="5" t="s">
        <v>4933</v>
      </c>
    </row>
    <row r="824" spans="1:48" ht="45" customHeight="1" x14ac:dyDescent="0.15">
      <c r="A824" s="5" t="s">
        <v>4934</v>
      </c>
      <c r="B824" s="5">
        <v>2020</v>
      </c>
      <c r="C824" s="5" t="s">
        <v>4935</v>
      </c>
      <c r="D824" s="5" t="s">
        <v>973</v>
      </c>
      <c r="E824" s="5" t="s">
        <v>18453</v>
      </c>
      <c r="F824" s="5" t="s">
        <v>4937</v>
      </c>
      <c r="G824" s="5"/>
      <c r="H824" s="5"/>
      <c r="I824" s="5"/>
      <c r="J824" s="5"/>
      <c r="K824" s="5"/>
      <c r="L824" s="5"/>
      <c r="M824" s="5"/>
      <c r="N824" s="5"/>
      <c r="O824" s="5"/>
      <c r="P824" s="5"/>
      <c r="Q824" s="5"/>
      <c r="AL824" s="7" t="str">
        <f>HYPERLINK("http://dx.doi.org/10.5194/bg-17-4871-2020","http://dx.doi.org/10.5194/bg-17-4871-2020")</f>
        <v>http://dx.doi.org/10.5194/bg-17-4871-2020</v>
      </c>
      <c r="AM824" s="5">
        <v>7</v>
      </c>
      <c r="AN824" s="5">
        <v>7</v>
      </c>
      <c r="AO824" s="5">
        <v>17</v>
      </c>
      <c r="AP824" s="5">
        <v>19</v>
      </c>
      <c r="AQ824" s="5">
        <v>4871</v>
      </c>
      <c r="AR824" s="5">
        <v>4882</v>
      </c>
      <c r="AS824" s="5" t="s">
        <v>16</v>
      </c>
      <c r="AT824" s="5" t="s">
        <v>16</v>
      </c>
      <c r="AU824" s="5" t="s">
        <v>4936</v>
      </c>
      <c r="AV824" s="5" t="s">
        <v>4938</v>
      </c>
    </row>
    <row r="825" spans="1:48" ht="45" customHeight="1" x14ac:dyDescent="0.15">
      <c r="A825" s="5" t="s">
        <v>4939</v>
      </c>
      <c r="B825" s="5">
        <v>2023</v>
      </c>
      <c r="C825" s="5" t="s">
        <v>4940</v>
      </c>
      <c r="D825" s="5" t="s">
        <v>1419</v>
      </c>
      <c r="E825" s="5" t="s">
        <v>18453</v>
      </c>
      <c r="F825" s="5" t="s">
        <v>4943</v>
      </c>
      <c r="G825" s="5"/>
      <c r="H825" s="5"/>
      <c r="I825" s="5"/>
      <c r="J825" s="5"/>
      <c r="K825" s="5"/>
      <c r="L825" s="5"/>
      <c r="M825" s="5"/>
      <c r="N825" s="5"/>
      <c r="O825" s="5"/>
      <c r="P825" s="5"/>
      <c r="Q825" s="5"/>
      <c r="AL825" s="7" t="str">
        <f>HYPERLINK("http://dx.doi.org/10.1016/j.fooweb.2022.e00264","http://dx.doi.org/10.1016/j.fooweb.2022.e00264")</f>
        <v>http://dx.doi.org/10.1016/j.fooweb.2022.e00264</v>
      </c>
      <c r="AM825" s="5">
        <v>2</v>
      </c>
      <c r="AN825" s="5">
        <v>2</v>
      </c>
      <c r="AO825" s="5">
        <v>34</v>
      </c>
      <c r="AP825" s="5" t="s">
        <v>16</v>
      </c>
      <c r="AQ825" s="5" t="s">
        <v>16</v>
      </c>
      <c r="AR825" s="5" t="s">
        <v>16</v>
      </c>
      <c r="AS825" s="5" t="s">
        <v>4944</v>
      </c>
      <c r="AT825" s="5" t="s">
        <v>4941</v>
      </c>
      <c r="AU825" s="5" t="s">
        <v>4942</v>
      </c>
      <c r="AV825" s="5" t="s">
        <v>4945</v>
      </c>
    </row>
    <row r="826" spans="1:48" ht="45" customHeight="1" x14ac:dyDescent="0.15">
      <c r="A826" s="5" t="s">
        <v>4946</v>
      </c>
      <c r="B826" s="5">
        <v>2022</v>
      </c>
      <c r="C826" s="5" t="s">
        <v>4947</v>
      </c>
      <c r="D826" s="5" t="s">
        <v>212</v>
      </c>
      <c r="E826" s="5" t="s">
        <v>18453</v>
      </c>
      <c r="F826" s="5" t="s">
        <v>4950</v>
      </c>
      <c r="G826" s="5"/>
      <c r="H826" s="5"/>
      <c r="I826" s="5"/>
      <c r="J826" s="5"/>
      <c r="K826" s="5"/>
      <c r="L826" s="5"/>
      <c r="M826" s="5"/>
      <c r="N826" s="5"/>
      <c r="O826" s="5"/>
      <c r="P826" s="5"/>
      <c r="Q826" s="5"/>
      <c r="AL826" s="7" t="str">
        <f>HYPERLINK("http://dx.doi.org/10.1007/s00300-021-02999-x","http://dx.doi.org/10.1007/s00300-021-02999-x")</f>
        <v>http://dx.doi.org/10.1007/s00300-021-02999-x</v>
      </c>
      <c r="AM826" s="5">
        <v>1</v>
      </c>
      <c r="AN826" s="5">
        <v>1</v>
      </c>
      <c r="AO826" s="5">
        <v>45</v>
      </c>
      <c r="AP826" s="5">
        <v>3</v>
      </c>
      <c r="AQ826" s="5">
        <v>465</v>
      </c>
      <c r="AR826" s="5">
        <v>480</v>
      </c>
      <c r="AS826" s="5" t="s">
        <v>16</v>
      </c>
      <c r="AT826" s="5" t="s">
        <v>4948</v>
      </c>
      <c r="AU826" s="5" t="s">
        <v>4949</v>
      </c>
      <c r="AV826" s="5" t="s">
        <v>4951</v>
      </c>
    </row>
    <row r="827" spans="1:48" ht="45" customHeight="1" x14ac:dyDescent="0.15">
      <c r="A827" s="5" t="s">
        <v>4952</v>
      </c>
      <c r="B827" s="5">
        <v>1999</v>
      </c>
      <c r="C827" s="5" t="s">
        <v>4953</v>
      </c>
      <c r="D827" s="5" t="s">
        <v>33</v>
      </c>
      <c r="E827" s="5" t="s">
        <v>18453</v>
      </c>
      <c r="F827" s="5" t="s">
        <v>4956</v>
      </c>
      <c r="G827" s="5"/>
      <c r="H827" s="5"/>
      <c r="I827" s="5"/>
      <c r="J827" s="5"/>
      <c r="K827" s="5"/>
      <c r="L827" s="5"/>
      <c r="M827" s="5"/>
      <c r="N827" s="5"/>
      <c r="O827" s="5"/>
      <c r="P827" s="5"/>
      <c r="Q827" s="5"/>
      <c r="AL827" s="7" t="str">
        <f>HYPERLINK("http://dx.doi.org/10.1046/j.1365-2486.1999.00211.x","http://dx.doi.org/10.1046/j.1365-2486.1999.00211.x")</f>
        <v>http://dx.doi.org/10.1046/j.1365-2486.1999.00211.x</v>
      </c>
      <c r="AM827" s="5">
        <v>131</v>
      </c>
      <c r="AN827" s="5">
        <v>171</v>
      </c>
      <c r="AO827" s="5">
        <v>5</v>
      </c>
      <c r="AP827" s="5">
        <v>2</v>
      </c>
      <c r="AQ827" s="5">
        <v>157</v>
      </c>
      <c r="AR827" s="5">
        <v>168</v>
      </c>
      <c r="AS827" s="5" t="s">
        <v>16</v>
      </c>
      <c r="AT827" s="5" t="s">
        <v>4954</v>
      </c>
      <c r="AU827" s="5" t="s">
        <v>4955</v>
      </c>
      <c r="AV827" s="5" t="s">
        <v>4957</v>
      </c>
    </row>
    <row r="828" spans="1:48" ht="45" customHeight="1" x14ac:dyDescent="0.15">
      <c r="A828" s="5" t="s">
        <v>4958</v>
      </c>
      <c r="B828" s="5">
        <v>2013</v>
      </c>
      <c r="C828" s="5" t="s">
        <v>4959</v>
      </c>
      <c r="D828" s="5" t="s">
        <v>160</v>
      </c>
      <c r="E828" s="5" t="s">
        <v>18453</v>
      </c>
      <c r="F828" s="5" t="s">
        <v>4962</v>
      </c>
      <c r="G828" s="5"/>
      <c r="H828" s="5"/>
      <c r="I828" s="5"/>
      <c r="J828" s="5"/>
      <c r="K828" s="5"/>
      <c r="L828" s="5"/>
      <c r="M828" s="5"/>
      <c r="N828" s="5"/>
      <c r="O828" s="5"/>
      <c r="P828" s="5"/>
      <c r="Q828" s="5"/>
      <c r="AL828" s="7" t="str">
        <f>HYPERLINK("http://dx.doi.org/10.1111/1365-2664.12083","http://dx.doi.org/10.1111/1365-2664.12083")</f>
        <v>http://dx.doi.org/10.1111/1365-2664.12083</v>
      </c>
      <c r="AM828" s="5">
        <v>37</v>
      </c>
      <c r="AN828" s="5">
        <v>38</v>
      </c>
      <c r="AO828" s="5">
        <v>50</v>
      </c>
      <c r="AP828" s="5">
        <v>3</v>
      </c>
      <c r="AQ828" s="5">
        <v>680</v>
      </c>
      <c r="AR828" s="5">
        <v>690</v>
      </c>
      <c r="AS828" s="5" t="s">
        <v>16</v>
      </c>
      <c r="AT828" s="5" t="s">
        <v>4960</v>
      </c>
      <c r="AU828" s="5" t="s">
        <v>4961</v>
      </c>
      <c r="AV828" s="5" t="s">
        <v>4963</v>
      </c>
    </row>
    <row r="829" spans="1:48" ht="45" customHeight="1" x14ac:dyDescent="0.15">
      <c r="A829" s="5" t="s">
        <v>4964</v>
      </c>
      <c r="B829" s="5">
        <v>2022</v>
      </c>
      <c r="C829" s="5" t="s">
        <v>4965</v>
      </c>
      <c r="D829" s="5" t="s">
        <v>1419</v>
      </c>
      <c r="E829" s="5" t="s">
        <v>18453</v>
      </c>
      <c r="F829" s="5" t="s">
        <v>4968</v>
      </c>
      <c r="G829" s="5"/>
      <c r="H829" s="5"/>
      <c r="I829" s="5"/>
      <c r="J829" s="5"/>
      <c r="K829" s="5"/>
      <c r="L829" s="5"/>
      <c r="M829" s="5"/>
      <c r="N829" s="5"/>
      <c r="O829" s="5"/>
      <c r="P829" s="5"/>
      <c r="Q829" s="5"/>
      <c r="AL829" s="7" t="str">
        <f>HYPERLINK("http://dx.doi.org/10.1016/j.fooweb.2022.e00220","http://dx.doi.org/10.1016/j.fooweb.2022.e00220")</f>
        <v>http://dx.doi.org/10.1016/j.fooweb.2022.e00220</v>
      </c>
      <c r="AM829" s="5">
        <v>1</v>
      </c>
      <c r="AN829" s="5">
        <v>1</v>
      </c>
      <c r="AO829" s="5">
        <v>31</v>
      </c>
      <c r="AP829" s="5" t="s">
        <v>16</v>
      </c>
      <c r="AQ829" s="5" t="s">
        <v>16</v>
      </c>
      <c r="AR829" s="5" t="s">
        <v>16</v>
      </c>
      <c r="AS829" s="5" t="s">
        <v>4969</v>
      </c>
      <c r="AT829" s="5" t="s">
        <v>4966</v>
      </c>
      <c r="AU829" s="5" t="s">
        <v>4967</v>
      </c>
      <c r="AV829" s="5" t="s">
        <v>4970</v>
      </c>
    </row>
    <row r="830" spans="1:48" ht="45" customHeight="1" x14ac:dyDescent="0.15">
      <c r="A830" s="5" t="s">
        <v>4971</v>
      </c>
      <c r="B830" s="5">
        <v>2022</v>
      </c>
      <c r="C830" s="5" t="s">
        <v>4972</v>
      </c>
      <c r="D830" s="5" t="s">
        <v>289</v>
      </c>
      <c r="E830" s="5" t="s">
        <v>18453</v>
      </c>
      <c r="F830" s="5" t="s">
        <v>4975</v>
      </c>
      <c r="G830" s="5"/>
      <c r="H830" s="5"/>
      <c r="I830" s="5"/>
      <c r="J830" s="5"/>
      <c r="K830" s="5"/>
      <c r="L830" s="5"/>
      <c r="M830" s="5"/>
      <c r="N830" s="5"/>
      <c r="O830" s="5"/>
      <c r="P830" s="5"/>
      <c r="Q830" s="5"/>
      <c r="AL830" s="7" t="str">
        <f>HYPERLINK("http://dx.doi.org/10.1111/1365-2745.13815","http://dx.doi.org/10.1111/1365-2745.13815")</f>
        <v>http://dx.doi.org/10.1111/1365-2745.13815</v>
      </c>
      <c r="AM830" s="5">
        <v>3</v>
      </c>
      <c r="AN830" s="5">
        <v>3</v>
      </c>
      <c r="AO830" s="5">
        <v>110</v>
      </c>
      <c r="AP830" s="5">
        <v>2</v>
      </c>
      <c r="AQ830" s="5">
        <v>479</v>
      </c>
      <c r="AR830" s="5">
        <v>493</v>
      </c>
      <c r="AS830" s="5" t="s">
        <v>16</v>
      </c>
      <c r="AT830" s="5" t="s">
        <v>4973</v>
      </c>
      <c r="AU830" s="5" t="s">
        <v>4974</v>
      </c>
      <c r="AV830" s="5" t="s">
        <v>4976</v>
      </c>
    </row>
    <row r="831" spans="1:48" ht="45" customHeight="1" x14ac:dyDescent="0.15">
      <c r="A831" s="5" t="s">
        <v>4977</v>
      </c>
      <c r="B831" s="5">
        <v>2016</v>
      </c>
      <c r="C831" s="5" t="s">
        <v>4978</v>
      </c>
      <c r="D831" s="5" t="s">
        <v>49</v>
      </c>
      <c r="E831" s="5" t="s">
        <v>18453</v>
      </c>
      <c r="F831" s="5" t="s">
        <v>4981</v>
      </c>
      <c r="G831" s="5"/>
      <c r="H831" s="5"/>
      <c r="I831" s="5"/>
      <c r="J831" s="5"/>
      <c r="K831" s="5"/>
      <c r="L831" s="5"/>
      <c r="M831" s="5"/>
      <c r="N831" s="5"/>
      <c r="O831" s="5"/>
      <c r="P831" s="5"/>
      <c r="Q831" s="5"/>
      <c r="AL831" s="7" t="str">
        <f>HYPERLINK("http://dx.doi.org/10.3354/meps11723","http://dx.doi.org/10.3354/meps11723")</f>
        <v>http://dx.doi.org/10.3354/meps11723</v>
      </c>
      <c r="AM831" s="5">
        <v>35</v>
      </c>
      <c r="AN831" s="5">
        <v>35</v>
      </c>
      <c r="AO831" s="5">
        <v>550</v>
      </c>
      <c r="AP831" s="5" t="s">
        <v>16</v>
      </c>
      <c r="AQ831" s="5">
        <v>163</v>
      </c>
      <c r="AR831" s="5">
        <v>174</v>
      </c>
      <c r="AS831" s="5" t="s">
        <v>16</v>
      </c>
      <c r="AT831" s="5" t="s">
        <v>4979</v>
      </c>
      <c r="AU831" s="5" t="s">
        <v>4980</v>
      </c>
      <c r="AV831" s="5" t="s">
        <v>4982</v>
      </c>
    </row>
    <row r="832" spans="1:48" ht="45" customHeight="1" x14ac:dyDescent="0.15">
      <c r="A832" s="5" t="s">
        <v>4983</v>
      </c>
      <c r="B832" s="5">
        <v>2017</v>
      </c>
      <c r="C832" s="5" t="s">
        <v>4984</v>
      </c>
      <c r="D832" s="5" t="s">
        <v>189</v>
      </c>
      <c r="E832" s="5" t="s">
        <v>18453</v>
      </c>
      <c r="F832" s="5" t="s">
        <v>4986</v>
      </c>
      <c r="G832" s="5"/>
      <c r="H832" s="5"/>
      <c r="I832" s="5"/>
      <c r="J832" s="5"/>
      <c r="K832" s="5"/>
      <c r="L832" s="5"/>
      <c r="M832" s="5"/>
      <c r="N832" s="5"/>
      <c r="O832" s="5"/>
      <c r="P832" s="5"/>
      <c r="Q832" s="5"/>
      <c r="AL832" s="7" t="str">
        <f>HYPERLINK("http://dx.doi.org/10.1111/ecog.02376","http://dx.doi.org/10.1111/ecog.02376")</f>
        <v>http://dx.doi.org/10.1111/ecog.02376</v>
      </c>
      <c r="AM832" s="5">
        <v>39</v>
      </c>
      <c r="AN832" s="5">
        <v>39</v>
      </c>
      <c r="AO832" s="5">
        <v>40</v>
      </c>
      <c r="AP832" s="5">
        <v>8</v>
      </c>
      <c r="AQ832" s="5">
        <v>901</v>
      </c>
      <c r="AR832" s="5">
        <v>912</v>
      </c>
      <c r="AS832" s="5" t="s">
        <v>16</v>
      </c>
      <c r="AT832" s="5" t="s">
        <v>16</v>
      </c>
      <c r="AU832" s="5" t="s">
        <v>4985</v>
      </c>
      <c r="AV832" s="5" t="s">
        <v>4987</v>
      </c>
    </row>
    <row r="833" spans="1:48" ht="45" customHeight="1" x14ac:dyDescent="0.15">
      <c r="A833" s="5" t="s">
        <v>4988</v>
      </c>
      <c r="B833" s="5">
        <v>2021</v>
      </c>
      <c r="C833" s="5" t="s">
        <v>4989</v>
      </c>
      <c r="D833" s="5" t="s">
        <v>189</v>
      </c>
      <c r="E833" s="5" t="s">
        <v>18453</v>
      </c>
      <c r="F833" s="5" t="s">
        <v>4992</v>
      </c>
      <c r="G833" s="5"/>
      <c r="H833" s="5"/>
      <c r="I833" s="5"/>
      <c r="J833" s="5"/>
      <c r="K833" s="5"/>
      <c r="L833" s="5"/>
      <c r="M833" s="5"/>
      <c r="N833" s="5"/>
      <c r="O833" s="5"/>
      <c r="P833" s="5"/>
      <c r="Q833" s="5"/>
      <c r="AL833" s="7" t="str">
        <f>HYPERLINK("http://dx.doi.org/10.1111/ecog.05606","http://dx.doi.org/10.1111/ecog.05606")</f>
        <v>http://dx.doi.org/10.1111/ecog.05606</v>
      </c>
      <c r="AM833" s="5">
        <v>2</v>
      </c>
      <c r="AN833" s="5">
        <v>2</v>
      </c>
      <c r="AO833" s="5">
        <v>44</v>
      </c>
      <c r="AP833" s="5">
        <v>9</v>
      </c>
      <c r="AQ833" s="5">
        <v>1270</v>
      </c>
      <c r="AR833" s="5">
        <v>1282</v>
      </c>
      <c r="AS833" s="5" t="s">
        <v>16</v>
      </c>
      <c r="AT833" s="5" t="s">
        <v>4990</v>
      </c>
      <c r="AU833" s="5" t="s">
        <v>4991</v>
      </c>
      <c r="AV833" s="5" t="s">
        <v>4993</v>
      </c>
    </row>
    <row r="834" spans="1:48" ht="45" customHeight="1" x14ac:dyDescent="0.15">
      <c r="A834" s="5" t="s">
        <v>4994</v>
      </c>
      <c r="B834" s="5">
        <v>2022</v>
      </c>
      <c r="C834" s="5" t="s">
        <v>4995</v>
      </c>
      <c r="D834" s="5" t="s">
        <v>33</v>
      </c>
      <c r="E834" s="5" t="s">
        <v>18453</v>
      </c>
      <c r="F834" s="5" t="s">
        <v>4998</v>
      </c>
      <c r="G834" s="5"/>
      <c r="H834" s="5"/>
      <c r="I834" s="5"/>
      <c r="J834" s="5"/>
      <c r="K834" s="5"/>
      <c r="L834" s="5"/>
      <c r="M834" s="5"/>
      <c r="N834" s="5"/>
      <c r="O834" s="5"/>
      <c r="P834" s="5"/>
      <c r="Q834" s="5"/>
      <c r="AL834" s="7" t="str">
        <f>HYPERLINK("http://dx.doi.org/10.1111/gcb.16306","http://dx.doi.org/10.1111/gcb.16306")</f>
        <v>http://dx.doi.org/10.1111/gcb.16306</v>
      </c>
      <c r="AM834" s="5">
        <v>5</v>
      </c>
      <c r="AN834" s="5">
        <v>5</v>
      </c>
      <c r="AO834" s="5">
        <v>28</v>
      </c>
      <c r="AP834" s="5">
        <v>18</v>
      </c>
      <c r="AQ834" s="5">
        <v>5480</v>
      </c>
      <c r="AR834" s="5">
        <v>5491</v>
      </c>
      <c r="AS834" s="5" t="s">
        <v>16</v>
      </c>
      <c r="AT834" s="5" t="s">
        <v>4996</v>
      </c>
      <c r="AU834" s="5" t="s">
        <v>4997</v>
      </c>
      <c r="AV834" s="5" t="s">
        <v>4999</v>
      </c>
    </row>
    <row r="835" spans="1:48" ht="45" customHeight="1" x14ac:dyDescent="0.15">
      <c r="A835" s="5" t="s">
        <v>5000</v>
      </c>
      <c r="B835" s="5">
        <v>2017</v>
      </c>
      <c r="C835" s="5" t="s">
        <v>5001</v>
      </c>
      <c r="D835" s="5" t="s">
        <v>18</v>
      </c>
      <c r="E835" s="5" t="s">
        <v>18453</v>
      </c>
      <c r="F835" s="5" t="s">
        <v>5004</v>
      </c>
      <c r="G835" s="5"/>
      <c r="H835" s="5"/>
      <c r="I835" s="5"/>
      <c r="J835" s="5"/>
      <c r="K835" s="5"/>
      <c r="L835" s="5"/>
      <c r="M835" s="5"/>
      <c r="N835" s="5"/>
      <c r="O835" s="5"/>
      <c r="P835" s="5"/>
      <c r="Q835" s="5"/>
      <c r="AL835" s="7" t="str">
        <f>HYPERLINK("http://dx.doi.org/10.1002/ecs2.1686","http://dx.doi.org/10.1002/ecs2.1686")</f>
        <v>http://dx.doi.org/10.1002/ecs2.1686</v>
      </c>
      <c r="AM835" s="5">
        <v>4</v>
      </c>
      <c r="AN835" s="5">
        <v>4</v>
      </c>
      <c r="AO835" s="5">
        <v>8</v>
      </c>
      <c r="AP835" s="5">
        <v>2</v>
      </c>
      <c r="AQ835" s="5" t="s">
        <v>16</v>
      </c>
      <c r="AR835" s="5" t="s">
        <v>16</v>
      </c>
      <c r="AS835" s="5" t="s">
        <v>5005</v>
      </c>
      <c r="AT835" s="5" t="s">
        <v>5002</v>
      </c>
      <c r="AU835" s="5" t="s">
        <v>5003</v>
      </c>
      <c r="AV835" s="5" t="s">
        <v>5006</v>
      </c>
    </row>
    <row r="836" spans="1:48" ht="45" customHeight="1" x14ac:dyDescent="0.15">
      <c r="A836" s="5" t="s">
        <v>5007</v>
      </c>
      <c r="B836" s="5">
        <v>2023</v>
      </c>
      <c r="C836" s="5" t="s">
        <v>5008</v>
      </c>
      <c r="D836" s="5" t="s">
        <v>172</v>
      </c>
      <c r="E836" s="5" t="s">
        <v>18453</v>
      </c>
      <c r="F836" s="5" t="s">
        <v>5011</v>
      </c>
      <c r="G836" s="5"/>
      <c r="H836" s="5"/>
      <c r="I836" s="5"/>
      <c r="J836" s="5"/>
      <c r="K836" s="5"/>
      <c r="L836" s="5"/>
      <c r="M836" s="5"/>
      <c r="N836" s="5"/>
      <c r="O836" s="5"/>
      <c r="P836" s="5"/>
      <c r="Q836" s="5"/>
      <c r="AL836" s="7" t="str">
        <f>HYPERLINK("http://dx.doi.org/10.1007/s00442-023-05390-1","http://dx.doi.org/10.1007/s00442-023-05390-1")</f>
        <v>http://dx.doi.org/10.1007/s00442-023-05390-1</v>
      </c>
      <c r="AM836" s="5">
        <v>0</v>
      </c>
      <c r="AN836" s="5">
        <v>0</v>
      </c>
      <c r="AO836" s="5">
        <v>202</v>
      </c>
      <c r="AP836" s="5">
        <v>2</v>
      </c>
      <c r="AQ836" s="5">
        <v>353</v>
      </c>
      <c r="AR836" s="5">
        <v>368</v>
      </c>
      <c r="AS836" s="5" t="s">
        <v>16</v>
      </c>
      <c r="AT836" s="5" t="s">
        <v>5009</v>
      </c>
      <c r="AU836" s="5" t="s">
        <v>5010</v>
      </c>
      <c r="AV836" s="5" t="s">
        <v>5012</v>
      </c>
    </row>
    <row r="837" spans="1:48" ht="45" customHeight="1" x14ac:dyDescent="0.15">
      <c r="A837" s="5" t="s">
        <v>5013</v>
      </c>
      <c r="B837" s="5">
        <v>2017</v>
      </c>
      <c r="C837" s="5" t="s">
        <v>5014</v>
      </c>
      <c r="D837" s="5" t="s">
        <v>33</v>
      </c>
      <c r="E837" s="5" t="s">
        <v>18453</v>
      </c>
      <c r="F837" s="5" t="s">
        <v>5017</v>
      </c>
      <c r="G837" s="5"/>
      <c r="H837" s="5"/>
      <c r="I837" s="5"/>
      <c r="J837" s="5"/>
      <c r="K837" s="5"/>
      <c r="L837" s="5"/>
      <c r="M837" s="5"/>
      <c r="N837" s="5"/>
      <c r="O837" s="5"/>
      <c r="P837" s="5"/>
      <c r="Q837" s="5"/>
      <c r="AL837" s="7" t="str">
        <f>HYPERLINK("http://dx.doi.org/10.1111/gcb.13373","http://dx.doi.org/10.1111/gcb.13373")</f>
        <v>http://dx.doi.org/10.1111/gcb.13373</v>
      </c>
      <c r="AM837" s="5">
        <v>31</v>
      </c>
      <c r="AN837" s="5">
        <v>33</v>
      </c>
      <c r="AO837" s="5">
        <v>23</v>
      </c>
      <c r="AP837" s="5">
        <v>1</v>
      </c>
      <c r="AQ837" s="5">
        <v>68</v>
      </c>
      <c r="AR837" s="5">
        <v>76</v>
      </c>
      <c r="AS837" s="5" t="s">
        <v>16</v>
      </c>
      <c r="AT837" s="5" t="s">
        <v>5015</v>
      </c>
      <c r="AU837" s="5" t="s">
        <v>5016</v>
      </c>
      <c r="AV837" s="5" t="s">
        <v>5018</v>
      </c>
    </row>
    <row r="838" spans="1:48" ht="45" customHeight="1" x14ac:dyDescent="0.15">
      <c r="A838" s="5" t="s">
        <v>5019</v>
      </c>
      <c r="B838" s="5">
        <v>2017</v>
      </c>
      <c r="C838" s="5" t="s">
        <v>5020</v>
      </c>
      <c r="D838" s="5" t="s">
        <v>15</v>
      </c>
      <c r="E838" s="5" t="s">
        <v>18453</v>
      </c>
      <c r="F838" s="5" t="s">
        <v>5023</v>
      </c>
      <c r="G838" s="5"/>
      <c r="H838" s="5"/>
      <c r="I838" s="5"/>
      <c r="J838" s="5"/>
      <c r="K838" s="5"/>
      <c r="L838" s="5"/>
      <c r="M838" s="5"/>
      <c r="N838" s="5"/>
      <c r="O838" s="5"/>
      <c r="P838" s="5"/>
      <c r="Q838" s="5"/>
      <c r="AL838" s="7" t="str">
        <f>HYPERLINK("http://dx.doi.org/10.1002/ece3.3410","http://dx.doi.org/10.1002/ece3.3410")</f>
        <v>http://dx.doi.org/10.1002/ece3.3410</v>
      </c>
      <c r="AM838" s="5">
        <v>12</v>
      </c>
      <c r="AN838" s="5">
        <v>12</v>
      </c>
      <c r="AO838" s="5">
        <v>7</v>
      </c>
      <c r="AP838" s="5">
        <v>21</v>
      </c>
      <c r="AQ838" s="5">
        <v>8742</v>
      </c>
      <c r="AR838" s="5">
        <v>8752</v>
      </c>
      <c r="AS838" s="5" t="s">
        <v>16</v>
      </c>
      <c r="AT838" s="5" t="s">
        <v>5021</v>
      </c>
      <c r="AU838" s="5" t="s">
        <v>5022</v>
      </c>
      <c r="AV838" s="5" t="s">
        <v>5024</v>
      </c>
    </row>
    <row r="839" spans="1:48" ht="45" customHeight="1" x14ac:dyDescent="0.15">
      <c r="A839" s="5" t="s">
        <v>5025</v>
      </c>
      <c r="B839" s="5">
        <v>2021</v>
      </c>
      <c r="C839" s="5" t="s">
        <v>5026</v>
      </c>
      <c r="D839" s="5" t="s">
        <v>1257</v>
      </c>
      <c r="E839" s="5" t="s">
        <v>18453</v>
      </c>
      <c r="F839" s="5" t="s">
        <v>5029</v>
      </c>
      <c r="G839" s="5"/>
      <c r="H839" s="5"/>
      <c r="I839" s="5"/>
      <c r="J839" s="5"/>
      <c r="K839" s="5"/>
      <c r="L839" s="5"/>
      <c r="M839" s="5"/>
      <c r="N839" s="5"/>
      <c r="O839" s="5"/>
      <c r="P839" s="5"/>
      <c r="Q839" s="5"/>
      <c r="AL839" s="7" t="str">
        <f>HYPERLINK("http://dx.doi.org/10.3389/ffgc.2021.662801","http://dx.doi.org/10.3389/ffgc.2021.662801")</f>
        <v>http://dx.doi.org/10.3389/ffgc.2021.662801</v>
      </c>
      <c r="AM839" s="5">
        <v>3</v>
      </c>
      <c r="AN839" s="5">
        <v>3</v>
      </c>
      <c r="AO839" s="5">
        <v>4</v>
      </c>
      <c r="AP839" s="5" t="s">
        <v>16</v>
      </c>
      <c r="AQ839" s="5" t="s">
        <v>16</v>
      </c>
      <c r="AR839" s="5" t="s">
        <v>16</v>
      </c>
      <c r="AS839" s="5">
        <v>662801</v>
      </c>
      <c r="AT839" s="5" t="s">
        <v>5027</v>
      </c>
      <c r="AU839" s="5" t="s">
        <v>5028</v>
      </c>
      <c r="AV839" s="5" t="s">
        <v>5030</v>
      </c>
    </row>
    <row r="840" spans="1:48" ht="45" customHeight="1" x14ac:dyDescent="0.15">
      <c r="A840" s="5" t="s">
        <v>5031</v>
      </c>
      <c r="B840" s="5">
        <v>2020</v>
      </c>
      <c r="C840" s="5" t="s">
        <v>5032</v>
      </c>
      <c r="D840" s="5" t="s">
        <v>1765</v>
      </c>
      <c r="E840" s="5" t="s">
        <v>18453</v>
      </c>
      <c r="F840" s="5" t="s">
        <v>5035</v>
      </c>
      <c r="G840" s="5"/>
      <c r="H840" s="5"/>
      <c r="I840" s="5"/>
      <c r="J840" s="5"/>
      <c r="K840" s="5"/>
      <c r="L840" s="5"/>
      <c r="M840" s="5"/>
      <c r="N840" s="5"/>
      <c r="O840" s="5"/>
      <c r="P840" s="5"/>
      <c r="Q840" s="5"/>
      <c r="AL840" s="7" t="str">
        <f>HYPERLINK("http://dx.doi.org/10.1016/j.agee.2020.107089","http://dx.doi.org/10.1016/j.agee.2020.107089")</f>
        <v>http://dx.doi.org/10.1016/j.agee.2020.107089</v>
      </c>
      <c r="AM840" s="5">
        <v>21</v>
      </c>
      <c r="AN840" s="5">
        <v>25</v>
      </c>
      <c r="AO840" s="5">
        <v>303</v>
      </c>
      <c r="AP840" s="5" t="s">
        <v>16</v>
      </c>
      <c r="AQ840" s="5" t="s">
        <v>16</v>
      </c>
      <c r="AR840" s="5" t="s">
        <v>16</v>
      </c>
      <c r="AS840" s="5">
        <v>107089</v>
      </c>
      <c r="AT840" s="5" t="s">
        <v>5033</v>
      </c>
      <c r="AU840" s="5" t="s">
        <v>5034</v>
      </c>
      <c r="AV840" s="5" t="s">
        <v>5036</v>
      </c>
    </row>
    <row r="841" spans="1:48" ht="45" customHeight="1" x14ac:dyDescent="0.15">
      <c r="A841" s="5" t="s">
        <v>5037</v>
      </c>
      <c r="B841" s="5">
        <v>2020</v>
      </c>
      <c r="C841" s="5" t="s">
        <v>5038</v>
      </c>
      <c r="D841" s="5" t="s">
        <v>27</v>
      </c>
      <c r="E841" s="5" t="s">
        <v>18453</v>
      </c>
      <c r="F841" s="5" t="s">
        <v>5041</v>
      </c>
      <c r="G841" s="5"/>
      <c r="H841" s="5"/>
      <c r="I841" s="5"/>
      <c r="J841" s="5"/>
      <c r="K841" s="5"/>
      <c r="L841" s="5"/>
      <c r="M841" s="5"/>
      <c r="N841" s="5"/>
      <c r="O841" s="5"/>
      <c r="P841" s="5"/>
      <c r="Q841" s="5"/>
      <c r="AL841" s="7" t="str">
        <f>HYPERLINK("http://dx.doi.org/10.1002/ecy.3082","http://dx.doi.org/10.1002/ecy.3082")</f>
        <v>http://dx.doi.org/10.1002/ecy.3082</v>
      </c>
      <c r="AM841" s="5">
        <v>21</v>
      </c>
      <c r="AN841" s="5">
        <v>22</v>
      </c>
      <c r="AO841" s="5">
        <v>101</v>
      </c>
      <c r="AP841" s="5">
        <v>8</v>
      </c>
      <c r="AQ841" s="5" t="s">
        <v>16</v>
      </c>
      <c r="AR841" s="5" t="s">
        <v>16</v>
      </c>
      <c r="AS841" s="5" t="s">
        <v>16</v>
      </c>
      <c r="AT841" s="5" t="s">
        <v>5039</v>
      </c>
      <c r="AU841" s="5" t="s">
        <v>5040</v>
      </c>
      <c r="AV841" s="5" t="s">
        <v>5042</v>
      </c>
    </row>
    <row r="842" spans="1:48" ht="45" customHeight="1" x14ac:dyDescent="0.15">
      <c r="A842" s="5" t="s">
        <v>5043</v>
      </c>
      <c r="B842" s="5">
        <v>2015</v>
      </c>
      <c r="C842" s="5" t="s">
        <v>5044</v>
      </c>
      <c r="D842" s="5" t="s">
        <v>295</v>
      </c>
      <c r="E842" s="5" t="s">
        <v>18453</v>
      </c>
      <c r="F842" s="5" t="s">
        <v>5047</v>
      </c>
      <c r="G842" s="5"/>
      <c r="H842" s="5"/>
      <c r="I842" s="5"/>
      <c r="J842" s="5"/>
      <c r="K842" s="5"/>
      <c r="L842" s="5"/>
      <c r="M842" s="5"/>
      <c r="N842" s="5"/>
      <c r="O842" s="5"/>
      <c r="P842" s="5"/>
      <c r="Q842" s="5"/>
      <c r="AL842" s="7" t="str">
        <f>HYPERLINK("http://dx.doi.org/10.1016/j.jembe.2014.11.002","http://dx.doi.org/10.1016/j.jembe.2014.11.002")</f>
        <v>http://dx.doi.org/10.1016/j.jembe.2014.11.002</v>
      </c>
      <c r="AM842" s="5">
        <v>10</v>
      </c>
      <c r="AN842" s="5">
        <v>10</v>
      </c>
      <c r="AO842" s="5">
        <v>463</v>
      </c>
      <c r="AP842" s="5" t="s">
        <v>16</v>
      </c>
      <c r="AQ842" s="5">
        <v>49</v>
      </c>
      <c r="AR842" s="5">
        <v>56</v>
      </c>
      <c r="AS842" s="5" t="s">
        <v>16</v>
      </c>
      <c r="AT842" s="5" t="s">
        <v>5045</v>
      </c>
      <c r="AU842" s="5" t="s">
        <v>5046</v>
      </c>
      <c r="AV842" s="5" t="s">
        <v>5048</v>
      </c>
    </row>
    <row r="843" spans="1:48" ht="45" customHeight="1" x14ac:dyDescent="0.15">
      <c r="A843" s="5" t="s">
        <v>5049</v>
      </c>
      <c r="B843" s="5">
        <v>2017</v>
      </c>
      <c r="C843" s="5" t="s">
        <v>5050</v>
      </c>
      <c r="D843" s="5" t="s">
        <v>15</v>
      </c>
      <c r="E843" s="5" t="s">
        <v>18453</v>
      </c>
      <c r="F843" s="5" t="s">
        <v>5053</v>
      </c>
      <c r="G843" s="5"/>
      <c r="H843" s="5"/>
      <c r="I843" s="5"/>
      <c r="J843" s="5"/>
      <c r="K843" s="5"/>
      <c r="L843" s="5"/>
      <c r="M843" s="5"/>
      <c r="N843" s="5"/>
      <c r="O843" s="5"/>
      <c r="P843" s="5"/>
      <c r="Q843" s="5"/>
      <c r="AL843" s="7" t="str">
        <f>HYPERLINK("http://dx.doi.org/10.1002/ece3.2951","http://dx.doi.org/10.1002/ece3.2951")</f>
        <v>http://dx.doi.org/10.1002/ece3.2951</v>
      </c>
      <c r="AM843" s="5">
        <v>53</v>
      </c>
      <c r="AN843" s="5">
        <v>54</v>
      </c>
      <c r="AO843" s="5">
        <v>7</v>
      </c>
      <c r="AP843" s="5">
        <v>10</v>
      </c>
      <c r="AQ843" s="5">
        <v>3532</v>
      </c>
      <c r="AR843" s="5">
        <v>3541</v>
      </c>
      <c r="AS843" s="5" t="s">
        <v>16</v>
      </c>
      <c r="AT843" s="5" t="s">
        <v>5051</v>
      </c>
      <c r="AU843" s="5" t="s">
        <v>5052</v>
      </c>
      <c r="AV843" s="5" t="s">
        <v>5054</v>
      </c>
    </row>
    <row r="844" spans="1:48" ht="45" customHeight="1" x14ac:dyDescent="0.15">
      <c r="A844" s="5" t="s">
        <v>5055</v>
      </c>
      <c r="B844" s="5">
        <v>2020</v>
      </c>
      <c r="C844" s="5" t="s">
        <v>5056</v>
      </c>
      <c r="D844" s="5" t="s">
        <v>49</v>
      </c>
      <c r="E844" s="5" t="s">
        <v>18453</v>
      </c>
      <c r="F844" s="5" t="s">
        <v>5059</v>
      </c>
      <c r="G844" s="5"/>
      <c r="H844" s="5"/>
      <c r="I844" s="5"/>
      <c r="J844" s="5"/>
      <c r="K844" s="5"/>
      <c r="L844" s="5"/>
      <c r="M844" s="5"/>
      <c r="N844" s="5"/>
      <c r="O844" s="5"/>
      <c r="P844" s="5"/>
      <c r="Q844" s="5"/>
      <c r="AL844" s="7" t="str">
        <f>HYPERLINK("http://dx.doi.org/10.3354/meps13360","http://dx.doi.org/10.3354/meps13360")</f>
        <v>http://dx.doi.org/10.3354/meps13360</v>
      </c>
      <c r="AM844" s="5">
        <v>8</v>
      </c>
      <c r="AN844" s="5">
        <v>8</v>
      </c>
      <c r="AO844" s="5">
        <v>645</v>
      </c>
      <c r="AP844" s="5" t="s">
        <v>16</v>
      </c>
      <c r="AQ844" s="5">
        <v>159</v>
      </c>
      <c r="AR844" s="5">
        <v>170</v>
      </c>
      <c r="AS844" s="5" t="s">
        <v>16</v>
      </c>
      <c r="AT844" s="5" t="s">
        <v>5057</v>
      </c>
      <c r="AU844" s="5" t="s">
        <v>5058</v>
      </c>
      <c r="AV844" s="5" t="s">
        <v>5060</v>
      </c>
    </row>
    <row r="845" spans="1:48" ht="45" customHeight="1" x14ac:dyDescent="0.15">
      <c r="A845" s="5" t="s">
        <v>5061</v>
      </c>
      <c r="B845" s="5">
        <v>2016</v>
      </c>
      <c r="C845" s="5" t="s">
        <v>5062</v>
      </c>
      <c r="D845" s="5" t="s">
        <v>295</v>
      </c>
      <c r="E845" s="5" t="s">
        <v>18453</v>
      </c>
      <c r="F845" s="5" t="s">
        <v>5065</v>
      </c>
      <c r="G845" s="5"/>
      <c r="H845" s="5"/>
      <c r="I845" s="5"/>
      <c r="J845" s="5"/>
      <c r="K845" s="5"/>
      <c r="L845" s="5"/>
      <c r="M845" s="5"/>
      <c r="N845" s="5"/>
      <c r="O845" s="5"/>
      <c r="P845" s="5"/>
      <c r="Q845" s="5"/>
      <c r="AL845" s="7" t="str">
        <f>HYPERLINK("http://dx.doi.org/10.1016/j.jembe.2015.10.003","http://dx.doi.org/10.1016/j.jembe.2015.10.003")</f>
        <v>http://dx.doi.org/10.1016/j.jembe.2015.10.003</v>
      </c>
      <c r="AM845" s="5">
        <v>10</v>
      </c>
      <c r="AN845" s="5">
        <v>12</v>
      </c>
      <c r="AO845" s="5">
        <v>474</v>
      </c>
      <c r="AP845" s="5" t="s">
        <v>16</v>
      </c>
      <c r="AQ845" s="5">
        <v>46</v>
      </c>
      <c r="AR845" s="5">
        <v>53</v>
      </c>
      <c r="AS845" s="5" t="s">
        <v>16</v>
      </c>
      <c r="AT845" s="5" t="s">
        <v>5063</v>
      </c>
      <c r="AU845" s="5" t="s">
        <v>5064</v>
      </c>
      <c r="AV845" s="5" t="s">
        <v>5066</v>
      </c>
    </row>
    <row r="846" spans="1:48" ht="45" customHeight="1" x14ac:dyDescent="0.15">
      <c r="A846" s="5" t="s">
        <v>5067</v>
      </c>
      <c r="B846" s="5">
        <v>2013</v>
      </c>
      <c r="C846" s="5" t="s">
        <v>5068</v>
      </c>
      <c r="D846" s="5" t="s">
        <v>49</v>
      </c>
      <c r="E846" s="5" t="s">
        <v>18453</v>
      </c>
      <c r="F846" s="5" t="s">
        <v>5071</v>
      </c>
      <c r="G846" s="5"/>
      <c r="H846" s="5"/>
      <c r="I846" s="5"/>
      <c r="J846" s="5"/>
      <c r="K846" s="5"/>
      <c r="L846" s="5"/>
      <c r="M846" s="5"/>
      <c r="N846" s="5"/>
      <c r="O846" s="5"/>
      <c r="P846" s="5"/>
      <c r="Q846" s="5"/>
      <c r="AL846" s="7" t="str">
        <f>HYPERLINK("http://dx.doi.org/10.3354/meps10478","http://dx.doi.org/10.3354/meps10478")</f>
        <v>http://dx.doi.org/10.3354/meps10478</v>
      </c>
      <c r="AM846" s="5">
        <v>38</v>
      </c>
      <c r="AN846" s="5">
        <v>38</v>
      </c>
      <c r="AO846" s="5">
        <v>492</v>
      </c>
      <c r="AP846" s="5" t="s">
        <v>16</v>
      </c>
      <c r="AQ846" s="5">
        <v>185</v>
      </c>
      <c r="AR846" s="5" t="s">
        <v>260</v>
      </c>
      <c r="AS846" s="5" t="s">
        <v>16</v>
      </c>
      <c r="AT846" s="5" t="s">
        <v>5069</v>
      </c>
      <c r="AU846" s="5" t="s">
        <v>5070</v>
      </c>
      <c r="AV846" s="5" t="s">
        <v>5072</v>
      </c>
    </row>
    <row r="847" spans="1:48" ht="45" customHeight="1" x14ac:dyDescent="0.15">
      <c r="A847" s="5" t="s">
        <v>5073</v>
      </c>
      <c r="B847" s="5">
        <v>2009</v>
      </c>
      <c r="C847" s="5" t="s">
        <v>5074</v>
      </c>
      <c r="D847" s="5" t="s">
        <v>312</v>
      </c>
      <c r="E847" s="5" t="s">
        <v>18453</v>
      </c>
      <c r="F847" s="5" t="s">
        <v>5077</v>
      </c>
      <c r="G847" s="5"/>
      <c r="H847" s="5"/>
      <c r="I847" s="5"/>
      <c r="J847" s="5"/>
      <c r="K847" s="5"/>
      <c r="L847" s="5"/>
      <c r="M847" s="5"/>
      <c r="N847" s="5"/>
      <c r="O847" s="5"/>
      <c r="P847" s="5"/>
      <c r="Q847" s="5"/>
      <c r="AL847" s="7" t="str">
        <f>HYPERLINK("http://dx.doi.org/10.1016/j.ecolmodel.2008.12.003","http://dx.doi.org/10.1016/j.ecolmodel.2008.12.003")</f>
        <v>http://dx.doi.org/10.1016/j.ecolmodel.2008.12.003</v>
      </c>
      <c r="AM847" s="5">
        <v>48</v>
      </c>
      <c r="AN847" s="5">
        <v>52</v>
      </c>
      <c r="AO847" s="5">
        <v>220</v>
      </c>
      <c r="AP847" s="5">
        <v>21</v>
      </c>
      <c r="AQ847" s="5">
        <v>2899</v>
      </c>
      <c r="AR847" s="5">
        <v>2907</v>
      </c>
      <c r="AS847" s="5" t="s">
        <v>16</v>
      </c>
      <c r="AT847" s="5" t="s">
        <v>5075</v>
      </c>
      <c r="AU847" s="5" t="s">
        <v>5076</v>
      </c>
      <c r="AV847" s="5" t="s">
        <v>5078</v>
      </c>
    </row>
    <row r="848" spans="1:48" ht="45" customHeight="1" x14ac:dyDescent="0.15">
      <c r="A848" s="5" t="s">
        <v>5079</v>
      </c>
      <c r="B848" s="5">
        <v>2023</v>
      </c>
      <c r="C848" s="5" t="s">
        <v>5080</v>
      </c>
      <c r="D848" s="5" t="s">
        <v>162</v>
      </c>
      <c r="E848" s="5" t="s">
        <v>18453</v>
      </c>
      <c r="F848" s="5" t="s">
        <v>5083</v>
      </c>
      <c r="G848" s="5"/>
      <c r="H848" s="5"/>
      <c r="I848" s="5"/>
      <c r="J848" s="5"/>
      <c r="K848" s="5"/>
      <c r="L848" s="5"/>
      <c r="M848" s="5"/>
      <c r="N848" s="5"/>
      <c r="O848" s="5"/>
      <c r="P848" s="5"/>
      <c r="Q848" s="5"/>
      <c r="AL848" s="7" t="str">
        <f>HYPERLINK("http://dx.doi.org/10.1111/1365-2435.14276","http://dx.doi.org/10.1111/1365-2435.14276")</f>
        <v>http://dx.doi.org/10.1111/1365-2435.14276</v>
      </c>
      <c r="AM848" s="5">
        <v>0</v>
      </c>
      <c r="AN848" s="5">
        <v>0</v>
      </c>
      <c r="AO848" s="5">
        <v>37</v>
      </c>
      <c r="AP848" s="5">
        <v>3</v>
      </c>
      <c r="AQ848" s="5">
        <v>614</v>
      </c>
      <c r="AR848" s="5">
        <v>624</v>
      </c>
      <c r="AS848" s="5" t="s">
        <v>16</v>
      </c>
      <c r="AT848" s="5" t="s">
        <v>5081</v>
      </c>
      <c r="AU848" s="5" t="s">
        <v>5082</v>
      </c>
      <c r="AV848" s="5" t="s">
        <v>5084</v>
      </c>
    </row>
    <row r="849" spans="1:48" ht="45" customHeight="1" x14ac:dyDescent="0.15">
      <c r="A849" s="5" t="s">
        <v>5085</v>
      </c>
      <c r="B849" s="5">
        <v>2020</v>
      </c>
      <c r="C849" s="5" t="s">
        <v>5086</v>
      </c>
      <c r="D849" s="5" t="s">
        <v>973</v>
      </c>
      <c r="E849" s="5" t="s">
        <v>18453</v>
      </c>
      <c r="F849" s="5" t="s">
        <v>5088</v>
      </c>
      <c r="G849" s="5"/>
      <c r="H849" s="5"/>
      <c r="I849" s="5"/>
      <c r="J849" s="5"/>
      <c r="K849" s="5"/>
      <c r="L849" s="5"/>
      <c r="M849" s="5"/>
      <c r="N849" s="5"/>
      <c r="O849" s="5"/>
      <c r="P849" s="5"/>
      <c r="Q849" s="5"/>
      <c r="AL849" s="7" t="str">
        <f>HYPERLINK("http://dx.doi.org/10.5194/bg-17-5149-2020","http://dx.doi.org/10.5194/bg-17-5149-2020")</f>
        <v>http://dx.doi.org/10.5194/bg-17-5149-2020</v>
      </c>
      <c r="AM849" s="5">
        <v>7</v>
      </c>
      <c r="AN849" s="5">
        <v>7</v>
      </c>
      <c r="AO849" s="5">
        <v>17</v>
      </c>
      <c r="AP849" s="5">
        <v>20</v>
      </c>
      <c r="AQ849" s="5">
        <v>5149</v>
      </c>
      <c r="AR849" s="5">
        <v>5161</v>
      </c>
      <c r="AS849" s="5" t="s">
        <v>16</v>
      </c>
      <c r="AT849" s="5" t="s">
        <v>16</v>
      </c>
      <c r="AU849" s="5" t="s">
        <v>5087</v>
      </c>
      <c r="AV849" s="5" t="s">
        <v>5089</v>
      </c>
    </row>
    <row r="850" spans="1:48" ht="45" customHeight="1" x14ac:dyDescent="0.15">
      <c r="A850" s="5" t="s">
        <v>5090</v>
      </c>
      <c r="B850" s="5">
        <v>1999</v>
      </c>
      <c r="C850" s="5" t="s">
        <v>5091</v>
      </c>
      <c r="D850" s="5" t="s">
        <v>2677</v>
      </c>
      <c r="E850" s="5" t="s">
        <v>18453</v>
      </c>
      <c r="F850" s="5" t="s">
        <v>5094</v>
      </c>
      <c r="G850" s="5"/>
      <c r="H850" s="5"/>
      <c r="I850" s="5"/>
      <c r="J850" s="5"/>
      <c r="K850" s="5"/>
      <c r="L850" s="5"/>
      <c r="M850" s="5"/>
      <c r="N850" s="5"/>
      <c r="O850" s="5"/>
      <c r="P850" s="5"/>
      <c r="Q850" s="5"/>
      <c r="AL850" s="5" t="s">
        <v>16</v>
      </c>
      <c r="AM850" s="5">
        <v>7</v>
      </c>
      <c r="AN850" s="5">
        <v>7</v>
      </c>
      <c r="AO850" s="5">
        <v>49</v>
      </c>
      <c r="AP850" s="5">
        <v>4</v>
      </c>
      <c r="AQ850" s="5">
        <v>221</v>
      </c>
      <c r="AR850" s="5">
        <v>228</v>
      </c>
      <c r="AS850" s="5" t="s">
        <v>16</v>
      </c>
      <c r="AT850" s="5" t="s">
        <v>5092</v>
      </c>
      <c r="AU850" s="5" t="s">
        <v>5093</v>
      </c>
      <c r="AV850" s="5" t="s">
        <v>16</v>
      </c>
    </row>
    <row r="851" spans="1:48" ht="45" customHeight="1" x14ac:dyDescent="0.15">
      <c r="A851" s="5" t="s">
        <v>5095</v>
      </c>
      <c r="B851" s="5">
        <v>2021</v>
      </c>
      <c r="C851" s="5" t="s">
        <v>5096</v>
      </c>
      <c r="D851" s="5" t="s">
        <v>1621</v>
      </c>
      <c r="E851" s="5" t="s">
        <v>18453</v>
      </c>
      <c r="F851" s="5" t="s">
        <v>5099</v>
      </c>
      <c r="G851" s="5"/>
      <c r="H851" s="5"/>
      <c r="I851" s="5"/>
      <c r="J851" s="5"/>
      <c r="K851" s="5"/>
      <c r="L851" s="5"/>
      <c r="M851" s="5"/>
      <c r="N851" s="5"/>
      <c r="O851" s="5"/>
      <c r="P851" s="5"/>
      <c r="Q851" s="5"/>
      <c r="AL851" s="7" t="str">
        <f>HYPERLINK("http://dx.doi.org/10.1093/conphys/coab090","http://dx.doi.org/10.1093/conphys/coab090")</f>
        <v>http://dx.doi.org/10.1093/conphys/coab090</v>
      </c>
      <c r="AM851" s="5">
        <v>4</v>
      </c>
      <c r="AN851" s="5">
        <v>4</v>
      </c>
      <c r="AO851" s="5">
        <v>9</v>
      </c>
      <c r="AP851" s="5" t="s">
        <v>16</v>
      </c>
      <c r="AQ851" s="5" t="s">
        <v>16</v>
      </c>
      <c r="AR851" s="5" t="s">
        <v>16</v>
      </c>
      <c r="AS851" s="5" t="s">
        <v>5100</v>
      </c>
      <c r="AT851" s="5" t="s">
        <v>5097</v>
      </c>
      <c r="AU851" s="5" t="s">
        <v>5098</v>
      </c>
      <c r="AV851" s="5" t="s">
        <v>5101</v>
      </c>
    </row>
    <row r="852" spans="1:48" ht="45" customHeight="1" x14ac:dyDescent="0.15">
      <c r="A852" s="5" t="s">
        <v>5102</v>
      </c>
      <c r="B852" s="5">
        <v>2016</v>
      </c>
      <c r="C852" s="5" t="s">
        <v>5103</v>
      </c>
      <c r="D852" s="5" t="s">
        <v>252</v>
      </c>
      <c r="E852" s="5" t="s">
        <v>18453</v>
      </c>
      <c r="F852" s="5" t="s">
        <v>5106</v>
      </c>
      <c r="G852" s="5"/>
      <c r="H852" s="5"/>
      <c r="I852" s="5"/>
      <c r="J852" s="5"/>
      <c r="K852" s="5"/>
      <c r="L852" s="5"/>
      <c r="M852" s="5"/>
      <c r="N852" s="5"/>
      <c r="O852" s="5"/>
      <c r="P852" s="5"/>
      <c r="Q852" s="5"/>
      <c r="AL852" s="7" t="str">
        <f>HYPERLINK("http://dx.doi.org/10.1111/cobi.12651","http://dx.doi.org/10.1111/cobi.12651")</f>
        <v>http://dx.doi.org/10.1111/cobi.12651</v>
      </c>
      <c r="AM852" s="5">
        <v>14</v>
      </c>
      <c r="AN852" s="5">
        <v>14</v>
      </c>
      <c r="AO852" s="5">
        <v>30</v>
      </c>
      <c r="AP852" s="5">
        <v>4</v>
      </c>
      <c r="AQ852" s="5">
        <v>734</v>
      </c>
      <c r="AR852" s="5">
        <v>743</v>
      </c>
      <c r="AS852" s="5" t="s">
        <v>16</v>
      </c>
      <c r="AT852" s="5" t="s">
        <v>5104</v>
      </c>
      <c r="AU852" s="5" t="s">
        <v>5105</v>
      </c>
      <c r="AV852" s="5" t="s">
        <v>5107</v>
      </c>
    </row>
    <row r="853" spans="1:48" ht="45" customHeight="1" x14ac:dyDescent="0.15">
      <c r="A853" s="5" t="s">
        <v>5108</v>
      </c>
      <c r="B853" s="5">
        <v>2022</v>
      </c>
      <c r="C853" s="5" t="s">
        <v>5109</v>
      </c>
      <c r="D853" s="5" t="s">
        <v>5110</v>
      </c>
      <c r="E853" s="5" t="s">
        <v>18453</v>
      </c>
      <c r="F853" s="5" t="s">
        <v>5112</v>
      </c>
      <c r="G853" s="5"/>
      <c r="H853" s="5"/>
      <c r="I853" s="5"/>
      <c r="J853" s="5"/>
      <c r="K853" s="5"/>
      <c r="L853" s="5"/>
      <c r="M853" s="5"/>
      <c r="N853" s="5"/>
      <c r="O853" s="5"/>
      <c r="P853" s="5"/>
      <c r="Q853" s="5"/>
      <c r="AL853" s="5" t="s">
        <v>16</v>
      </c>
      <c r="AM853" s="5">
        <v>1</v>
      </c>
      <c r="AN853" s="5">
        <v>1</v>
      </c>
      <c r="AO853" s="5">
        <v>82</v>
      </c>
      <c r="AP853" s="5">
        <v>1</v>
      </c>
      <c r="AQ853" s="5">
        <v>7</v>
      </c>
      <c r="AR853" s="5">
        <v>23</v>
      </c>
      <c r="AS853" s="5" t="s">
        <v>16</v>
      </c>
      <c r="AT853" s="5" t="s">
        <v>16</v>
      </c>
      <c r="AU853" s="5" t="s">
        <v>5111</v>
      </c>
      <c r="AV853" s="5" t="s">
        <v>16</v>
      </c>
    </row>
    <row r="854" spans="1:48" ht="45" customHeight="1" x14ac:dyDescent="0.15">
      <c r="A854" s="5" t="s">
        <v>5113</v>
      </c>
      <c r="B854" s="5">
        <v>1992</v>
      </c>
      <c r="C854" s="5" t="s">
        <v>5114</v>
      </c>
      <c r="D854" s="5" t="s">
        <v>124</v>
      </c>
      <c r="E854" s="5" t="s">
        <v>18453</v>
      </c>
      <c r="F854" s="5" t="s">
        <v>5116</v>
      </c>
      <c r="G854" s="5"/>
      <c r="H854" s="5"/>
      <c r="I854" s="5"/>
      <c r="J854" s="5"/>
      <c r="K854" s="5"/>
      <c r="L854" s="5"/>
      <c r="M854" s="5"/>
      <c r="N854" s="5"/>
      <c r="O854" s="5"/>
      <c r="P854" s="5"/>
      <c r="Q854" s="5"/>
      <c r="AL854" s="7" t="str">
        <f>HYPERLINK("http://dx.doi.org/10.1086/285449","http://dx.doi.org/10.1086/285449")</f>
        <v>http://dx.doi.org/10.1086/285449</v>
      </c>
      <c r="AM854" s="5">
        <v>44</v>
      </c>
      <c r="AN854" s="5">
        <v>44</v>
      </c>
      <c r="AO854" s="5">
        <v>140</v>
      </c>
      <c r="AP854" s="5">
        <v>6</v>
      </c>
      <c r="AQ854" s="5">
        <v>938</v>
      </c>
      <c r="AR854" s="5">
        <v>960</v>
      </c>
      <c r="AS854" s="5" t="s">
        <v>16</v>
      </c>
      <c r="AT854" s="5" t="s">
        <v>16</v>
      </c>
      <c r="AU854" s="5" t="s">
        <v>5115</v>
      </c>
      <c r="AV854" s="5" t="s">
        <v>5117</v>
      </c>
    </row>
    <row r="855" spans="1:48" ht="45" customHeight="1" x14ac:dyDescent="0.15">
      <c r="A855" s="5" t="s">
        <v>5118</v>
      </c>
      <c r="B855" s="5">
        <v>2007</v>
      </c>
      <c r="C855" s="5" t="s">
        <v>5119</v>
      </c>
      <c r="D855" s="5" t="s">
        <v>33</v>
      </c>
      <c r="E855" s="5" t="s">
        <v>18453</v>
      </c>
      <c r="F855" s="5" t="s">
        <v>5122</v>
      </c>
      <c r="G855" s="5"/>
      <c r="H855" s="5"/>
      <c r="I855" s="5"/>
      <c r="J855" s="5"/>
      <c r="K855" s="5"/>
      <c r="L855" s="5"/>
      <c r="M855" s="5"/>
      <c r="N855" s="5"/>
      <c r="O855" s="5"/>
      <c r="P855" s="5"/>
      <c r="Q855" s="5"/>
      <c r="AL855" s="7" t="str">
        <f>HYPERLINK("http://dx.doi.org/10.1111/j.1365-2486.2007.01376.x","http://dx.doi.org/10.1111/j.1365-2486.2007.01376.x")</f>
        <v>http://dx.doi.org/10.1111/j.1365-2486.2007.01376.x</v>
      </c>
      <c r="AM855" s="5">
        <v>29</v>
      </c>
      <c r="AN855" s="5">
        <v>29</v>
      </c>
      <c r="AO855" s="5">
        <v>13</v>
      </c>
      <c r="AP855" s="5">
        <v>7</v>
      </c>
      <c r="AQ855" s="5">
        <v>1455</v>
      </c>
      <c r="AR855" s="5">
        <v>1468</v>
      </c>
      <c r="AS855" s="5" t="s">
        <v>16</v>
      </c>
      <c r="AT855" s="5" t="s">
        <v>5120</v>
      </c>
      <c r="AU855" s="5" t="s">
        <v>5121</v>
      </c>
      <c r="AV855" s="5" t="s">
        <v>5123</v>
      </c>
    </row>
    <row r="856" spans="1:48" ht="45" customHeight="1" x14ac:dyDescent="0.15">
      <c r="A856" s="5" t="s">
        <v>5124</v>
      </c>
      <c r="B856" s="5">
        <v>2005</v>
      </c>
      <c r="C856" s="5" t="s">
        <v>5125</v>
      </c>
      <c r="D856" s="5" t="s">
        <v>49</v>
      </c>
      <c r="E856" s="5" t="s">
        <v>18453</v>
      </c>
      <c r="F856" s="5" t="s">
        <v>5128</v>
      </c>
      <c r="G856" s="5"/>
      <c r="H856" s="5"/>
      <c r="I856" s="5"/>
      <c r="J856" s="5"/>
      <c r="K856" s="5"/>
      <c r="L856" s="5"/>
      <c r="M856" s="5"/>
      <c r="N856" s="5"/>
      <c r="O856" s="5"/>
      <c r="P856" s="5"/>
      <c r="Q856" s="5"/>
      <c r="AL856" s="7" t="str">
        <f>HYPERLINK("http://dx.doi.org/10.3354/meps302233","http://dx.doi.org/10.3354/meps302233")</f>
        <v>http://dx.doi.org/10.3354/meps302233</v>
      </c>
      <c r="AM856" s="5">
        <v>83</v>
      </c>
      <c r="AN856" s="5">
        <v>84</v>
      </c>
      <c r="AO856" s="5">
        <v>302</v>
      </c>
      <c r="AP856" s="5" t="s">
        <v>16</v>
      </c>
      <c r="AQ856" s="5">
        <v>233</v>
      </c>
      <c r="AR856" s="5">
        <v>243</v>
      </c>
      <c r="AS856" s="5" t="s">
        <v>16</v>
      </c>
      <c r="AT856" s="5" t="s">
        <v>5126</v>
      </c>
      <c r="AU856" s="5" t="s">
        <v>5127</v>
      </c>
      <c r="AV856" s="5" t="s">
        <v>5129</v>
      </c>
    </row>
    <row r="857" spans="1:48" ht="45" customHeight="1" x14ac:dyDescent="0.15">
      <c r="A857" s="5" t="s">
        <v>5130</v>
      </c>
      <c r="B857" s="5">
        <v>2018</v>
      </c>
      <c r="C857" s="5" t="s">
        <v>5131</v>
      </c>
      <c r="D857" s="5" t="s">
        <v>172</v>
      </c>
      <c r="E857" s="5" t="s">
        <v>18453</v>
      </c>
      <c r="F857" s="5" t="s">
        <v>5134</v>
      </c>
      <c r="G857" s="5"/>
      <c r="H857" s="5"/>
      <c r="I857" s="5"/>
      <c r="J857" s="5"/>
      <c r="K857" s="5"/>
      <c r="L857" s="5"/>
      <c r="M857" s="5"/>
      <c r="N857" s="5"/>
      <c r="O857" s="5"/>
      <c r="P857" s="5"/>
      <c r="Q857" s="5"/>
      <c r="AL857" s="7" t="str">
        <f>HYPERLINK("http://dx.doi.org/10.1007/s00442-018-4279-z","http://dx.doi.org/10.1007/s00442-018-4279-z")</f>
        <v>http://dx.doi.org/10.1007/s00442-018-4279-z</v>
      </c>
      <c r="AM857" s="5">
        <v>6</v>
      </c>
      <c r="AN857" s="5">
        <v>6</v>
      </c>
      <c r="AO857" s="5">
        <v>188</v>
      </c>
      <c r="AP857" s="5">
        <v>4</v>
      </c>
      <c r="AQ857" s="5">
        <v>1273</v>
      </c>
      <c r="AR857" s="5">
        <v>1285</v>
      </c>
      <c r="AS857" s="5" t="s">
        <v>16</v>
      </c>
      <c r="AT857" s="5" t="s">
        <v>5132</v>
      </c>
      <c r="AU857" s="5" t="s">
        <v>5133</v>
      </c>
      <c r="AV857" s="5" t="s">
        <v>5135</v>
      </c>
    </row>
    <row r="858" spans="1:48" ht="45" customHeight="1" x14ac:dyDescent="0.15">
      <c r="A858" s="5" t="s">
        <v>5136</v>
      </c>
      <c r="B858" s="5">
        <v>2014</v>
      </c>
      <c r="C858" s="5" t="s">
        <v>5137</v>
      </c>
      <c r="D858" s="5" t="s">
        <v>2677</v>
      </c>
      <c r="E858" s="5" t="s">
        <v>18453</v>
      </c>
      <c r="F858" s="5" t="s">
        <v>5140</v>
      </c>
      <c r="G858" s="5"/>
      <c r="H858" s="5"/>
      <c r="I858" s="5"/>
      <c r="J858" s="5"/>
      <c r="K858" s="5"/>
      <c r="L858" s="5"/>
      <c r="M858" s="5"/>
      <c r="N858" s="5"/>
      <c r="O858" s="5"/>
      <c r="P858" s="5"/>
      <c r="Q858" s="5"/>
      <c r="AL858" s="5" t="s">
        <v>16</v>
      </c>
      <c r="AM858" s="5">
        <v>0</v>
      </c>
      <c r="AN858" s="5">
        <v>0</v>
      </c>
      <c r="AO858" s="5">
        <v>64</v>
      </c>
      <c r="AP858" s="5" t="s">
        <v>16</v>
      </c>
      <c r="AQ858" s="5">
        <v>35</v>
      </c>
      <c r="AR858" s="5">
        <v>46</v>
      </c>
      <c r="AS858" s="5" t="s">
        <v>16</v>
      </c>
      <c r="AT858" s="5" t="s">
        <v>5138</v>
      </c>
      <c r="AU858" s="5" t="s">
        <v>5139</v>
      </c>
      <c r="AV858" s="5" t="s">
        <v>16</v>
      </c>
    </row>
    <row r="859" spans="1:48" ht="45" customHeight="1" x14ac:dyDescent="0.15">
      <c r="A859" s="5" t="s">
        <v>5141</v>
      </c>
      <c r="B859" s="5">
        <v>2019</v>
      </c>
      <c r="C859" s="5" t="s">
        <v>5142</v>
      </c>
      <c r="D859" s="5" t="s">
        <v>2087</v>
      </c>
      <c r="E859" s="5" t="s">
        <v>18453</v>
      </c>
      <c r="F859" s="5" t="s">
        <v>5145</v>
      </c>
      <c r="G859" s="5"/>
      <c r="H859" s="5"/>
      <c r="I859" s="5"/>
      <c r="J859" s="5"/>
      <c r="K859" s="5"/>
      <c r="L859" s="5"/>
      <c r="M859" s="5"/>
      <c r="N859" s="5"/>
      <c r="O859" s="5"/>
      <c r="P859" s="5"/>
      <c r="Q859" s="5"/>
      <c r="AL859" s="7" t="str">
        <f>HYPERLINK("http://dx.doi.org/10.1002/eco.2133","http://dx.doi.org/10.1002/eco.2133")</f>
        <v>http://dx.doi.org/10.1002/eco.2133</v>
      </c>
      <c r="AM859" s="5">
        <v>1</v>
      </c>
      <c r="AN859" s="5">
        <v>1</v>
      </c>
      <c r="AO859" s="5">
        <v>12</v>
      </c>
      <c r="AP859" s="5">
        <v>7</v>
      </c>
      <c r="AQ859" s="5" t="s">
        <v>16</v>
      </c>
      <c r="AR859" s="5" t="s">
        <v>16</v>
      </c>
      <c r="AS859" s="5" t="s">
        <v>5146</v>
      </c>
      <c r="AT859" s="5" t="s">
        <v>5143</v>
      </c>
      <c r="AU859" s="5" t="s">
        <v>5144</v>
      </c>
      <c r="AV859" s="5" t="s">
        <v>5147</v>
      </c>
    </row>
    <row r="860" spans="1:48" ht="45" customHeight="1" x14ac:dyDescent="0.15">
      <c r="A860" s="5" t="s">
        <v>5148</v>
      </c>
      <c r="B860" s="5">
        <v>2011</v>
      </c>
      <c r="C860" s="5" t="s">
        <v>5149</v>
      </c>
      <c r="D860" s="5" t="s">
        <v>172</v>
      </c>
      <c r="E860" s="5" t="s">
        <v>18453</v>
      </c>
      <c r="F860" s="5" t="s">
        <v>5152</v>
      </c>
      <c r="G860" s="5"/>
      <c r="H860" s="5"/>
      <c r="I860" s="5"/>
      <c r="J860" s="5"/>
      <c r="K860" s="5"/>
      <c r="L860" s="5"/>
      <c r="M860" s="5"/>
      <c r="N860" s="5"/>
      <c r="O860" s="5"/>
      <c r="P860" s="5"/>
      <c r="Q860" s="5"/>
      <c r="AL860" s="7" t="str">
        <f>HYPERLINK("http://dx.doi.org/10.1007/s00442-011-2030-0","http://dx.doi.org/10.1007/s00442-011-2030-0")</f>
        <v>http://dx.doi.org/10.1007/s00442-011-2030-0</v>
      </c>
      <c r="AM860" s="5">
        <v>41</v>
      </c>
      <c r="AN860" s="5">
        <v>43</v>
      </c>
      <c r="AO860" s="5">
        <v>167</v>
      </c>
      <c r="AP860" s="5">
        <v>3</v>
      </c>
      <c r="AQ860" s="5">
        <v>781</v>
      </c>
      <c r="AR860" s="5">
        <v>791</v>
      </c>
      <c r="AS860" s="5" t="s">
        <v>16</v>
      </c>
      <c r="AT860" s="5" t="s">
        <v>5150</v>
      </c>
      <c r="AU860" s="5" t="s">
        <v>5151</v>
      </c>
      <c r="AV860" s="5" t="s">
        <v>5153</v>
      </c>
    </row>
    <row r="861" spans="1:48" ht="45" customHeight="1" x14ac:dyDescent="0.15">
      <c r="A861" s="5" t="s">
        <v>5154</v>
      </c>
      <c r="B861" s="5">
        <v>2019</v>
      </c>
      <c r="C861" s="5" t="s">
        <v>5155</v>
      </c>
      <c r="D861" s="5" t="s">
        <v>49</v>
      </c>
      <c r="E861" s="5" t="s">
        <v>18453</v>
      </c>
      <c r="F861" s="5" t="s">
        <v>5158</v>
      </c>
      <c r="G861" s="5"/>
      <c r="H861" s="5"/>
      <c r="I861" s="5"/>
      <c r="J861" s="5"/>
      <c r="K861" s="5"/>
      <c r="L861" s="5"/>
      <c r="M861" s="5"/>
      <c r="N861" s="5"/>
      <c r="O861" s="5"/>
      <c r="P861" s="5"/>
      <c r="Q861" s="5"/>
      <c r="AL861" s="7" t="str">
        <f>HYPERLINK("http://dx.doi.org/10.3354/meps13116","http://dx.doi.org/10.3354/meps13116")</f>
        <v>http://dx.doi.org/10.3354/meps13116</v>
      </c>
      <c r="AM861" s="5">
        <v>2</v>
      </c>
      <c r="AN861" s="5">
        <v>2</v>
      </c>
      <c r="AO861" s="5">
        <v>630</v>
      </c>
      <c r="AP861" s="5" t="s">
        <v>16</v>
      </c>
      <c r="AQ861" s="5">
        <v>197</v>
      </c>
      <c r="AR861" s="5">
        <v>214</v>
      </c>
      <c r="AS861" s="5" t="s">
        <v>16</v>
      </c>
      <c r="AT861" s="5" t="s">
        <v>5156</v>
      </c>
      <c r="AU861" s="5" t="s">
        <v>5157</v>
      </c>
      <c r="AV861" s="5" t="s">
        <v>5159</v>
      </c>
    </row>
    <row r="862" spans="1:48" ht="45" customHeight="1" x14ac:dyDescent="0.15">
      <c r="A862" s="5" t="s">
        <v>5160</v>
      </c>
      <c r="B862" s="5">
        <v>2008</v>
      </c>
      <c r="C862" s="5" t="s">
        <v>5161</v>
      </c>
      <c r="D862" s="5" t="s">
        <v>1004</v>
      </c>
      <c r="E862" s="5" t="s">
        <v>18453</v>
      </c>
      <c r="F862" s="5" t="s">
        <v>5164</v>
      </c>
      <c r="G862" s="5"/>
      <c r="H862" s="5"/>
      <c r="I862" s="5"/>
      <c r="J862" s="5"/>
      <c r="K862" s="5"/>
      <c r="L862" s="5"/>
      <c r="M862" s="5"/>
      <c r="N862" s="5"/>
      <c r="O862" s="5"/>
      <c r="P862" s="5"/>
      <c r="Q862" s="5"/>
      <c r="AL862" s="7" t="str">
        <f>HYPERLINK("http://dx.doi.org/10.1111/j.1365-2028.2007.00895.x","http://dx.doi.org/10.1111/j.1365-2028.2007.00895.x")</f>
        <v>http://dx.doi.org/10.1111/j.1365-2028.2007.00895.x</v>
      </c>
      <c r="AM862" s="5">
        <v>16</v>
      </c>
      <c r="AN862" s="5">
        <v>17</v>
      </c>
      <c r="AO862" s="5">
        <v>46</v>
      </c>
      <c r="AP862" s="5">
        <v>4</v>
      </c>
      <c r="AQ862" s="5">
        <v>540</v>
      </c>
      <c r="AR862" s="5">
        <v>546</v>
      </c>
      <c r="AS862" s="5" t="s">
        <v>16</v>
      </c>
      <c r="AT862" s="5" t="s">
        <v>5162</v>
      </c>
      <c r="AU862" s="5" t="s">
        <v>5163</v>
      </c>
      <c r="AV862" s="5" t="s">
        <v>5165</v>
      </c>
    </row>
    <row r="863" spans="1:48" ht="45" customHeight="1" x14ac:dyDescent="0.15">
      <c r="A863" s="5" t="s">
        <v>5166</v>
      </c>
      <c r="B863" s="5">
        <v>2020</v>
      </c>
      <c r="C863" s="5" t="s">
        <v>5167</v>
      </c>
      <c r="D863" s="5" t="s">
        <v>2768</v>
      </c>
      <c r="E863" s="5" t="s">
        <v>18453</v>
      </c>
      <c r="F863" s="5" t="s">
        <v>5170</v>
      </c>
      <c r="G863" s="5"/>
      <c r="H863" s="5"/>
      <c r="I863" s="5"/>
      <c r="J863" s="5"/>
      <c r="K863" s="5"/>
      <c r="L863" s="5"/>
      <c r="M863" s="5"/>
      <c r="N863" s="5"/>
      <c r="O863" s="5"/>
      <c r="P863" s="5"/>
      <c r="Q863" s="5"/>
      <c r="AL863" s="7" t="str">
        <f>HYPERLINK("http://dx.doi.org/10.1007/s10531-020-01988-6","http://dx.doi.org/10.1007/s10531-020-01988-6")</f>
        <v>http://dx.doi.org/10.1007/s10531-020-01988-6</v>
      </c>
      <c r="AM863" s="5">
        <v>14</v>
      </c>
      <c r="AN863" s="5">
        <v>16</v>
      </c>
      <c r="AO863" s="5">
        <v>29</v>
      </c>
      <c r="AP863" s="5">
        <v>8</v>
      </c>
      <c r="AQ863" s="5">
        <v>2553</v>
      </c>
      <c r="AR863" s="5">
        <v>2573</v>
      </c>
      <c r="AS863" s="5" t="s">
        <v>16</v>
      </c>
      <c r="AT863" s="5" t="s">
        <v>5168</v>
      </c>
      <c r="AU863" s="5" t="s">
        <v>5169</v>
      </c>
      <c r="AV863" s="5" t="s">
        <v>5171</v>
      </c>
    </row>
    <row r="864" spans="1:48" ht="45" customHeight="1" x14ac:dyDescent="0.15">
      <c r="A864" s="5" t="s">
        <v>5172</v>
      </c>
      <c r="B864" s="5">
        <v>2011</v>
      </c>
      <c r="C864" s="5" t="s">
        <v>5173</v>
      </c>
      <c r="D864" s="5" t="s">
        <v>172</v>
      </c>
      <c r="E864" s="5" t="s">
        <v>18453</v>
      </c>
      <c r="F864" s="5" t="s">
        <v>5176</v>
      </c>
      <c r="G864" s="5"/>
      <c r="H864" s="5"/>
      <c r="I864" s="5"/>
      <c r="J864" s="5"/>
      <c r="K864" s="5"/>
      <c r="L864" s="5"/>
      <c r="M864" s="5"/>
      <c r="N864" s="5"/>
      <c r="O864" s="5"/>
      <c r="P864" s="5"/>
      <c r="Q864" s="5"/>
      <c r="AL864" s="7" t="str">
        <f>HYPERLINK("http://dx.doi.org/10.1007/s00442-010-1869-9","http://dx.doi.org/10.1007/s00442-010-1869-9")</f>
        <v>http://dx.doi.org/10.1007/s00442-010-1869-9</v>
      </c>
      <c r="AM864" s="5">
        <v>66</v>
      </c>
      <c r="AN864" s="5">
        <v>67</v>
      </c>
      <c r="AO864" s="5">
        <v>165</v>
      </c>
      <c r="AP864" s="5">
        <v>4</v>
      </c>
      <c r="AQ864" s="5">
        <v>877</v>
      </c>
      <c r="AR864" s="5">
        <v>889</v>
      </c>
      <c r="AS864" s="5" t="s">
        <v>16</v>
      </c>
      <c r="AT864" s="5" t="s">
        <v>5174</v>
      </c>
      <c r="AU864" s="5" t="s">
        <v>5175</v>
      </c>
      <c r="AV864" s="5" t="s">
        <v>5177</v>
      </c>
    </row>
    <row r="865" spans="1:48" ht="45" customHeight="1" x14ac:dyDescent="0.15">
      <c r="A865" s="5" t="s">
        <v>5178</v>
      </c>
      <c r="B865" s="5">
        <v>2018</v>
      </c>
      <c r="C865" s="5" t="s">
        <v>5179</v>
      </c>
      <c r="D865" s="5" t="s">
        <v>212</v>
      </c>
      <c r="E865" s="5" t="s">
        <v>18453</v>
      </c>
      <c r="F865" s="5" t="s">
        <v>5182</v>
      </c>
      <c r="G865" s="5"/>
      <c r="H865" s="5"/>
      <c r="I865" s="5"/>
      <c r="J865" s="5"/>
      <c r="K865" s="5"/>
      <c r="L865" s="5"/>
      <c r="M865" s="5"/>
      <c r="N865" s="5"/>
      <c r="O865" s="5"/>
      <c r="P865" s="5"/>
      <c r="Q865" s="5"/>
      <c r="AL865" s="7" t="str">
        <f>HYPERLINK("http://dx.doi.org/10.1007/s00300-018-2306-5","http://dx.doi.org/10.1007/s00300-018-2306-5")</f>
        <v>http://dx.doi.org/10.1007/s00300-018-2306-5</v>
      </c>
      <c r="AM865" s="5">
        <v>22</v>
      </c>
      <c r="AN865" s="5">
        <v>22</v>
      </c>
      <c r="AO865" s="5">
        <v>41</v>
      </c>
      <c r="AP865" s="5">
        <v>9</v>
      </c>
      <c r="AQ865" s="5">
        <v>1655</v>
      </c>
      <c r="AR865" s="5">
        <v>1669</v>
      </c>
      <c r="AS865" s="5" t="s">
        <v>16</v>
      </c>
      <c r="AT865" s="5" t="s">
        <v>5180</v>
      </c>
      <c r="AU865" s="5" t="s">
        <v>5181</v>
      </c>
      <c r="AV865" s="5" t="s">
        <v>5183</v>
      </c>
    </row>
    <row r="866" spans="1:48" ht="45" customHeight="1" x14ac:dyDescent="0.15">
      <c r="A866" s="5" t="s">
        <v>5184</v>
      </c>
      <c r="B866" s="5">
        <v>2019</v>
      </c>
      <c r="C866" s="5" t="s">
        <v>5185</v>
      </c>
      <c r="D866" s="5" t="s">
        <v>251</v>
      </c>
      <c r="E866" s="5" t="s">
        <v>18453</v>
      </c>
      <c r="F866" s="5" t="s">
        <v>5188</v>
      </c>
      <c r="G866" s="5"/>
      <c r="H866" s="5"/>
      <c r="I866" s="5"/>
      <c r="J866" s="5"/>
      <c r="K866" s="5"/>
      <c r="L866" s="5"/>
      <c r="M866" s="5"/>
      <c r="N866" s="5"/>
      <c r="O866" s="5"/>
      <c r="P866" s="5"/>
      <c r="Q866" s="5"/>
      <c r="AL866" s="7" t="str">
        <f>HYPERLINK("http://dx.doi.org/10.1016/j.biocon.2019.108217","http://dx.doi.org/10.1016/j.biocon.2019.108217")</f>
        <v>http://dx.doi.org/10.1016/j.biocon.2019.108217</v>
      </c>
      <c r="AM866" s="5">
        <v>19</v>
      </c>
      <c r="AN866" s="5">
        <v>19</v>
      </c>
      <c r="AO866" s="5">
        <v>238</v>
      </c>
      <c r="AP866" s="5" t="s">
        <v>16</v>
      </c>
      <c r="AQ866" s="5" t="s">
        <v>16</v>
      </c>
      <c r="AR866" s="5" t="s">
        <v>16</v>
      </c>
      <c r="AS866" s="5">
        <v>108217</v>
      </c>
      <c r="AT866" s="5" t="s">
        <v>5186</v>
      </c>
      <c r="AU866" s="5" t="s">
        <v>5187</v>
      </c>
      <c r="AV866" s="5" t="s">
        <v>5189</v>
      </c>
    </row>
    <row r="867" spans="1:48" ht="45" customHeight="1" x14ac:dyDescent="0.15">
      <c r="A867" s="5" t="s">
        <v>5190</v>
      </c>
      <c r="B867" s="5">
        <v>2004</v>
      </c>
      <c r="C867" s="5" t="s">
        <v>5191</v>
      </c>
      <c r="D867" s="5" t="s">
        <v>33</v>
      </c>
      <c r="E867" s="5" t="s">
        <v>18453</v>
      </c>
      <c r="F867" s="5" t="s">
        <v>5194</v>
      </c>
      <c r="G867" s="5"/>
      <c r="H867" s="5"/>
      <c r="I867" s="5"/>
      <c r="J867" s="5"/>
      <c r="K867" s="5"/>
      <c r="L867" s="5"/>
      <c r="M867" s="5"/>
      <c r="N867" s="5"/>
      <c r="O867" s="5"/>
      <c r="P867" s="5"/>
      <c r="Q867" s="5"/>
      <c r="AL867" s="7" t="str">
        <f>HYPERLINK("http://dx.doi.org/10.1111/j.1365-2486.2004.00837.x","http://dx.doi.org/10.1111/j.1365-2486.2004.00837.x")</f>
        <v>http://dx.doi.org/10.1111/j.1365-2486.2004.00837.x</v>
      </c>
      <c r="AM867" s="5">
        <v>54</v>
      </c>
      <c r="AN867" s="5">
        <v>57</v>
      </c>
      <c r="AO867" s="5">
        <v>10</v>
      </c>
      <c r="AP867" s="5">
        <v>10</v>
      </c>
      <c r="AQ867" s="5">
        <v>1767</v>
      </c>
      <c r="AR867" s="5">
        <v>1784</v>
      </c>
      <c r="AS867" s="5" t="s">
        <v>16</v>
      </c>
      <c r="AT867" s="5" t="s">
        <v>5192</v>
      </c>
      <c r="AU867" s="5" t="s">
        <v>5193</v>
      </c>
      <c r="AV867" s="5" t="s">
        <v>5195</v>
      </c>
    </row>
    <row r="868" spans="1:48" ht="45" customHeight="1" x14ac:dyDescent="0.15">
      <c r="A868" s="5" t="s">
        <v>5196</v>
      </c>
      <c r="B868" s="5">
        <v>2016</v>
      </c>
      <c r="C868" s="5" t="s">
        <v>5197</v>
      </c>
      <c r="D868" s="5" t="s">
        <v>1621</v>
      </c>
      <c r="E868" s="5" t="s">
        <v>18453</v>
      </c>
      <c r="F868" s="5" t="s">
        <v>5200</v>
      </c>
      <c r="G868" s="5"/>
      <c r="H868" s="5"/>
      <c r="I868" s="5"/>
      <c r="J868" s="5"/>
      <c r="K868" s="5"/>
      <c r="L868" s="5"/>
      <c r="M868" s="5"/>
      <c r="N868" s="5"/>
      <c r="O868" s="5"/>
      <c r="P868" s="5"/>
      <c r="Q868" s="5"/>
      <c r="AL868" s="7" t="str">
        <f>HYPERLINK("http://dx.doi.org/10.1093/conphys/cow050","http://dx.doi.org/10.1093/conphys/cow050")</f>
        <v>http://dx.doi.org/10.1093/conphys/cow050</v>
      </c>
      <c r="AM868" s="5">
        <v>33</v>
      </c>
      <c r="AN868" s="5">
        <v>33</v>
      </c>
      <c r="AO868" s="5">
        <v>4</v>
      </c>
      <c r="AP868" s="5" t="s">
        <v>16</v>
      </c>
      <c r="AQ868" s="5" t="s">
        <v>16</v>
      </c>
      <c r="AR868" s="5" t="s">
        <v>16</v>
      </c>
      <c r="AS868" s="5" t="s">
        <v>5201</v>
      </c>
      <c r="AT868" s="5" t="s">
        <v>5198</v>
      </c>
      <c r="AU868" s="5" t="s">
        <v>5199</v>
      </c>
      <c r="AV868" s="5" t="s">
        <v>5202</v>
      </c>
    </row>
    <row r="869" spans="1:48" ht="45" customHeight="1" x14ac:dyDescent="0.15">
      <c r="A869" s="5" t="s">
        <v>5203</v>
      </c>
      <c r="B869" s="5">
        <v>2017</v>
      </c>
      <c r="C869" s="5" t="s">
        <v>5204</v>
      </c>
      <c r="D869" s="5" t="s">
        <v>1765</v>
      </c>
      <c r="E869" s="5" t="s">
        <v>18453</v>
      </c>
      <c r="F869" s="5" t="s">
        <v>5207</v>
      </c>
      <c r="G869" s="5"/>
      <c r="H869" s="5"/>
      <c r="I869" s="5"/>
      <c r="J869" s="5"/>
      <c r="K869" s="5"/>
      <c r="L869" s="5"/>
      <c r="M869" s="5"/>
      <c r="N869" s="5"/>
      <c r="O869" s="5"/>
      <c r="P869" s="5"/>
      <c r="Q869" s="5"/>
      <c r="AL869" s="7" t="str">
        <f>HYPERLINK("http://dx.doi.org/10.1016/j.agee.2017.04.001","http://dx.doi.org/10.1016/j.agee.2017.04.001")</f>
        <v>http://dx.doi.org/10.1016/j.agee.2017.04.001</v>
      </c>
      <c r="AM869" s="5">
        <v>43</v>
      </c>
      <c r="AN869" s="5">
        <v>50</v>
      </c>
      <c r="AO869" s="5">
        <v>243</v>
      </c>
      <c r="AP869" s="5" t="s">
        <v>16</v>
      </c>
      <c r="AQ869" s="5">
        <v>1</v>
      </c>
      <c r="AR869" s="5">
        <v>9</v>
      </c>
      <c r="AS869" s="5" t="s">
        <v>16</v>
      </c>
      <c r="AT869" s="5" t="s">
        <v>5205</v>
      </c>
      <c r="AU869" s="5" t="s">
        <v>5206</v>
      </c>
      <c r="AV869" s="5" t="s">
        <v>5208</v>
      </c>
    </row>
    <row r="870" spans="1:48" ht="45" customHeight="1" x14ac:dyDescent="0.15">
      <c r="A870" s="5" t="s">
        <v>5209</v>
      </c>
      <c r="B870" s="5">
        <v>2022</v>
      </c>
      <c r="C870" s="5" t="s">
        <v>5210</v>
      </c>
      <c r="D870" s="5" t="s">
        <v>33</v>
      </c>
      <c r="E870" s="5" t="s">
        <v>18453</v>
      </c>
      <c r="F870" s="5" t="s">
        <v>5213</v>
      </c>
      <c r="G870" s="5"/>
      <c r="H870" s="5"/>
      <c r="I870" s="5"/>
      <c r="J870" s="5"/>
      <c r="K870" s="5"/>
      <c r="L870" s="5"/>
      <c r="M870" s="5"/>
      <c r="N870" s="5"/>
      <c r="O870" s="5"/>
      <c r="P870" s="5"/>
      <c r="Q870" s="5"/>
      <c r="AL870" s="7" t="str">
        <f>HYPERLINK("http://dx.doi.org/10.1111/gcb.16221","http://dx.doi.org/10.1111/gcb.16221")</f>
        <v>http://dx.doi.org/10.1111/gcb.16221</v>
      </c>
      <c r="AM870" s="5">
        <v>8</v>
      </c>
      <c r="AN870" s="5">
        <v>8</v>
      </c>
      <c r="AO870" s="5">
        <v>28</v>
      </c>
      <c r="AP870" s="5">
        <v>16</v>
      </c>
      <c r="AQ870" s="5">
        <v>4923</v>
      </c>
      <c r="AR870" s="5">
        <v>4934</v>
      </c>
      <c r="AS870" s="5" t="s">
        <v>16</v>
      </c>
      <c r="AT870" s="5" t="s">
        <v>5211</v>
      </c>
      <c r="AU870" s="5" t="s">
        <v>5212</v>
      </c>
      <c r="AV870" s="5" t="s">
        <v>5214</v>
      </c>
    </row>
    <row r="871" spans="1:48" ht="45" customHeight="1" x14ac:dyDescent="0.15">
      <c r="A871" s="5" t="s">
        <v>5215</v>
      </c>
      <c r="B871" s="5">
        <v>2021</v>
      </c>
      <c r="C871" s="5" t="s">
        <v>5216</v>
      </c>
      <c r="D871" s="5" t="s">
        <v>212</v>
      </c>
      <c r="E871" s="5" t="s">
        <v>18453</v>
      </c>
      <c r="F871" s="5" t="s">
        <v>5219</v>
      </c>
      <c r="G871" s="5"/>
      <c r="H871" s="5"/>
      <c r="I871" s="5"/>
      <c r="J871" s="5"/>
      <c r="K871" s="5"/>
      <c r="L871" s="5"/>
      <c r="M871" s="5"/>
      <c r="N871" s="5"/>
      <c r="O871" s="5"/>
      <c r="P871" s="5"/>
      <c r="Q871" s="5"/>
      <c r="AL871" s="7" t="str">
        <f>HYPERLINK("http://dx.doi.org/10.1007/s00300-021-02895-4","http://dx.doi.org/10.1007/s00300-021-02895-4")</f>
        <v>http://dx.doi.org/10.1007/s00300-021-02895-4</v>
      </c>
      <c r="AM871" s="5">
        <v>2</v>
      </c>
      <c r="AN871" s="5">
        <v>2</v>
      </c>
      <c r="AO871" s="5">
        <v>44</v>
      </c>
      <c r="AP871" s="5">
        <v>7</v>
      </c>
      <c r="AQ871" s="5">
        <v>1401</v>
      </c>
      <c r="AR871" s="5">
        <v>1414</v>
      </c>
      <c r="AS871" s="5" t="s">
        <v>16</v>
      </c>
      <c r="AT871" s="5" t="s">
        <v>5217</v>
      </c>
      <c r="AU871" s="5" t="s">
        <v>5218</v>
      </c>
      <c r="AV871" s="5" t="s">
        <v>5220</v>
      </c>
    </row>
    <row r="872" spans="1:48" ht="45" customHeight="1" x14ac:dyDescent="0.15">
      <c r="A872" s="5" t="s">
        <v>5221</v>
      </c>
      <c r="B872" s="5">
        <v>1998</v>
      </c>
      <c r="C872" s="5" t="s">
        <v>5222</v>
      </c>
      <c r="D872" s="5" t="s">
        <v>49</v>
      </c>
      <c r="E872" s="5" t="s">
        <v>18453</v>
      </c>
      <c r="F872" s="5" t="s">
        <v>5225</v>
      </c>
      <c r="G872" s="5"/>
      <c r="H872" s="5"/>
      <c r="I872" s="5"/>
      <c r="J872" s="5"/>
      <c r="K872" s="5"/>
      <c r="L872" s="5"/>
      <c r="M872" s="5"/>
      <c r="N872" s="5"/>
      <c r="O872" s="5"/>
      <c r="P872" s="5"/>
      <c r="Q872" s="5"/>
      <c r="AL872" s="7" t="str">
        <f>HYPERLINK("http://dx.doi.org/10.3354/meps166073","http://dx.doi.org/10.3354/meps166073")</f>
        <v>http://dx.doi.org/10.3354/meps166073</v>
      </c>
      <c r="AM872" s="5">
        <v>28</v>
      </c>
      <c r="AN872" s="5">
        <v>31</v>
      </c>
      <c r="AO872" s="5">
        <v>166</v>
      </c>
      <c r="AP872" s="5" t="s">
        <v>16</v>
      </c>
      <c r="AQ872" s="5">
        <v>73</v>
      </c>
      <c r="AR872" s="5">
        <v>81</v>
      </c>
      <c r="AS872" s="5" t="s">
        <v>16</v>
      </c>
      <c r="AT872" s="5" t="s">
        <v>5223</v>
      </c>
      <c r="AU872" s="5" t="s">
        <v>5224</v>
      </c>
      <c r="AV872" s="5" t="s">
        <v>5226</v>
      </c>
    </row>
    <row r="873" spans="1:48" ht="45" customHeight="1" x14ac:dyDescent="0.15">
      <c r="A873" s="5" t="s">
        <v>5227</v>
      </c>
      <c r="B873" s="5">
        <v>2011</v>
      </c>
      <c r="C873" s="5" t="s">
        <v>5228</v>
      </c>
      <c r="D873" s="5" t="s">
        <v>212</v>
      </c>
      <c r="E873" s="5" t="s">
        <v>18453</v>
      </c>
      <c r="F873" s="5" t="s">
        <v>5231</v>
      </c>
      <c r="G873" s="5"/>
      <c r="H873" s="5"/>
      <c r="I873" s="5"/>
      <c r="J873" s="5"/>
      <c r="K873" s="5"/>
      <c r="L873" s="5"/>
      <c r="M873" s="5"/>
      <c r="N873" s="5"/>
      <c r="O873" s="5"/>
      <c r="P873" s="5"/>
      <c r="Q873" s="5"/>
      <c r="AL873" s="7" t="str">
        <f>HYPERLINK("http://dx.doi.org/10.1007/s00300-011-1026-x","http://dx.doi.org/10.1007/s00300-011-1026-x")</f>
        <v>http://dx.doi.org/10.1007/s00300-011-1026-x</v>
      </c>
      <c r="AM873" s="5">
        <v>35</v>
      </c>
      <c r="AN873" s="5">
        <v>35</v>
      </c>
      <c r="AO873" s="5">
        <v>34</v>
      </c>
      <c r="AP873" s="5">
        <v>11</v>
      </c>
      <c r="AQ873" s="5">
        <v>1763</v>
      </c>
      <c r="AR873" s="5">
        <v>1773</v>
      </c>
      <c r="AS873" s="5" t="s">
        <v>16</v>
      </c>
      <c r="AT873" s="5" t="s">
        <v>5229</v>
      </c>
      <c r="AU873" s="5" t="s">
        <v>5230</v>
      </c>
      <c r="AV873" s="5" t="s">
        <v>5232</v>
      </c>
    </row>
    <row r="874" spans="1:48" ht="45" customHeight="1" x14ac:dyDescent="0.15">
      <c r="A874" s="5" t="s">
        <v>5233</v>
      </c>
      <c r="B874" s="5">
        <v>2011</v>
      </c>
      <c r="C874" s="5" t="s">
        <v>5234</v>
      </c>
      <c r="D874" s="5" t="s">
        <v>295</v>
      </c>
      <c r="E874" s="5" t="s">
        <v>18453</v>
      </c>
      <c r="F874" s="5" t="s">
        <v>5237</v>
      </c>
      <c r="G874" s="5"/>
      <c r="H874" s="5"/>
      <c r="I874" s="5"/>
      <c r="J874" s="5"/>
      <c r="K874" s="5"/>
      <c r="L874" s="5"/>
      <c r="M874" s="5"/>
      <c r="N874" s="5"/>
      <c r="O874" s="5"/>
      <c r="P874" s="5"/>
      <c r="Q874" s="5"/>
      <c r="AL874" s="7" t="str">
        <f>HYPERLINK("http://dx.doi.org/10.1016/j.jembe.2011.03.019","http://dx.doi.org/10.1016/j.jembe.2011.03.019")</f>
        <v>http://dx.doi.org/10.1016/j.jembe.2011.03.019</v>
      </c>
      <c r="AM874" s="5">
        <v>25</v>
      </c>
      <c r="AN874" s="5">
        <v>28</v>
      </c>
      <c r="AO874" s="5">
        <v>402</v>
      </c>
      <c r="AP874" s="5" t="s">
        <v>778</v>
      </c>
      <c r="AQ874" s="5">
        <v>65</v>
      </c>
      <c r="AR874" s="5">
        <v>74</v>
      </c>
      <c r="AS874" s="5" t="s">
        <v>16</v>
      </c>
      <c r="AT874" s="5" t="s">
        <v>5235</v>
      </c>
      <c r="AU874" s="5" t="s">
        <v>5236</v>
      </c>
      <c r="AV874" s="5" t="s">
        <v>5238</v>
      </c>
    </row>
    <row r="875" spans="1:48" ht="45" customHeight="1" x14ac:dyDescent="0.15">
      <c r="A875" s="5" t="s">
        <v>5239</v>
      </c>
      <c r="B875" s="5">
        <v>2007</v>
      </c>
      <c r="C875" s="5" t="s">
        <v>5240</v>
      </c>
      <c r="D875" s="5" t="s">
        <v>172</v>
      </c>
      <c r="E875" s="5" t="s">
        <v>18453</v>
      </c>
      <c r="F875" s="5" t="s">
        <v>5243</v>
      </c>
      <c r="G875" s="5"/>
      <c r="H875" s="5"/>
      <c r="I875" s="5"/>
      <c r="J875" s="5"/>
      <c r="K875" s="5"/>
      <c r="L875" s="5"/>
      <c r="M875" s="5"/>
      <c r="N875" s="5"/>
      <c r="O875" s="5"/>
      <c r="P875" s="5"/>
      <c r="Q875" s="5"/>
      <c r="AL875" s="7" t="str">
        <f>HYPERLINK("http://dx.doi.org/10.1007/s00442-007-0744-9","http://dx.doi.org/10.1007/s00442-007-0744-9")</f>
        <v>http://dx.doi.org/10.1007/s00442-007-0744-9</v>
      </c>
      <c r="AM875" s="5">
        <v>68</v>
      </c>
      <c r="AN875" s="5">
        <v>69</v>
      </c>
      <c r="AO875" s="5">
        <v>153</v>
      </c>
      <c r="AP875" s="5">
        <v>2</v>
      </c>
      <c r="AQ875" s="5">
        <v>385</v>
      </c>
      <c r="AR875" s="5">
        <v>398</v>
      </c>
      <c r="AS875" s="5" t="s">
        <v>16</v>
      </c>
      <c r="AT875" s="5" t="s">
        <v>5241</v>
      </c>
      <c r="AU875" s="5" t="s">
        <v>5242</v>
      </c>
      <c r="AV875" s="5" t="s">
        <v>5244</v>
      </c>
    </row>
    <row r="876" spans="1:48" ht="45" customHeight="1" x14ac:dyDescent="0.15">
      <c r="A876" s="5" t="s">
        <v>5245</v>
      </c>
      <c r="B876" s="5">
        <v>2017</v>
      </c>
      <c r="C876" s="5" t="s">
        <v>5246</v>
      </c>
      <c r="D876" s="5" t="s">
        <v>33</v>
      </c>
      <c r="E876" s="5" t="s">
        <v>18453</v>
      </c>
      <c r="F876" s="5" t="s">
        <v>5249</v>
      </c>
      <c r="G876" s="5"/>
      <c r="H876" s="5"/>
      <c r="I876" s="5"/>
      <c r="J876" s="5"/>
      <c r="K876" s="5"/>
      <c r="L876" s="5"/>
      <c r="M876" s="5"/>
      <c r="N876" s="5"/>
      <c r="O876" s="5"/>
      <c r="P876" s="5"/>
      <c r="Q876" s="5"/>
      <c r="AL876" s="7" t="str">
        <f>HYPERLINK("http://dx.doi.org/10.1111/gcb.13712","http://dx.doi.org/10.1111/gcb.13712")</f>
        <v>http://dx.doi.org/10.1111/gcb.13712</v>
      </c>
      <c r="AM876" s="5">
        <v>48</v>
      </c>
      <c r="AN876" s="5">
        <v>49</v>
      </c>
      <c r="AO876" s="5">
        <v>23</v>
      </c>
      <c r="AP876" s="5">
        <v>11</v>
      </c>
      <c r="AQ876" s="5">
        <v>4556</v>
      </c>
      <c r="AR876" s="5">
        <v>4568</v>
      </c>
      <c r="AS876" s="5" t="s">
        <v>16</v>
      </c>
      <c r="AT876" s="5" t="s">
        <v>5247</v>
      </c>
      <c r="AU876" s="5" t="s">
        <v>5248</v>
      </c>
      <c r="AV876" s="5" t="s">
        <v>5250</v>
      </c>
    </row>
    <row r="877" spans="1:48" ht="45" customHeight="1" x14ac:dyDescent="0.15">
      <c r="A877" s="5" t="s">
        <v>5251</v>
      </c>
      <c r="B877" s="5">
        <v>2019</v>
      </c>
      <c r="C877" s="5" t="s">
        <v>5252</v>
      </c>
      <c r="D877" s="5" t="s">
        <v>49</v>
      </c>
      <c r="E877" s="5" t="s">
        <v>18453</v>
      </c>
      <c r="F877" s="5" t="s">
        <v>5255</v>
      </c>
      <c r="G877" s="5"/>
      <c r="H877" s="5"/>
      <c r="I877" s="5"/>
      <c r="J877" s="5"/>
      <c r="K877" s="5"/>
      <c r="L877" s="5"/>
      <c r="M877" s="5"/>
      <c r="N877" s="5"/>
      <c r="O877" s="5"/>
      <c r="P877" s="5"/>
      <c r="Q877" s="5"/>
      <c r="AL877" s="7" t="str">
        <f>HYPERLINK("http://dx.doi.org/10.3354/meps12915","http://dx.doi.org/10.3354/meps12915")</f>
        <v>http://dx.doi.org/10.3354/meps12915</v>
      </c>
      <c r="AM877" s="5">
        <v>11</v>
      </c>
      <c r="AN877" s="5">
        <v>12</v>
      </c>
      <c r="AO877" s="5">
        <v>615</v>
      </c>
      <c r="AP877" s="5" t="s">
        <v>16</v>
      </c>
      <c r="AQ877" s="5">
        <v>159</v>
      </c>
      <c r="AR877" s="5">
        <v>176</v>
      </c>
      <c r="AS877" s="5" t="s">
        <v>16</v>
      </c>
      <c r="AT877" s="5" t="s">
        <v>5253</v>
      </c>
      <c r="AU877" s="5" t="s">
        <v>5254</v>
      </c>
      <c r="AV877" s="5" t="s">
        <v>5256</v>
      </c>
    </row>
    <row r="878" spans="1:48" ht="45" customHeight="1" x14ac:dyDescent="0.15">
      <c r="A878" s="5" t="s">
        <v>5257</v>
      </c>
      <c r="B878" s="5">
        <v>2006</v>
      </c>
      <c r="C878" s="5" t="s">
        <v>5258</v>
      </c>
      <c r="D878" s="5" t="s">
        <v>1134</v>
      </c>
      <c r="E878" s="5" t="s">
        <v>18453</v>
      </c>
      <c r="F878" s="5" t="s">
        <v>5261</v>
      </c>
      <c r="G878" s="5"/>
      <c r="H878" s="5"/>
      <c r="I878" s="5"/>
      <c r="J878" s="5"/>
      <c r="K878" s="5"/>
      <c r="L878" s="5"/>
      <c r="M878" s="5"/>
      <c r="N878" s="5"/>
      <c r="O878" s="5"/>
      <c r="P878" s="5"/>
      <c r="Q878" s="5"/>
      <c r="AL878" s="7" t="str">
        <f>HYPERLINK("http://dx.doi.org/10.1080/17451000601023896","http://dx.doi.org/10.1080/17451000601023896")</f>
        <v>http://dx.doi.org/10.1080/17451000601023896</v>
      </c>
      <c r="AM878" s="5">
        <v>10</v>
      </c>
      <c r="AN878" s="5">
        <v>10</v>
      </c>
      <c r="AO878" s="5">
        <v>2</v>
      </c>
      <c r="AP878" s="5">
        <v>6</v>
      </c>
      <c r="AQ878" s="5">
        <v>411</v>
      </c>
      <c r="AR878" s="5">
        <v>419</v>
      </c>
      <c r="AS878" s="5" t="s">
        <v>16</v>
      </c>
      <c r="AT878" s="5" t="s">
        <v>5259</v>
      </c>
      <c r="AU878" s="5" t="s">
        <v>5260</v>
      </c>
      <c r="AV878" s="5" t="s">
        <v>5262</v>
      </c>
    </row>
    <row r="879" spans="1:48" ht="45" customHeight="1" x14ac:dyDescent="0.15">
      <c r="A879" s="5" t="s">
        <v>5263</v>
      </c>
      <c r="B879" s="5">
        <v>2006</v>
      </c>
      <c r="C879" s="5" t="s">
        <v>5264</v>
      </c>
      <c r="D879" s="5" t="s">
        <v>17</v>
      </c>
      <c r="E879" s="5" t="s">
        <v>18453</v>
      </c>
      <c r="F879" s="5" t="s">
        <v>5267</v>
      </c>
      <c r="G879" s="5"/>
      <c r="H879" s="5"/>
      <c r="I879" s="5"/>
      <c r="J879" s="5"/>
      <c r="K879" s="5"/>
      <c r="L879" s="5"/>
      <c r="M879" s="5"/>
      <c r="N879" s="5"/>
      <c r="O879" s="5"/>
      <c r="P879" s="5"/>
      <c r="Q879" s="5"/>
      <c r="AL879" s="7" t="str">
        <f>HYPERLINK("http://dx.doi.org/10.1111/j.1365-2427.2006.01539.x","http://dx.doi.org/10.1111/j.1365-2427.2006.01539.x")</f>
        <v>http://dx.doi.org/10.1111/j.1365-2427.2006.01539.x</v>
      </c>
      <c r="AM879" s="5">
        <v>67</v>
      </c>
      <c r="AN879" s="5">
        <v>68</v>
      </c>
      <c r="AO879" s="5">
        <v>51</v>
      </c>
      <c r="AP879" s="5">
        <v>5</v>
      </c>
      <c r="AQ879" s="5">
        <v>878</v>
      </c>
      <c r="AR879" s="5">
        <v>886</v>
      </c>
      <c r="AS879" s="5" t="s">
        <v>16</v>
      </c>
      <c r="AT879" s="5" t="s">
        <v>5265</v>
      </c>
      <c r="AU879" s="5" t="s">
        <v>5266</v>
      </c>
      <c r="AV879" s="5" t="s">
        <v>5268</v>
      </c>
    </row>
    <row r="880" spans="1:48" ht="45" customHeight="1" x14ac:dyDescent="0.15">
      <c r="A880" s="5" t="s">
        <v>5269</v>
      </c>
      <c r="B880" s="5">
        <v>2016</v>
      </c>
      <c r="C880" s="5" t="s">
        <v>5270</v>
      </c>
      <c r="D880" s="5" t="s">
        <v>1765</v>
      </c>
      <c r="E880" s="5" t="s">
        <v>18453</v>
      </c>
      <c r="F880" s="5" t="s">
        <v>5273</v>
      </c>
      <c r="G880" s="5"/>
      <c r="H880" s="5"/>
      <c r="I880" s="5"/>
      <c r="J880" s="5"/>
      <c r="K880" s="5"/>
      <c r="L880" s="5"/>
      <c r="M880" s="5"/>
      <c r="N880" s="5"/>
      <c r="O880" s="5"/>
      <c r="P880" s="5"/>
      <c r="Q880" s="5"/>
      <c r="AL880" s="7" t="str">
        <f>HYPERLINK("http://dx.doi.org/10.1016/j.agee.2016.01.048","http://dx.doi.org/10.1016/j.agee.2016.01.048")</f>
        <v>http://dx.doi.org/10.1016/j.agee.2016.01.048</v>
      </c>
      <c r="AM880" s="5">
        <v>84</v>
      </c>
      <c r="AN880" s="5">
        <v>98</v>
      </c>
      <c r="AO880" s="5">
        <v>221</v>
      </c>
      <c r="AP880" s="5" t="s">
        <v>16</v>
      </c>
      <c r="AQ880" s="5">
        <v>235</v>
      </c>
      <c r="AR880" s="5">
        <v>244</v>
      </c>
      <c r="AS880" s="5" t="s">
        <v>16</v>
      </c>
      <c r="AT880" s="5" t="s">
        <v>5271</v>
      </c>
      <c r="AU880" s="5" t="s">
        <v>5272</v>
      </c>
      <c r="AV880" s="5" t="s">
        <v>5274</v>
      </c>
    </row>
    <row r="881" spans="1:48" ht="45" customHeight="1" x14ac:dyDescent="0.15">
      <c r="A881" s="5" t="s">
        <v>5275</v>
      </c>
      <c r="B881" s="5">
        <v>2003</v>
      </c>
      <c r="C881" s="5" t="s">
        <v>5276</v>
      </c>
      <c r="D881" s="5" t="s">
        <v>1765</v>
      </c>
      <c r="E881" s="5" t="s">
        <v>18453</v>
      </c>
      <c r="F881" s="5" t="s">
        <v>5279</v>
      </c>
      <c r="G881" s="5"/>
      <c r="H881" s="5"/>
      <c r="I881" s="5"/>
      <c r="J881" s="5"/>
      <c r="K881" s="5"/>
      <c r="L881" s="5"/>
      <c r="M881" s="5"/>
      <c r="N881" s="5"/>
      <c r="O881" s="5"/>
      <c r="P881" s="5"/>
      <c r="Q881" s="5"/>
      <c r="AL881" s="7" t="str">
        <f>HYPERLINK("http://dx.doi.org/10.1016/S0167-8809(02)00168-8","http://dx.doi.org/10.1016/S0167-8809(02)00168-8")</f>
        <v>http://dx.doi.org/10.1016/S0167-8809(02)00168-8</v>
      </c>
      <c r="AM881" s="5">
        <v>98</v>
      </c>
      <c r="AN881" s="5">
        <v>101</v>
      </c>
      <c r="AO881" s="5">
        <v>95</v>
      </c>
      <c r="AP881" s="5">
        <v>1</v>
      </c>
      <c r="AQ881" s="5">
        <v>87</v>
      </c>
      <c r="AR881" s="5">
        <v>102</v>
      </c>
      <c r="AS881" s="5" t="s">
        <v>16</v>
      </c>
      <c r="AT881" s="5" t="s">
        <v>5277</v>
      </c>
      <c r="AU881" s="5" t="s">
        <v>5278</v>
      </c>
      <c r="AV881" s="5" t="s">
        <v>5280</v>
      </c>
    </row>
    <row r="882" spans="1:48" ht="45" customHeight="1" x14ac:dyDescent="0.15">
      <c r="A882" s="5" t="s">
        <v>5281</v>
      </c>
      <c r="B882" s="5">
        <v>2018</v>
      </c>
      <c r="C882" s="5" t="s">
        <v>5282</v>
      </c>
      <c r="D882" s="5" t="s">
        <v>1758</v>
      </c>
      <c r="E882" s="5" t="s">
        <v>18453</v>
      </c>
      <c r="F882" s="5" t="s">
        <v>5285</v>
      </c>
      <c r="G882" s="5"/>
      <c r="H882" s="5"/>
      <c r="I882" s="5"/>
      <c r="J882" s="5"/>
      <c r="K882" s="5"/>
      <c r="L882" s="5"/>
      <c r="M882" s="5"/>
      <c r="N882" s="5"/>
      <c r="O882" s="5"/>
      <c r="P882" s="5"/>
      <c r="Q882" s="5"/>
      <c r="AL882" s="7" t="str">
        <f>HYPERLINK("http://dx.doi.org/10.1007/s13157-018-1056-z","http://dx.doi.org/10.1007/s13157-018-1056-z")</f>
        <v>http://dx.doi.org/10.1007/s13157-018-1056-z</v>
      </c>
      <c r="AM882" s="5">
        <v>4</v>
      </c>
      <c r="AN882" s="5">
        <v>4</v>
      </c>
      <c r="AO882" s="5">
        <v>38</v>
      </c>
      <c r="AP882" s="5">
        <v>6</v>
      </c>
      <c r="AQ882" s="5">
        <v>1327</v>
      </c>
      <c r="AR882" s="5">
        <v>1340</v>
      </c>
      <c r="AS882" s="5" t="s">
        <v>16</v>
      </c>
      <c r="AT882" s="5" t="s">
        <v>5283</v>
      </c>
      <c r="AU882" s="5" t="s">
        <v>5284</v>
      </c>
      <c r="AV882" s="5" t="s">
        <v>5286</v>
      </c>
    </row>
    <row r="883" spans="1:48" ht="45" customHeight="1" x14ac:dyDescent="0.15">
      <c r="A883" s="5" t="s">
        <v>5287</v>
      </c>
      <c r="B883" s="5">
        <v>2018</v>
      </c>
      <c r="C883" s="5" t="s">
        <v>5288</v>
      </c>
      <c r="D883" s="5" t="s">
        <v>1765</v>
      </c>
      <c r="E883" s="5" t="s">
        <v>18453</v>
      </c>
      <c r="F883" s="5" t="s">
        <v>5291</v>
      </c>
      <c r="G883" s="5"/>
      <c r="H883" s="5"/>
      <c r="I883" s="5"/>
      <c r="J883" s="5"/>
      <c r="K883" s="5"/>
      <c r="L883" s="5"/>
      <c r="M883" s="5"/>
      <c r="N883" s="5"/>
      <c r="O883" s="5"/>
      <c r="P883" s="5"/>
      <c r="Q883" s="5"/>
      <c r="AL883" s="7" t="str">
        <f>HYPERLINK("http://dx.doi.org/10.1016/j.agee.2017.09.021","http://dx.doi.org/10.1016/j.agee.2017.09.021")</f>
        <v>http://dx.doi.org/10.1016/j.agee.2017.09.021</v>
      </c>
      <c r="AM883" s="5">
        <v>14</v>
      </c>
      <c r="AN883" s="5">
        <v>18</v>
      </c>
      <c r="AO883" s="5">
        <v>251</v>
      </c>
      <c r="AP883" s="5" t="s">
        <v>16</v>
      </c>
      <c r="AQ883" s="5">
        <v>132</v>
      </c>
      <c r="AR883" s="5">
        <v>140</v>
      </c>
      <c r="AS883" s="5" t="s">
        <v>16</v>
      </c>
      <c r="AT883" s="5" t="s">
        <v>5289</v>
      </c>
      <c r="AU883" s="5" t="s">
        <v>5290</v>
      </c>
      <c r="AV883" s="5" t="s">
        <v>5292</v>
      </c>
    </row>
    <row r="884" spans="1:48" ht="45" customHeight="1" x14ac:dyDescent="0.15">
      <c r="A884" s="5" t="s">
        <v>5293</v>
      </c>
      <c r="B884" s="5">
        <v>2022</v>
      </c>
      <c r="C884" s="5" t="s">
        <v>5294</v>
      </c>
      <c r="D884" s="5" t="s">
        <v>1257</v>
      </c>
      <c r="E884" s="5" t="s">
        <v>18453</v>
      </c>
      <c r="F884" s="5" t="s">
        <v>5297</v>
      </c>
      <c r="G884" s="5"/>
      <c r="H884" s="5"/>
      <c r="I884" s="5"/>
      <c r="J884" s="5"/>
      <c r="K884" s="5"/>
      <c r="L884" s="5"/>
      <c r="M884" s="5"/>
      <c r="N884" s="5"/>
      <c r="O884" s="5"/>
      <c r="P884" s="5"/>
      <c r="Q884" s="5"/>
      <c r="AL884" s="7" t="str">
        <f>HYPERLINK("http://dx.doi.org/10.3389/ffgc.2021.645222","http://dx.doi.org/10.3389/ffgc.2021.645222")</f>
        <v>http://dx.doi.org/10.3389/ffgc.2021.645222</v>
      </c>
      <c r="AM884" s="5">
        <v>0</v>
      </c>
      <c r="AN884" s="5">
        <v>0</v>
      </c>
      <c r="AO884" s="5">
        <v>4</v>
      </c>
      <c r="AP884" s="5" t="s">
        <v>16</v>
      </c>
      <c r="AQ884" s="5" t="s">
        <v>16</v>
      </c>
      <c r="AR884" s="5" t="s">
        <v>16</v>
      </c>
      <c r="AS884" s="5">
        <v>645222</v>
      </c>
      <c r="AT884" s="5" t="s">
        <v>5295</v>
      </c>
      <c r="AU884" s="5" t="s">
        <v>5296</v>
      </c>
      <c r="AV884" s="5" t="s">
        <v>5298</v>
      </c>
    </row>
    <row r="885" spans="1:48" ht="45" customHeight="1" x14ac:dyDescent="0.15">
      <c r="A885" s="5" t="s">
        <v>5299</v>
      </c>
      <c r="B885" s="5">
        <v>2020</v>
      </c>
      <c r="C885" s="5" t="s">
        <v>5300</v>
      </c>
      <c r="D885" s="5" t="s">
        <v>123</v>
      </c>
      <c r="E885" s="5" t="s">
        <v>18453</v>
      </c>
      <c r="F885" s="5" t="s">
        <v>5303</v>
      </c>
      <c r="G885" s="5"/>
      <c r="H885" s="5"/>
      <c r="I885" s="5"/>
      <c r="J885" s="5"/>
      <c r="K885" s="5"/>
      <c r="L885" s="5"/>
      <c r="M885" s="5"/>
      <c r="N885" s="5"/>
      <c r="O885" s="5"/>
      <c r="P885" s="5"/>
      <c r="Q885" s="5"/>
      <c r="AL885" s="7" t="str">
        <f>HYPERLINK("http://dx.doi.org/10.1111/ddi.13077","http://dx.doi.org/10.1111/ddi.13077")</f>
        <v>http://dx.doi.org/10.1111/ddi.13077</v>
      </c>
      <c r="AM885" s="5">
        <v>11</v>
      </c>
      <c r="AN885" s="5">
        <v>11</v>
      </c>
      <c r="AO885" s="5">
        <v>26</v>
      </c>
      <c r="AP885" s="5">
        <v>8</v>
      </c>
      <c r="AQ885" s="5">
        <v>944</v>
      </c>
      <c r="AR885" s="5">
        <v>957</v>
      </c>
      <c r="AS885" s="5" t="s">
        <v>16</v>
      </c>
      <c r="AT885" s="5" t="s">
        <v>5301</v>
      </c>
      <c r="AU885" s="5" t="s">
        <v>5302</v>
      </c>
      <c r="AV885" s="5" t="s">
        <v>5304</v>
      </c>
    </row>
    <row r="886" spans="1:48" ht="45" customHeight="1" x14ac:dyDescent="0.15">
      <c r="A886" s="5" t="s">
        <v>5305</v>
      </c>
      <c r="B886" s="5">
        <v>2010</v>
      </c>
      <c r="C886" s="5" t="s">
        <v>5306</v>
      </c>
      <c r="D886" s="5" t="s">
        <v>33</v>
      </c>
      <c r="E886" s="5" t="s">
        <v>18453</v>
      </c>
      <c r="F886" s="5" t="s">
        <v>5309</v>
      </c>
      <c r="G886" s="5"/>
      <c r="H886" s="5"/>
      <c r="I886" s="5"/>
      <c r="J886" s="5"/>
      <c r="K886" s="5"/>
      <c r="L886" s="5"/>
      <c r="M886" s="5"/>
      <c r="N886" s="5"/>
      <c r="O886" s="5"/>
      <c r="P886" s="5"/>
      <c r="Q886" s="5"/>
      <c r="AL886" s="7" t="str">
        <f>HYPERLINK("http://dx.doi.org/10.1111/j.1365-2486.2010.02167.x","http://dx.doi.org/10.1111/j.1365-2486.2010.02167.x")</f>
        <v>http://dx.doi.org/10.1111/j.1365-2486.2010.02167.x</v>
      </c>
      <c r="AM886" s="5">
        <v>33</v>
      </c>
      <c r="AN886" s="5">
        <v>33</v>
      </c>
      <c r="AO886" s="5">
        <v>16</v>
      </c>
      <c r="AP886" s="5">
        <v>10</v>
      </c>
      <c r="AQ886" s="5">
        <v>2701</v>
      </c>
      <c r="AR886" s="5">
        <v>2710</v>
      </c>
      <c r="AS886" s="5" t="s">
        <v>16</v>
      </c>
      <c r="AT886" s="5" t="s">
        <v>5307</v>
      </c>
      <c r="AU886" s="5" t="s">
        <v>5308</v>
      </c>
      <c r="AV886" s="5" t="s">
        <v>5310</v>
      </c>
    </row>
    <row r="887" spans="1:48" ht="45" customHeight="1" x14ac:dyDescent="0.15">
      <c r="A887" s="5" t="s">
        <v>5311</v>
      </c>
      <c r="B887" s="5">
        <v>2012</v>
      </c>
      <c r="C887" s="5" t="s">
        <v>5312</v>
      </c>
      <c r="D887" s="5" t="s">
        <v>212</v>
      </c>
      <c r="E887" s="5" t="s">
        <v>18453</v>
      </c>
      <c r="F887" s="5" t="s">
        <v>5315</v>
      </c>
      <c r="G887" s="5"/>
      <c r="H887" s="5"/>
      <c r="I887" s="5"/>
      <c r="J887" s="5"/>
      <c r="K887" s="5"/>
      <c r="L887" s="5"/>
      <c r="M887" s="5"/>
      <c r="N887" s="5"/>
      <c r="O887" s="5"/>
      <c r="P887" s="5"/>
      <c r="Q887" s="5"/>
      <c r="AL887" s="7" t="str">
        <f>HYPERLINK("http://dx.doi.org/10.1007/s00300-012-1203-6","http://dx.doi.org/10.1007/s00300-012-1203-6")</f>
        <v>http://dx.doi.org/10.1007/s00300-012-1203-6</v>
      </c>
      <c r="AM887" s="5">
        <v>15</v>
      </c>
      <c r="AN887" s="5">
        <v>15</v>
      </c>
      <c r="AO887" s="5">
        <v>35</v>
      </c>
      <c r="AP887" s="5">
        <v>11</v>
      </c>
      <c r="AQ887" s="5">
        <v>1629</v>
      </c>
      <c r="AR887" s="5">
        <v>1640</v>
      </c>
      <c r="AS887" s="5" t="s">
        <v>16</v>
      </c>
      <c r="AT887" s="5" t="s">
        <v>5313</v>
      </c>
      <c r="AU887" s="5" t="s">
        <v>5314</v>
      </c>
      <c r="AV887" s="5" t="s">
        <v>5316</v>
      </c>
    </row>
    <row r="888" spans="1:48" ht="45" customHeight="1" x14ac:dyDescent="0.15">
      <c r="A888" s="5" t="s">
        <v>5317</v>
      </c>
      <c r="B888" s="5">
        <v>2021</v>
      </c>
      <c r="C888" s="5" t="s">
        <v>5318</v>
      </c>
      <c r="D888" s="5" t="s">
        <v>289</v>
      </c>
      <c r="E888" s="5" t="s">
        <v>18453</v>
      </c>
      <c r="F888" s="5" t="s">
        <v>5321</v>
      </c>
      <c r="G888" s="5"/>
      <c r="H888" s="5"/>
      <c r="I888" s="5"/>
      <c r="J888" s="5"/>
      <c r="K888" s="5"/>
      <c r="L888" s="5"/>
      <c r="M888" s="5"/>
      <c r="N888" s="5"/>
      <c r="O888" s="5"/>
      <c r="P888" s="5"/>
      <c r="Q888" s="5"/>
      <c r="AL888" s="7" t="str">
        <f>HYPERLINK("http://dx.doi.org/10.1111/1365-2745.13450","http://dx.doi.org/10.1111/1365-2745.13450")</f>
        <v>http://dx.doi.org/10.1111/1365-2745.13450</v>
      </c>
      <c r="AM888" s="5">
        <v>10</v>
      </c>
      <c r="AN888" s="5">
        <v>10</v>
      </c>
      <c r="AO888" s="5">
        <v>109</v>
      </c>
      <c r="AP888" s="5">
        <v>1</v>
      </c>
      <c r="AQ888" s="5">
        <v>109</v>
      </c>
      <c r="AR888" s="5">
        <v>124</v>
      </c>
      <c r="AS888" s="5" t="s">
        <v>16</v>
      </c>
      <c r="AT888" s="5" t="s">
        <v>5319</v>
      </c>
      <c r="AU888" s="5" t="s">
        <v>5320</v>
      </c>
      <c r="AV888" s="5" t="s">
        <v>5322</v>
      </c>
    </row>
    <row r="889" spans="1:48" ht="45" customHeight="1" x14ac:dyDescent="0.15">
      <c r="A889" s="5" t="s">
        <v>5323</v>
      </c>
      <c r="B889" s="5">
        <v>2017</v>
      </c>
      <c r="C889" s="5" t="s">
        <v>5324</v>
      </c>
      <c r="D889" s="5" t="s">
        <v>82</v>
      </c>
      <c r="E889" s="5" t="s">
        <v>18453</v>
      </c>
      <c r="F889" s="5" t="s">
        <v>5327</v>
      </c>
      <c r="G889" s="5"/>
      <c r="H889" s="5"/>
      <c r="I889" s="5"/>
      <c r="J889" s="5"/>
      <c r="K889" s="5"/>
      <c r="L889" s="5"/>
      <c r="M889" s="5"/>
      <c r="N889" s="5"/>
      <c r="O889" s="5"/>
      <c r="P889" s="5"/>
      <c r="Q889" s="5"/>
      <c r="AL889" s="7" t="str">
        <f>HYPERLINK("http://dx.doi.org/10.1002/eap.1535","http://dx.doi.org/10.1002/eap.1535")</f>
        <v>http://dx.doi.org/10.1002/eap.1535</v>
      </c>
      <c r="AM889" s="5">
        <v>21</v>
      </c>
      <c r="AN889" s="5">
        <v>21</v>
      </c>
      <c r="AO889" s="5">
        <v>27</v>
      </c>
      <c r="AP889" s="5">
        <v>5</v>
      </c>
      <c r="AQ889" s="5">
        <v>1451</v>
      </c>
      <c r="AR889" s="5">
        <v>1465</v>
      </c>
      <c r="AS889" s="5" t="s">
        <v>16</v>
      </c>
      <c r="AT889" s="5" t="s">
        <v>5325</v>
      </c>
      <c r="AU889" s="5" t="s">
        <v>5326</v>
      </c>
      <c r="AV889" s="5" t="s">
        <v>5328</v>
      </c>
    </row>
    <row r="890" spans="1:48" ht="45" customHeight="1" x14ac:dyDescent="0.15">
      <c r="A890" s="5" t="s">
        <v>5329</v>
      </c>
      <c r="B890" s="5">
        <v>2022</v>
      </c>
      <c r="C890" s="5" t="s">
        <v>5330</v>
      </c>
      <c r="D890" s="5" t="s">
        <v>289</v>
      </c>
      <c r="E890" s="5" t="s">
        <v>18453</v>
      </c>
      <c r="F890" s="5" t="s">
        <v>5333</v>
      </c>
      <c r="G890" s="5"/>
      <c r="H890" s="5"/>
      <c r="I890" s="5"/>
      <c r="J890" s="5"/>
      <c r="K890" s="5"/>
      <c r="L890" s="5"/>
      <c r="M890" s="5"/>
      <c r="N890" s="5"/>
      <c r="O890" s="5"/>
      <c r="P890" s="5"/>
      <c r="Q890" s="5"/>
      <c r="AL890" s="7" t="str">
        <f>HYPERLINK("http://dx.doi.org/10.1111/1365-2745.13866","http://dx.doi.org/10.1111/1365-2745.13866")</f>
        <v>http://dx.doi.org/10.1111/1365-2745.13866</v>
      </c>
      <c r="AM890" s="5">
        <v>1</v>
      </c>
      <c r="AN890" s="5">
        <v>1</v>
      </c>
      <c r="AO890" s="5">
        <v>110</v>
      </c>
      <c r="AP890" s="5">
        <v>6</v>
      </c>
      <c r="AQ890" s="5">
        <v>1259</v>
      </c>
      <c r="AR890" s="5">
        <v>1270</v>
      </c>
      <c r="AS890" s="5" t="s">
        <v>16</v>
      </c>
      <c r="AT890" s="5" t="s">
        <v>5331</v>
      </c>
      <c r="AU890" s="5" t="s">
        <v>5332</v>
      </c>
      <c r="AV890" s="5" t="s">
        <v>5334</v>
      </c>
    </row>
    <row r="891" spans="1:48" ht="45" customHeight="1" x14ac:dyDescent="0.15">
      <c r="A891" s="5" t="s">
        <v>5335</v>
      </c>
      <c r="B891" s="5">
        <v>2011</v>
      </c>
      <c r="C891" s="5" t="s">
        <v>5336</v>
      </c>
      <c r="D891" s="5" t="s">
        <v>212</v>
      </c>
      <c r="E891" s="5" t="s">
        <v>18453</v>
      </c>
      <c r="F891" s="5" t="s">
        <v>5339</v>
      </c>
      <c r="G891" s="5"/>
      <c r="H891" s="5"/>
      <c r="I891" s="5"/>
      <c r="J891" s="5"/>
      <c r="K891" s="5"/>
      <c r="L891" s="5"/>
      <c r="M891" s="5"/>
      <c r="N891" s="5"/>
      <c r="O891" s="5"/>
      <c r="P891" s="5"/>
      <c r="Q891" s="5"/>
      <c r="AL891" s="7" t="str">
        <f>HYPERLINK("http://dx.doi.org/10.1007/s00300-010-0907-8","http://dx.doi.org/10.1007/s00300-010-0907-8")</f>
        <v>http://dx.doi.org/10.1007/s00300-010-0907-8</v>
      </c>
      <c r="AM891" s="5">
        <v>12</v>
      </c>
      <c r="AN891" s="5">
        <v>12</v>
      </c>
      <c r="AO891" s="5">
        <v>34</v>
      </c>
      <c r="AP891" s="5">
        <v>4</v>
      </c>
      <c r="AQ891" s="5">
        <v>591</v>
      </c>
      <c r="AR891" s="5">
        <v>596</v>
      </c>
      <c r="AS891" s="5" t="s">
        <v>16</v>
      </c>
      <c r="AT891" s="5" t="s">
        <v>5337</v>
      </c>
      <c r="AU891" s="5" t="s">
        <v>5338</v>
      </c>
      <c r="AV891" s="5" t="s">
        <v>5340</v>
      </c>
    </row>
    <row r="892" spans="1:48" ht="45" customHeight="1" x14ac:dyDescent="0.15">
      <c r="A892" s="5" t="s">
        <v>5341</v>
      </c>
      <c r="B892" s="5">
        <v>2008</v>
      </c>
      <c r="C892" s="5" t="s">
        <v>5342</v>
      </c>
      <c r="D892" s="5" t="s">
        <v>172</v>
      </c>
      <c r="E892" s="5" t="s">
        <v>18453</v>
      </c>
      <c r="F892" s="5" t="s">
        <v>5345</v>
      </c>
      <c r="G892" s="5"/>
      <c r="H892" s="5"/>
      <c r="I892" s="5"/>
      <c r="J892" s="5"/>
      <c r="K892" s="5"/>
      <c r="L892" s="5"/>
      <c r="M892" s="5"/>
      <c r="N892" s="5"/>
      <c r="O892" s="5"/>
      <c r="P892" s="5"/>
      <c r="Q892" s="5"/>
      <c r="AL892" s="7" t="str">
        <f>HYPERLINK("http://dx.doi.org/10.1007/s00442-008-0988-z","http://dx.doi.org/10.1007/s00442-008-0988-z")</f>
        <v>http://dx.doi.org/10.1007/s00442-008-0988-z</v>
      </c>
      <c r="AM892" s="5">
        <v>56</v>
      </c>
      <c r="AN892" s="5">
        <v>60</v>
      </c>
      <c r="AO892" s="5">
        <v>156</v>
      </c>
      <c r="AP892" s="5">
        <v>2</v>
      </c>
      <c r="AQ892" s="5">
        <v>363</v>
      </c>
      <c r="AR892" s="5">
        <v>371</v>
      </c>
      <c r="AS892" s="5" t="s">
        <v>16</v>
      </c>
      <c r="AT892" s="5" t="s">
        <v>5343</v>
      </c>
      <c r="AU892" s="5" t="s">
        <v>5344</v>
      </c>
      <c r="AV892" s="5" t="s">
        <v>5346</v>
      </c>
    </row>
    <row r="893" spans="1:48" ht="45" customHeight="1" x14ac:dyDescent="0.15">
      <c r="A893" s="5" t="s">
        <v>5347</v>
      </c>
      <c r="B893" s="5">
        <v>2023</v>
      </c>
      <c r="C893" s="5" t="s">
        <v>5348</v>
      </c>
      <c r="D893" s="5" t="s">
        <v>18</v>
      </c>
      <c r="E893" s="5" t="s">
        <v>18453</v>
      </c>
      <c r="F893" s="5" t="s">
        <v>5351</v>
      </c>
      <c r="G893" s="5"/>
      <c r="H893" s="5"/>
      <c r="I893" s="5"/>
      <c r="J893" s="5"/>
      <c r="K893" s="5"/>
      <c r="L893" s="5"/>
      <c r="M893" s="5"/>
      <c r="N893" s="5"/>
      <c r="O893" s="5"/>
      <c r="P893" s="5"/>
      <c r="Q893" s="5"/>
      <c r="AL893" s="7" t="str">
        <f>HYPERLINK("http://dx.doi.org/10.1002/ecs2.4495","http://dx.doi.org/10.1002/ecs2.4495")</f>
        <v>http://dx.doi.org/10.1002/ecs2.4495</v>
      </c>
      <c r="AM893" s="5">
        <v>0</v>
      </c>
      <c r="AN893" s="5">
        <v>0</v>
      </c>
      <c r="AO893" s="5">
        <v>14</v>
      </c>
      <c r="AP893" s="5">
        <v>5</v>
      </c>
      <c r="AQ893" s="5" t="s">
        <v>16</v>
      </c>
      <c r="AR893" s="5" t="s">
        <v>16</v>
      </c>
      <c r="AS893" s="5" t="s">
        <v>5352</v>
      </c>
      <c r="AT893" s="5" t="s">
        <v>5349</v>
      </c>
      <c r="AU893" s="5" t="s">
        <v>5350</v>
      </c>
      <c r="AV893" s="5" t="s">
        <v>5353</v>
      </c>
    </row>
    <row r="894" spans="1:48" ht="45" customHeight="1" x14ac:dyDescent="0.15">
      <c r="A894" s="5" t="s">
        <v>5354</v>
      </c>
      <c r="B894" s="5">
        <v>2014</v>
      </c>
      <c r="C894" s="5" t="s">
        <v>5355</v>
      </c>
      <c r="D894" s="5" t="s">
        <v>289</v>
      </c>
      <c r="E894" s="5" t="s">
        <v>18453</v>
      </c>
      <c r="F894" s="5" t="s">
        <v>5358</v>
      </c>
      <c r="G894" s="5"/>
      <c r="H894" s="5"/>
      <c r="I894" s="5"/>
      <c r="J894" s="5"/>
      <c r="K894" s="5"/>
      <c r="L894" s="5"/>
      <c r="M894" s="5"/>
      <c r="N894" s="5"/>
      <c r="O894" s="5"/>
      <c r="P894" s="5"/>
      <c r="Q894" s="5"/>
      <c r="AL894" s="7" t="str">
        <f>HYPERLINK("http://dx.doi.org/10.1111/1365-2745.12228","http://dx.doi.org/10.1111/1365-2745.12228")</f>
        <v>http://dx.doi.org/10.1111/1365-2745.12228</v>
      </c>
      <c r="AM894" s="5">
        <v>21</v>
      </c>
      <c r="AN894" s="5">
        <v>21</v>
      </c>
      <c r="AO894" s="5">
        <v>102</v>
      </c>
      <c r="AP894" s="5">
        <v>3</v>
      </c>
      <c r="AQ894" s="5">
        <v>610</v>
      </c>
      <c r="AR894" s="5">
        <v>621</v>
      </c>
      <c r="AS894" s="5" t="s">
        <v>16</v>
      </c>
      <c r="AT894" s="5" t="s">
        <v>5356</v>
      </c>
      <c r="AU894" s="5" t="s">
        <v>5357</v>
      </c>
      <c r="AV894" s="5" t="s">
        <v>5359</v>
      </c>
    </row>
    <row r="895" spans="1:48" ht="45" customHeight="1" x14ac:dyDescent="0.15">
      <c r="A895" s="5" t="s">
        <v>5360</v>
      </c>
      <c r="B895" s="5">
        <v>2020</v>
      </c>
      <c r="C895" s="5" t="s">
        <v>5361</v>
      </c>
      <c r="D895" s="5" t="s">
        <v>33</v>
      </c>
      <c r="E895" s="5" t="s">
        <v>18453</v>
      </c>
      <c r="F895" s="5" t="s">
        <v>5364</v>
      </c>
      <c r="G895" s="5"/>
      <c r="H895" s="5"/>
      <c r="I895" s="5"/>
      <c r="J895" s="5"/>
      <c r="K895" s="5"/>
      <c r="L895" s="5"/>
      <c r="M895" s="5"/>
      <c r="N895" s="5"/>
      <c r="O895" s="5"/>
      <c r="P895" s="5"/>
      <c r="Q895" s="5"/>
      <c r="AL895" s="7" t="str">
        <f>HYPERLINK("http://dx.doi.org/10.1111/gcb.14866","http://dx.doi.org/10.1111/gcb.14866")</f>
        <v>http://dx.doi.org/10.1111/gcb.14866</v>
      </c>
      <c r="AM895" s="5">
        <v>33</v>
      </c>
      <c r="AN895" s="5">
        <v>34</v>
      </c>
      <c r="AO895" s="5">
        <v>26</v>
      </c>
      <c r="AP895" s="5">
        <v>2</v>
      </c>
      <c r="AQ895" s="5">
        <v>496</v>
      </c>
      <c r="AR895" s="5">
        <v>508</v>
      </c>
      <c r="AS895" s="5" t="s">
        <v>16</v>
      </c>
      <c r="AT895" s="5" t="s">
        <v>5362</v>
      </c>
      <c r="AU895" s="5" t="s">
        <v>5363</v>
      </c>
      <c r="AV895" s="5" t="s">
        <v>5365</v>
      </c>
    </row>
    <row r="896" spans="1:48" ht="45" customHeight="1" x14ac:dyDescent="0.15">
      <c r="A896" s="5" t="s">
        <v>5366</v>
      </c>
      <c r="B896" s="5">
        <v>2017</v>
      </c>
      <c r="C896" s="5" t="s">
        <v>5367</v>
      </c>
      <c r="D896" s="5" t="s">
        <v>212</v>
      </c>
      <c r="E896" s="5" t="s">
        <v>18453</v>
      </c>
      <c r="F896" s="5" t="s">
        <v>5370</v>
      </c>
      <c r="G896" s="5"/>
      <c r="H896" s="5"/>
      <c r="I896" s="5"/>
      <c r="J896" s="5"/>
      <c r="K896" s="5"/>
      <c r="L896" s="5"/>
      <c r="M896" s="5"/>
      <c r="N896" s="5"/>
      <c r="O896" s="5"/>
      <c r="P896" s="5"/>
      <c r="Q896" s="5"/>
      <c r="AL896" s="7" t="str">
        <f>HYPERLINK("http://dx.doi.org/10.1007/s00300-016-2018-7","http://dx.doi.org/10.1007/s00300-016-2018-7")</f>
        <v>http://dx.doi.org/10.1007/s00300-016-2018-7</v>
      </c>
      <c r="AM896" s="5">
        <v>11</v>
      </c>
      <c r="AN896" s="5">
        <v>11</v>
      </c>
      <c r="AO896" s="5">
        <v>40</v>
      </c>
      <c r="AP896" s="5">
        <v>4</v>
      </c>
      <c r="AQ896" s="5">
        <v>917</v>
      </c>
      <c r="AR896" s="5">
        <v>929</v>
      </c>
      <c r="AS896" s="5" t="s">
        <v>16</v>
      </c>
      <c r="AT896" s="5" t="s">
        <v>5368</v>
      </c>
      <c r="AU896" s="5" t="s">
        <v>5369</v>
      </c>
      <c r="AV896" s="5" t="s">
        <v>5371</v>
      </c>
    </row>
    <row r="897" spans="1:48" ht="45" customHeight="1" x14ac:dyDescent="0.15">
      <c r="A897" s="5" t="s">
        <v>5372</v>
      </c>
      <c r="B897" s="5">
        <v>2013</v>
      </c>
      <c r="C897" s="5" t="s">
        <v>5373</v>
      </c>
      <c r="D897" s="5" t="s">
        <v>172</v>
      </c>
      <c r="E897" s="5" t="s">
        <v>18453</v>
      </c>
      <c r="F897" s="5" t="s">
        <v>5376</v>
      </c>
      <c r="G897" s="5"/>
      <c r="H897" s="5"/>
      <c r="I897" s="5"/>
      <c r="J897" s="5"/>
      <c r="K897" s="5"/>
      <c r="L897" s="5"/>
      <c r="M897" s="5"/>
      <c r="N897" s="5"/>
      <c r="O897" s="5"/>
      <c r="P897" s="5"/>
      <c r="Q897" s="5"/>
      <c r="AL897" s="7" t="str">
        <f>HYPERLINK("http://dx.doi.org/10.1007/s00442-013-2731-7","http://dx.doi.org/10.1007/s00442-013-2731-7")</f>
        <v>http://dx.doi.org/10.1007/s00442-013-2731-7</v>
      </c>
      <c r="AM897" s="5">
        <v>61</v>
      </c>
      <c r="AN897" s="5">
        <v>62</v>
      </c>
      <c r="AO897" s="5">
        <v>173</v>
      </c>
      <c r="AP897" s="5">
        <v>4</v>
      </c>
      <c r="AQ897" s="5">
        <v>1649</v>
      </c>
      <c r="AR897" s="5">
        <v>1660</v>
      </c>
      <c r="AS897" s="5" t="s">
        <v>16</v>
      </c>
      <c r="AT897" s="5" t="s">
        <v>5374</v>
      </c>
      <c r="AU897" s="5" t="s">
        <v>5375</v>
      </c>
      <c r="AV897" s="5" t="s">
        <v>5377</v>
      </c>
    </row>
    <row r="898" spans="1:48" ht="45" customHeight="1" x14ac:dyDescent="0.15">
      <c r="A898" s="5" t="s">
        <v>5378</v>
      </c>
      <c r="B898" s="5">
        <v>2020</v>
      </c>
      <c r="C898" s="5" t="s">
        <v>5379</v>
      </c>
      <c r="D898" s="5" t="s">
        <v>172</v>
      </c>
      <c r="E898" s="5" t="s">
        <v>18453</v>
      </c>
      <c r="F898" s="5" t="s">
        <v>5382</v>
      </c>
      <c r="G898" s="5"/>
      <c r="H898" s="5"/>
      <c r="I898" s="5"/>
      <c r="J898" s="5"/>
      <c r="K898" s="5"/>
      <c r="L898" s="5"/>
      <c r="M898" s="5"/>
      <c r="N898" s="5"/>
      <c r="O898" s="5"/>
      <c r="P898" s="5"/>
      <c r="Q898" s="5"/>
      <c r="AL898" s="7" t="str">
        <f>HYPERLINK("http://dx.doi.org/10.1007/s00442-020-04758-x","http://dx.doi.org/10.1007/s00442-020-04758-x")</f>
        <v>http://dx.doi.org/10.1007/s00442-020-04758-x</v>
      </c>
      <c r="AM898" s="5">
        <v>5</v>
      </c>
      <c r="AN898" s="5">
        <v>5</v>
      </c>
      <c r="AO898" s="5">
        <v>194</v>
      </c>
      <c r="AP898" s="5" t="s">
        <v>778</v>
      </c>
      <c r="AQ898" s="5">
        <v>251</v>
      </c>
      <c r="AR898" s="5">
        <v>265</v>
      </c>
      <c r="AS898" s="5" t="s">
        <v>16</v>
      </c>
      <c r="AT898" s="5" t="s">
        <v>5380</v>
      </c>
      <c r="AU898" s="5" t="s">
        <v>5381</v>
      </c>
      <c r="AV898" s="5" t="s">
        <v>5383</v>
      </c>
    </row>
    <row r="899" spans="1:48" ht="45" customHeight="1" x14ac:dyDescent="0.15">
      <c r="A899" s="5" t="s">
        <v>5384</v>
      </c>
      <c r="B899" s="5">
        <v>2010</v>
      </c>
      <c r="C899" s="5" t="s">
        <v>5385</v>
      </c>
      <c r="D899" s="5" t="s">
        <v>33</v>
      </c>
      <c r="E899" s="5" t="s">
        <v>18453</v>
      </c>
      <c r="F899" s="5" t="s">
        <v>5388</v>
      </c>
      <c r="G899" s="5"/>
      <c r="H899" s="5"/>
      <c r="I899" s="5"/>
      <c r="J899" s="5"/>
      <c r="K899" s="5"/>
      <c r="L899" s="5"/>
      <c r="M899" s="5"/>
      <c r="N899" s="5"/>
      <c r="O899" s="5"/>
      <c r="P899" s="5"/>
      <c r="Q899" s="5"/>
      <c r="AL899" s="7" t="str">
        <f>HYPERLINK("http://dx.doi.org/10.1111/j.1365-2486.2009.01967.x","http://dx.doi.org/10.1111/j.1365-2486.2009.01967.x")</f>
        <v>http://dx.doi.org/10.1111/j.1365-2486.2009.01967.x</v>
      </c>
      <c r="AM899" s="5">
        <v>255</v>
      </c>
      <c r="AN899" s="5">
        <v>269</v>
      </c>
      <c r="AO899" s="5">
        <v>16</v>
      </c>
      <c r="AP899" s="5">
        <v>2</v>
      </c>
      <c r="AQ899" s="5">
        <v>771</v>
      </c>
      <c r="AR899" s="5">
        <v>783</v>
      </c>
      <c r="AS899" s="5" t="s">
        <v>16</v>
      </c>
      <c r="AT899" s="5" t="s">
        <v>5386</v>
      </c>
      <c r="AU899" s="5" t="s">
        <v>5387</v>
      </c>
      <c r="AV899" s="5" t="s">
        <v>5389</v>
      </c>
    </row>
    <row r="900" spans="1:48" ht="45" customHeight="1" x14ac:dyDescent="0.15">
      <c r="A900" s="5" t="s">
        <v>5390</v>
      </c>
      <c r="B900" s="5">
        <v>2019</v>
      </c>
      <c r="C900" s="5" t="s">
        <v>5391</v>
      </c>
      <c r="D900" s="5" t="s">
        <v>212</v>
      </c>
      <c r="E900" s="5" t="s">
        <v>18453</v>
      </c>
      <c r="F900" s="5" t="s">
        <v>5394</v>
      </c>
      <c r="G900" s="5"/>
      <c r="H900" s="5"/>
      <c r="I900" s="5"/>
      <c r="J900" s="5"/>
      <c r="K900" s="5"/>
      <c r="L900" s="5"/>
      <c r="M900" s="5"/>
      <c r="N900" s="5"/>
      <c r="O900" s="5"/>
      <c r="P900" s="5"/>
      <c r="Q900" s="5"/>
      <c r="AL900" s="7" t="str">
        <f>HYPERLINK("http://dx.doi.org/10.1007/s00300-019-02474-8","http://dx.doi.org/10.1007/s00300-019-02474-8")</f>
        <v>http://dx.doi.org/10.1007/s00300-019-02474-8</v>
      </c>
      <c r="AM900" s="5">
        <v>6</v>
      </c>
      <c r="AN900" s="5">
        <v>6</v>
      </c>
      <c r="AO900" s="5">
        <v>42</v>
      </c>
      <c r="AP900" s="5">
        <v>4</v>
      </c>
      <c r="AQ900" s="5">
        <v>793</v>
      </c>
      <c r="AR900" s="5">
        <v>805</v>
      </c>
      <c r="AS900" s="5" t="s">
        <v>16</v>
      </c>
      <c r="AT900" s="5" t="s">
        <v>5392</v>
      </c>
      <c r="AU900" s="5" t="s">
        <v>5393</v>
      </c>
      <c r="AV900" s="5" t="s">
        <v>5395</v>
      </c>
    </row>
    <row r="901" spans="1:48" ht="45" customHeight="1" x14ac:dyDescent="0.15">
      <c r="A901" s="5" t="s">
        <v>5396</v>
      </c>
      <c r="B901" s="5">
        <v>2018</v>
      </c>
      <c r="C901" s="5" t="s">
        <v>5397</v>
      </c>
      <c r="D901" s="5" t="s">
        <v>212</v>
      </c>
      <c r="E901" s="5" t="s">
        <v>18453</v>
      </c>
      <c r="F901" s="5" t="s">
        <v>5400</v>
      </c>
      <c r="G901" s="5"/>
      <c r="H901" s="5"/>
      <c r="I901" s="5"/>
      <c r="J901" s="5"/>
      <c r="K901" s="5"/>
      <c r="L901" s="5"/>
      <c r="M901" s="5"/>
      <c r="N901" s="5"/>
      <c r="O901" s="5"/>
      <c r="P901" s="5"/>
      <c r="Q901" s="5"/>
      <c r="AL901" s="7" t="str">
        <f>HYPERLINK("http://dx.doi.org/10.1007/s00300-018-2360-z","http://dx.doi.org/10.1007/s00300-018-2360-z")</f>
        <v>http://dx.doi.org/10.1007/s00300-018-2360-z</v>
      </c>
      <c r="AM901" s="5">
        <v>2</v>
      </c>
      <c r="AN901" s="5">
        <v>2</v>
      </c>
      <c r="AO901" s="5">
        <v>41</v>
      </c>
      <c r="AP901" s="5">
        <v>11</v>
      </c>
      <c r="AQ901" s="5">
        <v>2379</v>
      </c>
      <c r="AR901" s="5">
        <v>2385</v>
      </c>
      <c r="AS901" s="5" t="s">
        <v>16</v>
      </c>
      <c r="AT901" s="5" t="s">
        <v>5398</v>
      </c>
      <c r="AU901" s="5" t="s">
        <v>5399</v>
      </c>
      <c r="AV901" s="5" t="s">
        <v>5401</v>
      </c>
    </row>
    <row r="902" spans="1:48" ht="45" customHeight="1" x14ac:dyDescent="0.15">
      <c r="A902" s="5" t="s">
        <v>5402</v>
      </c>
      <c r="B902" s="5">
        <v>2020</v>
      </c>
      <c r="C902" s="5" t="s">
        <v>5403</v>
      </c>
      <c r="D902" s="5" t="s">
        <v>1785</v>
      </c>
      <c r="E902" s="5" t="s">
        <v>18453</v>
      </c>
      <c r="F902" s="5" t="s">
        <v>5406</v>
      </c>
      <c r="G902" s="5"/>
      <c r="H902" s="5"/>
      <c r="I902" s="5"/>
      <c r="J902" s="5"/>
      <c r="K902" s="5"/>
      <c r="L902" s="5"/>
      <c r="M902" s="5"/>
      <c r="N902" s="5"/>
      <c r="O902" s="5"/>
      <c r="P902" s="5"/>
      <c r="Q902" s="5"/>
      <c r="AL902" s="7" t="str">
        <f>HYPERLINK("http://dx.doi.org/10.5751/ACE-01743-150221","http://dx.doi.org/10.5751/ACE-01743-150221")</f>
        <v>http://dx.doi.org/10.5751/ACE-01743-150221</v>
      </c>
      <c r="AM902" s="5">
        <v>1</v>
      </c>
      <c r="AN902" s="5">
        <v>1</v>
      </c>
      <c r="AO902" s="5">
        <v>15</v>
      </c>
      <c r="AP902" s="5">
        <v>2</v>
      </c>
      <c r="AQ902" s="5" t="s">
        <v>16</v>
      </c>
      <c r="AR902" s="5" t="s">
        <v>16</v>
      </c>
      <c r="AS902" s="5">
        <v>21</v>
      </c>
      <c r="AT902" s="5" t="s">
        <v>5404</v>
      </c>
      <c r="AU902" s="5" t="s">
        <v>5405</v>
      </c>
      <c r="AV902" s="5" t="s">
        <v>5407</v>
      </c>
    </row>
    <row r="903" spans="1:48" ht="45" customHeight="1" x14ac:dyDescent="0.15">
      <c r="A903" s="5" t="s">
        <v>5408</v>
      </c>
      <c r="B903" s="5">
        <v>2013</v>
      </c>
      <c r="C903" s="5" t="s">
        <v>5409</v>
      </c>
      <c r="D903" s="5" t="s">
        <v>49</v>
      </c>
      <c r="E903" s="5" t="s">
        <v>18453</v>
      </c>
      <c r="F903" s="5" t="s">
        <v>5412</v>
      </c>
      <c r="G903" s="5"/>
      <c r="H903" s="5"/>
      <c r="I903" s="5"/>
      <c r="J903" s="5"/>
      <c r="K903" s="5"/>
      <c r="L903" s="5"/>
      <c r="M903" s="5"/>
      <c r="N903" s="5"/>
      <c r="O903" s="5"/>
      <c r="P903" s="5"/>
      <c r="Q903" s="5"/>
      <c r="AL903" s="7" t="str">
        <f>HYPERLINK("http://dx.doi.org/10.3354/meps10170","http://dx.doi.org/10.3354/meps10170")</f>
        <v>http://dx.doi.org/10.3354/meps10170</v>
      </c>
      <c r="AM903" s="5">
        <v>24</v>
      </c>
      <c r="AN903" s="5">
        <v>25</v>
      </c>
      <c r="AO903" s="5">
        <v>478</v>
      </c>
      <c r="AP903" s="5" t="s">
        <v>16</v>
      </c>
      <c r="AQ903" s="5">
        <v>71</v>
      </c>
      <c r="AR903" s="5">
        <v>86</v>
      </c>
      <c r="AS903" s="5" t="s">
        <v>16</v>
      </c>
      <c r="AT903" s="5" t="s">
        <v>5410</v>
      </c>
      <c r="AU903" s="5" t="s">
        <v>5411</v>
      </c>
      <c r="AV903" s="5" t="s">
        <v>5413</v>
      </c>
    </row>
    <row r="904" spans="1:48" ht="45" customHeight="1" x14ac:dyDescent="0.15">
      <c r="A904" s="5" t="s">
        <v>5414</v>
      </c>
      <c r="B904" s="5">
        <v>2023</v>
      </c>
      <c r="C904" s="5" t="s">
        <v>5415</v>
      </c>
      <c r="D904" s="5" t="s">
        <v>296</v>
      </c>
      <c r="E904" s="5" t="s">
        <v>18453</v>
      </c>
      <c r="F904" s="5" t="s">
        <v>5418</v>
      </c>
      <c r="G904" s="5"/>
      <c r="H904" s="5"/>
      <c r="I904" s="5"/>
      <c r="J904" s="5"/>
      <c r="K904" s="5"/>
      <c r="L904" s="5"/>
      <c r="M904" s="5"/>
      <c r="N904" s="5"/>
      <c r="O904" s="5"/>
      <c r="P904" s="5"/>
      <c r="Q904" s="5"/>
      <c r="AL904" s="7" t="str">
        <f>HYPERLINK("http://dx.doi.org/10.1098/rspb.2023.0262","http://dx.doi.org/10.1098/rspb.2023.0262")</f>
        <v>http://dx.doi.org/10.1098/rspb.2023.0262</v>
      </c>
      <c r="AM904" s="5">
        <v>0</v>
      </c>
      <c r="AN904" s="5">
        <v>0</v>
      </c>
      <c r="AO904" s="5">
        <v>290</v>
      </c>
      <c r="AP904" s="5">
        <v>1996</v>
      </c>
      <c r="AQ904" s="5" t="s">
        <v>16</v>
      </c>
      <c r="AR904" s="5" t="s">
        <v>16</v>
      </c>
      <c r="AS904" s="5">
        <v>20230262</v>
      </c>
      <c r="AT904" s="5" t="s">
        <v>5416</v>
      </c>
      <c r="AU904" s="5" t="s">
        <v>5417</v>
      </c>
      <c r="AV904" s="5" t="s">
        <v>5419</v>
      </c>
    </row>
    <row r="905" spans="1:48" ht="45" customHeight="1" x14ac:dyDescent="0.15">
      <c r="A905" s="5" t="s">
        <v>5420</v>
      </c>
      <c r="B905" s="5">
        <v>2020</v>
      </c>
      <c r="C905" s="5" t="s">
        <v>5421</v>
      </c>
      <c r="D905" s="5" t="s">
        <v>33</v>
      </c>
      <c r="E905" s="5" t="s">
        <v>18453</v>
      </c>
      <c r="F905" s="5" t="s">
        <v>5424</v>
      </c>
      <c r="G905" s="5"/>
      <c r="H905" s="5"/>
      <c r="I905" s="5"/>
      <c r="J905" s="5"/>
      <c r="K905" s="5"/>
      <c r="L905" s="5"/>
      <c r="M905" s="5"/>
      <c r="N905" s="5"/>
      <c r="O905" s="5"/>
      <c r="P905" s="5"/>
      <c r="Q905" s="5"/>
      <c r="AL905" s="7" t="str">
        <f>HYPERLINK("http://dx.doi.org/10.1111/gcb.15337","http://dx.doi.org/10.1111/gcb.15337")</f>
        <v>http://dx.doi.org/10.1111/gcb.15337</v>
      </c>
      <c r="AM905" s="5">
        <v>4</v>
      </c>
      <c r="AN905" s="5">
        <v>4</v>
      </c>
      <c r="AO905" s="5">
        <v>26</v>
      </c>
      <c r="AP905" s="5">
        <v>12</v>
      </c>
      <c r="AQ905" s="5">
        <v>6729</v>
      </c>
      <c r="AR905" s="5">
        <v>6741</v>
      </c>
      <c r="AS905" s="5" t="s">
        <v>16</v>
      </c>
      <c r="AT905" s="5" t="s">
        <v>5422</v>
      </c>
      <c r="AU905" s="5" t="s">
        <v>5423</v>
      </c>
      <c r="AV905" s="5" t="s">
        <v>5425</v>
      </c>
    </row>
    <row r="906" spans="1:48" ht="45" customHeight="1" x14ac:dyDescent="0.15">
      <c r="A906" s="5" t="s">
        <v>250</v>
      </c>
      <c r="B906" s="5">
        <v>2011</v>
      </c>
      <c r="C906" s="5" t="s">
        <v>5426</v>
      </c>
      <c r="D906" s="5" t="s">
        <v>62</v>
      </c>
      <c r="E906" s="5" t="s">
        <v>18453</v>
      </c>
      <c r="F906" s="5" t="s">
        <v>5429</v>
      </c>
      <c r="G906" s="5"/>
      <c r="H906" s="5"/>
      <c r="I906" s="5"/>
      <c r="J906" s="5"/>
      <c r="K906" s="5"/>
      <c r="L906" s="5"/>
      <c r="M906" s="5"/>
      <c r="N906" s="5"/>
      <c r="O906" s="5"/>
      <c r="P906" s="5"/>
      <c r="Q906" s="5"/>
      <c r="AL906" s="7" t="str">
        <f>HYPERLINK("http://dx.doi.org/10.1007/s10021-011-9486-y","http://dx.doi.org/10.1007/s10021-011-9486-y")</f>
        <v>http://dx.doi.org/10.1007/s10021-011-9486-y</v>
      </c>
      <c r="AM906" s="5">
        <v>56</v>
      </c>
      <c r="AN906" s="5">
        <v>56</v>
      </c>
      <c r="AO906" s="5">
        <v>14</v>
      </c>
      <c r="AP906" s="5">
        <v>8</v>
      </c>
      <c r="AQ906" s="5">
        <v>1354</v>
      </c>
      <c r="AR906" s="5">
        <v>1371</v>
      </c>
      <c r="AS906" s="5" t="s">
        <v>16</v>
      </c>
      <c r="AT906" s="5" t="s">
        <v>5427</v>
      </c>
      <c r="AU906" s="5" t="s">
        <v>5428</v>
      </c>
      <c r="AV906" s="5" t="s">
        <v>5430</v>
      </c>
    </row>
    <row r="907" spans="1:48" ht="45" customHeight="1" x14ac:dyDescent="0.15">
      <c r="A907" s="5" t="s">
        <v>5431</v>
      </c>
      <c r="B907" s="5">
        <v>2004</v>
      </c>
      <c r="C907" s="5" t="s">
        <v>5432</v>
      </c>
      <c r="D907" s="5" t="s">
        <v>242</v>
      </c>
      <c r="E907" s="5" t="s">
        <v>18453</v>
      </c>
      <c r="F907" s="5" t="s">
        <v>5435</v>
      </c>
      <c r="G907" s="5"/>
      <c r="H907" s="5"/>
      <c r="I907" s="5"/>
      <c r="J907" s="5"/>
      <c r="K907" s="5"/>
      <c r="L907" s="5"/>
      <c r="M907" s="5"/>
      <c r="N907" s="5"/>
      <c r="O907" s="5"/>
      <c r="P907" s="5"/>
      <c r="Q907" s="5"/>
      <c r="AL907" s="7" t="str">
        <f>HYPERLINK("http://dx.doi.org/10.1007/s10980-004-0248-5","http://dx.doi.org/10.1007/s10980-004-0248-5")</f>
        <v>http://dx.doi.org/10.1007/s10980-004-0248-5</v>
      </c>
      <c r="AM907" s="5">
        <v>84</v>
      </c>
      <c r="AN907" s="5">
        <v>88</v>
      </c>
      <c r="AO907" s="5">
        <v>19</v>
      </c>
      <c r="AP907" s="5">
        <v>8</v>
      </c>
      <c r="AQ907" s="5">
        <v>883</v>
      </c>
      <c r="AR907" s="5">
        <v>894</v>
      </c>
      <c r="AS907" s="5" t="s">
        <v>16</v>
      </c>
      <c r="AT907" s="5" t="s">
        <v>5433</v>
      </c>
      <c r="AU907" s="5" t="s">
        <v>5434</v>
      </c>
      <c r="AV907" s="5" t="s">
        <v>5436</v>
      </c>
    </row>
    <row r="908" spans="1:48" ht="45" customHeight="1" x14ac:dyDescent="0.15">
      <c r="A908" s="5" t="s">
        <v>5437</v>
      </c>
      <c r="B908" s="5">
        <v>2010</v>
      </c>
      <c r="C908" s="5" t="s">
        <v>5438</v>
      </c>
      <c r="D908" s="5" t="s">
        <v>295</v>
      </c>
      <c r="E908" s="5" t="s">
        <v>18453</v>
      </c>
      <c r="F908" s="5" t="s">
        <v>5441</v>
      </c>
      <c r="G908" s="5"/>
      <c r="H908" s="5"/>
      <c r="I908" s="5"/>
      <c r="J908" s="5"/>
      <c r="K908" s="5"/>
      <c r="L908" s="5"/>
      <c r="M908" s="5"/>
      <c r="N908" s="5"/>
      <c r="O908" s="5"/>
      <c r="P908" s="5"/>
      <c r="Q908" s="5"/>
      <c r="AL908" s="7" t="str">
        <f>HYPERLINK("http://dx.doi.org/10.1016/j.jembe.2010.09.011","http://dx.doi.org/10.1016/j.jembe.2010.09.011")</f>
        <v>http://dx.doi.org/10.1016/j.jembe.2010.09.011</v>
      </c>
      <c r="AM908" s="5">
        <v>17</v>
      </c>
      <c r="AN908" s="5">
        <v>18</v>
      </c>
      <c r="AO908" s="5">
        <v>396</v>
      </c>
      <c r="AP908" s="5">
        <v>1</v>
      </c>
      <c r="AQ908" s="5">
        <v>53</v>
      </c>
      <c r="AR908" s="5">
        <v>60</v>
      </c>
      <c r="AS908" s="5" t="s">
        <v>16</v>
      </c>
      <c r="AT908" s="5" t="s">
        <v>5439</v>
      </c>
      <c r="AU908" s="5" t="s">
        <v>5440</v>
      </c>
      <c r="AV908" s="5" t="s">
        <v>5442</v>
      </c>
    </row>
    <row r="909" spans="1:48" ht="45" customHeight="1" x14ac:dyDescent="0.15">
      <c r="A909" s="5" t="s">
        <v>5443</v>
      </c>
      <c r="B909" s="5">
        <v>2009</v>
      </c>
      <c r="C909" s="5" t="s">
        <v>5444</v>
      </c>
      <c r="D909" s="5" t="s">
        <v>172</v>
      </c>
      <c r="E909" s="5" t="s">
        <v>18453</v>
      </c>
      <c r="F909" s="5" t="s">
        <v>5447</v>
      </c>
      <c r="G909" s="5"/>
      <c r="H909" s="5"/>
      <c r="I909" s="5"/>
      <c r="J909" s="5"/>
      <c r="K909" s="5"/>
      <c r="L909" s="5"/>
      <c r="M909" s="5"/>
      <c r="N909" s="5"/>
      <c r="O909" s="5"/>
      <c r="P909" s="5"/>
      <c r="Q909" s="5"/>
      <c r="AL909" s="7" t="str">
        <f>HYPERLINK("http://dx.doi.org/10.1007/s00442-009-1342-9","http://dx.doi.org/10.1007/s00442-009-1342-9")</f>
        <v>http://dx.doi.org/10.1007/s00442-009-1342-9</v>
      </c>
      <c r="AM909" s="5">
        <v>159</v>
      </c>
      <c r="AN909" s="5">
        <v>161</v>
      </c>
      <c r="AO909" s="5">
        <v>160</v>
      </c>
      <c r="AP909" s="5">
        <v>4</v>
      </c>
      <c r="AQ909" s="5">
        <v>795</v>
      </c>
      <c r="AR909" s="5">
        <v>806</v>
      </c>
      <c r="AS909" s="5" t="s">
        <v>16</v>
      </c>
      <c r="AT909" s="5" t="s">
        <v>5445</v>
      </c>
      <c r="AU909" s="5" t="s">
        <v>5446</v>
      </c>
      <c r="AV909" s="5" t="s">
        <v>5448</v>
      </c>
    </row>
    <row r="910" spans="1:48" ht="45" customHeight="1" x14ac:dyDescent="0.15">
      <c r="A910" s="5" t="s">
        <v>5449</v>
      </c>
      <c r="B910" s="5">
        <v>2002</v>
      </c>
      <c r="C910" s="5" t="s">
        <v>5450</v>
      </c>
      <c r="D910" s="5" t="s">
        <v>49</v>
      </c>
      <c r="E910" s="5" t="s">
        <v>18453</v>
      </c>
      <c r="F910" s="5" t="s">
        <v>5453</v>
      </c>
      <c r="G910" s="5"/>
      <c r="H910" s="5"/>
      <c r="I910" s="5"/>
      <c r="J910" s="5"/>
      <c r="K910" s="5"/>
      <c r="L910" s="5"/>
      <c r="M910" s="5"/>
      <c r="N910" s="5"/>
      <c r="O910" s="5"/>
      <c r="P910" s="5"/>
      <c r="Q910" s="5"/>
      <c r="AL910" s="7" t="str">
        <f>HYPERLINK("http://dx.doi.org/10.3354/meps230001","http://dx.doi.org/10.3354/meps230001")</f>
        <v>http://dx.doi.org/10.3354/meps230001</v>
      </c>
      <c r="AM910" s="5">
        <v>210</v>
      </c>
      <c r="AN910" s="5">
        <v>215</v>
      </c>
      <c r="AO910" s="5">
        <v>230</v>
      </c>
      <c r="AP910" s="5" t="s">
        <v>16</v>
      </c>
      <c r="AQ910" s="5">
        <v>1</v>
      </c>
      <c r="AR910" s="5">
        <v>9</v>
      </c>
      <c r="AS910" s="5" t="s">
        <v>16</v>
      </c>
      <c r="AT910" s="5" t="s">
        <v>5451</v>
      </c>
      <c r="AU910" s="5" t="s">
        <v>5452</v>
      </c>
      <c r="AV910" s="5" t="s">
        <v>5454</v>
      </c>
    </row>
    <row r="911" spans="1:48" ht="45" customHeight="1" x14ac:dyDescent="0.15">
      <c r="A911" s="5" t="s">
        <v>5455</v>
      </c>
      <c r="B911" s="5">
        <v>2019</v>
      </c>
      <c r="C911" s="5" t="s">
        <v>5456</v>
      </c>
      <c r="D911" s="5" t="s">
        <v>82</v>
      </c>
      <c r="E911" s="5" t="s">
        <v>18453</v>
      </c>
      <c r="F911" s="5" t="s">
        <v>5459</v>
      </c>
      <c r="G911" s="5"/>
      <c r="H911" s="5"/>
      <c r="I911" s="5"/>
      <c r="J911" s="5"/>
      <c r="K911" s="5"/>
      <c r="L911" s="5"/>
      <c r="M911" s="5"/>
      <c r="N911" s="5"/>
      <c r="O911" s="5"/>
      <c r="P911" s="5"/>
      <c r="Q911" s="5"/>
      <c r="AL911" s="7" t="str">
        <f>HYPERLINK("http://dx.doi.org/10.1002/eap.1891","http://dx.doi.org/10.1002/eap.1891")</f>
        <v>http://dx.doi.org/10.1002/eap.1891</v>
      </c>
      <c r="AM911" s="5">
        <v>13</v>
      </c>
      <c r="AN911" s="5">
        <v>13</v>
      </c>
      <c r="AO911" s="5">
        <v>29</v>
      </c>
      <c r="AP911" s="5">
        <v>4</v>
      </c>
      <c r="AQ911" s="5" t="s">
        <v>16</v>
      </c>
      <c r="AR911" s="5" t="s">
        <v>16</v>
      </c>
      <c r="AS911" s="5" t="s">
        <v>5460</v>
      </c>
      <c r="AT911" s="5" t="s">
        <v>5457</v>
      </c>
      <c r="AU911" s="5" t="s">
        <v>5458</v>
      </c>
      <c r="AV911" s="5" t="s">
        <v>5461</v>
      </c>
    </row>
    <row r="912" spans="1:48" ht="45" customHeight="1" x14ac:dyDescent="0.15">
      <c r="A912" s="5" t="s">
        <v>5462</v>
      </c>
      <c r="B912" s="5">
        <v>2012</v>
      </c>
      <c r="C912" s="5" t="s">
        <v>5463</v>
      </c>
      <c r="D912" s="5" t="s">
        <v>262</v>
      </c>
      <c r="E912" s="5" t="s">
        <v>18453</v>
      </c>
      <c r="F912" s="5" t="s">
        <v>5465</v>
      </c>
      <c r="G912" s="5"/>
      <c r="H912" s="5"/>
      <c r="I912" s="5"/>
      <c r="J912" s="5"/>
      <c r="K912" s="5"/>
      <c r="L912" s="5"/>
      <c r="M912" s="5"/>
      <c r="N912" s="5"/>
      <c r="O912" s="5"/>
      <c r="P912" s="5"/>
      <c r="Q912" s="5"/>
      <c r="AL912" s="7" t="str">
        <f>HYPERLINK("http://dx.doi.org/10.1111/j.1600-0706.2012.20353.x","http://dx.doi.org/10.1111/j.1600-0706.2012.20353.x")</f>
        <v>http://dx.doi.org/10.1111/j.1600-0706.2012.20353.x</v>
      </c>
      <c r="AM912" s="5">
        <v>67</v>
      </c>
      <c r="AN912" s="5">
        <v>70</v>
      </c>
      <c r="AO912" s="5">
        <v>121</v>
      </c>
      <c r="AP912" s="5">
        <v>7</v>
      </c>
      <c r="AQ912" s="5">
        <v>1021</v>
      </c>
      <c r="AR912" s="5">
        <v>1026</v>
      </c>
      <c r="AS912" s="5" t="s">
        <v>16</v>
      </c>
      <c r="AT912" s="5" t="s">
        <v>16</v>
      </c>
      <c r="AU912" s="5" t="s">
        <v>5464</v>
      </c>
      <c r="AV912" s="5" t="s">
        <v>5466</v>
      </c>
    </row>
    <row r="913" spans="1:48" ht="45" customHeight="1" x14ac:dyDescent="0.15">
      <c r="A913" s="5" t="s">
        <v>5467</v>
      </c>
      <c r="B913" s="5">
        <v>2002</v>
      </c>
      <c r="C913" s="5" t="s">
        <v>5468</v>
      </c>
      <c r="D913" s="5" t="s">
        <v>33</v>
      </c>
      <c r="E913" s="5" t="s">
        <v>18453</v>
      </c>
      <c r="F913" s="5" t="s">
        <v>5471</v>
      </c>
      <c r="G913" s="5"/>
      <c r="H913" s="5"/>
      <c r="I913" s="5"/>
      <c r="J913" s="5"/>
      <c r="K913" s="5"/>
      <c r="L913" s="5"/>
      <c r="M913" s="5"/>
      <c r="N913" s="5"/>
      <c r="O913" s="5"/>
      <c r="P913" s="5"/>
      <c r="Q913" s="5"/>
      <c r="AL913" s="7" t="str">
        <f>HYPERLINK("http://dx.doi.org/10.1046/j.1365-2486.2002.00476.x","http://dx.doi.org/10.1046/j.1365-2486.2002.00476.x")</f>
        <v>http://dx.doi.org/10.1046/j.1365-2486.2002.00476.x</v>
      </c>
      <c r="AM913" s="5">
        <v>149</v>
      </c>
      <c r="AN913" s="5">
        <v>174</v>
      </c>
      <c r="AO913" s="5">
        <v>8</v>
      </c>
      <c r="AP913" s="5">
        <v>3</v>
      </c>
      <c r="AQ913" s="5">
        <v>265</v>
      </c>
      <c r="AR913" s="5">
        <v>280</v>
      </c>
      <c r="AS913" s="5" t="s">
        <v>16</v>
      </c>
      <c r="AT913" s="5" t="s">
        <v>5469</v>
      </c>
      <c r="AU913" s="5" t="s">
        <v>5470</v>
      </c>
      <c r="AV913" s="5" t="s">
        <v>5472</v>
      </c>
    </row>
    <row r="914" spans="1:48" ht="45" customHeight="1" x14ac:dyDescent="0.15">
      <c r="A914" s="5" t="s">
        <v>5473</v>
      </c>
      <c r="B914" s="5">
        <v>2014</v>
      </c>
      <c r="C914" s="5" t="s">
        <v>5474</v>
      </c>
      <c r="D914" s="5" t="s">
        <v>116</v>
      </c>
      <c r="E914" s="5" t="s">
        <v>18453</v>
      </c>
      <c r="F914" s="5" t="s">
        <v>5477</v>
      </c>
      <c r="G914" s="5"/>
      <c r="H914" s="5"/>
      <c r="I914" s="5"/>
      <c r="J914" s="5"/>
      <c r="K914" s="5"/>
      <c r="L914" s="5"/>
      <c r="M914" s="5"/>
      <c r="N914" s="5"/>
      <c r="O914" s="5"/>
      <c r="P914" s="5"/>
      <c r="Q914" s="5"/>
      <c r="AL914" s="7" t="str">
        <f>HYPERLINK("http://dx.doi.org/10.1007/s10641-013-0165-z","http://dx.doi.org/10.1007/s10641-013-0165-z")</f>
        <v>http://dx.doi.org/10.1007/s10641-013-0165-z</v>
      </c>
      <c r="AM914" s="5">
        <v>8</v>
      </c>
      <c r="AN914" s="5">
        <v>8</v>
      </c>
      <c r="AO914" s="5">
        <v>97</v>
      </c>
      <c r="AP914" s="5">
        <v>6</v>
      </c>
      <c r="AQ914" s="5">
        <v>627</v>
      </c>
      <c r="AR914" s="5">
        <v>633</v>
      </c>
      <c r="AS914" s="5" t="s">
        <v>16</v>
      </c>
      <c r="AT914" s="5" t="s">
        <v>5475</v>
      </c>
      <c r="AU914" s="5" t="s">
        <v>5476</v>
      </c>
      <c r="AV914" s="5" t="s">
        <v>5478</v>
      </c>
    </row>
    <row r="915" spans="1:48" ht="45" customHeight="1" x14ac:dyDescent="0.15">
      <c r="A915" s="5" t="s">
        <v>5479</v>
      </c>
      <c r="B915" s="5">
        <v>2018</v>
      </c>
      <c r="C915" s="5" t="s">
        <v>5480</v>
      </c>
      <c r="D915" s="5" t="s">
        <v>289</v>
      </c>
      <c r="E915" s="5" t="s">
        <v>18453</v>
      </c>
      <c r="F915" s="5" t="s">
        <v>5483</v>
      </c>
      <c r="G915" s="5"/>
      <c r="H915" s="5"/>
      <c r="I915" s="5"/>
      <c r="J915" s="5"/>
      <c r="K915" s="5"/>
      <c r="L915" s="5"/>
      <c r="M915" s="5"/>
      <c r="N915" s="5"/>
      <c r="O915" s="5"/>
      <c r="P915" s="5"/>
      <c r="Q915" s="5"/>
      <c r="AL915" s="7" t="str">
        <f>HYPERLINK("http://dx.doi.org/10.1111/1365-2745.12813","http://dx.doi.org/10.1111/1365-2745.12813")</f>
        <v>http://dx.doi.org/10.1111/1365-2745.12813</v>
      </c>
      <c r="AM915" s="5">
        <v>12</v>
      </c>
      <c r="AN915" s="5">
        <v>12</v>
      </c>
      <c r="AO915" s="5">
        <v>106</v>
      </c>
      <c r="AP915" s="5">
        <v>1</v>
      </c>
      <c r="AQ915" s="5">
        <v>59</v>
      </c>
      <c r="AR915" s="5">
        <v>75</v>
      </c>
      <c r="AS915" s="5" t="s">
        <v>16</v>
      </c>
      <c r="AT915" s="5" t="s">
        <v>5481</v>
      </c>
      <c r="AU915" s="5" t="s">
        <v>5482</v>
      </c>
      <c r="AV915" s="5" t="s">
        <v>5484</v>
      </c>
    </row>
    <row r="916" spans="1:48" ht="45" customHeight="1" x14ac:dyDescent="0.15">
      <c r="A916" s="5" t="s">
        <v>5485</v>
      </c>
      <c r="B916" s="5">
        <v>2010</v>
      </c>
      <c r="C916" s="5" t="s">
        <v>5486</v>
      </c>
      <c r="D916" s="5" t="s">
        <v>526</v>
      </c>
      <c r="E916" s="5" t="s">
        <v>18453</v>
      </c>
      <c r="F916" s="5" t="s">
        <v>5489</v>
      </c>
      <c r="G916" s="5"/>
      <c r="H916" s="5"/>
      <c r="I916" s="5"/>
      <c r="J916" s="5"/>
      <c r="K916" s="5"/>
      <c r="L916" s="5"/>
      <c r="M916" s="5"/>
      <c r="N916" s="5"/>
      <c r="O916" s="5"/>
      <c r="P916" s="5"/>
      <c r="Q916" s="5"/>
      <c r="AL916" s="7" t="str">
        <f>HYPERLINK("http://dx.doi.org/10.1111/j.1654-1103.2010.01179.x","http://dx.doi.org/10.1111/j.1654-1103.2010.01179.x")</f>
        <v>http://dx.doi.org/10.1111/j.1654-1103.2010.01179.x</v>
      </c>
      <c r="AM916" s="5">
        <v>42</v>
      </c>
      <c r="AN916" s="5">
        <v>45</v>
      </c>
      <c r="AO916" s="5">
        <v>21</v>
      </c>
      <c r="AP916" s="5">
        <v>4</v>
      </c>
      <c r="AQ916" s="5">
        <v>733</v>
      </c>
      <c r="AR916" s="5">
        <v>743</v>
      </c>
      <c r="AS916" s="5" t="s">
        <v>16</v>
      </c>
      <c r="AT916" s="5" t="s">
        <v>5487</v>
      </c>
      <c r="AU916" s="5" t="s">
        <v>5488</v>
      </c>
      <c r="AV916" s="5" t="s">
        <v>5490</v>
      </c>
    </row>
    <row r="917" spans="1:48" ht="45" customHeight="1" x14ac:dyDescent="0.15">
      <c r="A917" s="5" t="s">
        <v>5491</v>
      </c>
      <c r="B917" s="5">
        <v>2015</v>
      </c>
      <c r="C917" s="5" t="s">
        <v>5492</v>
      </c>
      <c r="D917" s="5" t="s">
        <v>18</v>
      </c>
      <c r="E917" s="5" t="s">
        <v>18453</v>
      </c>
      <c r="F917" s="5" t="s">
        <v>5495</v>
      </c>
      <c r="G917" s="5"/>
      <c r="H917" s="5"/>
      <c r="I917" s="5"/>
      <c r="J917" s="5"/>
      <c r="K917" s="5"/>
      <c r="L917" s="5"/>
      <c r="M917" s="5"/>
      <c r="N917" s="5"/>
      <c r="O917" s="5"/>
      <c r="P917" s="5"/>
      <c r="Q917" s="5"/>
      <c r="AL917" s="7" t="str">
        <f>HYPERLINK("http://dx.doi.org/10.1890/ES14-00243.1","http://dx.doi.org/10.1890/ES14-00243.1")</f>
        <v>http://dx.doi.org/10.1890/ES14-00243.1</v>
      </c>
      <c r="AM917" s="5">
        <v>33</v>
      </c>
      <c r="AN917" s="5">
        <v>34</v>
      </c>
      <c r="AO917" s="5">
        <v>6</v>
      </c>
      <c r="AP917" s="5">
        <v>9</v>
      </c>
      <c r="AQ917" s="5" t="s">
        <v>16</v>
      </c>
      <c r="AR917" s="5" t="s">
        <v>16</v>
      </c>
      <c r="AS917" s="5">
        <v>148</v>
      </c>
      <c r="AT917" s="5" t="s">
        <v>5493</v>
      </c>
      <c r="AU917" s="5" t="s">
        <v>5494</v>
      </c>
      <c r="AV917" s="5" t="s">
        <v>5496</v>
      </c>
    </row>
    <row r="918" spans="1:48" ht="45" customHeight="1" x14ac:dyDescent="0.15">
      <c r="A918" s="5" t="s">
        <v>5497</v>
      </c>
      <c r="B918" s="5">
        <v>2012</v>
      </c>
      <c r="C918" s="5" t="s">
        <v>5498</v>
      </c>
      <c r="D918" s="5" t="s">
        <v>116</v>
      </c>
      <c r="E918" s="5" t="s">
        <v>18453</v>
      </c>
      <c r="F918" s="5" t="s">
        <v>5501</v>
      </c>
      <c r="G918" s="5"/>
      <c r="H918" s="5"/>
      <c r="I918" s="5"/>
      <c r="J918" s="5"/>
      <c r="K918" s="5"/>
      <c r="L918" s="5"/>
      <c r="M918" s="5"/>
      <c r="N918" s="5"/>
      <c r="O918" s="5"/>
      <c r="P918" s="5"/>
      <c r="Q918" s="5"/>
      <c r="AL918" s="7" t="str">
        <f>HYPERLINK("http://dx.doi.org/10.1007/s10641-012-0033-2","http://dx.doi.org/10.1007/s10641-012-0033-2")</f>
        <v>http://dx.doi.org/10.1007/s10641-012-0033-2</v>
      </c>
      <c r="AM918" s="5">
        <v>31</v>
      </c>
      <c r="AN918" s="5">
        <v>34</v>
      </c>
      <c r="AO918" s="5">
        <v>95</v>
      </c>
      <c r="AP918" s="5">
        <v>4</v>
      </c>
      <c r="AQ918" s="5">
        <v>419</v>
      </c>
      <c r="AR918" s="5">
        <v>430</v>
      </c>
      <c r="AS918" s="5" t="s">
        <v>16</v>
      </c>
      <c r="AT918" s="5" t="s">
        <v>5499</v>
      </c>
      <c r="AU918" s="5" t="s">
        <v>5500</v>
      </c>
      <c r="AV918" s="5" t="s">
        <v>5502</v>
      </c>
    </row>
    <row r="919" spans="1:48" ht="45" customHeight="1" x14ac:dyDescent="0.15">
      <c r="A919" s="5" t="s">
        <v>5503</v>
      </c>
      <c r="B919" s="5">
        <v>2008</v>
      </c>
      <c r="C919" s="5" t="s">
        <v>5504</v>
      </c>
      <c r="D919" s="5" t="s">
        <v>33</v>
      </c>
      <c r="E919" s="5" t="s">
        <v>18453</v>
      </c>
      <c r="F919" s="5" t="s">
        <v>5507</v>
      </c>
      <c r="G919" s="5"/>
      <c r="H919" s="5"/>
      <c r="I919" s="5"/>
      <c r="J919" s="5"/>
      <c r="K919" s="5"/>
      <c r="L919" s="5"/>
      <c r="M919" s="5"/>
      <c r="N919" s="5"/>
      <c r="O919" s="5"/>
      <c r="P919" s="5"/>
      <c r="Q919" s="5"/>
      <c r="AL919" s="7" t="str">
        <f>HYPERLINK("http://dx.doi.org/10.1111/j.1365-2486.2008.01608.x","http://dx.doi.org/10.1111/j.1365-2486.2008.01608.x")</f>
        <v>http://dx.doi.org/10.1111/j.1365-2486.2008.01608.x</v>
      </c>
      <c r="AM919" s="5">
        <v>131</v>
      </c>
      <c r="AN919" s="5">
        <v>143</v>
      </c>
      <c r="AO919" s="5">
        <v>14</v>
      </c>
      <c r="AP919" s="5">
        <v>9</v>
      </c>
      <c r="AQ919" s="5">
        <v>2166</v>
      </c>
      <c r="AR919" s="5">
        <v>2177</v>
      </c>
      <c r="AS919" s="5" t="s">
        <v>16</v>
      </c>
      <c r="AT919" s="5" t="s">
        <v>5505</v>
      </c>
      <c r="AU919" s="5" t="s">
        <v>5506</v>
      </c>
      <c r="AV919" s="5" t="s">
        <v>5508</v>
      </c>
    </row>
    <row r="920" spans="1:48" ht="45" customHeight="1" x14ac:dyDescent="0.15">
      <c r="A920" s="5" t="s">
        <v>5509</v>
      </c>
      <c r="B920" s="5">
        <v>2014</v>
      </c>
      <c r="C920" s="5" t="s">
        <v>5510</v>
      </c>
      <c r="D920" s="5" t="s">
        <v>2087</v>
      </c>
      <c r="E920" s="5" t="s">
        <v>18453</v>
      </c>
      <c r="F920" s="5" t="s">
        <v>5513</v>
      </c>
      <c r="G920" s="5"/>
      <c r="H920" s="5"/>
      <c r="I920" s="5"/>
      <c r="J920" s="5"/>
      <c r="K920" s="5"/>
      <c r="L920" s="5"/>
      <c r="M920" s="5"/>
      <c r="N920" s="5"/>
      <c r="O920" s="5"/>
      <c r="P920" s="5"/>
      <c r="Q920" s="5"/>
      <c r="AL920" s="7" t="str">
        <f>HYPERLINK("http://dx.doi.org/10.1002/eco.1448","http://dx.doi.org/10.1002/eco.1448")</f>
        <v>http://dx.doi.org/10.1002/eco.1448</v>
      </c>
      <c r="AM920" s="5">
        <v>15</v>
      </c>
      <c r="AN920" s="5">
        <v>16</v>
      </c>
      <c r="AO920" s="5">
        <v>7</v>
      </c>
      <c r="AP920" s="5">
        <v>4</v>
      </c>
      <c r="AQ920" s="5">
        <v>1172</v>
      </c>
      <c r="AR920" s="5">
        <v>1186</v>
      </c>
      <c r="AS920" s="5" t="s">
        <v>16</v>
      </c>
      <c r="AT920" s="5" t="s">
        <v>5511</v>
      </c>
      <c r="AU920" s="5" t="s">
        <v>5512</v>
      </c>
      <c r="AV920" s="5" t="s">
        <v>5514</v>
      </c>
    </row>
    <row r="921" spans="1:48" ht="45" customHeight="1" x14ac:dyDescent="0.15">
      <c r="A921" s="5" t="s">
        <v>5515</v>
      </c>
      <c r="B921" s="5">
        <v>2020</v>
      </c>
      <c r="C921" s="5" t="s">
        <v>5516</v>
      </c>
      <c r="D921" s="5" t="s">
        <v>5517</v>
      </c>
      <c r="E921" s="5" t="s">
        <v>18453</v>
      </c>
      <c r="F921" s="5" t="s">
        <v>5519</v>
      </c>
      <c r="G921" s="5"/>
      <c r="H921" s="5"/>
      <c r="I921" s="5"/>
      <c r="J921" s="5"/>
      <c r="K921" s="5"/>
      <c r="L921" s="5"/>
      <c r="M921" s="5"/>
      <c r="N921" s="5"/>
      <c r="O921" s="5"/>
      <c r="P921" s="5"/>
      <c r="Q921" s="5"/>
      <c r="AL921" s="7" t="str">
        <f>HYPERLINK("http://dx.doi.org/10.1038/s41396-020-0646-y","http://dx.doi.org/10.1038/s41396-020-0646-y")</f>
        <v>http://dx.doi.org/10.1038/s41396-020-0646-y</v>
      </c>
      <c r="AM921" s="5">
        <v>26</v>
      </c>
      <c r="AN921" s="5">
        <v>28</v>
      </c>
      <c r="AO921" s="5">
        <v>14</v>
      </c>
      <c r="AP921" s="5">
        <v>7</v>
      </c>
      <c r="AQ921" s="5">
        <v>1795</v>
      </c>
      <c r="AR921" s="5">
        <v>1808</v>
      </c>
      <c r="AS921" s="5" t="s">
        <v>16</v>
      </c>
      <c r="AT921" s="5" t="s">
        <v>16</v>
      </c>
      <c r="AU921" s="5" t="s">
        <v>5518</v>
      </c>
      <c r="AV921" s="5" t="s">
        <v>5520</v>
      </c>
    </row>
    <row r="922" spans="1:48" ht="45" customHeight="1" x14ac:dyDescent="0.15">
      <c r="A922" s="5" t="s">
        <v>5521</v>
      </c>
      <c r="B922" s="5">
        <v>2022</v>
      </c>
      <c r="C922" s="5" t="s">
        <v>5522</v>
      </c>
      <c r="D922" s="5" t="s">
        <v>1785</v>
      </c>
      <c r="E922" s="5" t="s">
        <v>18453</v>
      </c>
      <c r="F922" s="5" t="s">
        <v>5525</v>
      </c>
      <c r="G922" s="5"/>
      <c r="H922" s="5"/>
      <c r="I922" s="5"/>
      <c r="J922" s="5"/>
      <c r="K922" s="5"/>
      <c r="L922" s="5"/>
      <c r="M922" s="5"/>
      <c r="N922" s="5"/>
      <c r="O922" s="5"/>
      <c r="P922" s="5"/>
      <c r="Q922" s="5"/>
      <c r="AL922" s="7" t="str">
        <f>HYPERLINK("http://dx.doi.org/10.5751/ACE-02112-170119","http://dx.doi.org/10.5751/ACE-02112-170119")</f>
        <v>http://dx.doi.org/10.5751/ACE-02112-170119</v>
      </c>
      <c r="AM922" s="5">
        <v>0</v>
      </c>
      <c r="AN922" s="5">
        <v>0</v>
      </c>
      <c r="AO922" s="5">
        <v>17</v>
      </c>
      <c r="AP922" s="5">
        <v>1</v>
      </c>
      <c r="AQ922" s="5" t="s">
        <v>16</v>
      </c>
      <c r="AR922" s="5" t="s">
        <v>16</v>
      </c>
      <c r="AS922" s="5" t="s">
        <v>16</v>
      </c>
      <c r="AT922" s="5" t="s">
        <v>5523</v>
      </c>
      <c r="AU922" s="5" t="s">
        <v>5524</v>
      </c>
      <c r="AV922" s="5" t="s">
        <v>5526</v>
      </c>
    </row>
    <row r="923" spans="1:48" ht="45" customHeight="1" x14ac:dyDescent="0.15">
      <c r="A923" s="5" t="s">
        <v>5527</v>
      </c>
      <c r="B923" s="5">
        <v>2019</v>
      </c>
      <c r="C923" s="5" t="s">
        <v>5528</v>
      </c>
      <c r="D923" s="5" t="s">
        <v>190</v>
      </c>
      <c r="E923" s="5" t="s">
        <v>18453</v>
      </c>
      <c r="F923" s="5" t="s">
        <v>5531</v>
      </c>
      <c r="G923" s="5"/>
      <c r="H923" s="5"/>
      <c r="I923" s="5"/>
      <c r="J923" s="5"/>
      <c r="K923" s="5"/>
      <c r="L923" s="5"/>
      <c r="M923" s="5"/>
      <c r="N923" s="5"/>
      <c r="O923" s="5"/>
      <c r="P923" s="5"/>
      <c r="Q923" s="5"/>
      <c r="AL923" s="7" t="str">
        <f>HYPERLINK("http://dx.doi.org/10.1007/s10530-018-1806-0","http://dx.doi.org/10.1007/s10530-018-1806-0")</f>
        <v>http://dx.doi.org/10.1007/s10530-018-1806-0</v>
      </c>
      <c r="AM923" s="5">
        <v>3</v>
      </c>
      <c r="AN923" s="5">
        <v>4</v>
      </c>
      <c r="AO923" s="5">
        <v>21</v>
      </c>
      <c r="AP923" s="5">
        <v>1</v>
      </c>
      <c r="AQ923" s="5">
        <v>85</v>
      </c>
      <c r="AR923" s="5">
        <v>98</v>
      </c>
      <c r="AS923" s="5" t="s">
        <v>16</v>
      </c>
      <c r="AT923" s="5" t="s">
        <v>5529</v>
      </c>
      <c r="AU923" s="5" t="s">
        <v>5530</v>
      </c>
      <c r="AV923" s="5" t="s">
        <v>5532</v>
      </c>
    </row>
    <row r="924" spans="1:48" ht="45" customHeight="1" x14ac:dyDescent="0.15">
      <c r="A924" s="5" t="s">
        <v>5533</v>
      </c>
      <c r="B924" s="5">
        <v>2015</v>
      </c>
      <c r="C924" s="5" t="s">
        <v>5534</v>
      </c>
      <c r="D924" s="5" t="s">
        <v>49</v>
      </c>
      <c r="E924" s="5" t="s">
        <v>18453</v>
      </c>
      <c r="F924" s="5" t="s">
        <v>5537</v>
      </c>
      <c r="G924" s="5"/>
      <c r="H924" s="5"/>
      <c r="I924" s="5"/>
      <c r="J924" s="5"/>
      <c r="K924" s="5"/>
      <c r="L924" s="5"/>
      <c r="M924" s="5"/>
      <c r="N924" s="5"/>
      <c r="O924" s="5"/>
      <c r="P924" s="5"/>
      <c r="Q924" s="5"/>
      <c r="AL924" s="7" t="str">
        <f>HYPERLINK("http://dx.doi.org/10.3354/meps11526","http://dx.doi.org/10.3354/meps11526")</f>
        <v>http://dx.doi.org/10.3354/meps11526</v>
      </c>
      <c r="AM924" s="5">
        <v>1</v>
      </c>
      <c r="AN924" s="5">
        <v>1</v>
      </c>
      <c r="AO924" s="5">
        <v>540</v>
      </c>
      <c r="AP924" s="5" t="s">
        <v>16</v>
      </c>
      <c r="AQ924" s="5">
        <v>13</v>
      </c>
      <c r="AR924" s="5">
        <v>26</v>
      </c>
      <c r="AS924" s="5" t="s">
        <v>16</v>
      </c>
      <c r="AT924" s="5" t="s">
        <v>5535</v>
      </c>
      <c r="AU924" s="5" t="s">
        <v>5536</v>
      </c>
      <c r="AV924" s="5" t="s">
        <v>5538</v>
      </c>
    </row>
    <row r="925" spans="1:48" ht="45" customHeight="1" x14ac:dyDescent="0.15">
      <c r="A925" s="5" t="s">
        <v>5539</v>
      </c>
      <c r="B925" s="5">
        <v>2020</v>
      </c>
      <c r="C925" s="5" t="s">
        <v>5540</v>
      </c>
      <c r="D925" s="5" t="s">
        <v>18</v>
      </c>
      <c r="E925" s="5" t="s">
        <v>18453</v>
      </c>
      <c r="F925" s="5" t="s">
        <v>5543</v>
      </c>
      <c r="G925" s="5"/>
      <c r="H925" s="5"/>
      <c r="I925" s="5"/>
      <c r="J925" s="5"/>
      <c r="K925" s="5"/>
      <c r="L925" s="5"/>
      <c r="M925" s="5"/>
      <c r="N925" s="5"/>
      <c r="O925" s="5"/>
      <c r="P925" s="5"/>
      <c r="Q925" s="5"/>
      <c r="AL925" s="7" t="str">
        <f>HYPERLINK("http://dx.doi.org/10.1002/ecs2.3244","http://dx.doi.org/10.1002/ecs2.3244")</f>
        <v>http://dx.doi.org/10.1002/ecs2.3244</v>
      </c>
      <c r="AM925" s="5">
        <v>4</v>
      </c>
      <c r="AN925" s="5">
        <v>4</v>
      </c>
      <c r="AO925" s="5">
        <v>11</v>
      </c>
      <c r="AP925" s="5">
        <v>9</v>
      </c>
      <c r="AQ925" s="5" t="s">
        <v>16</v>
      </c>
      <c r="AR925" s="5" t="s">
        <v>16</v>
      </c>
      <c r="AS925" s="5" t="s">
        <v>5544</v>
      </c>
      <c r="AT925" s="5" t="s">
        <v>5541</v>
      </c>
      <c r="AU925" s="5" t="s">
        <v>5542</v>
      </c>
      <c r="AV925" s="5" t="s">
        <v>5545</v>
      </c>
    </row>
    <row r="926" spans="1:48" ht="45" customHeight="1" x14ac:dyDescent="0.15">
      <c r="A926" s="5" t="s">
        <v>5546</v>
      </c>
      <c r="B926" s="5">
        <v>2022</v>
      </c>
      <c r="C926" s="5" t="s">
        <v>5547</v>
      </c>
      <c r="D926" s="5" t="s">
        <v>2057</v>
      </c>
      <c r="E926" s="5" t="s">
        <v>18453</v>
      </c>
      <c r="F926" s="5" t="s">
        <v>5550</v>
      </c>
      <c r="G926" s="5"/>
      <c r="H926" s="5"/>
      <c r="I926" s="5"/>
      <c r="J926" s="5"/>
      <c r="K926" s="5"/>
      <c r="L926" s="5"/>
      <c r="M926" s="5"/>
      <c r="N926" s="5"/>
      <c r="O926" s="5"/>
      <c r="P926" s="5"/>
      <c r="Q926" s="5"/>
      <c r="AL926" s="7" t="str">
        <f>HYPERLINK("http://dx.doi.org/10.1139/as-2020-0053","http://dx.doi.org/10.1139/as-2020-0053")</f>
        <v>http://dx.doi.org/10.1139/as-2020-0053</v>
      </c>
      <c r="AM926" s="5">
        <v>6</v>
      </c>
      <c r="AN926" s="5">
        <v>6</v>
      </c>
      <c r="AO926" s="5">
        <v>8</v>
      </c>
      <c r="AP926" s="5">
        <v>3</v>
      </c>
      <c r="AQ926" s="5">
        <v>992</v>
      </c>
      <c r="AR926" s="5">
        <v>1005</v>
      </c>
      <c r="AS926" s="5" t="s">
        <v>16</v>
      </c>
      <c r="AT926" s="5" t="s">
        <v>5548</v>
      </c>
      <c r="AU926" s="5" t="s">
        <v>5549</v>
      </c>
      <c r="AV926" s="5" t="s">
        <v>5551</v>
      </c>
    </row>
    <row r="927" spans="1:48" ht="45" customHeight="1" x14ac:dyDescent="0.15">
      <c r="A927" s="5" t="s">
        <v>5552</v>
      </c>
      <c r="B927" s="5">
        <v>2019</v>
      </c>
      <c r="C927" s="5" t="s">
        <v>5553</v>
      </c>
      <c r="D927" s="5" t="s">
        <v>49</v>
      </c>
      <c r="E927" s="5" t="s">
        <v>18453</v>
      </c>
      <c r="F927" s="5" t="s">
        <v>5556</v>
      </c>
      <c r="G927" s="5"/>
      <c r="H927" s="5"/>
      <c r="I927" s="5"/>
      <c r="J927" s="5"/>
      <c r="K927" s="5"/>
      <c r="L927" s="5"/>
      <c r="M927" s="5"/>
      <c r="N927" s="5"/>
      <c r="O927" s="5"/>
      <c r="P927" s="5"/>
      <c r="Q927" s="5"/>
      <c r="AL927" s="7" t="str">
        <f>HYPERLINK("http://dx.doi.org/10.3354/meps12857","http://dx.doi.org/10.3354/meps12857")</f>
        <v>http://dx.doi.org/10.3354/meps12857</v>
      </c>
      <c r="AM927" s="5">
        <v>3</v>
      </c>
      <c r="AN927" s="5">
        <v>3</v>
      </c>
      <c r="AO927" s="5">
        <v>610</v>
      </c>
      <c r="AP927" s="5" t="s">
        <v>16</v>
      </c>
      <c r="AQ927" s="5">
        <v>15</v>
      </c>
      <c r="AR927" s="5">
        <v>31</v>
      </c>
      <c r="AS927" s="5" t="s">
        <v>16</v>
      </c>
      <c r="AT927" s="5" t="s">
        <v>5554</v>
      </c>
      <c r="AU927" s="5" t="s">
        <v>5555</v>
      </c>
      <c r="AV927" s="5" t="s">
        <v>5557</v>
      </c>
    </row>
    <row r="928" spans="1:48" ht="45" customHeight="1" x14ac:dyDescent="0.15">
      <c r="A928" s="5" t="s">
        <v>5558</v>
      </c>
      <c r="B928" s="5">
        <v>2017</v>
      </c>
      <c r="C928" s="5" t="s">
        <v>5559</v>
      </c>
      <c r="D928" s="5" t="s">
        <v>138</v>
      </c>
      <c r="E928" s="5" t="s">
        <v>18453</v>
      </c>
      <c r="F928" s="5" t="s">
        <v>5562</v>
      </c>
      <c r="G928" s="5"/>
      <c r="H928" s="5"/>
      <c r="I928" s="5"/>
      <c r="J928" s="5"/>
      <c r="K928" s="5"/>
      <c r="L928" s="5"/>
      <c r="M928" s="5"/>
      <c r="N928" s="5"/>
      <c r="O928" s="5"/>
      <c r="P928" s="5"/>
      <c r="Q928" s="5"/>
      <c r="AL928" s="7" t="str">
        <f>HYPERLINK("http://dx.doi.org/10.1111/aec.12518","http://dx.doi.org/10.1111/aec.12518")</f>
        <v>http://dx.doi.org/10.1111/aec.12518</v>
      </c>
      <c r="AM928" s="5">
        <v>11</v>
      </c>
      <c r="AN928" s="5">
        <v>13</v>
      </c>
      <c r="AO928" s="5">
        <v>42</v>
      </c>
      <c r="AP928" s="5">
        <v>8</v>
      </c>
      <c r="AQ928" s="5">
        <v>908</v>
      </c>
      <c r="AR928" s="5">
        <v>919</v>
      </c>
      <c r="AS928" s="5" t="s">
        <v>16</v>
      </c>
      <c r="AT928" s="5" t="s">
        <v>5560</v>
      </c>
      <c r="AU928" s="5" t="s">
        <v>5561</v>
      </c>
      <c r="AV928" s="5" t="s">
        <v>5563</v>
      </c>
    </row>
    <row r="929" spans="1:48" ht="45" customHeight="1" x14ac:dyDescent="0.15">
      <c r="A929" s="5" t="s">
        <v>5564</v>
      </c>
      <c r="B929" s="5">
        <v>2015</v>
      </c>
      <c r="C929" s="5" t="s">
        <v>5565</v>
      </c>
      <c r="D929" s="5" t="s">
        <v>49</v>
      </c>
      <c r="E929" s="5" t="s">
        <v>18453</v>
      </c>
      <c r="F929" s="5" t="s">
        <v>5568</v>
      </c>
      <c r="G929" s="5"/>
      <c r="H929" s="5"/>
      <c r="I929" s="5"/>
      <c r="J929" s="5"/>
      <c r="K929" s="5"/>
      <c r="L929" s="5"/>
      <c r="M929" s="5"/>
      <c r="N929" s="5"/>
      <c r="O929" s="5"/>
      <c r="P929" s="5"/>
      <c r="Q929" s="5"/>
      <c r="AL929" s="7" t="str">
        <f>HYPERLINK("http://dx.doi.org/10.3354/meps11465","http://dx.doi.org/10.3354/meps11465")</f>
        <v>http://dx.doi.org/10.3354/meps11465</v>
      </c>
      <c r="AM929" s="5">
        <v>31</v>
      </c>
      <c r="AN929" s="5">
        <v>31</v>
      </c>
      <c r="AO929" s="5">
        <v>538</v>
      </c>
      <c r="AP929" s="5" t="s">
        <v>16</v>
      </c>
      <c r="AQ929" s="5">
        <v>229</v>
      </c>
      <c r="AR929" s="5">
        <v>237</v>
      </c>
      <c r="AS929" s="5" t="s">
        <v>16</v>
      </c>
      <c r="AT929" s="5" t="s">
        <v>5566</v>
      </c>
      <c r="AU929" s="5" t="s">
        <v>5567</v>
      </c>
      <c r="AV929" s="5" t="s">
        <v>5569</v>
      </c>
    </row>
    <row r="930" spans="1:48" ht="45" customHeight="1" x14ac:dyDescent="0.15">
      <c r="A930" s="5" t="s">
        <v>5570</v>
      </c>
      <c r="B930" s="5">
        <v>2017</v>
      </c>
      <c r="C930" s="5" t="s">
        <v>5571</v>
      </c>
      <c r="D930" s="5" t="s">
        <v>15</v>
      </c>
      <c r="E930" s="5" t="s">
        <v>18453</v>
      </c>
      <c r="F930" s="5" t="s">
        <v>5574</v>
      </c>
      <c r="G930" s="5"/>
      <c r="H930" s="5"/>
      <c r="I930" s="5"/>
      <c r="J930" s="5"/>
      <c r="K930" s="5"/>
      <c r="L930" s="5"/>
      <c r="M930" s="5"/>
      <c r="N930" s="5"/>
      <c r="O930" s="5"/>
      <c r="P930" s="5"/>
      <c r="Q930" s="5"/>
      <c r="AL930" s="7" t="str">
        <f>HYPERLINK("http://dx.doi.org/10.1002/ece3.2805","http://dx.doi.org/10.1002/ece3.2805")</f>
        <v>http://dx.doi.org/10.1002/ece3.2805</v>
      </c>
      <c r="AM930" s="5">
        <v>45</v>
      </c>
      <c r="AN930" s="5">
        <v>45</v>
      </c>
      <c r="AO930" s="5">
        <v>7</v>
      </c>
      <c r="AP930" s="5">
        <v>8</v>
      </c>
      <c r="AQ930" s="5">
        <v>2626</v>
      </c>
      <c r="AR930" s="5">
        <v>2635</v>
      </c>
      <c r="AS930" s="5" t="s">
        <v>16</v>
      </c>
      <c r="AT930" s="5" t="s">
        <v>5572</v>
      </c>
      <c r="AU930" s="5" t="s">
        <v>5573</v>
      </c>
      <c r="AV930" s="5" t="s">
        <v>5575</v>
      </c>
    </row>
    <row r="931" spans="1:48" ht="45" customHeight="1" x14ac:dyDescent="0.15">
      <c r="A931" s="5" t="s">
        <v>5576</v>
      </c>
      <c r="B931" s="5">
        <v>2017</v>
      </c>
      <c r="C931" s="5" t="s">
        <v>5577</v>
      </c>
      <c r="D931" s="5" t="s">
        <v>15</v>
      </c>
      <c r="E931" s="5" t="s">
        <v>18453</v>
      </c>
      <c r="F931" s="5" t="s">
        <v>5580</v>
      </c>
      <c r="G931" s="5"/>
      <c r="H931" s="5"/>
      <c r="I931" s="5"/>
      <c r="J931" s="5"/>
      <c r="K931" s="5"/>
      <c r="L931" s="5"/>
      <c r="M931" s="5"/>
      <c r="N931" s="5"/>
      <c r="O931" s="5"/>
      <c r="P931" s="5"/>
      <c r="Q931" s="5"/>
      <c r="AL931" s="7" t="str">
        <f>HYPERLINK("http://dx.doi.org/10.1002/ece3.2721","http://dx.doi.org/10.1002/ece3.2721")</f>
        <v>http://dx.doi.org/10.1002/ece3.2721</v>
      </c>
      <c r="AM931" s="5">
        <v>13</v>
      </c>
      <c r="AN931" s="5">
        <v>13</v>
      </c>
      <c r="AO931" s="5">
        <v>7</v>
      </c>
      <c r="AP931" s="5">
        <v>5</v>
      </c>
      <c r="AQ931" s="5">
        <v>1553</v>
      </c>
      <c r="AR931" s="5">
        <v>1560</v>
      </c>
      <c r="AS931" s="5" t="s">
        <v>16</v>
      </c>
      <c r="AT931" s="5" t="s">
        <v>5578</v>
      </c>
      <c r="AU931" s="5" t="s">
        <v>5579</v>
      </c>
      <c r="AV931" s="5" t="s">
        <v>5581</v>
      </c>
    </row>
    <row r="932" spans="1:48" ht="45" customHeight="1" x14ac:dyDescent="0.15">
      <c r="A932" s="5" t="s">
        <v>5582</v>
      </c>
      <c r="B932" s="5">
        <v>2010</v>
      </c>
      <c r="C932" s="5" t="s">
        <v>5583</v>
      </c>
      <c r="D932" s="5" t="s">
        <v>252</v>
      </c>
      <c r="E932" s="5" t="s">
        <v>18453</v>
      </c>
      <c r="F932" s="5" t="s">
        <v>5586</v>
      </c>
      <c r="G932" s="5"/>
      <c r="H932" s="5"/>
      <c r="I932" s="5"/>
      <c r="J932" s="5"/>
      <c r="K932" s="5"/>
      <c r="L932" s="5"/>
      <c r="M932" s="5"/>
      <c r="N932" s="5"/>
      <c r="O932" s="5"/>
      <c r="P932" s="5"/>
      <c r="Q932" s="5"/>
      <c r="AL932" s="7" t="str">
        <f>HYPERLINK("http://dx.doi.org/10.1111/j.1523-1739.2010.01483.x","http://dx.doi.org/10.1111/j.1523-1739.2010.01483.x")</f>
        <v>http://dx.doi.org/10.1111/j.1523-1739.2010.01483.x</v>
      </c>
      <c r="AM932" s="5">
        <v>104</v>
      </c>
      <c r="AN932" s="5">
        <v>111</v>
      </c>
      <c r="AO932" s="5">
        <v>24</v>
      </c>
      <c r="AP932" s="5">
        <v>5</v>
      </c>
      <c r="AQ932" s="5">
        <v>1230</v>
      </c>
      <c r="AR932" s="5">
        <v>1238</v>
      </c>
      <c r="AS932" s="5" t="s">
        <v>16</v>
      </c>
      <c r="AT932" s="5" t="s">
        <v>5584</v>
      </c>
      <c r="AU932" s="5" t="s">
        <v>5585</v>
      </c>
      <c r="AV932" s="5" t="s">
        <v>5587</v>
      </c>
    </row>
    <row r="933" spans="1:48" ht="45" customHeight="1" x14ac:dyDescent="0.15">
      <c r="A933" s="5" t="s">
        <v>5588</v>
      </c>
      <c r="B933" s="5">
        <v>2008</v>
      </c>
      <c r="C933" s="5" t="s">
        <v>5589</v>
      </c>
      <c r="D933" s="5" t="s">
        <v>4217</v>
      </c>
      <c r="E933" s="5" t="s">
        <v>18453</v>
      </c>
      <c r="F933" s="5" t="s">
        <v>5592</v>
      </c>
      <c r="G933" s="5"/>
      <c r="H933" s="5"/>
      <c r="I933" s="5"/>
      <c r="J933" s="5"/>
      <c r="K933" s="5"/>
      <c r="L933" s="5"/>
      <c r="M933" s="5"/>
      <c r="N933" s="5"/>
      <c r="O933" s="5"/>
      <c r="P933" s="5"/>
      <c r="Q933" s="5"/>
      <c r="AL933" s="5" t="s">
        <v>16</v>
      </c>
      <c r="AM933" s="5">
        <v>10</v>
      </c>
      <c r="AN933" s="5">
        <v>10</v>
      </c>
      <c r="AO933" s="5">
        <v>10</v>
      </c>
      <c r="AP933" s="5">
        <v>1</v>
      </c>
      <c r="AQ933" s="5">
        <v>147</v>
      </c>
      <c r="AR933" s="5">
        <v>152</v>
      </c>
      <c r="AS933" s="5" t="s">
        <v>16</v>
      </c>
      <c r="AT933" s="5" t="s">
        <v>5590</v>
      </c>
      <c r="AU933" s="5" t="s">
        <v>5591</v>
      </c>
      <c r="AV933" s="5" t="s">
        <v>16</v>
      </c>
    </row>
    <row r="934" spans="1:48" ht="45" customHeight="1" x14ac:dyDescent="0.15">
      <c r="A934" s="5" t="s">
        <v>5593</v>
      </c>
      <c r="B934" s="5">
        <v>2013</v>
      </c>
      <c r="C934" s="5" t="s">
        <v>5594</v>
      </c>
      <c r="D934" s="5" t="s">
        <v>33</v>
      </c>
      <c r="E934" s="5" t="s">
        <v>18453</v>
      </c>
      <c r="F934" s="5" t="s">
        <v>5597</v>
      </c>
      <c r="G934" s="5"/>
      <c r="H934" s="5"/>
      <c r="I934" s="5"/>
      <c r="J934" s="5"/>
      <c r="K934" s="5"/>
      <c r="L934" s="5"/>
      <c r="M934" s="5"/>
      <c r="N934" s="5"/>
      <c r="O934" s="5"/>
      <c r="P934" s="5"/>
      <c r="Q934" s="5"/>
      <c r="AL934" s="7" t="str">
        <f>HYPERLINK("http://dx.doi.org/10.1111/gcb.12192","http://dx.doi.org/10.1111/gcb.12192")</f>
        <v>http://dx.doi.org/10.1111/gcb.12192</v>
      </c>
      <c r="AM934" s="5">
        <v>13</v>
      </c>
      <c r="AN934" s="5">
        <v>13</v>
      </c>
      <c r="AO934" s="5">
        <v>19</v>
      </c>
      <c r="AP934" s="5">
        <v>6</v>
      </c>
      <c r="AQ934" s="5">
        <v>1709</v>
      </c>
      <c r="AR934" s="5">
        <v>1719</v>
      </c>
      <c r="AS934" s="5" t="s">
        <v>16</v>
      </c>
      <c r="AT934" s="5" t="s">
        <v>5595</v>
      </c>
      <c r="AU934" s="5" t="s">
        <v>5596</v>
      </c>
      <c r="AV934" s="5" t="s">
        <v>5598</v>
      </c>
    </row>
    <row r="935" spans="1:48" ht="45" customHeight="1" x14ac:dyDescent="0.15">
      <c r="A935" s="5" t="s">
        <v>5599</v>
      </c>
      <c r="B935" s="5">
        <v>2023</v>
      </c>
      <c r="C935" s="5" t="s">
        <v>5600</v>
      </c>
      <c r="D935" s="5" t="s">
        <v>44</v>
      </c>
      <c r="E935" s="5" t="s">
        <v>18453</v>
      </c>
      <c r="F935" s="5" t="s">
        <v>5603</v>
      </c>
      <c r="G935" s="5"/>
      <c r="H935" s="5"/>
      <c r="I935" s="5"/>
      <c r="J935" s="5"/>
      <c r="K935" s="5"/>
      <c r="L935" s="5"/>
      <c r="M935" s="5"/>
      <c r="N935" s="5"/>
      <c r="O935" s="5"/>
      <c r="P935" s="5"/>
      <c r="Q935" s="5"/>
      <c r="AL935" s="7" t="str">
        <f>HYPERLINK("http://dx.doi.org/10.3389/fevo.2023.1144778","http://dx.doi.org/10.3389/fevo.2023.1144778")</f>
        <v>http://dx.doi.org/10.3389/fevo.2023.1144778</v>
      </c>
      <c r="AM935" s="5">
        <v>0</v>
      </c>
      <c r="AN935" s="5">
        <v>0</v>
      </c>
      <c r="AO935" s="5">
        <v>11</v>
      </c>
      <c r="AP935" s="5" t="s">
        <v>16</v>
      </c>
      <c r="AQ935" s="5" t="s">
        <v>16</v>
      </c>
      <c r="AR935" s="5" t="s">
        <v>16</v>
      </c>
      <c r="AS935" s="5">
        <v>1144778</v>
      </c>
      <c r="AT935" s="5" t="s">
        <v>5601</v>
      </c>
      <c r="AU935" s="5" t="s">
        <v>5602</v>
      </c>
      <c r="AV935" s="5" t="s">
        <v>5604</v>
      </c>
    </row>
    <row r="936" spans="1:48" ht="45" customHeight="1" x14ac:dyDescent="0.15">
      <c r="A936" s="5" t="s">
        <v>5605</v>
      </c>
      <c r="B936" s="5">
        <v>2017</v>
      </c>
      <c r="C936" s="5" t="s">
        <v>5606</v>
      </c>
      <c r="D936" s="5" t="s">
        <v>973</v>
      </c>
      <c r="E936" s="5" t="s">
        <v>18453</v>
      </c>
      <c r="F936" s="5" t="s">
        <v>5608</v>
      </c>
      <c r="G936" s="5"/>
      <c r="H936" s="5"/>
      <c r="I936" s="5"/>
      <c r="J936" s="5"/>
      <c r="K936" s="5"/>
      <c r="L936" s="5"/>
      <c r="M936" s="5"/>
      <c r="N936" s="5"/>
      <c r="O936" s="5"/>
      <c r="P936" s="5"/>
      <c r="Q936" s="5"/>
      <c r="AL936" s="7" t="str">
        <f>HYPERLINK("http://dx.doi.org/10.5194/bg-14-2641-2017","http://dx.doi.org/10.5194/bg-14-2641-2017")</f>
        <v>http://dx.doi.org/10.5194/bg-14-2641-2017</v>
      </c>
      <c r="AM936" s="5">
        <v>57</v>
      </c>
      <c r="AN936" s="5">
        <v>57</v>
      </c>
      <c r="AO936" s="5">
        <v>14</v>
      </c>
      <c r="AP936" s="5">
        <v>10</v>
      </c>
      <c r="AQ936" s="5">
        <v>2641</v>
      </c>
      <c r="AR936" s="5">
        <v>2673</v>
      </c>
      <c r="AS936" s="5" t="s">
        <v>16</v>
      </c>
      <c r="AT936" s="5" t="s">
        <v>16</v>
      </c>
      <c r="AU936" s="5" t="s">
        <v>5607</v>
      </c>
      <c r="AV936" s="5" t="s">
        <v>5609</v>
      </c>
    </row>
    <row r="937" spans="1:48" ht="45" customHeight="1" x14ac:dyDescent="0.15">
      <c r="A937" s="5" t="s">
        <v>5610</v>
      </c>
      <c r="B937" s="5">
        <v>2018</v>
      </c>
      <c r="C937" s="5" t="s">
        <v>5611</v>
      </c>
      <c r="D937" s="5" t="s">
        <v>49</v>
      </c>
      <c r="E937" s="5" t="s">
        <v>18453</v>
      </c>
      <c r="F937" s="5" t="s">
        <v>5614</v>
      </c>
      <c r="G937" s="5"/>
      <c r="H937" s="5"/>
      <c r="I937" s="5"/>
      <c r="J937" s="5"/>
      <c r="K937" s="5"/>
      <c r="L937" s="5"/>
      <c r="M937" s="5"/>
      <c r="N937" s="5"/>
      <c r="O937" s="5"/>
      <c r="P937" s="5"/>
      <c r="Q937" s="5"/>
      <c r="AL937" s="7" t="str">
        <f>HYPERLINK("http://dx.doi.org/10.3354/meps12674","http://dx.doi.org/10.3354/meps12674")</f>
        <v>http://dx.doi.org/10.3354/meps12674</v>
      </c>
      <c r="AM937" s="5">
        <v>15</v>
      </c>
      <c r="AN937" s="5">
        <v>15</v>
      </c>
      <c r="AO937" s="5">
        <v>601</v>
      </c>
      <c r="AP937" s="5" t="s">
        <v>16</v>
      </c>
      <c r="AQ937" s="5">
        <v>203</v>
      </c>
      <c r="AR937" s="5">
        <v>213</v>
      </c>
      <c r="AS937" s="5" t="s">
        <v>16</v>
      </c>
      <c r="AT937" s="5" t="s">
        <v>5612</v>
      </c>
      <c r="AU937" s="5" t="s">
        <v>5613</v>
      </c>
      <c r="AV937" s="5" t="s">
        <v>5615</v>
      </c>
    </row>
    <row r="938" spans="1:48" ht="45" customHeight="1" x14ac:dyDescent="0.15">
      <c r="A938" s="5" t="s">
        <v>5616</v>
      </c>
      <c r="B938" s="5">
        <v>2023</v>
      </c>
      <c r="C938" s="5" t="s">
        <v>5617</v>
      </c>
      <c r="D938" s="5" t="s">
        <v>2087</v>
      </c>
      <c r="E938" s="5" t="s">
        <v>18453</v>
      </c>
      <c r="F938" s="5" t="s">
        <v>5620</v>
      </c>
      <c r="G938" s="5"/>
      <c r="H938" s="5"/>
      <c r="I938" s="5"/>
      <c r="J938" s="5"/>
      <c r="K938" s="5"/>
      <c r="L938" s="5"/>
      <c r="M938" s="5"/>
      <c r="N938" s="5"/>
      <c r="O938" s="5"/>
      <c r="P938" s="5"/>
      <c r="Q938" s="5"/>
      <c r="AL938" s="7" t="str">
        <f>HYPERLINK("http://dx.doi.org/10.1002/eco.2545","http://dx.doi.org/10.1002/eco.2545")</f>
        <v>http://dx.doi.org/10.1002/eco.2545</v>
      </c>
      <c r="AM938" s="5">
        <v>1</v>
      </c>
      <c r="AN938" s="5">
        <v>1</v>
      </c>
      <c r="AO938" s="5" t="s">
        <v>16</v>
      </c>
      <c r="AP938" s="5" t="s">
        <v>16</v>
      </c>
      <c r="AQ938" s="5" t="s">
        <v>16</v>
      </c>
      <c r="AR938" s="5" t="s">
        <v>16</v>
      </c>
      <c r="AS938" s="5" t="s">
        <v>16</v>
      </c>
      <c r="AT938" s="5" t="s">
        <v>5618</v>
      </c>
      <c r="AU938" s="5" t="s">
        <v>5619</v>
      </c>
      <c r="AV938" s="5" t="s">
        <v>5621</v>
      </c>
    </row>
    <row r="939" spans="1:48" ht="45" customHeight="1" x14ac:dyDescent="0.15">
      <c r="A939" s="5" t="s">
        <v>5622</v>
      </c>
      <c r="B939" s="5">
        <v>2018</v>
      </c>
      <c r="C939" s="5" t="s">
        <v>5623</v>
      </c>
      <c r="D939" s="5" t="s">
        <v>67</v>
      </c>
      <c r="E939" s="5" t="s">
        <v>18453</v>
      </c>
      <c r="F939" s="5" t="s">
        <v>5626</v>
      </c>
      <c r="G939" s="5"/>
      <c r="H939" s="5"/>
      <c r="I939" s="5"/>
      <c r="J939" s="5"/>
      <c r="K939" s="5"/>
      <c r="L939" s="5"/>
      <c r="M939" s="5"/>
      <c r="N939" s="5"/>
      <c r="O939" s="5"/>
      <c r="P939" s="5"/>
      <c r="Q939" s="5"/>
      <c r="AL939" s="7" t="str">
        <f>HYPERLINK("http://dx.doi.org/10.1111/jbi.13144","http://dx.doi.org/10.1111/jbi.13144")</f>
        <v>http://dx.doi.org/10.1111/jbi.13144</v>
      </c>
      <c r="AM939" s="5">
        <v>8</v>
      </c>
      <c r="AN939" s="5">
        <v>8</v>
      </c>
      <c r="AO939" s="5">
        <v>45</v>
      </c>
      <c r="AP939" s="5">
        <v>3</v>
      </c>
      <c r="AQ939" s="5">
        <v>713</v>
      </c>
      <c r="AR939" s="5">
        <v>725</v>
      </c>
      <c r="AS939" s="5" t="s">
        <v>16</v>
      </c>
      <c r="AT939" s="5" t="s">
        <v>5624</v>
      </c>
      <c r="AU939" s="5" t="s">
        <v>5625</v>
      </c>
      <c r="AV939" s="5" t="s">
        <v>5627</v>
      </c>
    </row>
    <row r="940" spans="1:48" ht="45" customHeight="1" x14ac:dyDescent="0.15">
      <c r="A940" s="5" t="s">
        <v>5628</v>
      </c>
      <c r="B940" s="5">
        <v>2013</v>
      </c>
      <c r="C940" s="5" t="s">
        <v>5629</v>
      </c>
      <c r="D940" s="5" t="s">
        <v>17</v>
      </c>
      <c r="E940" s="5" t="s">
        <v>18453</v>
      </c>
      <c r="F940" s="5" t="s">
        <v>5632</v>
      </c>
      <c r="G940" s="5"/>
      <c r="H940" s="5"/>
      <c r="I940" s="5"/>
      <c r="J940" s="5"/>
      <c r="K940" s="5"/>
      <c r="L940" s="5"/>
      <c r="M940" s="5"/>
      <c r="N940" s="5"/>
      <c r="O940" s="5"/>
      <c r="P940" s="5"/>
      <c r="Q940" s="5"/>
      <c r="AL940" s="7" t="str">
        <f>HYPERLINK("http://dx.doi.org/10.1111/fwb.12089","http://dx.doi.org/10.1111/fwb.12089")</f>
        <v>http://dx.doi.org/10.1111/fwb.12089</v>
      </c>
      <c r="AM940" s="5">
        <v>8</v>
      </c>
      <c r="AN940" s="5">
        <v>9</v>
      </c>
      <c r="AO940" s="5">
        <v>58</v>
      </c>
      <c r="AP940" s="5">
        <v>4</v>
      </c>
      <c r="AQ940" s="5">
        <v>828</v>
      </c>
      <c r="AR940" s="5">
        <v>840</v>
      </c>
      <c r="AS940" s="5" t="s">
        <v>16</v>
      </c>
      <c r="AT940" s="5" t="s">
        <v>5630</v>
      </c>
      <c r="AU940" s="5" t="s">
        <v>5631</v>
      </c>
      <c r="AV940" s="5" t="s">
        <v>5633</v>
      </c>
    </row>
    <row r="941" spans="1:48" ht="45" customHeight="1" x14ac:dyDescent="0.15">
      <c r="A941" s="5" t="s">
        <v>5634</v>
      </c>
      <c r="B941" s="5">
        <v>2011</v>
      </c>
      <c r="C941" s="5" t="s">
        <v>5635</v>
      </c>
      <c r="D941" s="5" t="s">
        <v>1141</v>
      </c>
      <c r="E941" s="5" t="s">
        <v>18453</v>
      </c>
      <c r="F941" s="5" t="s">
        <v>5638</v>
      </c>
      <c r="G941" s="5"/>
      <c r="H941" s="5"/>
      <c r="I941" s="5"/>
      <c r="J941" s="5"/>
      <c r="K941" s="5"/>
      <c r="L941" s="5"/>
      <c r="M941" s="5"/>
      <c r="N941" s="5"/>
      <c r="O941" s="5"/>
      <c r="P941" s="5"/>
      <c r="Q941" s="5"/>
      <c r="AL941" s="7" t="str">
        <f>HYPERLINK("http://dx.doi.org/10.2980/18-2-3390","http://dx.doi.org/10.2980/18-2-3390")</f>
        <v>http://dx.doi.org/10.2980/18-2-3390</v>
      </c>
      <c r="AM941" s="5">
        <v>22</v>
      </c>
      <c r="AN941" s="5">
        <v>23</v>
      </c>
      <c r="AO941" s="5">
        <v>18</v>
      </c>
      <c r="AP941" s="5">
        <v>2</v>
      </c>
      <c r="AQ941" s="5">
        <v>98</v>
      </c>
      <c r="AR941" s="5">
        <v>109</v>
      </c>
      <c r="AS941" s="5" t="s">
        <v>16</v>
      </c>
      <c r="AT941" s="5" t="s">
        <v>5636</v>
      </c>
      <c r="AU941" s="5" t="s">
        <v>5637</v>
      </c>
      <c r="AV941" s="5" t="s">
        <v>5639</v>
      </c>
    </row>
    <row r="942" spans="1:48" ht="45" customHeight="1" x14ac:dyDescent="0.15">
      <c r="A942" s="5" t="s">
        <v>5640</v>
      </c>
      <c r="B942" s="5">
        <v>1991</v>
      </c>
      <c r="C942" s="5" t="s">
        <v>5641</v>
      </c>
      <c r="D942" s="5" t="s">
        <v>49</v>
      </c>
      <c r="E942" s="5" t="s">
        <v>18453</v>
      </c>
      <c r="F942" s="5" t="s">
        <v>5643</v>
      </c>
      <c r="G942" s="5"/>
      <c r="H942" s="5"/>
      <c r="I942" s="5"/>
      <c r="J942" s="5"/>
      <c r="K942" s="5"/>
      <c r="L942" s="5"/>
      <c r="M942" s="5"/>
      <c r="N942" s="5"/>
      <c r="O942" s="5"/>
      <c r="P942" s="5"/>
      <c r="Q942" s="5"/>
      <c r="AL942" s="7" t="str">
        <f>HYPERLINK("http://dx.doi.org/10.3354/meps078033","http://dx.doi.org/10.3354/meps078033")</f>
        <v>http://dx.doi.org/10.3354/meps078033</v>
      </c>
      <c r="AM942" s="5">
        <v>38</v>
      </c>
      <c r="AN942" s="5">
        <v>38</v>
      </c>
      <c r="AO942" s="5">
        <v>78</v>
      </c>
      <c r="AP942" s="5">
        <v>1</v>
      </c>
      <c r="AQ942" s="5">
        <v>33</v>
      </c>
      <c r="AR942" s="5">
        <v>40</v>
      </c>
      <c r="AS942" s="5" t="s">
        <v>16</v>
      </c>
      <c r="AT942" s="5" t="s">
        <v>16</v>
      </c>
      <c r="AU942" s="5" t="s">
        <v>5642</v>
      </c>
      <c r="AV942" s="5" t="s">
        <v>5644</v>
      </c>
    </row>
    <row r="943" spans="1:48" ht="45" customHeight="1" x14ac:dyDescent="0.15">
      <c r="A943" s="5" t="s">
        <v>5645</v>
      </c>
      <c r="B943" s="5">
        <v>2012</v>
      </c>
      <c r="C943" s="5" t="s">
        <v>5646</v>
      </c>
      <c r="D943" s="5" t="s">
        <v>116</v>
      </c>
      <c r="E943" s="5" t="s">
        <v>18453</v>
      </c>
      <c r="F943" s="5" t="s">
        <v>5649</v>
      </c>
      <c r="G943" s="5"/>
      <c r="H943" s="5"/>
      <c r="I943" s="5"/>
      <c r="J943" s="5"/>
      <c r="K943" s="5"/>
      <c r="L943" s="5"/>
      <c r="M943" s="5"/>
      <c r="N943" s="5"/>
      <c r="O943" s="5"/>
      <c r="P943" s="5"/>
      <c r="Q943" s="5"/>
      <c r="AL943" s="7" t="str">
        <f>HYPERLINK("http://dx.doi.org/10.1007/s10641-012-9986-4","http://dx.doi.org/10.1007/s10641-012-9986-4")</f>
        <v>http://dx.doi.org/10.1007/s10641-012-9986-4</v>
      </c>
      <c r="AM943" s="5">
        <v>17</v>
      </c>
      <c r="AN943" s="5">
        <v>18</v>
      </c>
      <c r="AO943" s="5">
        <v>95</v>
      </c>
      <c r="AP943" s="5">
        <v>2</v>
      </c>
      <c r="AQ943" s="5">
        <v>237</v>
      </c>
      <c r="AR943" s="5">
        <v>258</v>
      </c>
      <c r="AS943" s="5" t="s">
        <v>16</v>
      </c>
      <c r="AT943" s="5" t="s">
        <v>5647</v>
      </c>
      <c r="AU943" s="5" t="s">
        <v>5648</v>
      </c>
      <c r="AV943" s="5" t="s">
        <v>5650</v>
      </c>
    </row>
    <row r="944" spans="1:48" ht="45" customHeight="1" x14ac:dyDescent="0.15">
      <c r="A944" s="5" t="s">
        <v>5651</v>
      </c>
      <c r="B944" s="5">
        <v>2013</v>
      </c>
      <c r="C944" s="5" t="s">
        <v>5652</v>
      </c>
      <c r="D944" s="5" t="s">
        <v>49</v>
      </c>
      <c r="E944" s="5" t="s">
        <v>18453</v>
      </c>
      <c r="F944" s="5" t="s">
        <v>5655</v>
      </c>
      <c r="G944" s="5"/>
      <c r="H944" s="5"/>
      <c r="I944" s="5"/>
      <c r="J944" s="5"/>
      <c r="K944" s="5"/>
      <c r="L944" s="5"/>
      <c r="M944" s="5"/>
      <c r="N944" s="5"/>
      <c r="O944" s="5"/>
      <c r="P944" s="5"/>
      <c r="Q944" s="5"/>
      <c r="AL944" s="7" t="str">
        <f>HYPERLINK("http://dx.doi.org/10.3354/meps10560","http://dx.doi.org/10.3354/meps10560")</f>
        <v>http://dx.doi.org/10.3354/meps10560</v>
      </c>
      <c r="AM944" s="5">
        <v>20</v>
      </c>
      <c r="AN944" s="5">
        <v>22</v>
      </c>
      <c r="AO944" s="5">
        <v>493</v>
      </c>
      <c r="AP944" s="5" t="s">
        <v>16</v>
      </c>
      <c r="AQ944" s="5">
        <v>1</v>
      </c>
      <c r="AR944" s="5">
        <v>8</v>
      </c>
      <c r="AS944" s="5" t="s">
        <v>16</v>
      </c>
      <c r="AT944" s="5" t="s">
        <v>5653</v>
      </c>
      <c r="AU944" s="5" t="s">
        <v>5654</v>
      </c>
      <c r="AV944" s="5" t="s">
        <v>5656</v>
      </c>
    </row>
    <row r="945" spans="1:48" ht="45" customHeight="1" x14ac:dyDescent="0.15">
      <c r="A945" s="5" t="s">
        <v>3605</v>
      </c>
      <c r="B945" s="5">
        <v>2014</v>
      </c>
      <c r="C945" s="5" t="s">
        <v>5657</v>
      </c>
      <c r="D945" s="5" t="s">
        <v>77</v>
      </c>
      <c r="E945" s="5" t="s">
        <v>18453</v>
      </c>
      <c r="F945" s="5" t="s">
        <v>5660</v>
      </c>
      <c r="G945" s="5"/>
      <c r="H945" s="5"/>
      <c r="I945" s="5"/>
      <c r="J945" s="5"/>
      <c r="K945" s="5"/>
      <c r="L945" s="5"/>
      <c r="M945" s="5"/>
      <c r="N945" s="5"/>
      <c r="O945" s="5"/>
      <c r="P945" s="5"/>
      <c r="Q945" s="5"/>
      <c r="AL945" s="7" t="str">
        <f>HYPERLINK("http://dx.doi.org/10.1111/1365-2656.12233","http://dx.doi.org/10.1111/1365-2656.12233")</f>
        <v>http://dx.doi.org/10.1111/1365-2656.12233</v>
      </c>
      <c r="AM945" s="5">
        <v>47</v>
      </c>
      <c r="AN945" s="5">
        <v>48</v>
      </c>
      <c r="AO945" s="5">
        <v>83</v>
      </c>
      <c r="AP945" s="5">
        <v>6</v>
      </c>
      <c r="AQ945" s="5">
        <v>1501</v>
      </c>
      <c r="AR945" s="5">
        <v>1512</v>
      </c>
      <c r="AS945" s="5" t="s">
        <v>16</v>
      </c>
      <c r="AT945" s="5" t="s">
        <v>5658</v>
      </c>
      <c r="AU945" s="5" t="s">
        <v>5659</v>
      </c>
      <c r="AV945" s="5" t="s">
        <v>5661</v>
      </c>
    </row>
    <row r="946" spans="1:48" ht="45" customHeight="1" x14ac:dyDescent="0.15">
      <c r="A946" s="5" t="s">
        <v>5662</v>
      </c>
      <c r="B946" s="5">
        <v>2022</v>
      </c>
      <c r="C946" s="5" t="s">
        <v>5663</v>
      </c>
      <c r="D946" s="5" t="s">
        <v>18</v>
      </c>
      <c r="E946" s="5" t="s">
        <v>18453</v>
      </c>
      <c r="F946" s="5" t="s">
        <v>5666</v>
      </c>
      <c r="G946" s="5"/>
      <c r="H946" s="5"/>
      <c r="I946" s="5"/>
      <c r="J946" s="5"/>
      <c r="K946" s="5"/>
      <c r="L946" s="5"/>
      <c r="M946" s="5"/>
      <c r="N946" s="5"/>
      <c r="O946" s="5"/>
      <c r="P946" s="5"/>
      <c r="Q946" s="5"/>
      <c r="AL946" s="7" t="str">
        <f>HYPERLINK("http://dx.doi.org/10.1002/ecs2.4138","http://dx.doi.org/10.1002/ecs2.4138")</f>
        <v>http://dx.doi.org/10.1002/ecs2.4138</v>
      </c>
      <c r="AM946" s="5">
        <v>1</v>
      </c>
      <c r="AN946" s="5">
        <v>1</v>
      </c>
      <c r="AO946" s="5">
        <v>13</v>
      </c>
      <c r="AP946" s="5">
        <v>6</v>
      </c>
      <c r="AQ946" s="5" t="s">
        <v>16</v>
      </c>
      <c r="AR946" s="5" t="s">
        <v>16</v>
      </c>
      <c r="AS946" s="5" t="s">
        <v>5667</v>
      </c>
      <c r="AT946" s="5" t="s">
        <v>5664</v>
      </c>
      <c r="AU946" s="5" t="s">
        <v>5665</v>
      </c>
      <c r="AV946" s="5" t="s">
        <v>5668</v>
      </c>
    </row>
    <row r="947" spans="1:48" ht="45" customHeight="1" x14ac:dyDescent="0.15">
      <c r="A947" s="5" t="s">
        <v>5669</v>
      </c>
      <c r="B947" s="5">
        <v>2006</v>
      </c>
      <c r="C947" s="5" t="s">
        <v>5670</v>
      </c>
      <c r="D947" s="5" t="s">
        <v>49</v>
      </c>
      <c r="E947" s="5" t="s">
        <v>18453</v>
      </c>
      <c r="F947" s="5" t="s">
        <v>5673</v>
      </c>
      <c r="G947" s="5"/>
      <c r="H947" s="5"/>
      <c r="I947" s="5"/>
      <c r="J947" s="5"/>
      <c r="K947" s="5"/>
      <c r="L947" s="5"/>
      <c r="M947" s="5"/>
      <c r="N947" s="5"/>
      <c r="O947" s="5"/>
      <c r="P947" s="5"/>
      <c r="Q947" s="5"/>
      <c r="AL947" s="5" t="s">
        <v>16</v>
      </c>
      <c r="AM947" s="5">
        <v>12</v>
      </c>
      <c r="AN947" s="5">
        <v>12</v>
      </c>
      <c r="AO947" s="5">
        <v>323</v>
      </c>
      <c r="AP947" s="5" t="s">
        <v>16</v>
      </c>
      <c r="AQ947" s="5">
        <v>305</v>
      </c>
      <c r="AR947" s="5">
        <v>310</v>
      </c>
      <c r="AS947" s="5" t="s">
        <v>16</v>
      </c>
      <c r="AT947" s="5" t="s">
        <v>5671</v>
      </c>
      <c r="AU947" s="5" t="s">
        <v>5672</v>
      </c>
      <c r="AV947" s="5" t="s">
        <v>16</v>
      </c>
    </row>
    <row r="948" spans="1:48" ht="45" customHeight="1" x14ac:dyDescent="0.15">
      <c r="A948" s="5" t="s">
        <v>5674</v>
      </c>
      <c r="B948" s="5">
        <v>2011</v>
      </c>
      <c r="C948" s="5" t="s">
        <v>5675</v>
      </c>
      <c r="D948" s="5" t="s">
        <v>33</v>
      </c>
      <c r="E948" s="5" t="s">
        <v>18453</v>
      </c>
      <c r="F948" s="5" t="s">
        <v>5678</v>
      </c>
      <c r="G948" s="5"/>
      <c r="H948" s="5"/>
      <c r="I948" s="5"/>
      <c r="J948" s="5"/>
      <c r="K948" s="5"/>
      <c r="L948" s="5"/>
      <c r="M948" s="5"/>
      <c r="N948" s="5"/>
      <c r="O948" s="5"/>
      <c r="P948" s="5"/>
      <c r="Q948" s="5"/>
      <c r="AL948" s="7" t="str">
        <f>HYPERLINK("http://dx.doi.org/10.1111/j.1365-2486.2010.02362.x","http://dx.doi.org/10.1111/j.1365-2486.2010.02362.x")</f>
        <v>http://dx.doi.org/10.1111/j.1365-2486.2010.02362.x</v>
      </c>
      <c r="AM948" s="5">
        <v>63</v>
      </c>
      <c r="AN948" s="5">
        <v>64</v>
      </c>
      <c r="AO948" s="5">
        <v>17</v>
      </c>
      <c r="AP948" s="5">
        <v>5</v>
      </c>
      <c r="AQ948" s="5">
        <v>1946</v>
      </c>
      <c r="AR948" s="5">
        <v>1962</v>
      </c>
      <c r="AS948" s="5" t="s">
        <v>16</v>
      </c>
      <c r="AT948" s="5" t="s">
        <v>5676</v>
      </c>
      <c r="AU948" s="5" t="s">
        <v>5677</v>
      </c>
      <c r="AV948" s="5" t="s">
        <v>5679</v>
      </c>
    </row>
    <row r="949" spans="1:48" ht="45" customHeight="1" x14ac:dyDescent="0.15">
      <c r="A949" s="5" t="s">
        <v>5680</v>
      </c>
      <c r="B949" s="5">
        <v>2021</v>
      </c>
      <c r="C949" s="5" t="s">
        <v>5681</v>
      </c>
      <c r="D949" s="5" t="s">
        <v>162</v>
      </c>
      <c r="E949" s="5" t="s">
        <v>18453</v>
      </c>
      <c r="F949" s="5" t="s">
        <v>5684</v>
      </c>
      <c r="G949" s="5"/>
      <c r="H949" s="5"/>
      <c r="I949" s="5"/>
      <c r="J949" s="5"/>
      <c r="K949" s="5"/>
      <c r="L949" s="5"/>
      <c r="M949" s="5"/>
      <c r="N949" s="5"/>
      <c r="O949" s="5"/>
      <c r="P949" s="5"/>
      <c r="Q949" s="5"/>
      <c r="AL949" s="7" t="str">
        <f>HYPERLINK("http://dx.doi.org/10.1111/1365-2435.13924","http://dx.doi.org/10.1111/1365-2435.13924")</f>
        <v>http://dx.doi.org/10.1111/1365-2435.13924</v>
      </c>
      <c r="AM949" s="5">
        <v>3</v>
      </c>
      <c r="AN949" s="5">
        <v>3</v>
      </c>
      <c r="AO949" s="5">
        <v>35</v>
      </c>
      <c r="AP949" s="5">
        <v>12</v>
      </c>
      <c r="AQ949" s="5">
        <v>2841</v>
      </c>
      <c r="AR949" s="5">
        <v>2855</v>
      </c>
      <c r="AS949" s="5" t="s">
        <v>16</v>
      </c>
      <c r="AT949" s="5" t="s">
        <v>5682</v>
      </c>
      <c r="AU949" s="5" t="s">
        <v>5683</v>
      </c>
      <c r="AV949" s="5" t="s">
        <v>5685</v>
      </c>
    </row>
    <row r="950" spans="1:48" ht="45" customHeight="1" x14ac:dyDescent="0.15">
      <c r="A950" s="5" t="s">
        <v>5686</v>
      </c>
      <c r="B950" s="5">
        <v>2023</v>
      </c>
      <c r="C950" s="5" t="s">
        <v>5687</v>
      </c>
      <c r="D950" s="5" t="s">
        <v>77</v>
      </c>
      <c r="E950" s="5" t="s">
        <v>18453</v>
      </c>
      <c r="F950" s="5" t="s">
        <v>5690</v>
      </c>
      <c r="G950" s="5"/>
      <c r="H950" s="5"/>
      <c r="I950" s="5"/>
      <c r="J950" s="5"/>
      <c r="K950" s="5"/>
      <c r="L950" s="5"/>
      <c r="M950" s="5"/>
      <c r="N950" s="5"/>
      <c r="O950" s="5"/>
      <c r="P950" s="5"/>
      <c r="Q950" s="5"/>
      <c r="AL950" s="7" t="str">
        <f>HYPERLINK("http://dx.doi.org/10.1111/1365-2656.13962","http://dx.doi.org/10.1111/1365-2656.13962")</f>
        <v>http://dx.doi.org/10.1111/1365-2656.13962</v>
      </c>
      <c r="AM950" s="5">
        <v>0</v>
      </c>
      <c r="AN950" s="5">
        <v>0</v>
      </c>
      <c r="AO950" s="5" t="s">
        <v>16</v>
      </c>
      <c r="AP950" s="5" t="s">
        <v>16</v>
      </c>
      <c r="AQ950" s="5" t="s">
        <v>16</v>
      </c>
      <c r="AR950" s="5" t="s">
        <v>16</v>
      </c>
      <c r="AS950" s="5" t="s">
        <v>16</v>
      </c>
      <c r="AT950" s="5" t="s">
        <v>5688</v>
      </c>
      <c r="AU950" s="5" t="s">
        <v>5689</v>
      </c>
      <c r="AV950" s="5" t="s">
        <v>5691</v>
      </c>
    </row>
    <row r="951" spans="1:48" ht="45" customHeight="1" x14ac:dyDescent="0.15">
      <c r="A951" s="5" t="s">
        <v>5692</v>
      </c>
      <c r="B951" s="5">
        <v>2002</v>
      </c>
      <c r="C951" s="5" t="s">
        <v>5693</v>
      </c>
      <c r="D951" s="5" t="s">
        <v>116</v>
      </c>
      <c r="E951" s="5" t="s">
        <v>18453</v>
      </c>
      <c r="F951" s="5" t="s">
        <v>5696</v>
      </c>
      <c r="G951" s="5"/>
      <c r="H951" s="5"/>
      <c r="I951" s="5"/>
      <c r="J951" s="5"/>
      <c r="K951" s="5"/>
      <c r="L951" s="5"/>
      <c r="M951" s="5"/>
      <c r="N951" s="5"/>
      <c r="O951" s="5"/>
      <c r="P951" s="5"/>
      <c r="Q951" s="5"/>
      <c r="AL951" s="5" t="s">
        <v>16</v>
      </c>
      <c r="AM951" s="5">
        <v>111</v>
      </c>
      <c r="AN951" s="5">
        <v>117</v>
      </c>
      <c r="AO951" s="5">
        <v>63</v>
      </c>
      <c r="AP951" s="5">
        <v>2</v>
      </c>
      <c r="AQ951" s="5">
        <v>193</v>
      </c>
      <c r="AR951" s="5">
        <v>202</v>
      </c>
      <c r="AS951" s="5" t="s">
        <v>16</v>
      </c>
      <c r="AT951" s="5" t="s">
        <v>5694</v>
      </c>
      <c r="AU951" s="5" t="s">
        <v>5695</v>
      </c>
      <c r="AV951" s="5" t="s">
        <v>16</v>
      </c>
    </row>
    <row r="952" spans="1:48" ht="45" customHeight="1" x14ac:dyDescent="0.15">
      <c r="A952" s="5" t="s">
        <v>5697</v>
      </c>
      <c r="B952" s="5">
        <v>2021</v>
      </c>
      <c r="C952" s="5" t="s">
        <v>5698</v>
      </c>
      <c r="D952" s="5" t="s">
        <v>33</v>
      </c>
      <c r="E952" s="5" t="s">
        <v>18453</v>
      </c>
      <c r="F952" s="5" t="s">
        <v>5701</v>
      </c>
      <c r="G952" s="5"/>
      <c r="H952" s="5"/>
      <c r="I952" s="5"/>
      <c r="J952" s="5"/>
      <c r="K952" s="5"/>
      <c r="L952" s="5"/>
      <c r="M952" s="5"/>
      <c r="N952" s="5"/>
      <c r="O952" s="5"/>
      <c r="P952" s="5"/>
      <c r="Q952" s="5"/>
      <c r="AL952" s="7" t="str">
        <f>HYPERLINK("http://dx.doi.org/10.1111/gcb.15394","http://dx.doi.org/10.1111/gcb.15394")</f>
        <v>http://dx.doi.org/10.1111/gcb.15394</v>
      </c>
      <c r="AM952" s="5">
        <v>7</v>
      </c>
      <c r="AN952" s="5">
        <v>7</v>
      </c>
      <c r="AO952" s="5">
        <v>27</v>
      </c>
      <c r="AP952" s="5">
        <v>3</v>
      </c>
      <c r="AQ952" s="5">
        <v>576</v>
      </c>
      <c r="AR952" s="5">
        <v>586</v>
      </c>
      <c r="AS952" s="5" t="s">
        <v>16</v>
      </c>
      <c r="AT952" s="5" t="s">
        <v>5699</v>
      </c>
      <c r="AU952" s="5" t="s">
        <v>5700</v>
      </c>
      <c r="AV952" s="5" t="s">
        <v>5702</v>
      </c>
    </row>
    <row r="953" spans="1:48" ht="45" customHeight="1" x14ac:dyDescent="0.15">
      <c r="A953" s="5" t="s">
        <v>5703</v>
      </c>
      <c r="B953" s="5">
        <v>2019</v>
      </c>
      <c r="C953" s="5" t="s">
        <v>5704</v>
      </c>
      <c r="D953" s="5" t="s">
        <v>62</v>
      </c>
      <c r="E953" s="5" t="s">
        <v>18453</v>
      </c>
      <c r="F953" s="5" t="s">
        <v>5707</v>
      </c>
      <c r="G953" s="5"/>
      <c r="H953" s="5"/>
      <c r="I953" s="5"/>
      <c r="J953" s="5"/>
      <c r="K953" s="5"/>
      <c r="L953" s="5"/>
      <c r="M953" s="5"/>
      <c r="N953" s="5"/>
      <c r="O953" s="5"/>
      <c r="P953" s="5"/>
      <c r="Q953" s="5"/>
      <c r="AL953" s="7" t="str">
        <f>HYPERLINK("http://dx.doi.org/10.1007/s10021-018-00334-w","http://dx.doi.org/10.1007/s10021-018-00334-w")</f>
        <v>http://dx.doi.org/10.1007/s10021-018-00334-w</v>
      </c>
      <c r="AM953" s="5">
        <v>2</v>
      </c>
      <c r="AN953" s="5">
        <v>2</v>
      </c>
      <c r="AO953" s="5">
        <v>22</v>
      </c>
      <c r="AP953" s="5">
        <v>6</v>
      </c>
      <c r="AQ953" s="5">
        <v>1271</v>
      </c>
      <c r="AR953" s="5">
        <v>1279</v>
      </c>
      <c r="AS953" s="5" t="s">
        <v>16</v>
      </c>
      <c r="AT953" s="5" t="s">
        <v>5705</v>
      </c>
      <c r="AU953" s="5" t="s">
        <v>5706</v>
      </c>
      <c r="AV953" s="5" t="s">
        <v>5708</v>
      </c>
    </row>
    <row r="954" spans="1:48" ht="45" customHeight="1" x14ac:dyDescent="0.15">
      <c r="A954" s="5" t="s">
        <v>5709</v>
      </c>
      <c r="B954" s="5">
        <v>2022</v>
      </c>
      <c r="C954" s="5" t="s">
        <v>5710</v>
      </c>
      <c r="D954" s="5" t="s">
        <v>2614</v>
      </c>
      <c r="E954" s="5" t="s">
        <v>18453</v>
      </c>
      <c r="F954" s="5" t="s">
        <v>5713</v>
      </c>
      <c r="G954" s="5"/>
      <c r="H954" s="5"/>
      <c r="I954" s="5"/>
      <c r="J954" s="5"/>
      <c r="K954" s="5"/>
      <c r="L954" s="5"/>
      <c r="M954" s="5"/>
      <c r="N954" s="5"/>
      <c r="O954" s="5"/>
      <c r="P954" s="5"/>
      <c r="Q954" s="5"/>
      <c r="AL954" s="7" t="str">
        <f>HYPERLINK("http://dx.doi.org/10.1111/acv.12766","http://dx.doi.org/10.1111/acv.12766")</f>
        <v>http://dx.doi.org/10.1111/acv.12766</v>
      </c>
      <c r="AM954" s="5">
        <v>6</v>
      </c>
      <c r="AN954" s="5">
        <v>6</v>
      </c>
      <c r="AO954" s="5">
        <v>25</v>
      </c>
      <c r="AP954" s="5">
        <v>4</v>
      </c>
      <c r="AQ954" s="5">
        <v>582</v>
      </c>
      <c r="AR954" s="5">
        <v>593</v>
      </c>
      <c r="AS954" s="5" t="s">
        <v>16</v>
      </c>
      <c r="AT954" s="5" t="s">
        <v>5711</v>
      </c>
      <c r="AU954" s="5" t="s">
        <v>5712</v>
      </c>
      <c r="AV954" s="5" t="s">
        <v>5714</v>
      </c>
    </row>
    <row r="955" spans="1:48" ht="45" customHeight="1" x14ac:dyDescent="0.15">
      <c r="A955" s="5" t="s">
        <v>5715</v>
      </c>
      <c r="B955" s="5">
        <v>2016</v>
      </c>
      <c r="C955" s="5" t="s">
        <v>5716</v>
      </c>
      <c r="D955" s="5" t="s">
        <v>973</v>
      </c>
      <c r="E955" s="5" t="s">
        <v>18453</v>
      </c>
      <c r="F955" s="5" t="s">
        <v>5718</v>
      </c>
      <c r="G955" s="5"/>
      <c r="H955" s="5"/>
      <c r="I955" s="5"/>
      <c r="J955" s="5"/>
      <c r="K955" s="5"/>
      <c r="L955" s="5"/>
      <c r="M955" s="5"/>
      <c r="N955" s="5"/>
      <c r="O955" s="5"/>
      <c r="P955" s="5"/>
      <c r="Q955" s="5"/>
      <c r="AL955" s="7" t="str">
        <f>HYPERLINK("http://dx.doi.org/10.5194/bg-13-761-2016","http://dx.doi.org/10.5194/bg-13-761-2016")</f>
        <v>http://dx.doi.org/10.5194/bg-13-761-2016</v>
      </c>
      <c r="AM955" s="5">
        <v>30</v>
      </c>
      <c r="AN955" s="5">
        <v>31</v>
      </c>
      <c r="AO955" s="5">
        <v>13</v>
      </c>
      <c r="AP955" s="5">
        <v>3</v>
      </c>
      <c r="AQ955" s="5">
        <v>761</v>
      </c>
      <c r="AR955" s="5">
        <v>779</v>
      </c>
      <c r="AS955" s="5" t="s">
        <v>16</v>
      </c>
      <c r="AT955" s="5" t="s">
        <v>16</v>
      </c>
      <c r="AU955" s="5" t="s">
        <v>5717</v>
      </c>
      <c r="AV955" s="5" t="s">
        <v>5719</v>
      </c>
    </row>
    <row r="956" spans="1:48" ht="45" customHeight="1" x14ac:dyDescent="0.15">
      <c r="A956" s="5" t="s">
        <v>5720</v>
      </c>
      <c r="B956" s="5">
        <v>2017</v>
      </c>
      <c r="C956" s="5" t="s">
        <v>5721</v>
      </c>
      <c r="D956" s="5" t="s">
        <v>18</v>
      </c>
      <c r="E956" s="5" t="s">
        <v>18453</v>
      </c>
      <c r="F956" s="5" t="s">
        <v>5724</v>
      </c>
      <c r="G956" s="5"/>
      <c r="H956" s="5"/>
      <c r="I956" s="5"/>
      <c r="J956" s="5"/>
      <c r="K956" s="5"/>
      <c r="L956" s="5"/>
      <c r="M956" s="5"/>
      <c r="N956" s="5"/>
      <c r="O956" s="5"/>
      <c r="P956" s="5"/>
      <c r="Q956" s="5"/>
      <c r="AL956" s="7" t="str">
        <f>HYPERLINK("http://dx.doi.org/10.1002/ecs2.1881","http://dx.doi.org/10.1002/ecs2.1881")</f>
        <v>http://dx.doi.org/10.1002/ecs2.1881</v>
      </c>
      <c r="AM956" s="5">
        <v>43</v>
      </c>
      <c r="AN956" s="5">
        <v>45</v>
      </c>
      <c r="AO956" s="5">
        <v>8</v>
      </c>
      <c r="AP956" s="5">
        <v>7</v>
      </c>
      <c r="AQ956" s="5" t="s">
        <v>16</v>
      </c>
      <c r="AR956" s="5" t="s">
        <v>16</v>
      </c>
      <c r="AS956" s="5" t="s">
        <v>5725</v>
      </c>
      <c r="AT956" s="5" t="s">
        <v>5722</v>
      </c>
      <c r="AU956" s="5" t="s">
        <v>5723</v>
      </c>
      <c r="AV956" s="5" t="s">
        <v>5726</v>
      </c>
    </row>
    <row r="957" spans="1:48" ht="45" customHeight="1" x14ac:dyDescent="0.15">
      <c r="A957" s="5" t="s">
        <v>5727</v>
      </c>
      <c r="B957" s="5">
        <v>2018</v>
      </c>
      <c r="C957" s="5" t="s">
        <v>5728</v>
      </c>
      <c r="D957" s="5" t="s">
        <v>15</v>
      </c>
      <c r="E957" s="5" t="s">
        <v>18453</v>
      </c>
      <c r="F957" s="5" t="s">
        <v>5731</v>
      </c>
      <c r="G957" s="5"/>
      <c r="H957" s="5"/>
      <c r="I957" s="5"/>
      <c r="J957" s="5"/>
      <c r="K957" s="5"/>
      <c r="L957" s="5"/>
      <c r="M957" s="5"/>
      <c r="N957" s="5"/>
      <c r="O957" s="5"/>
      <c r="P957" s="5"/>
      <c r="Q957" s="5"/>
      <c r="AL957" s="7" t="str">
        <f>HYPERLINK("http://dx.doi.org/10.1002/ece3.4445","http://dx.doi.org/10.1002/ece3.4445")</f>
        <v>http://dx.doi.org/10.1002/ece3.4445</v>
      </c>
      <c r="AM957" s="5">
        <v>16</v>
      </c>
      <c r="AN957" s="5">
        <v>16</v>
      </c>
      <c r="AO957" s="5">
        <v>8</v>
      </c>
      <c r="AP957" s="5">
        <v>19</v>
      </c>
      <c r="AQ957" s="5">
        <v>9764</v>
      </c>
      <c r="AR957" s="5">
        <v>9778</v>
      </c>
      <c r="AS957" s="5" t="s">
        <v>16</v>
      </c>
      <c r="AT957" s="5" t="s">
        <v>5729</v>
      </c>
      <c r="AU957" s="5" t="s">
        <v>5730</v>
      </c>
      <c r="AV957" s="5" t="s">
        <v>5732</v>
      </c>
    </row>
    <row r="958" spans="1:48" ht="45" customHeight="1" x14ac:dyDescent="0.15">
      <c r="A958" s="5" t="s">
        <v>5733</v>
      </c>
      <c r="B958" s="5">
        <v>2010</v>
      </c>
      <c r="C958" s="5" t="s">
        <v>5734</v>
      </c>
      <c r="D958" s="5" t="s">
        <v>116</v>
      </c>
      <c r="E958" s="5" t="s">
        <v>18453</v>
      </c>
      <c r="F958" s="5" t="s">
        <v>5737</v>
      </c>
      <c r="G958" s="5"/>
      <c r="H958" s="5"/>
      <c r="I958" s="5"/>
      <c r="J958" s="5"/>
      <c r="K958" s="5"/>
      <c r="L958" s="5"/>
      <c r="M958" s="5"/>
      <c r="N958" s="5"/>
      <c r="O958" s="5"/>
      <c r="P958" s="5"/>
      <c r="Q958" s="5"/>
      <c r="AL958" s="7" t="str">
        <f>HYPERLINK("http://dx.doi.org/10.1007/s10641-010-9668-z","http://dx.doi.org/10.1007/s10641-010-9668-z")</f>
        <v>http://dx.doi.org/10.1007/s10641-010-9668-z</v>
      </c>
      <c r="AM958" s="5">
        <v>21</v>
      </c>
      <c r="AN958" s="5">
        <v>21</v>
      </c>
      <c r="AO958" s="5">
        <v>89</v>
      </c>
      <c r="AP958" s="5" t="s">
        <v>639</v>
      </c>
      <c r="AQ958" s="5">
        <v>357</v>
      </c>
      <c r="AR958" s="5">
        <v>367</v>
      </c>
      <c r="AS958" s="5" t="s">
        <v>16</v>
      </c>
      <c r="AT958" s="5" t="s">
        <v>5735</v>
      </c>
      <c r="AU958" s="5" t="s">
        <v>5736</v>
      </c>
      <c r="AV958" s="5" t="s">
        <v>5738</v>
      </c>
    </row>
    <row r="959" spans="1:48" ht="45" customHeight="1" x14ac:dyDescent="0.15">
      <c r="A959" s="5" t="s">
        <v>5739</v>
      </c>
      <c r="B959" s="5">
        <v>2012</v>
      </c>
      <c r="C959" s="5" t="s">
        <v>5740</v>
      </c>
      <c r="D959" s="5" t="s">
        <v>27</v>
      </c>
      <c r="E959" s="5" t="s">
        <v>18453</v>
      </c>
      <c r="F959" s="5" t="s">
        <v>5743</v>
      </c>
      <c r="G959" s="5"/>
      <c r="H959" s="5"/>
      <c r="I959" s="5"/>
      <c r="J959" s="5"/>
      <c r="K959" s="5"/>
      <c r="L959" s="5"/>
      <c r="M959" s="5"/>
      <c r="N959" s="5"/>
      <c r="O959" s="5"/>
      <c r="P959" s="5"/>
      <c r="Q959" s="5"/>
      <c r="AL959" s="7" t="str">
        <f>HYPERLINK("http://dx.doi.org/10.1890/11-0982.1","http://dx.doi.org/10.1890/11-0982.1")</f>
        <v>http://dx.doi.org/10.1890/11-0982.1</v>
      </c>
      <c r="AM959" s="5">
        <v>67</v>
      </c>
      <c r="AN959" s="5">
        <v>67</v>
      </c>
      <c r="AO959" s="5">
        <v>93</v>
      </c>
      <c r="AP959" s="5">
        <v>3</v>
      </c>
      <c r="AQ959" s="5">
        <v>441</v>
      </c>
      <c r="AR959" s="5">
        <v>448</v>
      </c>
      <c r="AS959" s="5" t="s">
        <v>16</v>
      </c>
      <c r="AT959" s="5" t="s">
        <v>5741</v>
      </c>
      <c r="AU959" s="5" t="s">
        <v>5742</v>
      </c>
      <c r="AV959" s="5" t="s">
        <v>5744</v>
      </c>
    </row>
    <row r="960" spans="1:48" ht="45" customHeight="1" x14ac:dyDescent="0.15">
      <c r="A960" s="5" t="s">
        <v>5745</v>
      </c>
      <c r="B960" s="5">
        <v>2022</v>
      </c>
      <c r="C960" s="5" t="s">
        <v>5746</v>
      </c>
      <c r="D960" s="5" t="s">
        <v>259</v>
      </c>
      <c r="E960" s="5" t="s">
        <v>18453</v>
      </c>
      <c r="F960" s="5" t="s">
        <v>5749</v>
      </c>
      <c r="G960" s="5"/>
      <c r="H960" s="5"/>
      <c r="I960" s="5"/>
      <c r="J960" s="5"/>
      <c r="K960" s="5"/>
      <c r="L960" s="5"/>
      <c r="M960" s="5"/>
      <c r="N960" s="5"/>
      <c r="O960" s="5"/>
      <c r="P960" s="5"/>
      <c r="Q960" s="5"/>
      <c r="AL960" s="7" t="str">
        <f>HYPERLINK("http://dx.doi.org/10.1002/jwmg.22225","http://dx.doi.org/10.1002/jwmg.22225")</f>
        <v>http://dx.doi.org/10.1002/jwmg.22225</v>
      </c>
      <c r="AM960" s="5">
        <v>0</v>
      </c>
      <c r="AN960" s="5">
        <v>0</v>
      </c>
      <c r="AO960" s="5">
        <v>86</v>
      </c>
      <c r="AP960" s="5">
        <v>5</v>
      </c>
      <c r="AQ960" s="5" t="s">
        <v>16</v>
      </c>
      <c r="AR960" s="5" t="s">
        <v>16</v>
      </c>
      <c r="AS960" s="5" t="s">
        <v>5750</v>
      </c>
      <c r="AT960" s="5" t="s">
        <v>5747</v>
      </c>
      <c r="AU960" s="5" t="s">
        <v>5748</v>
      </c>
      <c r="AV960" s="5" t="s">
        <v>5751</v>
      </c>
    </row>
    <row r="961" spans="1:48" ht="45" customHeight="1" x14ac:dyDescent="0.15">
      <c r="A961" s="5" t="s">
        <v>5752</v>
      </c>
      <c r="B961" s="5">
        <v>2021</v>
      </c>
      <c r="C961" s="5" t="s">
        <v>5753</v>
      </c>
      <c r="D961" s="5" t="s">
        <v>15</v>
      </c>
      <c r="E961" s="5" t="s">
        <v>18453</v>
      </c>
      <c r="F961" s="5" t="s">
        <v>5755</v>
      </c>
      <c r="G961" s="5"/>
      <c r="H961" s="5"/>
      <c r="I961" s="5"/>
      <c r="J961" s="5"/>
      <c r="K961" s="5"/>
      <c r="L961" s="5"/>
      <c r="M961" s="5"/>
      <c r="N961" s="5"/>
      <c r="O961" s="5"/>
      <c r="P961" s="5"/>
      <c r="Q961" s="5"/>
      <c r="AL961" s="7" t="str">
        <f>HYPERLINK("http://dx.doi.org/10.1002/ece3.7549","http://dx.doi.org/10.1002/ece3.7549")</f>
        <v>http://dx.doi.org/10.1002/ece3.7549</v>
      </c>
      <c r="AM961" s="5">
        <v>9</v>
      </c>
      <c r="AN961" s="5">
        <v>9</v>
      </c>
      <c r="AO961" s="5">
        <v>11</v>
      </c>
      <c r="AP961" s="5">
        <v>11</v>
      </c>
      <c r="AQ961" s="5">
        <v>7003</v>
      </c>
      <c r="AR961" s="5">
        <v>7017</v>
      </c>
      <c r="AS961" s="5" t="s">
        <v>16</v>
      </c>
      <c r="AT961" s="5" t="s">
        <v>5754</v>
      </c>
      <c r="AU961" s="5" t="s">
        <v>16</v>
      </c>
      <c r="AV961" s="5" t="s">
        <v>5756</v>
      </c>
    </row>
    <row r="962" spans="1:48" ht="45" customHeight="1" x14ac:dyDescent="0.15">
      <c r="A962" s="5" t="s">
        <v>5757</v>
      </c>
      <c r="B962" s="5">
        <v>2021</v>
      </c>
      <c r="C962" s="5" t="s">
        <v>5758</v>
      </c>
      <c r="D962" s="5" t="s">
        <v>17</v>
      </c>
      <c r="E962" s="5" t="s">
        <v>18453</v>
      </c>
      <c r="F962" s="5" t="s">
        <v>5761</v>
      </c>
      <c r="G962" s="5"/>
      <c r="H962" s="5"/>
      <c r="I962" s="5"/>
      <c r="J962" s="5"/>
      <c r="K962" s="5"/>
      <c r="L962" s="5"/>
      <c r="M962" s="5"/>
      <c r="N962" s="5"/>
      <c r="O962" s="5"/>
      <c r="P962" s="5"/>
      <c r="Q962" s="5"/>
      <c r="AL962" s="7" t="str">
        <f>HYPERLINK("http://dx.doi.org/10.1111/fwb.13663","http://dx.doi.org/10.1111/fwb.13663")</f>
        <v>http://dx.doi.org/10.1111/fwb.13663</v>
      </c>
      <c r="AM962" s="5">
        <v>4</v>
      </c>
      <c r="AN962" s="5">
        <v>4</v>
      </c>
      <c r="AO962" s="5">
        <v>66</v>
      </c>
      <c r="AP962" s="5">
        <v>4</v>
      </c>
      <c r="AQ962" s="5">
        <v>589</v>
      </c>
      <c r="AR962" s="5">
        <v>598</v>
      </c>
      <c r="AS962" s="5" t="s">
        <v>16</v>
      </c>
      <c r="AT962" s="5" t="s">
        <v>5759</v>
      </c>
      <c r="AU962" s="5" t="s">
        <v>5760</v>
      </c>
      <c r="AV962" s="5" t="s">
        <v>5762</v>
      </c>
    </row>
    <row r="963" spans="1:48" ht="45" customHeight="1" x14ac:dyDescent="0.15">
      <c r="A963" s="5" t="s">
        <v>5763</v>
      </c>
      <c r="B963" s="5">
        <v>2016</v>
      </c>
      <c r="C963" s="5" t="s">
        <v>5764</v>
      </c>
      <c r="D963" s="5" t="s">
        <v>77</v>
      </c>
      <c r="E963" s="5" t="s">
        <v>18453</v>
      </c>
      <c r="F963" s="5" t="s">
        <v>5767</v>
      </c>
      <c r="G963" s="5"/>
      <c r="H963" s="5"/>
      <c r="I963" s="5"/>
      <c r="J963" s="5"/>
      <c r="K963" s="5"/>
      <c r="L963" s="5"/>
      <c r="M963" s="5"/>
      <c r="N963" s="5"/>
      <c r="O963" s="5"/>
      <c r="P963" s="5"/>
      <c r="Q963" s="5"/>
      <c r="AL963" s="7" t="str">
        <f>HYPERLINK("http://dx.doi.org/10.1111/1365-2656.12452","http://dx.doi.org/10.1111/1365-2656.12452")</f>
        <v>http://dx.doi.org/10.1111/1365-2656.12452</v>
      </c>
      <c r="AM963" s="5">
        <v>33</v>
      </c>
      <c r="AN963" s="5">
        <v>33</v>
      </c>
      <c r="AO963" s="5">
        <v>85</v>
      </c>
      <c r="AP963" s="5">
        <v>1</v>
      </c>
      <c r="AQ963" s="5">
        <v>251</v>
      </c>
      <c r="AR963" s="5">
        <v>261</v>
      </c>
      <c r="AS963" s="5" t="s">
        <v>16</v>
      </c>
      <c r="AT963" s="5" t="s">
        <v>5765</v>
      </c>
      <c r="AU963" s="5" t="s">
        <v>5766</v>
      </c>
      <c r="AV963" s="5" t="s">
        <v>5768</v>
      </c>
    </row>
    <row r="964" spans="1:48" ht="45" customHeight="1" x14ac:dyDescent="0.15">
      <c r="A964" s="5" t="s">
        <v>5769</v>
      </c>
      <c r="B964" s="5">
        <v>2015</v>
      </c>
      <c r="C964" s="5" t="s">
        <v>5770</v>
      </c>
      <c r="D964" s="5" t="s">
        <v>116</v>
      </c>
      <c r="E964" s="5" t="s">
        <v>18453</v>
      </c>
      <c r="F964" s="5" t="s">
        <v>5773</v>
      </c>
      <c r="G964" s="5"/>
      <c r="H964" s="5"/>
      <c r="I964" s="5"/>
      <c r="J964" s="5"/>
      <c r="K964" s="5"/>
      <c r="L964" s="5"/>
      <c r="M964" s="5"/>
      <c r="N964" s="5"/>
      <c r="O964" s="5"/>
      <c r="P964" s="5"/>
      <c r="Q964" s="5"/>
      <c r="AL964" s="7" t="str">
        <f>HYPERLINK("http://dx.doi.org/10.1007/s10641-014-0343-7","http://dx.doi.org/10.1007/s10641-014-0343-7")</f>
        <v>http://dx.doi.org/10.1007/s10641-014-0343-7</v>
      </c>
      <c r="AM964" s="5">
        <v>7</v>
      </c>
      <c r="AN964" s="5">
        <v>7</v>
      </c>
      <c r="AO964" s="5">
        <v>98</v>
      </c>
      <c r="AP964" s="5">
        <v>4</v>
      </c>
      <c r="AQ964" s="5">
        <v>1081</v>
      </c>
      <c r="AR964" s="5">
        <v>1088</v>
      </c>
      <c r="AS964" s="5" t="s">
        <v>16</v>
      </c>
      <c r="AT964" s="5" t="s">
        <v>5771</v>
      </c>
      <c r="AU964" s="5" t="s">
        <v>5772</v>
      </c>
      <c r="AV964" s="5" t="s">
        <v>5774</v>
      </c>
    </row>
    <row r="965" spans="1:48" ht="45" customHeight="1" x14ac:dyDescent="0.15">
      <c r="A965" s="5" t="s">
        <v>5775</v>
      </c>
      <c r="B965" s="5">
        <v>2003</v>
      </c>
      <c r="C965" s="5" t="s">
        <v>5776</v>
      </c>
      <c r="D965" s="5" t="s">
        <v>33</v>
      </c>
      <c r="E965" s="5" t="s">
        <v>18453</v>
      </c>
      <c r="F965" s="5" t="s">
        <v>5779</v>
      </c>
      <c r="G965" s="5"/>
      <c r="H965" s="5"/>
      <c r="I965" s="5"/>
      <c r="J965" s="5"/>
      <c r="K965" s="5"/>
      <c r="L965" s="5"/>
      <c r="M965" s="5"/>
      <c r="N965" s="5"/>
      <c r="O965" s="5"/>
      <c r="P965" s="5"/>
      <c r="Q965" s="5"/>
      <c r="AL965" s="7" t="str">
        <f>HYPERLINK("http://dx.doi.org/10.1046/j.1365-2486.2003.00657.x","http://dx.doi.org/10.1046/j.1365-2486.2003.00657.x")</f>
        <v>http://dx.doi.org/10.1046/j.1365-2486.2003.00657.x</v>
      </c>
      <c r="AM965" s="5">
        <v>243</v>
      </c>
      <c r="AN965" s="5">
        <v>264</v>
      </c>
      <c r="AO965" s="5">
        <v>9</v>
      </c>
      <c r="AP965" s="5">
        <v>8</v>
      </c>
      <c r="AQ965" s="5">
        <v>1204</v>
      </c>
      <c r="AR965" s="5">
        <v>1213</v>
      </c>
      <c r="AS965" s="5" t="s">
        <v>16</v>
      </c>
      <c r="AT965" s="5" t="s">
        <v>5777</v>
      </c>
      <c r="AU965" s="5" t="s">
        <v>5778</v>
      </c>
      <c r="AV965" s="5" t="s">
        <v>5780</v>
      </c>
    </row>
    <row r="966" spans="1:48" ht="45" customHeight="1" x14ac:dyDescent="0.15">
      <c r="A966" s="5" t="s">
        <v>5781</v>
      </c>
      <c r="B966" s="5">
        <v>2010</v>
      </c>
      <c r="C966" s="5" t="s">
        <v>5782</v>
      </c>
      <c r="D966" s="5" t="s">
        <v>49</v>
      </c>
      <c r="E966" s="5" t="s">
        <v>18453</v>
      </c>
      <c r="F966" s="5" t="s">
        <v>5785</v>
      </c>
      <c r="G966" s="5"/>
      <c r="H966" s="5"/>
      <c r="I966" s="5"/>
      <c r="J966" s="5"/>
      <c r="K966" s="5"/>
      <c r="L966" s="5"/>
      <c r="M966" s="5"/>
      <c r="N966" s="5"/>
      <c r="O966" s="5"/>
      <c r="P966" s="5"/>
      <c r="Q966" s="5"/>
      <c r="AL966" s="7" t="str">
        <f>HYPERLINK("http://dx.doi.org/10.3354/meps08804","http://dx.doi.org/10.3354/meps08804")</f>
        <v>http://dx.doi.org/10.3354/meps08804</v>
      </c>
      <c r="AM966" s="5">
        <v>35</v>
      </c>
      <c r="AN966" s="5">
        <v>35</v>
      </c>
      <c r="AO966" s="5">
        <v>417</v>
      </c>
      <c r="AP966" s="5" t="s">
        <v>16</v>
      </c>
      <c r="AQ966" s="5">
        <v>277</v>
      </c>
      <c r="AR966" s="5">
        <v>285</v>
      </c>
      <c r="AS966" s="5" t="s">
        <v>16</v>
      </c>
      <c r="AT966" s="5" t="s">
        <v>5783</v>
      </c>
      <c r="AU966" s="5" t="s">
        <v>5784</v>
      </c>
      <c r="AV966" s="5" t="s">
        <v>5786</v>
      </c>
    </row>
    <row r="967" spans="1:48" ht="45" customHeight="1" x14ac:dyDescent="0.15">
      <c r="A967" s="5" t="s">
        <v>5787</v>
      </c>
      <c r="B967" s="5">
        <v>2020</v>
      </c>
      <c r="C967" s="5" t="s">
        <v>5788</v>
      </c>
      <c r="D967" s="5" t="s">
        <v>973</v>
      </c>
      <c r="E967" s="5" t="s">
        <v>18453</v>
      </c>
      <c r="F967" s="5" t="s">
        <v>5790</v>
      </c>
      <c r="G967" s="5"/>
      <c r="H967" s="5"/>
      <c r="I967" s="5"/>
      <c r="J967" s="5"/>
      <c r="K967" s="5"/>
      <c r="L967" s="5"/>
      <c r="M967" s="5"/>
      <c r="N967" s="5"/>
      <c r="O967" s="5"/>
      <c r="P967" s="5"/>
      <c r="Q967" s="5"/>
      <c r="AL967" s="7" t="str">
        <f>HYPERLINK("http://dx.doi.org/10.5194/bg-17-5599-2020","http://dx.doi.org/10.5194/bg-17-5599-2020")</f>
        <v>http://dx.doi.org/10.5194/bg-17-5599-2020</v>
      </c>
      <c r="AM967" s="5">
        <v>5</v>
      </c>
      <c r="AN967" s="5">
        <v>5</v>
      </c>
      <c r="AO967" s="5">
        <v>17</v>
      </c>
      <c r="AP967" s="5">
        <v>22</v>
      </c>
      <c r="AQ967" s="5">
        <v>5599</v>
      </c>
      <c r="AR967" s="5">
        <v>5613</v>
      </c>
      <c r="AS967" s="5" t="s">
        <v>16</v>
      </c>
      <c r="AT967" s="5" t="s">
        <v>16</v>
      </c>
      <c r="AU967" s="5" t="s">
        <v>5789</v>
      </c>
      <c r="AV967" s="5" t="s">
        <v>5791</v>
      </c>
    </row>
    <row r="968" spans="1:48" ht="45" customHeight="1" x14ac:dyDescent="0.15">
      <c r="A968" s="5" t="s">
        <v>5792</v>
      </c>
      <c r="B968" s="5">
        <v>2019</v>
      </c>
      <c r="C968" s="5" t="s">
        <v>5793</v>
      </c>
      <c r="D968" s="5" t="s">
        <v>33</v>
      </c>
      <c r="E968" s="5" t="s">
        <v>18453</v>
      </c>
      <c r="F968" s="5" t="s">
        <v>5796</v>
      </c>
      <c r="G968" s="5"/>
      <c r="H968" s="5"/>
      <c r="I968" s="5"/>
      <c r="J968" s="5"/>
      <c r="K968" s="5"/>
      <c r="L968" s="5"/>
      <c r="M968" s="5"/>
      <c r="N968" s="5"/>
      <c r="O968" s="5"/>
      <c r="P968" s="5"/>
      <c r="Q968" s="5"/>
      <c r="AL968" s="7" t="str">
        <f>HYPERLINK("http://dx.doi.org/10.1111/gcb.14546","http://dx.doi.org/10.1111/gcb.14546")</f>
        <v>http://dx.doi.org/10.1111/gcb.14546</v>
      </c>
      <c r="AM968" s="5">
        <v>22</v>
      </c>
      <c r="AN968" s="5">
        <v>23</v>
      </c>
      <c r="AO968" s="5">
        <v>25</v>
      </c>
      <c r="AP968" s="5">
        <v>3</v>
      </c>
      <c r="AQ968" s="5">
        <v>794</v>
      </c>
      <c r="AR968" s="5">
        <v>810</v>
      </c>
      <c r="AS968" s="5" t="s">
        <v>16</v>
      </c>
      <c r="AT968" s="5" t="s">
        <v>5794</v>
      </c>
      <c r="AU968" s="5" t="s">
        <v>5795</v>
      </c>
      <c r="AV968" s="5" t="s">
        <v>5797</v>
      </c>
    </row>
    <row r="969" spans="1:48" ht="45" customHeight="1" x14ac:dyDescent="0.15">
      <c r="A969" s="5" t="s">
        <v>5798</v>
      </c>
      <c r="B969" s="5">
        <v>2018</v>
      </c>
      <c r="C969" s="5" t="s">
        <v>5799</v>
      </c>
      <c r="D969" s="5" t="s">
        <v>1765</v>
      </c>
      <c r="E969" s="5" t="s">
        <v>18453</v>
      </c>
      <c r="F969" s="5" t="s">
        <v>5802</v>
      </c>
      <c r="G969" s="5"/>
      <c r="H969" s="5"/>
      <c r="I969" s="5"/>
      <c r="J969" s="5"/>
      <c r="K969" s="5"/>
      <c r="L969" s="5"/>
      <c r="M969" s="5"/>
      <c r="N969" s="5"/>
      <c r="O969" s="5"/>
      <c r="P969" s="5"/>
      <c r="Q969" s="5"/>
      <c r="AL969" s="7" t="str">
        <f>HYPERLINK("http://dx.doi.org/10.1016/j.agee.2018.05.007","http://dx.doi.org/10.1016/j.agee.2018.05.007")</f>
        <v>http://dx.doi.org/10.1016/j.agee.2018.05.007</v>
      </c>
      <c r="AM969" s="5">
        <v>10</v>
      </c>
      <c r="AN969" s="5">
        <v>10</v>
      </c>
      <c r="AO969" s="5">
        <v>264</v>
      </c>
      <c r="AP969" s="5" t="s">
        <v>16</v>
      </c>
      <c r="AQ969" s="5">
        <v>119</v>
      </c>
      <c r="AR969" s="5">
        <v>129</v>
      </c>
      <c r="AS969" s="5" t="s">
        <v>16</v>
      </c>
      <c r="AT969" s="5" t="s">
        <v>5800</v>
      </c>
      <c r="AU969" s="5" t="s">
        <v>5801</v>
      </c>
      <c r="AV969" s="5" t="s">
        <v>5803</v>
      </c>
    </row>
    <row r="970" spans="1:48" ht="45" customHeight="1" x14ac:dyDescent="0.15">
      <c r="A970" s="5" t="s">
        <v>5804</v>
      </c>
      <c r="B970" s="5">
        <v>2013</v>
      </c>
      <c r="C970" s="5" t="s">
        <v>5805</v>
      </c>
      <c r="D970" s="5" t="s">
        <v>172</v>
      </c>
      <c r="E970" s="5" t="s">
        <v>18453</v>
      </c>
      <c r="F970" s="5" t="s">
        <v>5808</v>
      </c>
      <c r="G970" s="5"/>
      <c r="H970" s="5"/>
      <c r="I970" s="5"/>
      <c r="J970" s="5"/>
      <c r="K970" s="5"/>
      <c r="L970" s="5"/>
      <c r="M970" s="5"/>
      <c r="N970" s="5"/>
      <c r="O970" s="5"/>
      <c r="P970" s="5"/>
      <c r="Q970" s="5"/>
      <c r="AL970" s="7" t="str">
        <f>HYPERLINK("http://dx.doi.org/10.1007/s00442-012-2466-x","http://dx.doi.org/10.1007/s00442-012-2466-x")</f>
        <v>http://dx.doi.org/10.1007/s00442-012-2466-x</v>
      </c>
      <c r="AM970" s="5">
        <v>64</v>
      </c>
      <c r="AN970" s="5">
        <v>70</v>
      </c>
      <c r="AO970" s="5">
        <v>171</v>
      </c>
      <c r="AP970" s="5">
        <v>4</v>
      </c>
      <c r="AQ970" s="5">
        <v>819</v>
      </c>
      <c r="AR970" s="5">
        <v>830</v>
      </c>
      <c r="AS970" s="5" t="s">
        <v>16</v>
      </c>
      <c r="AT970" s="5" t="s">
        <v>5806</v>
      </c>
      <c r="AU970" s="5" t="s">
        <v>5807</v>
      </c>
      <c r="AV970" s="5" t="s">
        <v>5809</v>
      </c>
    </row>
    <row r="971" spans="1:48" ht="45" customHeight="1" x14ac:dyDescent="0.15">
      <c r="A971" s="5" t="s">
        <v>5810</v>
      </c>
      <c r="B971" s="5">
        <v>2016</v>
      </c>
      <c r="C971" s="5" t="s">
        <v>5811</v>
      </c>
      <c r="D971" s="5" t="s">
        <v>212</v>
      </c>
      <c r="E971" s="5" t="s">
        <v>18453</v>
      </c>
      <c r="F971" s="5" t="s">
        <v>5814</v>
      </c>
      <c r="G971" s="5"/>
      <c r="H971" s="5"/>
      <c r="I971" s="5"/>
      <c r="J971" s="5"/>
      <c r="K971" s="5"/>
      <c r="L971" s="5"/>
      <c r="M971" s="5"/>
      <c r="N971" s="5"/>
      <c r="O971" s="5"/>
      <c r="P971" s="5"/>
      <c r="Q971" s="5"/>
      <c r="AL971" s="7" t="str">
        <f>HYPERLINK("http://dx.doi.org/10.1007/s00300-015-1851-4","http://dx.doi.org/10.1007/s00300-015-1851-4")</f>
        <v>http://dx.doi.org/10.1007/s00300-015-1851-4</v>
      </c>
      <c r="AM971" s="5">
        <v>20</v>
      </c>
      <c r="AN971" s="5">
        <v>20</v>
      </c>
      <c r="AO971" s="5">
        <v>39</v>
      </c>
      <c r="AP971" s="5">
        <v>7</v>
      </c>
      <c r="AQ971" s="5">
        <v>1267</v>
      </c>
      <c r="AR971" s="5">
        <v>1282</v>
      </c>
      <c r="AS971" s="5" t="s">
        <v>16</v>
      </c>
      <c r="AT971" s="5" t="s">
        <v>5812</v>
      </c>
      <c r="AU971" s="5" t="s">
        <v>5813</v>
      </c>
      <c r="AV971" s="5" t="s">
        <v>5815</v>
      </c>
    </row>
    <row r="972" spans="1:48" ht="45" customHeight="1" x14ac:dyDescent="0.15">
      <c r="A972" s="5" t="s">
        <v>5816</v>
      </c>
      <c r="B972" s="5">
        <v>2010</v>
      </c>
      <c r="C972" s="5" t="s">
        <v>5817</v>
      </c>
      <c r="D972" s="5" t="s">
        <v>49</v>
      </c>
      <c r="E972" s="5" t="s">
        <v>18453</v>
      </c>
      <c r="F972" s="5" t="s">
        <v>5820</v>
      </c>
      <c r="G972" s="5"/>
      <c r="H972" s="5"/>
      <c r="I972" s="5"/>
      <c r="J972" s="5"/>
      <c r="K972" s="5"/>
      <c r="L972" s="5"/>
      <c r="M972" s="5"/>
      <c r="N972" s="5"/>
      <c r="O972" s="5"/>
      <c r="P972" s="5"/>
      <c r="Q972" s="5"/>
      <c r="AL972" s="7" t="str">
        <f>HYPERLINK("http://dx.doi.org/10.3354/meps08558","http://dx.doi.org/10.3354/meps08558")</f>
        <v>http://dx.doi.org/10.3354/meps08558</v>
      </c>
      <c r="AM972" s="5">
        <v>19</v>
      </c>
      <c r="AN972" s="5">
        <v>19</v>
      </c>
      <c r="AO972" s="5">
        <v>408</v>
      </c>
      <c r="AP972" s="5" t="s">
        <v>16</v>
      </c>
      <c r="AQ972" s="5">
        <v>7</v>
      </c>
      <c r="AR972" s="5" t="s">
        <v>5821</v>
      </c>
      <c r="AS972" s="5" t="s">
        <v>16</v>
      </c>
      <c r="AT972" s="5" t="s">
        <v>5818</v>
      </c>
      <c r="AU972" s="5" t="s">
        <v>5819</v>
      </c>
      <c r="AV972" s="5" t="s">
        <v>5822</v>
      </c>
    </row>
    <row r="973" spans="1:48" ht="45" customHeight="1" x14ac:dyDescent="0.15">
      <c r="A973" s="5" t="s">
        <v>5823</v>
      </c>
      <c r="B973" s="5">
        <v>2018</v>
      </c>
      <c r="C973" s="5" t="s">
        <v>5824</v>
      </c>
      <c r="D973" s="5" t="s">
        <v>973</v>
      </c>
      <c r="E973" s="5" t="s">
        <v>18453</v>
      </c>
      <c r="F973" s="5" t="s">
        <v>5826</v>
      </c>
      <c r="G973" s="5"/>
      <c r="H973" s="5"/>
      <c r="I973" s="5"/>
      <c r="J973" s="5"/>
      <c r="K973" s="5"/>
      <c r="L973" s="5"/>
      <c r="M973" s="5"/>
      <c r="N973" s="5"/>
      <c r="O973" s="5"/>
      <c r="P973" s="5"/>
      <c r="Q973" s="5"/>
      <c r="AL973" s="7" t="str">
        <f>HYPERLINK("http://dx.doi.org/10.5194/bg-15-6399-2018","http://dx.doi.org/10.5194/bg-15-6399-2018")</f>
        <v>http://dx.doi.org/10.5194/bg-15-6399-2018</v>
      </c>
      <c r="AM973" s="5">
        <v>104</v>
      </c>
      <c r="AN973" s="5">
        <v>108</v>
      </c>
      <c r="AO973" s="5">
        <v>15</v>
      </c>
      <c r="AP973" s="5">
        <v>21</v>
      </c>
      <c r="AQ973" s="5">
        <v>6399</v>
      </c>
      <c r="AR973" s="5">
        <v>6415</v>
      </c>
      <c r="AS973" s="5" t="s">
        <v>16</v>
      </c>
      <c r="AT973" s="5" t="s">
        <v>16</v>
      </c>
      <c r="AU973" s="5" t="s">
        <v>5825</v>
      </c>
      <c r="AV973" s="5" t="s">
        <v>5827</v>
      </c>
    </row>
    <row r="974" spans="1:48" ht="45" customHeight="1" x14ac:dyDescent="0.15">
      <c r="A974" s="5" t="s">
        <v>5828</v>
      </c>
      <c r="B974" s="5">
        <v>2005</v>
      </c>
      <c r="C974" s="5" t="s">
        <v>5829</v>
      </c>
      <c r="D974" s="5" t="s">
        <v>49</v>
      </c>
      <c r="E974" s="5" t="s">
        <v>18453</v>
      </c>
      <c r="F974" s="5" t="s">
        <v>5832</v>
      </c>
      <c r="G974" s="5"/>
      <c r="H974" s="5"/>
      <c r="I974" s="5"/>
      <c r="J974" s="5"/>
      <c r="K974" s="5"/>
      <c r="L974" s="5"/>
      <c r="M974" s="5"/>
      <c r="N974" s="5"/>
      <c r="O974" s="5"/>
      <c r="P974" s="5"/>
      <c r="Q974" s="5"/>
      <c r="AL974" s="7" t="str">
        <f>HYPERLINK("http://dx.doi.org/10.3354/meps302275","http://dx.doi.org/10.3354/meps302275")</f>
        <v>http://dx.doi.org/10.3354/meps302275</v>
      </c>
      <c r="AM974" s="5">
        <v>158</v>
      </c>
      <c r="AN974" s="5">
        <v>164</v>
      </c>
      <c r="AO974" s="5">
        <v>302</v>
      </c>
      <c r="AP974" s="5" t="s">
        <v>16</v>
      </c>
      <c r="AQ974" s="5">
        <v>275</v>
      </c>
      <c r="AR974" s="5">
        <v>291</v>
      </c>
      <c r="AS974" s="5" t="s">
        <v>16</v>
      </c>
      <c r="AT974" s="5" t="s">
        <v>5830</v>
      </c>
      <c r="AU974" s="5" t="s">
        <v>5831</v>
      </c>
      <c r="AV974" s="5" t="s">
        <v>5833</v>
      </c>
    </row>
    <row r="975" spans="1:48" ht="45" customHeight="1" x14ac:dyDescent="0.15">
      <c r="A975" s="5" t="s">
        <v>5834</v>
      </c>
      <c r="B975" s="5">
        <v>2021</v>
      </c>
      <c r="C975" s="5" t="s">
        <v>5835</v>
      </c>
      <c r="D975" s="5" t="s">
        <v>33</v>
      </c>
      <c r="E975" s="5" t="s">
        <v>18453</v>
      </c>
      <c r="F975" s="5" t="s">
        <v>5838</v>
      </c>
      <c r="G975" s="5"/>
      <c r="H975" s="5"/>
      <c r="I975" s="5"/>
      <c r="J975" s="5"/>
      <c r="K975" s="5"/>
      <c r="L975" s="5"/>
      <c r="M975" s="5"/>
      <c r="N975" s="5"/>
      <c r="O975" s="5"/>
      <c r="P975" s="5"/>
      <c r="Q975" s="5"/>
      <c r="AL975" s="7" t="str">
        <f>HYPERLINK("http://dx.doi.org/10.1111/gcb.15484","http://dx.doi.org/10.1111/gcb.15484")</f>
        <v>http://dx.doi.org/10.1111/gcb.15484</v>
      </c>
      <c r="AM975" s="5">
        <v>13</v>
      </c>
      <c r="AN975" s="5">
        <v>13</v>
      </c>
      <c r="AO975" s="5">
        <v>27</v>
      </c>
      <c r="AP975" s="5">
        <v>9</v>
      </c>
      <c r="AQ975" s="5">
        <v>1755</v>
      </c>
      <c r="AR975" s="5">
        <v>1771</v>
      </c>
      <c r="AS975" s="5" t="s">
        <v>16</v>
      </c>
      <c r="AT975" s="5" t="s">
        <v>5836</v>
      </c>
      <c r="AU975" s="5" t="s">
        <v>5837</v>
      </c>
      <c r="AV975" s="5" t="s">
        <v>5839</v>
      </c>
    </row>
    <row r="976" spans="1:48" ht="45" customHeight="1" x14ac:dyDescent="0.15">
      <c r="A976" s="5" t="s">
        <v>5840</v>
      </c>
      <c r="B976" s="5">
        <v>2021</v>
      </c>
      <c r="C976" s="5" t="s">
        <v>5841</v>
      </c>
      <c r="D976" s="5" t="s">
        <v>1765</v>
      </c>
      <c r="E976" s="5" t="s">
        <v>18453</v>
      </c>
      <c r="F976" s="5" t="s">
        <v>5844</v>
      </c>
      <c r="G976" s="5"/>
      <c r="H976" s="5"/>
      <c r="I976" s="5"/>
      <c r="J976" s="5"/>
      <c r="K976" s="5"/>
      <c r="L976" s="5"/>
      <c r="M976" s="5"/>
      <c r="N976" s="5"/>
      <c r="O976" s="5"/>
      <c r="P976" s="5"/>
      <c r="Q976" s="5"/>
      <c r="AL976" s="7" t="str">
        <f>HYPERLINK("http://dx.doi.org/10.1016/j.agee.2021.107553","http://dx.doi.org/10.1016/j.agee.2021.107553")</f>
        <v>http://dx.doi.org/10.1016/j.agee.2021.107553</v>
      </c>
      <c r="AM976" s="5">
        <v>1</v>
      </c>
      <c r="AN976" s="5">
        <v>1</v>
      </c>
      <c r="AO976" s="5">
        <v>319</v>
      </c>
      <c r="AP976" s="5" t="s">
        <v>16</v>
      </c>
      <c r="AQ976" s="5" t="s">
        <v>16</v>
      </c>
      <c r="AR976" s="5" t="s">
        <v>16</v>
      </c>
      <c r="AS976" s="5">
        <v>107553</v>
      </c>
      <c r="AT976" s="5" t="s">
        <v>5842</v>
      </c>
      <c r="AU976" s="5" t="s">
        <v>5843</v>
      </c>
      <c r="AV976" s="5" t="s">
        <v>5845</v>
      </c>
    </row>
    <row r="977" spans="1:48" ht="45" customHeight="1" x14ac:dyDescent="0.15">
      <c r="A977" s="5" t="s">
        <v>5846</v>
      </c>
      <c r="B977" s="5">
        <v>2000</v>
      </c>
      <c r="C977" s="5" t="s">
        <v>5847</v>
      </c>
      <c r="D977" s="5" t="s">
        <v>259</v>
      </c>
      <c r="E977" s="5" t="s">
        <v>18453</v>
      </c>
      <c r="F977" s="5" t="s">
        <v>5850</v>
      </c>
      <c r="G977" s="5"/>
      <c r="H977" s="5"/>
      <c r="I977" s="5"/>
      <c r="J977" s="5"/>
      <c r="K977" s="5"/>
      <c r="L977" s="5"/>
      <c r="M977" s="5"/>
      <c r="N977" s="5"/>
      <c r="O977" s="5"/>
      <c r="P977" s="5"/>
      <c r="Q977" s="5"/>
      <c r="AL977" s="7" t="str">
        <f>HYPERLINK("http://dx.doi.org/10.2307/3803219","http://dx.doi.org/10.2307/3803219")</f>
        <v>http://dx.doi.org/10.2307/3803219</v>
      </c>
      <c r="AM977" s="5">
        <v>32</v>
      </c>
      <c r="AN977" s="5">
        <v>35</v>
      </c>
      <c r="AO977" s="5">
        <v>64</v>
      </c>
      <c r="AP977" s="5">
        <v>4</v>
      </c>
      <c r="AQ977" s="5">
        <v>1084</v>
      </c>
      <c r="AR977" s="5">
        <v>1091</v>
      </c>
      <c r="AS977" s="5" t="s">
        <v>16</v>
      </c>
      <c r="AT977" s="5" t="s">
        <v>5848</v>
      </c>
      <c r="AU977" s="5" t="s">
        <v>5849</v>
      </c>
      <c r="AV977" s="5" t="s">
        <v>5851</v>
      </c>
    </row>
    <row r="978" spans="1:48" ht="45" customHeight="1" x14ac:dyDescent="0.15">
      <c r="A978" s="5" t="s">
        <v>5852</v>
      </c>
      <c r="B978" s="5">
        <v>2017</v>
      </c>
      <c r="C978" s="5" t="s">
        <v>5853</v>
      </c>
      <c r="D978" s="5" t="s">
        <v>1785</v>
      </c>
      <c r="E978" s="5" t="s">
        <v>18453</v>
      </c>
      <c r="F978" s="5" t="s">
        <v>5856</v>
      </c>
      <c r="G978" s="5"/>
      <c r="H978" s="5"/>
      <c r="I978" s="5"/>
      <c r="J978" s="5"/>
      <c r="K978" s="5"/>
      <c r="L978" s="5"/>
      <c r="M978" s="5"/>
      <c r="N978" s="5"/>
      <c r="O978" s="5"/>
      <c r="P978" s="5"/>
      <c r="Q978" s="5"/>
      <c r="AL978" s="7" t="str">
        <f>HYPERLINK("http://dx.doi.org/10.5751/ACE-01118-120216","http://dx.doi.org/10.5751/ACE-01118-120216")</f>
        <v>http://dx.doi.org/10.5751/ACE-01118-120216</v>
      </c>
      <c r="AM978" s="5">
        <v>8</v>
      </c>
      <c r="AN978" s="5">
        <v>9</v>
      </c>
      <c r="AO978" s="5">
        <v>12</v>
      </c>
      <c r="AP978" s="5">
        <v>2</v>
      </c>
      <c r="AQ978" s="5" t="s">
        <v>16</v>
      </c>
      <c r="AR978" s="5" t="s">
        <v>16</v>
      </c>
      <c r="AS978" s="5">
        <v>16</v>
      </c>
      <c r="AT978" s="5" t="s">
        <v>5854</v>
      </c>
      <c r="AU978" s="5" t="s">
        <v>5855</v>
      </c>
      <c r="AV978" s="5" t="s">
        <v>5857</v>
      </c>
    </row>
    <row r="979" spans="1:48" ht="45" customHeight="1" x14ac:dyDescent="0.15">
      <c r="A979" s="5" t="s">
        <v>5858</v>
      </c>
      <c r="B979" s="5">
        <v>2017</v>
      </c>
      <c r="C979" s="5" t="s">
        <v>5859</v>
      </c>
      <c r="D979" s="5" t="s">
        <v>15</v>
      </c>
      <c r="E979" s="5" t="s">
        <v>18453</v>
      </c>
      <c r="F979" s="5" t="s">
        <v>5862</v>
      </c>
      <c r="G979" s="5"/>
      <c r="H979" s="5"/>
      <c r="I979" s="5"/>
      <c r="J979" s="5"/>
      <c r="K979" s="5"/>
      <c r="L979" s="5"/>
      <c r="M979" s="5"/>
      <c r="N979" s="5"/>
      <c r="O979" s="5"/>
      <c r="P979" s="5"/>
      <c r="Q979" s="5"/>
      <c r="AL979" s="7" t="str">
        <f>HYPERLINK("http://dx.doi.org/10.1002/ece3.2697","http://dx.doi.org/10.1002/ece3.2697")</f>
        <v>http://dx.doi.org/10.1002/ece3.2697</v>
      </c>
      <c r="AM979" s="5">
        <v>7</v>
      </c>
      <c r="AN979" s="5">
        <v>7</v>
      </c>
      <c r="AO979" s="5">
        <v>7</v>
      </c>
      <c r="AP979" s="5">
        <v>5</v>
      </c>
      <c r="AQ979" s="5">
        <v>1313</v>
      </c>
      <c r="AR979" s="5">
        <v>1324</v>
      </c>
      <c r="AS979" s="5" t="s">
        <v>16</v>
      </c>
      <c r="AT979" s="5" t="s">
        <v>5860</v>
      </c>
      <c r="AU979" s="5" t="s">
        <v>5861</v>
      </c>
      <c r="AV979" s="5" t="s">
        <v>5863</v>
      </c>
    </row>
    <row r="980" spans="1:48" ht="45" customHeight="1" x14ac:dyDescent="0.15">
      <c r="A980" s="5" t="s">
        <v>5864</v>
      </c>
      <c r="B980" s="5">
        <v>2001</v>
      </c>
      <c r="C980" s="5" t="s">
        <v>5865</v>
      </c>
      <c r="D980" s="5" t="s">
        <v>172</v>
      </c>
      <c r="E980" s="5" t="s">
        <v>18453</v>
      </c>
      <c r="F980" s="5" t="s">
        <v>5868</v>
      </c>
      <c r="G980" s="5"/>
      <c r="H980" s="5"/>
      <c r="I980" s="5"/>
      <c r="J980" s="5"/>
      <c r="K980" s="5"/>
      <c r="L980" s="5"/>
      <c r="M980" s="5"/>
      <c r="N980" s="5"/>
      <c r="O980" s="5"/>
      <c r="P980" s="5"/>
      <c r="Q980" s="5"/>
      <c r="AL980" s="7" t="str">
        <f>HYPERLINK("http://dx.doi.org/10.1007/s004420000518","http://dx.doi.org/10.1007/s004420000518")</f>
        <v>http://dx.doi.org/10.1007/s004420000518</v>
      </c>
      <c r="AM980" s="5">
        <v>109</v>
      </c>
      <c r="AN980" s="5">
        <v>110</v>
      </c>
      <c r="AO980" s="5">
        <v>126</v>
      </c>
      <c r="AP980" s="5">
        <v>2</v>
      </c>
      <c r="AQ980" s="5">
        <v>254</v>
      </c>
      <c r="AR980" s="5">
        <v>265</v>
      </c>
      <c r="AS980" s="5" t="s">
        <v>16</v>
      </c>
      <c r="AT980" s="5" t="s">
        <v>5866</v>
      </c>
      <c r="AU980" s="5" t="s">
        <v>5867</v>
      </c>
      <c r="AV980" s="5" t="s">
        <v>5869</v>
      </c>
    </row>
    <row r="981" spans="1:48" ht="45" customHeight="1" x14ac:dyDescent="0.15">
      <c r="A981" s="5" t="s">
        <v>5870</v>
      </c>
      <c r="B981" s="5">
        <v>2018</v>
      </c>
      <c r="C981" s="5" t="s">
        <v>5871</v>
      </c>
      <c r="D981" s="5" t="s">
        <v>44</v>
      </c>
      <c r="E981" s="5" t="s">
        <v>18453</v>
      </c>
      <c r="F981" s="5" t="s">
        <v>5874</v>
      </c>
      <c r="G981" s="5"/>
      <c r="H981" s="5"/>
      <c r="I981" s="5"/>
      <c r="J981" s="5"/>
      <c r="K981" s="5"/>
      <c r="L981" s="5"/>
      <c r="M981" s="5"/>
      <c r="N981" s="5"/>
      <c r="O981" s="5"/>
      <c r="P981" s="5"/>
      <c r="Q981" s="5"/>
      <c r="AL981" s="7" t="str">
        <f>HYPERLINK("http://dx.doi.org/10.3389/fevo.2018.00094","http://dx.doi.org/10.3389/fevo.2018.00094")</f>
        <v>http://dx.doi.org/10.3389/fevo.2018.00094</v>
      </c>
      <c r="AM981" s="5">
        <v>5</v>
      </c>
      <c r="AN981" s="5">
        <v>6</v>
      </c>
      <c r="AO981" s="5">
        <v>6</v>
      </c>
      <c r="AP981" s="5" t="s">
        <v>16</v>
      </c>
      <c r="AQ981" s="5" t="s">
        <v>16</v>
      </c>
      <c r="AR981" s="5" t="s">
        <v>16</v>
      </c>
      <c r="AS981" s="5">
        <v>94</v>
      </c>
      <c r="AT981" s="5" t="s">
        <v>5872</v>
      </c>
      <c r="AU981" s="5" t="s">
        <v>5873</v>
      </c>
      <c r="AV981" s="5" t="s">
        <v>5875</v>
      </c>
    </row>
    <row r="982" spans="1:48" ht="45" customHeight="1" x14ac:dyDescent="0.15">
      <c r="A982" s="5" t="s">
        <v>5876</v>
      </c>
      <c r="B982" s="5">
        <v>2014</v>
      </c>
      <c r="C982" s="5" t="s">
        <v>5877</v>
      </c>
      <c r="D982" s="5" t="s">
        <v>83</v>
      </c>
      <c r="E982" s="5" t="s">
        <v>18453</v>
      </c>
      <c r="F982" s="5" t="s">
        <v>5880</v>
      </c>
      <c r="G982" s="5"/>
      <c r="H982" s="5"/>
      <c r="I982" s="5"/>
      <c r="J982" s="5"/>
      <c r="K982" s="5"/>
      <c r="L982" s="5"/>
      <c r="M982" s="5"/>
      <c r="N982" s="5"/>
      <c r="O982" s="5"/>
      <c r="P982" s="5"/>
      <c r="Q982" s="5"/>
      <c r="AL982" s="7" t="str">
        <f>HYPERLINK("http://dx.doi.org/10.1007/s10646-013-1158-6","http://dx.doi.org/10.1007/s10646-013-1158-6")</f>
        <v>http://dx.doi.org/10.1007/s10646-013-1158-6</v>
      </c>
      <c r="AM982" s="5">
        <v>11</v>
      </c>
      <c r="AN982" s="5">
        <v>12</v>
      </c>
      <c r="AO982" s="5">
        <v>23</v>
      </c>
      <c r="AP982" s="5">
        <v>2</v>
      </c>
      <c r="AQ982" s="5">
        <v>133</v>
      </c>
      <c r="AR982" s="5">
        <v>146</v>
      </c>
      <c r="AS982" s="5" t="s">
        <v>16</v>
      </c>
      <c r="AT982" s="5" t="s">
        <v>5878</v>
      </c>
      <c r="AU982" s="5" t="s">
        <v>5879</v>
      </c>
      <c r="AV982" s="5" t="s">
        <v>5881</v>
      </c>
    </row>
    <row r="983" spans="1:48" ht="45" customHeight="1" x14ac:dyDescent="0.15">
      <c r="A983" s="5" t="s">
        <v>5882</v>
      </c>
      <c r="B983" s="5">
        <v>2006</v>
      </c>
      <c r="C983" s="5" t="s">
        <v>5883</v>
      </c>
      <c r="D983" s="5" t="s">
        <v>49</v>
      </c>
      <c r="E983" s="5" t="s">
        <v>18453</v>
      </c>
      <c r="F983" s="5" t="s">
        <v>5886</v>
      </c>
      <c r="G983" s="5"/>
      <c r="H983" s="5"/>
      <c r="I983" s="5"/>
      <c r="J983" s="5"/>
      <c r="K983" s="5"/>
      <c r="L983" s="5"/>
      <c r="M983" s="5"/>
      <c r="N983" s="5"/>
      <c r="O983" s="5"/>
      <c r="P983" s="5"/>
      <c r="Q983" s="5"/>
      <c r="AL983" s="7" t="str">
        <f>HYPERLINK("http://dx.doi.org/10.3354/meps313271","http://dx.doi.org/10.3354/meps313271")</f>
        <v>http://dx.doi.org/10.3354/meps313271</v>
      </c>
      <c r="AM983" s="5">
        <v>61</v>
      </c>
      <c r="AN983" s="5">
        <v>61</v>
      </c>
      <c r="AO983" s="5">
        <v>313</v>
      </c>
      <c r="AP983" s="5" t="s">
        <v>16</v>
      </c>
      <c r="AQ983" s="5">
        <v>271</v>
      </c>
      <c r="AR983" s="5">
        <v>283</v>
      </c>
      <c r="AS983" s="5" t="s">
        <v>16</v>
      </c>
      <c r="AT983" s="5" t="s">
        <v>5884</v>
      </c>
      <c r="AU983" s="5" t="s">
        <v>5885</v>
      </c>
      <c r="AV983" s="5" t="s">
        <v>5887</v>
      </c>
    </row>
    <row r="984" spans="1:48" ht="45" customHeight="1" x14ac:dyDescent="0.15">
      <c r="A984" s="5" t="s">
        <v>5888</v>
      </c>
      <c r="B984" s="5">
        <v>2023</v>
      </c>
      <c r="C984" s="5" t="s">
        <v>5889</v>
      </c>
      <c r="D984" s="5" t="s">
        <v>44</v>
      </c>
      <c r="E984" s="5" t="s">
        <v>18453</v>
      </c>
      <c r="F984" s="5" t="s">
        <v>5892</v>
      </c>
      <c r="G984" s="5"/>
      <c r="H984" s="5"/>
      <c r="I984" s="5"/>
      <c r="J984" s="5"/>
      <c r="K984" s="5"/>
      <c r="L984" s="5"/>
      <c r="M984" s="5"/>
      <c r="N984" s="5"/>
      <c r="O984" s="5"/>
      <c r="P984" s="5"/>
      <c r="Q984" s="5"/>
      <c r="AL984" s="7" t="str">
        <f>HYPERLINK("http://dx.doi.org/10.3389/fevo.2022.1061636","http://dx.doi.org/10.3389/fevo.2022.1061636")</f>
        <v>http://dx.doi.org/10.3389/fevo.2022.1061636</v>
      </c>
      <c r="AM984" s="5">
        <v>0</v>
      </c>
      <c r="AN984" s="5">
        <v>0</v>
      </c>
      <c r="AO984" s="5">
        <v>10</v>
      </c>
      <c r="AP984" s="5" t="s">
        <v>16</v>
      </c>
      <c r="AQ984" s="5" t="s">
        <v>16</v>
      </c>
      <c r="AR984" s="5" t="s">
        <v>16</v>
      </c>
      <c r="AS984" s="5">
        <v>1061636</v>
      </c>
      <c r="AT984" s="5" t="s">
        <v>5890</v>
      </c>
      <c r="AU984" s="5" t="s">
        <v>5891</v>
      </c>
      <c r="AV984" s="5" t="s">
        <v>5893</v>
      </c>
    </row>
    <row r="985" spans="1:48" ht="45" customHeight="1" x14ac:dyDescent="0.15">
      <c r="A985" s="5" t="s">
        <v>5894</v>
      </c>
      <c r="B985" s="5">
        <v>1995</v>
      </c>
      <c r="C985" s="5" t="s">
        <v>5895</v>
      </c>
      <c r="D985" s="5" t="s">
        <v>33</v>
      </c>
      <c r="E985" s="5" t="s">
        <v>18453</v>
      </c>
      <c r="F985" s="5" t="s">
        <v>5898</v>
      </c>
      <c r="G985" s="5"/>
      <c r="H985" s="5"/>
      <c r="I985" s="5"/>
      <c r="J985" s="5"/>
      <c r="K985" s="5"/>
      <c r="L985" s="5"/>
      <c r="M985" s="5"/>
      <c r="N985" s="5"/>
      <c r="O985" s="5"/>
      <c r="P985" s="5"/>
      <c r="Q985" s="5"/>
      <c r="AL985" s="7" t="str">
        <f>HYPERLINK("http://dx.doi.org/10.1111/j.1365-2486.1995.tb00018.x","http://dx.doi.org/10.1111/j.1365-2486.1995.tb00018.x")</f>
        <v>http://dx.doi.org/10.1111/j.1365-2486.1995.tb00018.x</v>
      </c>
      <c r="AM985" s="5">
        <v>50</v>
      </c>
      <c r="AN985" s="5">
        <v>54</v>
      </c>
      <c r="AO985" s="5">
        <v>1</v>
      </c>
      <c r="AP985" s="5">
        <v>3</v>
      </c>
      <c r="AQ985" s="5">
        <v>165</v>
      </c>
      <c r="AR985" s="5">
        <v>171</v>
      </c>
      <c r="AS985" s="5" t="s">
        <v>16</v>
      </c>
      <c r="AT985" s="5" t="s">
        <v>5896</v>
      </c>
      <c r="AU985" s="5" t="s">
        <v>5897</v>
      </c>
      <c r="AV985" s="5" t="s">
        <v>5899</v>
      </c>
    </row>
    <row r="986" spans="1:48" ht="45" customHeight="1" x14ac:dyDescent="0.15">
      <c r="A986" s="5" t="s">
        <v>5900</v>
      </c>
      <c r="B986" s="5">
        <v>2014</v>
      </c>
      <c r="C986" s="5" t="s">
        <v>5901</v>
      </c>
      <c r="D986" s="5" t="s">
        <v>190</v>
      </c>
      <c r="E986" s="5" t="s">
        <v>18453</v>
      </c>
      <c r="F986" s="5" t="s">
        <v>5904</v>
      </c>
      <c r="G986" s="5"/>
      <c r="H986" s="5"/>
      <c r="I986" s="5"/>
      <c r="J986" s="5"/>
      <c r="K986" s="5"/>
      <c r="L986" s="5"/>
      <c r="M986" s="5"/>
      <c r="N986" s="5"/>
      <c r="O986" s="5"/>
      <c r="P986" s="5"/>
      <c r="Q986" s="5"/>
      <c r="AL986" s="7" t="str">
        <f>HYPERLINK("http://dx.doi.org/10.1007/s10530-014-0641-1","http://dx.doi.org/10.1007/s10530-014-0641-1")</f>
        <v>http://dx.doi.org/10.1007/s10530-014-0641-1</v>
      </c>
      <c r="AM986" s="5">
        <v>30</v>
      </c>
      <c r="AN986" s="5">
        <v>30</v>
      </c>
      <c r="AO986" s="5">
        <v>16</v>
      </c>
      <c r="AP986" s="5">
        <v>9</v>
      </c>
      <c r="AQ986" s="5">
        <v>1961</v>
      </c>
      <c r="AR986" s="5">
        <v>1977</v>
      </c>
      <c r="AS986" s="5" t="s">
        <v>16</v>
      </c>
      <c r="AT986" s="5" t="s">
        <v>5902</v>
      </c>
      <c r="AU986" s="5" t="s">
        <v>5903</v>
      </c>
      <c r="AV986" s="5" t="s">
        <v>5905</v>
      </c>
    </row>
    <row r="987" spans="1:48" ht="45" customHeight="1" x14ac:dyDescent="0.15">
      <c r="A987" s="5" t="s">
        <v>5906</v>
      </c>
      <c r="B987" s="5">
        <v>2019</v>
      </c>
      <c r="C987" s="5" t="s">
        <v>5907</v>
      </c>
      <c r="D987" s="5" t="s">
        <v>49</v>
      </c>
      <c r="E987" s="5" t="s">
        <v>18453</v>
      </c>
      <c r="F987" s="5" t="s">
        <v>5910</v>
      </c>
      <c r="G987" s="5"/>
      <c r="H987" s="5"/>
      <c r="I987" s="5"/>
      <c r="J987" s="5"/>
      <c r="K987" s="5"/>
      <c r="L987" s="5"/>
      <c r="M987" s="5"/>
      <c r="N987" s="5"/>
      <c r="O987" s="5"/>
      <c r="P987" s="5"/>
      <c r="Q987" s="5"/>
      <c r="AL987" s="7" t="str">
        <f>HYPERLINK("http://dx.doi.org/10.3354/meps12941","http://dx.doi.org/10.3354/meps12941")</f>
        <v>http://dx.doi.org/10.3354/meps12941</v>
      </c>
      <c r="AM987" s="5">
        <v>6</v>
      </c>
      <c r="AN987" s="5">
        <v>6</v>
      </c>
      <c r="AO987" s="5">
        <v>619</v>
      </c>
      <c r="AP987" s="5" t="s">
        <v>16</v>
      </c>
      <c r="AQ987" s="5">
        <v>17</v>
      </c>
      <c r="AR987" s="5">
        <v>34</v>
      </c>
      <c r="AS987" s="5" t="s">
        <v>16</v>
      </c>
      <c r="AT987" s="5" t="s">
        <v>5908</v>
      </c>
      <c r="AU987" s="5" t="s">
        <v>5909</v>
      </c>
      <c r="AV987" s="5" t="s">
        <v>5911</v>
      </c>
    </row>
    <row r="988" spans="1:48" ht="45" customHeight="1" x14ac:dyDescent="0.15">
      <c r="A988" s="5" t="s">
        <v>5912</v>
      </c>
      <c r="B988" s="5">
        <v>2022</v>
      </c>
      <c r="C988" s="5" t="s">
        <v>5913</v>
      </c>
      <c r="D988" s="5" t="s">
        <v>2437</v>
      </c>
      <c r="E988" s="5" t="s">
        <v>18453</v>
      </c>
      <c r="F988" s="5" t="s">
        <v>5916</v>
      </c>
      <c r="G988" s="5"/>
      <c r="H988" s="5"/>
      <c r="I988" s="5"/>
      <c r="J988" s="5"/>
      <c r="K988" s="5"/>
      <c r="L988" s="5"/>
      <c r="M988" s="5"/>
      <c r="N988" s="5"/>
      <c r="O988" s="5"/>
      <c r="P988" s="5"/>
      <c r="Q988" s="5"/>
      <c r="AL988" s="7" t="str">
        <f>HYPERLINK("http://dx.doi.org/10.1002/ecm.1501","http://dx.doi.org/10.1002/ecm.1501")</f>
        <v>http://dx.doi.org/10.1002/ecm.1501</v>
      </c>
      <c r="AM988" s="5">
        <v>5</v>
      </c>
      <c r="AN988" s="5">
        <v>5</v>
      </c>
      <c r="AO988" s="5">
        <v>92</v>
      </c>
      <c r="AP988" s="5">
        <v>2</v>
      </c>
      <c r="AQ988" s="5" t="s">
        <v>16</v>
      </c>
      <c r="AR988" s="5" t="s">
        <v>16</v>
      </c>
      <c r="AS988" s="5" t="s">
        <v>5917</v>
      </c>
      <c r="AT988" s="5" t="s">
        <v>5914</v>
      </c>
      <c r="AU988" s="5" t="s">
        <v>5915</v>
      </c>
      <c r="AV988" s="5" t="s">
        <v>5918</v>
      </c>
    </row>
    <row r="989" spans="1:48" ht="45" customHeight="1" x14ac:dyDescent="0.15">
      <c r="A989" s="5" t="s">
        <v>5919</v>
      </c>
      <c r="B989" s="5">
        <v>2016</v>
      </c>
      <c r="C989" s="5" t="s">
        <v>5920</v>
      </c>
      <c r="D989" s="5" t="s">
        <v>18</v>
      </c>
      <c r="E989" s="5" t="s">
        <v>18453</v>
      </c>
      <c r="F989" s="5" t="s">
        <v>5923</v>
      </c>
      <c r="G989" s="5"/>
      <c r="H989" s="5"/>
      <c r="I989" s="5"/>
      <c r="J989" s="5"/>
      <c r="K989" s="5"/>
      <c r="L989" s="5"/>
      <c r="M989" s="5"/>
      <c r="N989" s="5"/>
      <c r="O989" s="5"/>
      <c r="P989" s="5"/>
      <c r="Q989" s="5"/>
      <c r="AL989" s="7" t="str">
        <f>HYPERLINK("http://dx.doi.org/10.1002/ecs2.1437","http://dx.doi.org/10.1002/ecs2.1437")</f>
        <v>http://dx.doi.org/10.1002/ecs2.1437</v>
      </c>
      <c r="AM989" s="5">
        <v>15</v>
      </c>
      <c r="AN989" s="5">
        <v>15</v>
      </c>
      <c r="AO989" s="5">
        <v>7</v>
      </c>
      <c r="AP989" s="5">
        <v>8</v>
      </c>
      <c r="AQ989" s="5" t="s">
        <v>16</v>
      </c>
      <c r="AR989" s="5" t="s">
        <v>16</v>
      </c>
      <c r="AS989" s="5" t="s">
        <v>5924</v>
      </c>
      <c r="AT989" s="5" t="s">
        <v>5921</v>
      </c>
      <c r="AU989" s="5" t="s">
        <v>5922</v>
      </c>
      <c r="AV989" s="5" t="s">
        <v>5925</v>
      </c>
    </row>
    <row r="990" spans="1:48" ht="45" customHeight="1" x14ac:dyDescent="0.15">
      <c r="A990" s="5" t="s">
        <v>5926</v>
      </c>
      <c r="B990" s="5">
        <v>2009</v>
      </c>
      <c r="C990" s="5" t="s">
        <v>5927</v>
      </c>
      <c r="D990" s="5" t="s">
        <v>82</v>
      </c>
      <c r="E990" s="5" t="s">
        <v>18453</v>
      </c>
      <c r="F990" s="5" t="s">
        <v>5930</v>
      </c>
      <c r="G990" s="5"/>
      <c r="H990" s="5"/>
      <c r="I990" s="5"/>
      <c r="J990" s="5"/>
      <c r="K990" s="5"/>
      <c r="L990" s="5"/>
      <c r="M990" s="5"/>
      <c r="N990" s="5"/>
      <c r="O990" s="5"/>
      <c r="P990" s="5"/>
      <c r="Q990" s="5"/>
      <c r="AL990" s="7" t="str">
        <f>HYPERLINK("http://dx.doi.org/10.1890/08-0934.1","http://dx.doi.org/10.1890/08-0934.1")</f>
        <v>http://dx.doi.org/10.1890/08-0934.1</v>
      </c>
      <c r="AM990" s="5">
        <v>6</v>
      </c>
      <c r="AN990" s="5">
        <v>7</v>
      </c>
      <c r="AO990" s="5">
        <v>19</v>
      </c>
      <c r="AP990" s="5">
        <v>5</v>
      </c>
      <c r="AQ990" s="5">
        <v>1264</v>
      </c>
      <c r="AR990" s="5">
        <v>1273</v>
      </c>
      <c r="AS990" s="5" t="s">
        <v>16</v>
      </c>
      <c r="AT990" s="5" t="s">
        <v>5928</v>
      </c>
      <c r="AU990" s="5" t="s">
        <v>5929</v>
      </c>
      <c r="AV990" s="5" t="s">
        <v>5931</v>
      </c>
    </row>
    <row r="991" spans="1:48" ht="45" customHeight="1" x14ac:dyDescent="0.15">
      <c r="A991" s="5" t="s">
        <v>5932</v>
      </c>
      <c r="B991" s="5">
        <v>2019</v>
      </c>
      <c r="C991" s="5" t="s">
        <v>5933</v>
      </c>
      <c r="D991" s="5" t="s">
        <v>111</v>
      </c>
      <c r="E991" s="5" t="s">
        <v>18453</v>
      </c>
      <c r="F991" s="5" t="s">
        <v>5936</v>
      </c>
      <c r="G991" s="5"/>
      <c r="H991" s="5"/>
      <c r="I991" s="5"/>
      <c r="J991" s="5"/>
      <c r="K991" s="5"/>
      <c r="L991" s="5"/>
      <c r="M991" s="5"/>
      <c r="N991" s="5"/>
      <c r="O991" s="5"/>
      <c r="P991" s="5"/>
      <c r="Q991" s="5"/>
      <c r="AL991" s="7" t="str">
        <f>HYPERLINK("http://dx.doi.org/10.1007/s10452-019-09695-3","http://dx.doi.org/10.1007/s10452-019-09695-3")</f>
        <v>http://dx.doi.org/10.1007/s10452-019-09695-3</v>
      </c>
      <c r="AM991" s="5">
        <v>15</v>
      </c>
      <c r="AN991" s="5">
        <v>17</v>
      </c>
      <c r="AO991" s="5">
        <v>53</v>
      </c>
      <c r="AP991" s="5">
        <v>3</v>
      </c>
      <c r="AQ991" s="5">
        <v>365</v>
      </c>
      <c r="AR991" s="5">
        <v>381</v>
      </c>
      <c r="AS991" s="5" t="s">
        <v>16</v>
      </c>
      <c r="AT991" s="5" t="s">
        <v>5934</v>
      </c>
      <c r="AU991" s="5" t="s">
        <v>5935</v>
      </c>
      <c r="AV991" s="5" t="s">
        <v>5937</v>
      </c>
    </row>
    <row r="992" spans="1:48" ht="45" customHeight="1" x14ac:dyDescent="0.15">
      <c r="A992" s="5" t="s">
        <v>5938</v>
      </c>
      <c r="B992" s="5">
        <v>2020</v>
      </c>
      <c r="C992" s="5" t="s">
        <v>5939</v>
      </c>
      <c r="D992" s="5" t="s">
        <v>49</v>
      </c>
      <c r="E992" s="5" t="s">
        <v>18453</v>
      </c>
      <c r="F992" s="5" t="s">
        <v>5942</v>
      </c>
      <c r="G992" s="5"/>
      <c r="H992" s="5"/>
      <c r="I992" s="5"/>
      <c r="J992" s="5"/>
      <c r="K992" s="5"/>
      <c r="L992" s="5"/>
      <c r="M992" s="5"/>
      <c r="N992" s="5"/>
      <c r="O992" s="5"/>
      <c r="P992" s="5"/>
      <c r="Q992" s="5"/>
      <c r="AL992" s="7" t="str">
        <f>HYPERLINK("http://dx.doi.org/10.3354/meps13170","http://dx.doi.org/10.3354/meps13170")</f>
        <v>http://dx.doi.org/10.3354/meps13170</v>
      </c>
      <c r="AM992" s="5">
        <v>9</v>
      </c>
      <c r="AN992" s="5">
        <v>9</v>
      </c>
      <c r="AO992" s="5">
        <v>634</v>
      </c>
      <c r="AP992" s="5" t="s">
        <v>16</v>
      </c>
      <c r="AQ992" s="5">
        <v>29</v>
      </c>
      <c r="AR992" s="5">
        <v>43</v>
      </c>
      <c r="AS992" s="5" t="s">
        <v>16</v>
      </c>
      <c r="AT992" s="5" t="s">
        <v>5940</v>
      </c>
      <c r="AU992" s="5" t="s">
        <v>5941</v>
      </c>
      <c r="AV992" s="5" t="s">
        <v>5943</v>
      </c>
    </row>
    <row r="993" spans="1:48" ht="45" customHeight="1" x14ac:dyDescent="0.15">
      <c r="A993" s="5" t="s">
        <v>5944</v>
      </c>
      <c r="B993" s="5">
        <v>2022</v>
      </c>
      <c r="C993" s="5" t="s">
        <v>5945</v>
      </c>
      <c r="D993" s="5" t="s">
        <v>59</v>
      </c>
      <c r="E993" s="5" t="s">
        <v>18453</v>
      </c>
      <c r="F993" s="5" t="s">
        <v>5948</v>
      </c>
      <c r="G993" s="5"/>
      <c r="H993" s="5"/>
      <c r="I993" s="5"/>
      <c r="J993" s="5"/>
      <c r="K993" s="5"/>
      <c r="L993" s="5"/>
      <c r="M993" s="5"/>
      <c r="N993" s="5"/>
      <c r="O993" s="5"/>
      <c r="P993" s="5"/>
      <c r="Q993" s="5"/>
      <c r="AL993" s="7" t="str">
        <f>HYPERLINK("http://dx.doi.org/10.1111/ele.14086","http://dx.doi.org/10.1111/ele.14086")</f>
        <v>http://dx.doi.org/10.1111/ele.14086</v>
      </c>
      <c r="AM993" s="5">
        <v>1</v>
      </c>
      <c r="AN993" s="5">
        <v>1</v>
      </c>
      <c r="AO993" s="5">
        <v>25</v>
      </c>
      <c r="AP993" s="5">
        <v>10</v>
      </c>
      <c r="AQ993" s="5">
        <v>2142</v>
      </c>
      <c r="AR993" s="5">
        <v>2155</v>
      </c>
      <c r="AS993" s="5" t="s">
        <v>16</v>
      </c>
      <c r="AT993" s="5" t="s">
        <v>5946</v>
      </c>
      <c r="AU993" s="5" t="s">
        <v>5947</v>
      </c>
      <c r="AV993" s="5" t="s">
        <v>5949</v>
      </c>
    </row>
    <row r="994" spans="1:48" ht="45" customHeight="1" x14ac:dyDescent="0.15">
      <c r="A994" s="5" t="s">
        <v>5950</v>
      </c>
      <c r="B994" s="5">
        <v>2004</v>
      </c>
      <c r="C994" s="5" t="s">
        <v>5951</v>
      </c>
      <c r="D994" s="5" t="s">
        <v>62</v>
      </c>
      <c r="E994" s="5" t="s">
        <v>18453</v>
      </c>
      <c r="F994" s="5" t="s">
        <v>5954</v>
      </c>
      <c r="G994" s="5"/>
      <c r="H994" s="5"/>
      <c r="I994" s="5"/>
      <c r="J994" s="5"/>
      <c r="K994" s="5"/>
      <c r="L994" s="5"/>
      <c r="M994" s="5"/>
      <c r="N994" s="5"/>
      <c r="O994" s="5"/>
      <c r="P994" s="5"/>
      <c r="Q994" s="5"/>
      <c r="AL994" s="7" t="str">
        <f>HYPERLINK("http://dx.doi.org/10.1007/s10021-004-0180-1","http://dx.doi.org/10.1007/s10021-004-0180-1")</f>
        <v>http://dx.doi.org/10.1007/s10021-004-0180-1</v>
      </c>
      <c r="AM994" s="5">
        <v>65</v>
      </c>
      <c r="AN994" s="5">
        <v>92</v>
      </c>
      <c r="AO994" s="5">
        <v>7</v>
      </c>
      <c r="AP994" s="5">
        <v>6</v>
      </c>
      <c r="AQ994" s="5">
        <v>613</v>
      </c>
      <c r="AR994" s="5">
        <v>624</v>
      </c>
      <c r="AS994" s="5" t="s">
        <v>16</v>
      </c>
      <c r="AT994" s="5" t="s">
        <v>5952</v>
      </c>
      <c r="AU994" s="5" t="s">
        <v>5953</v>
      </c>
      <c r="AV994" s="5" t="s">
        <v>5955</v>
      </c>
    </row>
    <row r="995" spans="1:48" ht="45" customHeight="1" x14ac:dyDescent="0.15">
      <c r="A995" s="5" t="s">
        <v>5956</v>
      </c>
      <c r="B995" s="5">
        <v>2017</v>
      </c>
      <c r="C995" s="5" t="s">
        <v>5957</v>
      </c>
      <c r="D995" s="5" t="s">
        <v>782</v>
      </c>
      <c r="E995" s="5" t="s">
        <v>18453</v>
      </c>
      <c r="F995" s="5" t="s">
        <v>5960</v>
      </c>
      <c r="G995" s="5"/>
      <c r="H995" s="5"/>
      <c r="I995" s="5"/>
      <c r="J995" s="5"/>
      <c r="K995" s="5"/>
      <c r="L995" s="5"/>
      <c r="M995" s="5"/>
      <c r="N995" s="5"/>
      <c r="O995" s="5"/>
      <c r="P995" s="5"/>
      <c r="Q995" s="5"/>
      <c r="AL995" s="7" t="str">
        <f>HYPERLINK("http://dx.doi.org/10.1093/jpe/rtw059","http://dx.doi.org/10.1093/jpe/rtw059")</f>
        <v>http://dx.doi.org/10.1093/jpe/rtw059</v>
      </c>
      <c r="AM995" s="5">
        <v>6</v>
      </c>
      <c r="AN995" s="5">
        <v>10</v>
      </c>
      <c r="AO995" s="5">
        <v>10</v>
      </c>
      <c r="AP995" s="5">
        <v>4</v>
      </c>
      <c r="AQ995" s="5">
        <v>660</v>
      </c>
      <c r="AR995" s="5">
        <v>669</v>
      </c>
      <c r="AS995" s="5" t="s">
        <v>16</v>
      </c>
      <c r="AT995" s="5" t="s">
        <v>5958</v>
      </c>
      <c r="AU995" s="5" t="s">
        <v>5959</v>
      </c>
      <c r="AV995" s="5" t="s">
        <v>5961</v>
      </c>
    </row>
    <row r="996" spans="1:48" ht="45" customHeight="1" x14ac:dyDescent="0.15">
      <c r="A996" s="5" t="s">
        <v>5962</v>
      </c>
      <c r="B996" s="5">
        <v>2009</v>
      </c>
      <c r="C996" s="5" t="s">
        <v>5963</v>
      </c>
      <c r="D996" s="5" t="s">
        <v>49</v>
      </c>
      <c r="E996" s="5" t="s">
        <v>18453</v>
      </c>
      <c r="F996" s="5" t="s">
        <v>5966</v>
      </c>
      <c r="G996" s="5"/>
      <c r="H996" s="5"/>
      <c r="I996" s="5"/>
      <c r="J996" s="5"/>
      <c r="K996" s="5"/>
      <c r="L996" s="5"/>
      <c r="M996" s="5"/>
      <c r="N996" s="5"/>
      <c r="O996" s="5"/>
      <c r="P996" s="5"/>
      <c r="Q996" s="5"/>
      <c r="AL996" s="7" t="str">
        <f>HYPERLINK("http://dx.doi.org/10.3354/meps08231","http://dx.doi.org/10.3354/meps08231")</f>
        <v>http://dx.doi.org/10.3354/meps08231</v>
      </c>
      <c r="AM996" s="5">
        <v>35</v>
      </c>
      <c r="AN996" s="5">
        <v>39</v>
      </c>
      <c r="AO996" s="5">
        <v>393</v>
      </c>
      <c r="AP996" s="5" t="s">
        <v>16</v>
      </c>
      <c r="AQ996" s="5">
        <v>173</v>
      </c>
      <c r="AR996" s="5">
        <v>183</v>
      </c>
      <c r="AS996" s="5" t="s">
        <v>16</v>
      </c>
      <c r="AT996" s="5" t="s">
        <v>5964</v>
      </c>
      <c r="AU996" s="5" t="s">
        <v>5965</v>
      </c>
      <c r="AV996" s="5" t="s">
        <v>5967</v>
      </c>
    </row>
    <row r="997" spans="1:48" ht="45" customHeight="1" x14ac:dyDescent="0.15">
      <c r="A997" s="5" t="s">
        <v>5968</v>
      </c>
      <c r="B997" s="5">
        <v>2022</v>
      </c>
      <c r="C997" s="5" t="s">
        <v>5969</v>
      </c>
      <c r="D997" s="5" t="s">
        <v>2976</v>
      </c>
      <c r="E997" s="5" t="s">
        <v>18453</v>
      </c>
      <c r="F997" s="5" t="s">
        <v>5972</v>
      </c>
      <c r="G997" s="5"/>
      <c r="H997" s="5"/>
      <c r="I997" s="5"/>
      <c r="J997" s="5"/>
      <c r="K997" s="5"/>
      <c r="L997" s="5"/>
      <c r="M997" s="5"/>
      <c r="N997" s="5"/>
      <c r="O997" s="5"/>
      <c r="P997" s="5"/>
      <c r="Q997" s="5"/>
      <c r="AL997" s="7" t="str">
        <f>HYPERLINK("http://dx.doi.org/10.1016/j.gecco.2022.e02082","http://dx.doi.org/10.1016/j.gecco.2022.e02082")</f>
        <v>http://dx.doi.org/10.1016/j.gecco.2022.e02082</v>
      </c>
      <c r="AM997" s="5">
        <v>2</v>
      </c>
      <c r="AN997" s="5">
        <v>2</v>
      </c>
      <c r="AO997" s="5">
        <v>35</v>
      </c>
      <c r="AP997" s="5" t="s">
        <v>16</v>
      </c>
      <c r="AQ997" s="5" t="s">
        <v>16</v>
      </c>
      <c r="AR997" s="5" t="s">
        <v>16</v>
      </c>
      <c r="AS997" s="5" t="s">
        <v>5973</v>
      </c>
      <c r="AT997" s="5" t="s">
        <v>5970</v>
      </c>
      <c r="AU997" s="5" t="s">
        <v>5971</v>
      </c>
      <c r="AV997" s="5" t="s">
        <v>5974</v>
      </c>
    </row>
    <row r="998" spans="1:48" ht="45" customHeight="1" x14ac:dyDescent="0.15">
      <c r="A998" s="5" t="s">
        <v>5975</v>
      </c>
      <c r="B998" s="5">
        <v>2016</v>
      </c>
      <c r="C998" s="5" t="s">
        <v>5976</v>
      </c>
      <c r="D998" s="5" t="s">
        <v>289</v>
      </c>
      <c r="E998" s="5" t="s">
        <v>18453</v>
      </c>
      <c r="F998" s="5" t="s">
        <v>5979</v>
      </c>
      <c r="G998" s="5"/>
      <c r="H998" s="5"/>
      <c r="I998" s="5"/>
      <c r="J998" s="5"/>
      <c r="K998" s="5"/>
      <c r="L998" s="5"/>
      <c r="M998" s="5"/>
      <c r="N998" s="5"/>
      <c r="O998" s="5"/>
      <c r="P998" s="5"/>
      <c r="Q998" s="5"/>
      <c r="AL998" s="7" t="str">
        <f>HYPERLINK("http://dx.doi.org/10.1111/1365-2745.12639","http://dx.doi.org/10.1111/1365-2745.12639")</f>
        <v>http://dx.doi.org/10.1111/1365-2745.12639</v>
      </c>
      <c r="AM998" s="5">
        <v>79</v>
      </c>
      <c r="AN998" s="5">
        <v>83</v>
      </c>
      <c r="AO998" s="5">
        <v>104</v>
      </c>
      <c r="AP998" s="5">
        <v>6</v>
      </c>
      <c r="AQ998" s="5">
        <v>1542</v>
      </c>
      <c r="AR998" s="5">
        <v>1554</v>
      </c>
      <c r="AS998" s="5" t="s">
        <v>16</v>
      </c>
      <c r="AT998" s="5" t="s">
        <v>5977</v>
      </c>
      <c r="AU998" s="5" t="s">
        <v>5978</v>
      </c>
      <c r="AV998" s="5" t="s">
        <v>5980</v>
      </c>
    </row>
    <row r="999" spans="1:48" ht="45" customHeight="1" x14ac:dyDescent="0.15">
      <c r="A999" s="5" t="s">
        <v>5981</v>
      </c>
      <c r="B999" s="5">
        <v>2011</v>
      </c>
      <c r="C999" s="5" t="s">
        <v>5982</v>
      </c>
      <c r="D999" s="5" t="s">
        <v>82</v>
      </c>
      <c r="E999" s="5" t="s">
        <v>18453</v>
      </c>
      <c r="F999" s="5" t="s">
        <v>5985</v>
      </c>
      <c r="G999" s="5"/>
      <c r="H999" s="5"/>
      <c r="I999" s="5"/>
      <c r="J999" s="5"/>
      <c r="K999" s="5"/>
      <c r="L999" s="5"/>
      <c r="M999" s="5"/>
      <c r="N999" s="5"/>
      <c r="O999" s="5"/>
      <c r="P999" s="5"/>
      <c r="Q999" s="5"/>
      <c r="AL999" s="7" t="str">
        <f>HYPERLINK("http://dx.doi.org/10.1890/09-2409.1","http://dx.doi.org/10.1890/09-2409.1")</f>
        <v>http://dx.doi.org/10.1890/09-2409.1</v>
      </c>
      <c r="AM999" s="5">
        <v>334</v>
      </c>
      <c r="AN999" s="5">
        <v>344</v>
      </c>
      <c r="AO999" s="5">
        <v>21</v>
      </c>
      <c r="AP999" s="5">
        <v>4</v>
      </c>
      <c r="AQ999" s="5">
        <v>1017</v>
      </c>
      <c r="AR999" s="5">
        <v>1023</v>
      </c>
      <c r="AS999" s="5" t="s">
        <v>16</v>
      </c>
      <c r="AT999" s="5" t="s">
        <v>5983</v>
      </c>
      <c r="AU999" s="5" t="s">
        <v>5984</v>
      </c>
      <c r="AV999" s="5" t="s">
        <v>5986</v>
      </c>
    </row>
    <row r="1000" spans="1:48" ht="45" customHeight="1" x14ac:dyDescent="0.15">
      <c r="A1000" s="5" t="s">
        <v>5987</v>
      </c>
      <c r="B1000" s="5">
        <v>2013</v>
      </c>
      <c r="C1000" s="5" t="s">
        <v>5988</v>
      </c>
      <c r="D1000" s="5" t="s">
        <v>295</v>
      </c>
      <c r="E1000" s="5" t="s">
        <v>18453</v>
      </c>
      <c r="F1000" s="5" t="s">
        <v>5991</v>
      </c>
      <c r="G1000" s="5"/>
      <c r="H1000" s="5"/>
      <c r="I1000" s="5"/>
      <c r="J1000" s="5"/>
      <c r="K1000" s="5"/>
      <c r="L1000" s="5"/>
      <c r="M1000" s="5"/>
      <c r="N1000" s="5"/>
      <c r="O1000" s="5"/>
      <c r="P1000" s="5"/>
      <c r="Q1000" s="5"/>
      <c r="AL1000" s="7" t="str">
        <f>HYPERLINK("http://dx.doi.org/10.1016/j.jembe.2013.10.005","http://dx.doi.org/10.1016/j.jembe.2013.10.005")</f>
        <v>http://dx.doi.org/10.1016/j.jembe.2013.10.005</v>
      </c>
      <c r="AM1000" s="5">
        <v>19</v>
      </c>
      <c r="AN1000" s="5">
        <v>19</v>
      </c>
      <c r="AO1000" s="5">
        <v>449</v>
      </c>
      <c r="AP1000" s="5" t="s">
        <v>16</v>
      </c>
      <c r="AQ1000" s="5">
        <v>274</v>
      </c>
      <c r="AR1000" s="5">
        <v>283</v>
      </c>
      <c r="AS1000" s="5" t="s">
        <v>16</v>
      </c>
      <c r="AT1000" s="5" t="s">
        <v>5989</v>
      </c>
      <c r="AU1000" s="5" t="s">
        <v>5990</v>
      </c>
      <c r="AV1000" s="5" t="s">
        <v>5992</v>
      </c>
    </row>
    <row r="1001" spans="1:48" ht="45" customHeight="1" x14ac:dyDescent="0.15">
      <c r="A1001" s="5" t="s">
        <v>5993</v>
      </c>
      <c r="B1001" s="5">
        <v>1997</v>
      </c>
      <c r="C1001" s="5" t="s">
        <v>5994</v>
      </c>
      <c r="D1001" s="5" t="s">
        <v>27</v>
      </c>
      <c r="E1001" s="5" t="s">
        <v>18453</v>
      </c>
      <c r="F1001" s="5" t="s">
        <v>5997</v>
      </c>
      <c r="G1001" s="5"/>
      <c r="H1001" s="5"/>
      <c r="I1001" s="5"/>
      <c r="J1001" s="5"/>
      <c r="K1001" s="5"/>
      <c r="L1001" s="5"/>
      <c r="M1001" s="5"/>
      <c r="N1001" s="5"/>
      <c r="O1001" s="5"/>
      <c r="P1001" s="5"/>
      <c r="Q1001" s="5"/>
      <c r="AL1001" s="7" t="str">
        <f>HYPERLINK("http://dx.doi.org/10.1890/0012-9658(1997)078[2263:IFDIBT]2.0.CO;2","http://dx.doi.org/10.1890/0012-9658(1997)078[2263:IFDIBT]2.0.CO;2")</f>
        <v>http://dx.doi.org/10.1890/0012-9658(1997)078[2263:IFDIBT]2.0.CO;2</v>
      </c>
      <c r="AM1001" s="5">
        <v>66</v>
      </c>
      <c r="AN1001" s="5">
        <v>71</v>
      </c>
      <c r="AO1001" s="5">
        <v>78</v>
      </c>
      <c r="AP1001" s="5">
        <v>7</v>
      </c>
      <c r="AQ1001" s="5">
        <v>2263</v>
      </c>
      <c r="AR1001" s="5">
        <v>2266</v>
      </c>
      <c r="AS1001" s="5" t="s">
        <v>16</v>
      </c>
      <c r="AT1001" s="5" t="s">
        <v>5995</v>
      </c>
      <c r="AU1001" s="5" t="s">
        <v>5996</v>
      </c>
      <c r="AV1001" s="5" t="s">
        <v>5998</v>
      </c>
    </row>
    <row r="1002" spans="1:48" ht="45" customHeight="1" x14ac:dyDescent="0.15">
      <c r="A1002" s="5" t="s">
        <v>5999</v>
      </c>
      <c r="B1002" s="5">
        <v>2018</v>
      </c>
      <c r="C1002" s="5" t="s">
        <v>6000</v>
      </c>
      <c r="D1002" s="5" t="s">
        <v>4217</v>
      </c>
      <c r="E1002" s="5" t="s">
        <v>18453</v>
      </c>
      <c r="F1002" s="5" t="s">
        <v>6003</v>
      </c>
      <c r="G1002" s="5"/>
      <c r="H1002" s="5"/>
      <c r="I1002" s="5"/>
      <c r="J1002" s="5"/>
      <c r="K1002" s="5"/>
      <c r="L1002" s="5"/>
      <c r="M1002" s="5"/>
      <c r="N1002" s="5"/>
      <c r="O1002" s="5"/>
      <c r="P1002" s="5"/>
      <c r="Q1002" s="5"/>
      <c r="AL1002" s="5" t="s">
        <v>16</v>
      </c>
      <c r="AM1002" s="5">
        <v>9</v>
      </c>
      <c r="AN1002" s="5">
        <v>9</v>
      </c>
      <c r="AO1002" s="5">
        <v>19</v>
      </c>
      <c r="AP1002" s="5">
        <v>5</v>
      </c>
      <c r="AQ1002" s="5">
        <v>575</v>
      </c>
      <c r="AR1002" s="5">
        <v>590</v>
      </c>
      <c r="AS1002" s="5" t="s">
        <v>16</v>
      </c>
      <c r="AT1002" s="5" t="s">
        <v>6001</v>
      </c>
      <c r="AU1002" s="5" t="s">
        <v>6002</v>
      </c>
      <c r="AV1002" s="5" t="s">
        <v>16</v>
      </c>
    </row>
    <row r="1003" spans="1:48" ht="45" customHeight="1" x14ac:dyDescent="0.15">
      <c r="A1003" s="5" t="s">
        <v>6004</v>
      </c>
      <c r="B1003" s="5">
        <v>2016</v>
      </c>
      <c r="C1003" s="5" t="s">
        <v>6005</v>
      </c>
      <c r="D1003" s="5" t="s">
        <v>18</v>
      </c>
      <c r="E1003" s="5" t="s">
        <v>18453</v>
      </c>
      <c r="F1003" s="5" t="s">
        <v>6008</v>
      </c>
      <c r="G1003" s="5"/>
      <c r="H1003" s="5"/>
      <c r="I1003" s="5"/>
      <c r="J1003" s="5"/>
      <c r="K1003" s="5"/>
      <c r="L1003" s="5"/>
      <c r="M1003" s="5"/>
      <c r="N1003" s="5"/>
      <c r="O1003" s="5"/>
      <c r="P1003" s="5"/>
      <c r="Q1003" s="5"/>
      <c r="AL1003" s="7" t="str">
        <f>HYPERLINK("http://dx.doi.org/10.1002/ecs2.1422","http://dx.doi.org/10.1002/ecs2.1422")</f>
        <v>http://dx.doi.org/10.1002/ecs2.1422</v>
      </c>
      <c r="AM1003" s="5">
        <v>11</v>
      </c>
      <c r="AN1003" s="5">
        <v>11</v>
      </c>
      <c r="AO1003" s="5">
        <v>7</v>
      </c>
      <c r="AP1003" s="5">
        <v>8</v>
      </c>
      <c r="AQ1003" s="5" t="s">
        <v>16</v>
      </c>
      <c r="AR1003" s="5" t="s">
        <v>16</v>
      </c>
      <c r="AS1003" s="5" t="s">
        <v>6009</v>
      </c>
      <c r="AT1003" s="5" t="s">
        <v>6006</v>
      </c>
      <c r="AU1003" s="5" t="s">
        <v>6007</v>
      </c>
      <c r="AV1003" s="5" t="s">
        <v>6010</v>
      </c>
    </row>
    <row r="1004" spans="1:48" ht="45" customHeight="1" x14ac:dyDescent="0.15">
      <c r="A1004" s="5" t="s">
        <v>6011</v>
      </c>
      <c r="B1004" s="5">
        <v>2013</v>
      </c>
      <c r="C1004" s="5" t="s">
        <v>6012</v>
      </c>
      <c r="D1004" s="5" t="s">
        <v>62</v>
      </c>
      <c r="E1004" s="5" t="s">
        <v>18453</v>
      </c>
      <c r="F1004" s="5" t="s">
        <v>6015</v>
      </c>
      <c r="G1004" s="5"/>
      <c r="H1004" s="5"/>
      <c r="I1004" s="5"/>
      <c r="J1004" s="5"/>
      <c r="K1004" s="5"/>
      <c r="L1004" s="5"/>
      <c r="M1004" s="5"/>
      <c r="N1004" s="5"/>
      <c r="O1004" s="5"/>
      <c r="P1004" s="5"/>
      <c r="Q1004" s="5"/>
      <c r="AL1004" s="7" t="str">
        <f>HYPERLINK("http://dx.doi.org/10.1007/s10021-013-9692-x","http://dx.doi.org/10.1007/s10021-013-9692-x")</f>
        <v>http://dx.doi.org/10.1007/s10021-013-9692-x</v>
      </c>
      <c r="AM1004" s="5">
        <v>31</v>
      </c>
      <c r="AN1004" s="5">
        <v>32</v>
      </c>
      <c r="AO1004" s="5">
        <v>16</v>
      </c>
      <c r="AP1004" s="5">
        <v>8</v>
      </c>
      <c r="AQ1004" s="5">
        <v>1413</v>
      </c>
      <c r="AR1004" s="5">
        <v>1428</v>
      </c>
      <c r="AS1004" s="5" t="s">
        <v>16</v>
      </c>
      <c r="AT1004" s="5" t="s">
        <v>6013</v>
      </c>
      <c r="AU1004" s="5" t="s">
        <v>6014</v>
      </c>
      <c r="AV1004" s="5" t="s">
        <v>6016</v>
      </c>
    </row>
    <row r="1005" spans="1:48" ht="45" customHeight="1" x14ac:dyDescent="0.15">
      <c r="A1005" s="5" t="s">
        <v>6017</v>
      </c>
      <c r="B1005" s="5">
        <v>2007</v>
      </c>
      <c r="C1005" s="5" t="s">
        <v>6018</v>
      </c>
      <c r="D1005" s="5" t="s">
        <v>161</v>
      </c>
      <c r="E1005" s="5" t="s">
        <v>18453</v>
      </c>
      <c r="F1005" s="5" t="s">
        <v>6021</v>
      </c>
      <c r="G1005" s="5"/>
      <c r="H1005" s="5"/>
      <c r="I1005" s="5"/>
      <c r="J1005" s="5"/>
      <c r="K1005" s="5"/>
      <c r="L1005" s="5"/>
      <c r="M1005" s="5"/>
      <c r="N1005" s="5"/>
      <c r="O1005" s="5"/>
      <c r="P1005" s="5"/>
      <c r="Q1005" s="5"/>
      <c r="AL1005" s="7" t="str">
        <f>HYPERLINK("http://dx.doi.org/10.1111/j.1466-8238.2007.00317.x","http://dx.doi.org/10.1111/j.1466-8238.2007.00317.x")</f>
        <v>http://dx.doi.org/10.1111/j.1466-8238.2007.00317.x</v>
      </c>
      <c r="AM1005" s="5">
        <v>451</v>
      </c>
      <c r="AN1005" s="5">
        <v>472</v>
      </c>
      <c r="AO1005" s="5">
        <v>16</v>
      </c>
      <c r="AP1005" s="5">
        <v>5</v>
      </c>
      <c r="AQ1005" s="5">
        <v>545</v>
      </c>
      <c r="AR1005" s="5">
        <v>556</v>
      </c>
      <c r="AS1005" s="5" t="s">
        <v>16</v>
      </c>
      <c r="AT1005" s="5" t="s">
        <v>6019</v>
      </c>
      <c r="AU1005" s="5" t="s">
        <v>6020</v>
      </c>
      <c r="AV1005" s="5" t="s">
        <v>6022</v>
      </c>
    </row>
    <row r="1006" spans="1:48" ht="45" customHeight="1" x14ac:dyDescent="0.15">
      <c r="A1006" s="5" t="s">
        <v>6023</v>
      </c>
      <c r="B1006" s="5">
        <v>2023</v>
      </c>
      <c r="C1006" s="5" t="s">
        <v>6024</v>
      </c>
      <c r="D1006" s="5" t="s">
        <v>1257</v>
      </c>
      <c r="E1006" s="5" t="s">
        <v>18453</v>
      </c>
      <c r="F1006" s="5" t="s">
        <v>6027</v>
      </c>
      <c r="G1006" s="5"/>
      <c r="H1006" s="5"/>
      <c r="I1006" s="5"/>
      <c r="J1006" s="5"/>
      <c r="K1006" s="5"/>
      <c r="L1006" s="5"/>
      <c r="M1006" s="5"/>
      <c r="N1006" s="5"/>
      <c r="O1006" s="5"/>
      <c r="P1006" s="5"/>
      <c r="Q1006" s="5"/>
      <c r="AL1006" s="7" t="str">
        <f>HYPERLINK("http://dx.doi.org/10.3389/ffgc.2023.1116786","http://dx.doi.org/10.3389/ffgc.2023.1116786")</f>
        <v>http://dx.doi.org/10.3389/ffgc.2023.1116786</v>
      </c>
      <c r="AM1006" s="5">
        <v>0</v>
      </c>
      <c r="AN1006" s="5">
        <v>0</v>
      </c>
      <c r="AO1006" s="5">
        <v>6</v>
      </c>
      <c r="AP1006" s="5" t="s">
        <v>16</v>
      </c>
      <c r="AQ1006" s="5" t="s">
        <v>16</v>
      </c>
      <c r="AR1006" s="5" t="s">
        <v>16</v>
      </c>
      <c r="AS1006" s="5">
        <v>1116786</v>
      </c>
      <c r="AT1006" s="5" t="s">
        <v>6025</v>
      </c>
      <c r="AU1006" s="5" t="s">
        <v>6026</v>
      </c>
      <c r="AV1006" s="5" t="s">
        <v>6028</v>
      </c>
    </row>
    <row r="1007" spans="1:48" ht="45" customHeight="1" x14ac:dyDescent="0.15">
      <c r="A1007" s="5" t="s">
        <v>6029</v>
      </c>
      <c r="B1007" s="5">
        <v>2014</v>
      </c>
      <c r="C1007" s="5" t="s">
        <v>6030</v>
      </c>
      <c r="D1007" s="5" t="s">
        <v>1621</v>
      </c>
      <c r="E1007" s="5" t="s">
        <v>18453</v>
      </c>
      <c r="F1007" s="5" t="s">
        <v>6033</v>
      </c>
      <c r="G1007" s="5"/>
      <c r="H1007" s="5"/>
      <c r="I1007" s="5"/>
      <c r="J1007" s="5"/>
      <c r="K1007" s="5"/>
      <c r="L1007" s="5"/>
      <c r="M1007" s="5"/>
      <c r="N1007" s="5"/>
      <c r="O1007" s="5"/>
      <c r="P1007" s="5"/>
      <c r="Q1007" s="5"/>
      <c r="AL1007" s="7" t="str">
        <f>HYPERLINK("http://dx.doi.org/10.1093/conphys/cou049","http://dx.doi.org/10.1093/conphys/cou049")</f>
        <v>http://dx.doi.org/10.1093/conphys/cou049</v>
      </c>
      <c r="AM1007" s="5">
        <v>14</v>
      </c>
      <c r="AN1007" s="5">
        <v>14</v>
      </c>
      <c r="AO1007" s="5">
        <v>2</v>
      </c>
      <c r="AP1007" s="5">
        <v>1</v>
      </c>
      <c r="AQ1007" s="5" t="s">
        <v>16</v>
      </c>
      <c r="AR1007" s="5" t="s">
        <v>16</v>
      </c>
      <c r="AS1007" s="5" t="s">
        <v>6034</v>
      </c>
      <c r="AT1007" s="5" t="s">
        <v>6031</v>
      </c>
      <c r="AU1007" s="5" t="s">
        <v>6032</v>
      </c>
      <c r="AV1007" s="5" t="s">
        <v>6035</v>
      </c>
    </row>
    <row r="1008" spans="1:48" ht="45" customHeight="1" x14ac:dyDescent="0.15">
      <c r="A1008" s="5" t="s">
        <v>6036</v>
      </c>
      <c r="B1008" s="5">
        <v>2018</v>
      </c>
      <c r="C1008" s="5" t="s">
        <v>6037</v>
      </c>
      <c r="D1008" s="5" t="s">
        <v>33</v>
      </c>
      <c r="E1008" s="5" t="s">
        <v>18453</v>
      </c>
      <c r="F1008" s="5" t="s">
        <v>6040</v>
      </c>
      <c r="G1008" s="5"/>
      <c r="H1008" s="5"/>
      <c r="I1008" s="5"/>
      <c r="J1008" s="5"/>
      <c r="K1008" s="5"/>
      <c r="L1008" s="5"/>
      <c r="M1008" s="5"/>
      <c r="N1008" s="5"/>
      <c r="O1008" s="5"/>
      <c r="P1008" s="5"/>
      <c r="Q1008" s="5"/>
      <c r="AL1008" s="7" t="str">
        <f>HYPERLINK("http://dx.doi.org/10.1111/gcb.13839","http://dx.doi.org/10.1111/gcb.13839")</f>
        <v>http://dx.doi.org/10.1111/gcb.13839</v>
      </c>
      <c r="AM1008" s="5">
        <v>35</v>
      </c>
      <c r="AN1008" s="5">
        <v>37</v>
      </c>
      <c r="AO1008" s="5">
        <v>24</v>
      </c>
      <c r="AP1008" s="5">
        <v>1</v>
      </c>
      <c r="AQ1008" s="5" t="s">
        <v>6041</v>
      </c>
      <c r="AR1008" s="5" t="s">
        <v>6042</v>
      </c>
      <c r="AS1008" s="5" t="s">
        <v>16</v>
      </c>
      <c r="AT1008" s="5" t="s">
        <v>6038</v>
      </c>
      <c r="AU1008" s="5" t="s">
        <v>6039</v>
      </c>
      <c r="AV1008" s="5" t="s">
        <v>6043</v>
      </c>
    </row>
    <row r="1009" spans="1:48" ht="45" customHeight="1" x14ac:dyDescent="0.15">
      <c r="A1009" s="5" t="s">
        <v>6044</v>
      </c>
      <c r="B1009" s="5">
        <v>2014</v>
      </c>
      <c r="C1009" s="5" t="s">
        <v>6045</v>
      </c>
      <c r="D1009" s="5" t="s">
        <v>468</v>
      </c>
      <c r="E1009" s="5" t="s">
        <v>18453</v>
      </c>
      <c r="F1009" s="5" t="s">
        <v>6048</v>
      </c>
      <c r="G1009" s="5"/>
      <c r="H1009" s="5"/>
      <c r="I1009" s="5"/>
      <c r="J1009" s="5"/>
      <c r="K1009" s="5"/>
      <c r="L1009" s="5"/>
      <c r="M1009" s="5"/>
      <c r="N1009" s="5"/>
      <c r="O1009" s="5"/>
      <c r="P1009" s="5"/>
      <c r="Q1009" s="5"/>
      <c r="AL1009" s="7" t="str">
        <f>HYPERLINK("http://dx.doi.org/10.1016/j.ecoinf.2014.01.008","http://dx.doi.org/10.1016/j.ecoinf.2014.01.008")</f>
        <v>http://dx.doi.org/10.1016/j.ecoinf.2014.01.008</v>
      </c>
      <c r="AM1009" s="5">
        <v>48</v>
      </c>
      <c r="AN1009" s="5">
        <v>52</v>
      </c>
      <c r="AO1009" s="5">
        <v>20</v>
      </c>
      <c r="AP1009" s="5" t="s">
        <v>16</v>
      </c>
      <c r="AQ1009" s="5">
        <v>33</v>
      </c>
      <c r="AR1009" s="5">
        <v>46</v>
      </c>
      <c r="AS1009" s="5" t="s">
        <v>16</v>
      </c>
      <c r="AT1009" s="5" t="s">
        <v>6046</v>
      </c>
      <c r="AU1009" s="5" t="s">
        <v>6047</v>
      </c>
      <c r="AV1009" s="5" t="s">
        <v>6049</v>
      </c>
    </row>
    <row r="1010" spans="1:48" ht="45" customHeight="1" x14ac:dyDescent="0.15">
      <c r="A1010" s="5" t="s">
        <v>6050</v>
      </c>
      <c r="B1010" s="5">
        <v>2008</v>
      </c>
      <c r="C1010" s="5" t="s">
        <v>6051</v>
      </c>
      <c r="D1010" s="5" t="s">
        <v>4217</v>
      </c>
      <c r="E1010" s="5" t="s">
        <v>18453</v>
      </c>
      <c r="F1010" s="5" t="s">
        <v>6054</v>
      </c>
      <c r="G1010" s="5"/>
      <c r="H1010" s="5"/>
      <c r="I1010" s="5"/>
      <c r="J1010" s="5"/>
      <c r="K1010" s="5"/>
      <c r="L1010" s="5"/>
      <c r="M1010" s="5"/>
      <c r="N1010" s="5"/>
      <c r="O1010" s="5"/>
      <c r="P1010" s="5"/>
      <c r="Q1010" s="5"/>
      <c r="AL1010" s="5" t="s">
        <v>16</v>
      </c>
      <c r="AM1010" s="5">
        <v>18</v>
      </c>
      <c r="AN1010" s="5">
        <v>19</v>
      </c>
      <c r="AO1010" s="5">
        <v>10</v>
      </c>
      <c r="AP1010" s="5">
        <v>7</v>
      </c>
      <c r="AQ1010" s="5">
        <v>1051</v>
      </c>
      <c r="AR1010" s="5">
        <v>1066</v>
      </c>
      <c r="AS1010" s="5" t="s">
        <v>16</v>
      </c>
      <c r="AT1010" s="5" t="s">
        <v>6052</v>
      </c>
      <c r="AU1010" s="5" t="s">
        <v>6053</v>
      </c>
      <c r="AV1010" s="5" t="s">
        <v>16</v>
      </c>
    </row>
    <row r="1011" spans="1:48" ht="45" customHeight="1" x14ac:dyDescent="0.15">
      <c r="A1011" s="5" t="s">
        <v>6055</v>
      </c>
      <c r="B1011" s="5">
        <v>2017</v>
      </c>
      <c r="C1011" s="5" t="s">
        <v>6056</v>
      </c>
      <c r="D1011" s="5" t="s">
        <v>1059</v>
      </c>
      <c r="E1011" s="5" t="s">
        <v>18453</v>
      </c>
      <c r="F1011" s="5" t="s">
        <v>6059</v>
      </c>
      <c r="G1011" s="5"/>
      <c r="H1011" s="5"/>
      <c r="I1011" s="5"/>
      <c r="J1011" s="5"/>
      <c r="K1011" s="5"/>
      <c r="L1011" s="5"/>
      <c r="M1011" s="5"/>
      <c r="N1011" s="5"/>
      <c r="O1011" s="5"/>
      <c r="P1011" s="5"/>
      <c r="Q1011" s="5"/>
      <c r="AL1011" s="7" t="str">
        <f>HYPERLINK("http://dx.doi.org/10.1080/17518369.2017.1310994","http://dx.doi.org/10.1080/17518369.2017.1310994")</f>
        <v>http://dx.doi.org/10.1080/17518369.2017.1310994</v>
      </c>
      <c r="AM1011" s="5">
        <v>2</v>
      </c>
      <c r="AN1011" s="5">
        <v>2</v>
      </c>
      <c r="AO1011" s="5">
        <v>36</v>
      </c>
      <c r="AP1011" s="5" t="s">
        <v>16</v>
      </c>
      <c r="AQ1011" s="5" t="s">
        <v>16</v>
      </c>
      <c r="AR1011" s="5" t="s">
        <v>16</v>
      </c>
      <c r="AS1011" s="5">
        <v>12</v>
      </c>
      <c r="AT1011" s="5" t="s">
        <v>6057</v>
      </c>
      <c r="AU1011" s="5" t="s">
        <v>6058</v>
      </c>
      <c r="AV1011" s="5" t="s">
        <v>6060</v>
      </c>
    </row>
    <row r="1012" spans="1:48" ht="45" customHeight="1" x14ac:dyDescent="0.15">
      <c r="A1012" s="5" t="s">
        <v>6061</v>
      </c>
      <c r="B1012" s="5">
        <v>2011</v>
      </c>
      <c r="C1012" s="5" t="s">
        <v>6062</v>
      </c>
      <c r="D1012" s="5" t="s">
        <v>49</v>
      </c>
      <c r="E1012" s="5" t="s">
        <v>18453</v>
      </c>
      <c r="F1012" s="5" t="s">
        <v>6065</v>
      </c>
      <c r="G1012" s="5"/>
      <c r="H1012" s="5"/>
      <c r="I1012" s="5"/>
      <c r="J1012" s="5"/>
      <c r="K1012" s="5"/>
      <c r="L1012" s="5"/>
      <c r="M1012" s="5"/>
      <c r="N1012" s="5"/>
      <c r="O1012" s="5"/>
      <c r="P1012" s="5"/>
      <c r="Q1012" s="5"/>
      <c r="AL1012" s="7" t="str">
        <f>HYPERLINK("http://dx.doi.org/10.3354/meps09289","http://dx.doi.org/10.3354/meps09289")</f>
        <v>http://dx.doi.org/10.3354/meps09289</v>
      </c>
      <c r="AM1012" s="5">
        <v>19</v>
      </c>
      <c r="AN1012" s="5">
        <v>19</v>
      </c>
      <c r="AO1012" s="5">
        <v>437</v>
      </c>
      <c r="AP1012" s="5" t="s">
        <v>16</v>
      </c>
      <c r="AQ1012" s="5">
        <v>13</v>
      </c>
      <c r="AR1012" s="5">
        <v>26</v>
      </c>
      <c r="AS1012" s="5" t="s">
        <v>16</v>
      </c>
      <c r="AT1012" s="5" t="s">
        <v>6063</v>
      </c>
      <c r="AU1012" s="5" t="s">
        <v>6064</v>
      </c>
      <c r="AV1012" s="5" t="s">
        <v>6066</v>
      </c>
    </row>
    <row r="1013" spans="1:48" ht="45" customHeight="1" x14ac:dyDescent="0.15">
      <c r="A1013" s="5" t="s">
        <v>6067</v>
      </c>
      <c r="B1013" s="5">
        <v>2014</v>
      </c>
      <c r="C1013" s="5" t="s">
        <v>6068</v>
      </c>
      <c r="D1013" s="5" t="s">
        <v>212</v>
      </c>
      <c r="E1013" s="5" t="s">
        <v>18453</v>
      </c>
      <c r="F1013" s="5" t="s">
        <v>6071</v>
      </c>
      <c r="G1013" s="5"/>
      <c r="H1013" s="5"/>
      <c r="I1013" s="5"/>
      <c r="J1013" s="5"/>
      <c r="K1013" s="5"/>
      <c r="L1013" s="5"/>
      <c r="M1013" s="5"/>
      <c r="N1013" s="5"/>
      <c r="O1013" s="5"/>
      <c r="P1013" s="5"/>
      <c r="Q1013" s="5"/>
      <c r="AL1013" s="7" t="str">
        <f>HYPERLINK("http://dx.doi.org/10.1007/s00300-014-1470-5","http://dx.doi.org/10.1007/s00300-014-1470-5")</f>
        <v>http://dx.doi.org/10.1007/s00300-014-1470-5</v>
      </c>
      <c r="AM1013" s="5">
        <v>25</v>
      </c>
      <c r="AN1013" s="5">
        <v>27</v>
      </c>
      <c r="AO1013" s="5">
        <v>37</v>
      </c>
      <c r="AP1013" s="5">
        <v>5</v>
      </c>
      <c r="AQ1013" s="5">
        <v>697</v>
      </c>
      <c r="AR1013" s="5">
        <v>705</v>
      </c>
      <c r="AS1013" s="5" t="s">
        <v>16</v>
      </c>
      <c r="AT1013" s="5" t="s">
        <v>6069</v>
      </c>
      <c r="AU1013" s="5" t="s">
        <v>6070</v>
      </c>
      <c r="AV1013" s="5" t="s">
        <v>6072</v>
      </c>
    </row>
    <row r="1014" spans="1:48" ht="45" customHeight="1" x14ac:dyDescent="0.15">
      <c r="A1014" s="5" t="s">
        <v>6073</v>
      </c>
      <c r="B1014" s="5">
        <v>2021</v>
      </c>
      <c r="C1014" s="5" t="s">
        <v>6074</v>
      </c>
      <c r="D1014" s="5" t="s">
        <v>6075</v>
      </c>
      <c r="E1014" s="5" t="s">
        <v>18453</v>
      </c>
      <c r="F1014" s="5" t="s">
        <v>6078</v>
      </c>
      <c r="G1014" s="5"/>
      <c r="H1014" s="5"/>
      <c r="I1014" s="5"/>
      <c r="J1014" s="5"/>
      <c r="K1014" s="5"/>
      <c r="L1014" s="5"/>
      <c r="M1014" s="5"/>
      <c r="N1014" s="5"/>
      <c r="O1014" s="5"/>
      <c r="P1014" s="5"/>
      <c r="Q1014" s="5"/>
      <c r="AL1014" s="7" t="str">
        <f>HYPERLINK("http://dx.doi.org/10.1111/jeb.13874","http://dx.doi.org/10.1111/jeb.13874")</f>
        <v>http://dx.doi.org/10.1111/jeb.13874</v>
      </c>
      <c r="AM1014" s="5">
        <v>1</v>
      </c>
      <c r="AN1014" s="5">
        <v>1</v>
      </c>
      <c r="AO1014" s="5">
        <v>34</v>
      </c>
      <c r="AP1014" s="5">
        <v>7</v>
      </c>
      <c r="AQ1014" s="5">
        <v>1133</v>
      </c>
      <c r="AR1014" s="5">
        <v>1143</v>
      </c>
      <c r="AS1014" s="5" t="s">
        <v>16</v>
      </c>
      <c r="AT1014" s="5" t="s">
        <v>6076</v>
      </c>
      <c r="AU1014" s="5" t="s">
        <v>6077</v>
      </c>
      <c r="AV1014" s="5" t="s">
        <v>6079</v>
      </c>
    </row>
    <row r="1015" spans="1:48" ht="45" customHeight="1" x14ac:dyDescent="0.15">
      <c r="A1015" s="5" t="s">
        <v>6080</v>
      </c>
      <c r="B1015" s="5">
        <v>2022</v>
      </c>
      <c r="C1015" s="5" t="s">
        <v>6081</v>
      </c>
      <c r="D1015" s="5" t="s">
        <v>6082</v>
      </c>
      <c r="E1015" s="5" t="s">
        <v>18453</v>
      </c>
      <c r="F1015" s="5" t="s">
        <v>6085</v>
      </c>
      <c r="G1015" s="5"/>
      <c r="H1015" s="5"/>
      <c r="I1015" s="5"/>
      <c r="J1015" s="5"/>
      <c r="K1015" s="5"/>
      <c r="L1015" s="5"/>
      <c r="M1015" s="5"/>
      <c r="N1015" s="5"/>
      <c r="O1015" s="5"/>
      <c r="P1015" s="5"/>
      <c r="Q1015" s="5"/>
      <c r="AL1015" s="7" t="str">
        <f>HYPERLINK("http://dx.doi.org/10.1007/s00248-021-01896-4","http://dx.doi.org/10.1007/s00248-021-01896-4")</f>
        <v>http://dx.doi.org/10.1007/s00248-021-01896-4</v>
      </c>
      <c r="AM1015" s="5">
        <v>3</v>
      </c>
      <c r="AN1015" s="5">
        <v>3</v>
      </c>
      <c r="AO1015" s="5">
        <v>84</v>
      </c>
      <c r="AP1015" s="5">
        <v>4</v>
      </c>
      <c r="AQ1015" s="5">
        <v>1042</v>
      </c>
      <c r="AR1015" s="5">
        <v>1054</v>
      </c>
      <c r="AS1015" s="5" t="s">
        <v>16</v>
      </c>
      <c r="AT1015" s="5" t="s">
        <v>6083</v>
      </c>
      <c r="AU1015" s="5" t="s">
        <v>6084</v>
      </c>
      <c r="AV1015" s="5" t="s">
        <v>6086</v>
      </c>
    </row>
    <row r="1016" spans="1:48" ht="45" customHeight="1" x14ac:dyDescent="0.15">
      <c r="A1016" s="5" t="s">
        <v>6087</v>
      </c>
      <c r="B1016" s="5">
        <v>2020</v>
      </c>
      <c r="C1016" s="5" t="s">
        <v>6088</v>
      </c>
      <c r="D1016" s="5" t="s">
        <v>116</v>
      </c>
      <c r="E1016" s="5" t="s">
        <v>18453</v>
      </c>
      <c r="F1016" s="5" t="s">
        <v>6091</v>
      </c>
      <c r="G1016" s="5"/>
      <c r="H1016" s="5"/>
      <c r="I1016" s="5"/>
      <c r="J1016" s="5"/>
      <c r="K1016" s="5"/>
      <c r="L1016" s="5"/>
      <c r="M1016" s="5"/>
      <c r="N1016" s="5"/>
      <c r="O1016" s="5"/>
      <c r="P1016" s="5"/>
      <c r="Q1016" s="5"/>
      <c r="AL1016" s="7" t="str">
        <f>HYPERLINK("http://dx.doi.org/10.1007/s10641-020-00976-7","http://dx.doi.org/10.1007/s10641-020-00976-7")</f>
        <v>http://dx.doi.org/10.1007/s10641-020-00976-7</v>
      </c>
      <c r="AM1016" s="5">
        <v>1</v>
      </c>
      <c r="AN1016" s="5">
        <v>1</v>
      </c>
      <c r="AO1016" s="5">
        <v>103</v>
      </c>
      <c r="AP1016" s="5">
        <v>6</v>
      </c>
      <c r="AQ1016" s="5">
        <v>683</v>
      </c>
      <c r="AR1016" s="5">
        <v>701</v>
      </c>
      <c r="AS1016" s="5" t="s">
        <v>16</v>
      </c>
      <c r="AT1016" s="5" t="s">
        <v>6089</v>
      </c>
      <c r="AU1016" s="5" t="s">
        <v>6090</v>
      </c>
      <c r="AV1016" s="5" t="s">
        <v>6092</v>
      </c>
    </row>
    <row r="1017" spans="1:48" ht="45" customHeight="1" x14ac:dyDescent="0.15">
      <c r="A1017" s="5" t="s">
        <v>6093</v>
      </c>
      <c r="B1017" s="5">
        <v>2015</v>
      </c>
      <c r="C1017" s="5" t="s">
        <v>6094</v>
      </c>
      <c r="D1017" s="5" t="s">
        <v>1765</v>
      </c>
      <c r="E1017" s="5" t="s">
        <v>18453</v>
      </c>
      <c r="F1017" s="5" t="s">
        <v>6097</v>
      </c>
      <c r="G1017" s="5"/>
      <c r="H1017" s="5"/>
      <c r="I1017" s="5"/>
      <c r="J1017" s="5"/>
      <c r="K1017" s="5"/>
      <c r="L1017" s="5"/>
      <c r="M1017" s="5"/>
      <c r="N1017" s="5"/>
      <c r="O1017" s="5"/>
      <c r="P1017" s="5"/>
      <c r="Q1017" s="5"/>
      <c r="AL1017" s="7" t="str">
        <f>HYPERLINK("http://dx.doi.org/10.1016/j.agee.2015.01.011","http://dx.doi.org/10.1016/j.agee.2015.01.011")</f>
        <v>http://dx.doi.org/10.1016/j.agee.2015.01.011</v>
      </c>
      <c r="AM1017" s="5">
        <v>38</v>
      </c>
      <c r="AN1017" s="5">
        <v>46</v>
      </c>
      <c r="AO1017" s="5">
        <v>202</v>
      </c>
      <c r="AP1017" s="5" t="s">
        <v>16</v>
      </c>
      <c r="AQ1017" s="5">
        <v>188</v>
      </c>
      <c r="AR1017" s="5">
        <v>197</v>
      </c>
      <c r="AS1017" s="5" t="s">
        <v>16</v>
      </c>
      <c r="AT1017" s="5" t="s">
        <v>6095</v>
      </c>
      <c r="AU1017" s="5" t="s">
        <v>6096</v>
      </c>
      <c r="AV1017" s="5" t="s">
        <v>6098</v>
      </c>
    </row>
    <row r="1018" spans="1:48" ht="45" customHeight="1" x14ac:dyDescent="0.15">
      <c r="A1018" s="5" t="s">
        <v>6099</v>
      </c>
      <c r="B1018" s="5">
        <v>2010</v>
      </c>
      <c r="C1018" s="5" t="s">
        <v>6100</v>
      </c>
      <c r="D1018" s="5" t="s">
        <v>269</v>
      </c>
      <c r="E1018" s="5" t="s">
        <v>18453</v>
      </c>
      <c r="F1018" s="5" t="s">
        <v>6103</v>
      </c>
      <c r="G1018" s="5"/>
      <c r="H1018" s="5"/>
      <c r="I1018" s="5"/>
      <c r="J1018" s="5"/>
      <c r="K1018" s="5"/>
      <c r="L1018" s="5"/>
      <c r="M1018" s="5"/>
      <c r="N1018" s="5"/>
      <c r="O1018" s="5"/>
      <c r="P1018" s="5"/>
      <c r="Q1018" s="5"/>
      <c r="AL1018" s="7" t="str">
        <f>HYPERLINK("http://dx.doi.org/10.1080/14634988.2010.504140","http://dx.doi.org/10.1080/14634988.2010.504140")</f>
        <v>http://dx.doi.org/10.1080/14634988.2010.504140</v>
      </c>
      <c r="AM1018" s="5">
        <v>10</v>
      </c>
      <c r="AN1018" s="5">
        <v>10</v>
      </c>
      <c r="AO1018" s="5">
        <v>13</v>
      </c>
      <c r="AP1018" s="5">
        <v>3</v>
      </c>
      <c r="AQ1018" s="5">
        <v>269</v>
      </c>
      <c r="AR1018" s="5">
        <v>276</v>
      </c>
      <c r="AS1018" s="5" t="s">
        <v>16</v>
      </c>
      <c r="AT1018" s="5" t="s">
        <v>6101</v>
      </c>
      <c r="AU1018" s="5" t="s">
        <v>6102</v>
      </c>
      <c r="AV1018" s="5" t="s">
        <v>6104</v>
      </c>
    </row>
    <row r="1019" spans="1:48" ht="45" customHeight="1" x14ac:dyDescent="0.15">
      <c r="A1019" s="5" t="s">
        <v>6105</v>
      </c>
      <c r="B1019" s="5">
        <v>2021</v>
      </c>
      <c r="C1019" s="5" t="s">
        <v>6106</v>
      </c>
      <c r="D1019" s="5" t="s">
        <v>262</v>
      </c>
      <c r="E1019" s="5" t="s">
        <v>18453</v>
      </c>
      <c r="F1019" s="5" t="s">
        <v>6109</v>
      </c>
      <c r="G1019" s="5"/>
      <c r="H1019" s="5"/>
      <c r="I1019" s="5"/>
      <c r="J1019" s="5"/>
      <c r="K1019" s="5"/>
      <c r="L1019" s="5"/>
      <c r="M1019" s="5"/>
      <c r="N1019" s="5"/>
      <c r="O1019" s="5"/>
      <c r="P1019" s="5"/>
      <c r="Q1019" s="5"/>
      <c r="AL1019" s="7" t="str">
        <f>HYPERLINK("http://dx.doi.org/10.1111/oik.07875","http://dx.doi.org/10.1111/oik.07875")</f>
        <v>http://dx.doi.org/10.1111/oik.07875</v>
      </c>
      <c r="AM1019" s="5">
        <v>4</v>
      </c>
      <c r="AN1019" s="5">
        <v>4</v>
      </c>
      <c r="AO1019" s="5">
        <v>130</v>
      </c>
      <c r="AP1019" s="5">
        <v>9</v>
      </c>
      <c r="AQ1019" s="5">
        <v>1548</v>
      </c>
      <c r="AR1019" s="5">
        <v>1561</v>
      </c>
      <c r="AS1019" s="5" t="s">
        <v>16</v>
      </c>
      <c r="AT1019" s="5" t="s">
        <v>6107</v>
      </c>
      <c r="AU1019" s="5" t="s">
        <v>6108</v>
      </c>
      <c r="AV1019" s="5" t="s">
        <v>6110</v>
      </c>
    </row>
    <row r="1020" spans="1:48" ht="45" customHeight="1" x14ac:dyDescent="0.15">
      <c r="A1020" s="5" t="s">
        <v>6111</v>
      </c>
      <c r="B1020" s="5">
        <v>2020</v>
      </c>
      <c r="C1020" s="5" t="s">
        <v>6112</v>
      </c>
      <c r="D1020" s="5" t="s">
        <v>15</v>
      </c>
      <c r="E1020" s="5" t="s">
        <v>18453</v>
      </c>
      <c r="F1020" s="5" t="s">
        <v>6115</v>
      </c>
      <c r="G1020" s="5"/>
      <c r="H1020" s="5"/>
      <c r="I1020" s="5"/>
      <c r="J1020" s="5"/>
      <c r="K1020" s="5"/>
      <c r="L1020" s="5"/>
      <c r="M1020" s="5"/>
      <c r="N1020" s="5"/>
      <c r="O1020" s="5"/>
      <c r="P1020" s="5"/>
      <c r="Q1020" s="5"/>
      <c r="AL1020" s="7" t="str">
        <f>HYPERLINK("http://dx.doi.org/10.1002/ece3.6487","http://dx.doi.org/10.1002/ece3.6487")</f>
        <v>http://dx.doi.org/10.1002/ece3.6487</v>
      </c>
      <c r="AM1020" s="5">
        <v>5</v>
      </c>
      <c r="AN1020" s="5">
        <v>5</v>
      </c>
      <c r="AO1020" s="5">
        <v>10</v>
      </c>
      <c r="AP1020" s="5">
        <v>18</v>
      </c>
      <c r="AQ1020" s="5">
        <v>9613</v>
      </c>
      <c r="AR1020" s="5">
        <v>9623</v>
      </c>
      <c r="AS1020" s="5" t="s">
        <v>16</v>
      </c>
      <c r="AT1020" s="5" t="s">
        <v>6113</v>
      </c>
      <c r="AU1020" s="5" t="s">
        <v>6114</v>
      </c>
      <c r="AV1020" s="5" t="s">
        <v>6116</v>
      </c>
    </row>
    <row r="1021" spans="1:48" ht="45" customHeight="1" x14ac:dyDescent="0.15">
      <c r="A1021" s="5" t="s">
        <v>6117</v>
      </c>
      <c r="B1021" s="5">
        <v>2010</v>
      </c>
      <c r="C1021" s="5" t="s">
        <v>6118</v>
      </c>
      <c r="D1021" s="5" t="s">
        <v>33</v>
      </c>
      <c r="E1021" s="5" t="s">
        <v>18453</v>
      </c>
      <c r="F1021" s="5" t="s">
        <v>6121</v>
      </c>
      <c r="G1021" s="5"/>
      <c r="H1021" s="5"/>
      <c r="I1021" s="5"/>
      <c r="J1021" s="5"/>
      <c r="K1021" s="5"/>
      <c r="L1021" s="5"/>
      <c r="M1021" s="5"/>
      <c r="N1021" s="5"/>
      <c r="O1021" s="5"/>
      <c r="P1021" s="5"/>
      <c r="Q1021" s="5"/>
      <c r="AL1021" s="7" t="str">
        <f>HYPERLINK("http://dx.doi.org/10.1111/j.1365-2486.2009.02052.x","http://dx.doi.org/10.1111/j.1365-2486.2009.02052.x")</f>
        <v>http://dx.doi.org/10.1111/j.1365-2486.2009.02052.x</v>
      </c>
      <c r="AM1021" s="5">
        <v>90</v>
      </c>
      <c r="AN1021" s="5">
        <v>94</v>
      </c>
      <c r="AO1021" s="5">
        <v>16</v>
      </c>
      <c r="AP1021" s="5">
        <v>7</v>
      </c>
      <c r="AQ1021" s="5">
        <v>1979</v>
      </c>
      <c r="AR1021" s="5">
        <v>1991</v>
      </c>
      <c r="AS1021" s="5" t="s">
        <v>16</v>
      </c>
      <c r="AT1021" s="5" t="s">
        <v>6119</v>
      </c>
      <c r="AU1021" s="5" t="s">
        <v>6120</v>
      </c>
      <c r="AV1021" s="5" t="s">
        <v>6122</v>
      </c>
    </row>
    <row r="1022" spans="1:48" ht="45" customHeight="1" x14ac:dyDescent="0.15">
      <c r="A1022" s="5" t="s">
        <v>6123</v>
      </c>
      <c r="B1022" s="5">
        <v>2014</v>
      </c>
      <c r="C1022" s="5" t="s">
        <v>6124</v>
      </c>
      <c r="D1022" s="5" t="s">
        <v>249</v>
      </c>
      <c r="E1022" s="5" t="s">
        <v>18453</v>
      </c>
      <c r="F1022" s="5" t="s">
        <v>6127</v>
      </c>
      <c r="G1022" s="5"/>
      <c r="H1022" s="5"/>
      <c r="I1022" s="5"/>
      <c r="J1022" s="5"/>
      <c r="K1022" s="5"/>
      <c r="L1022" s="5"/>
      <c r="M1022" s="5"/>
      <c r="N1022" s="5"/>
      <c r="O1022" s="5"/>
      <c r="P1022" s="5"/>
      <c r="Q1022" s="5"/>
      <c r="AL1022" s="7" t="str">
        <f>HYPERLINK("http://dx.doi.org/10.1016/j.jaridenv.2013.11.005","http://dx.doi.org/10.1016/j.jaridenv.2013.11.005")</f>
        <v>http://dx.doi.org/10.1016/j.jaridenv.2013.11.005</v>
      </c>
      <c r="AM1022" s="5">
        <v>12</v>
      </c>
      <c r="AN1022" s="5">
        <v>13</v>
      </c>
      <c r="AO1022" s="5">
        <v>102</v>
      </c>
      <c r="AP1022" s="5" t="s">
        <v>16</v>
      </c>
      <c r="AQ1022" s="5">
        <v>58</v>
      </c>
      <c r="AR1022" s="5">
        <v>67</v>
      </c>
      <c r="AS1022" s="5" t="s">
        <v>16</v>
      </c>
      <c r="AT1022" s="5" t="s">
        <v>6125</v>
      </c>
      <c r="AU1022" s="5" t="s">
        <v>6126</v>
      </c>
      <c r="AV1022" s="5" t="s">
        <v>6128</v>
      </c>
    </row>
    <row r="1023" spans="1:48" ht="45" customHeight="1" x14ac:dyDescent="0.15">
      <c r="A1023" s="5" t="s">
        <v>6129</v>
      </c>
      <c r="B1023" s="5">
        <v>2018</v>
      </c>
      <c r="C1023" s="5" t="s">
        <v>6130</v>
      </c>
      <c r="D1023" s="5" t="s">
        <v>973</v>
      </c>
      <c r="E1023" s="5" t="s">
        <v>18453</v>
      </c>
      <c r="F1023" s="5" t="s">
        <v>6132</v>
      </c>
      <c r="G1023" s="5"/>
      <c r="H1023" s="5"/>
      <c r="I1023" s="5"/>
      <c r="J1023" s="5"/>
      <c r="K1023" s="5"/>
      <c r="L1023" s="5"/>
      <c r="M1023" s="5"/>
      <c r="N1023" s="5"/>
      <c r="O1023" s="5"/>
      <c r="P1023" s="5"/>
      <c r="Q1023" s="5"/>
      <c r="AL1023" s="7" t="str">
        <f>HYPERLINK("http://dx.doi.org/10.5194/bg-15-3953-2018","http://dx.doi.org/10.5194/bg-15-3953-2018")</f>
        <v>http://dx.doi.org/10.5194/bg-15-3953-2018</v>
      </c>
      <c r="AM1023" s="5">
        <v>29</v>
      </c>
      <c r="AN1023" s="5">
        <v>32</v>
      </c>
      <c r="AO1023" s="5">
        <v>15</v>
      </c>
      <c r="AP1023" s="5">
        <v>13</v>
      </c>
      <c r="AQ1023" s="5">
        <v>3953</v>
      </c>
      <c r="AR1023" s="5">
        <v>3965</v>
      </c>
      <c r="AS1023" s="5" t="s">
        <v>16</v>
      </c>
      <c r="AT1023" s="5" t="s">
        <v>16</v>
      </c>
      <c r="AU1023" s="5" t="s">
        <v>6131</v>
      </c>
      <c r="AV1023" s="5" t="s">
        <v>6133</v>
      </c>
    </row>
    <row r="1024" spans="1:48" ht="45" customHeight="1" x14ac:dyDescent="0.15">
      <c r="A1024" s="5" t="s">
        <v>6134</v>
      </c>
      <c r="B1024" s="5">
        <v>2022</v>
      </c>
      <c r="C1024" s="5" t="s">
        <v>6135</v>
      </c>
      <c r="D1024" s="5" t="s">
        <v>2517</v>
      </c>
      <c r="E1024" s="5" t="s">
        <v>18453</v>
      </c>
      <c r="F1024" s="5" t="s">
        <v>6138</v>
      </c>
      <c r="G1024" s="5"/>
      <c r="H1024" s="5"/>
      <c r="I1024" s="5"/>
      <c r="J1024" s="5"/>
      <c r="K1024" s="5"/>
      <c r="L1024" s="5"/>
      <c r="M1024" s="5"/>
      <c r="N1024" s="5"/>
      <c r="O1024" s="5"/>
      <c r="P1024" s="5"/>
      <c r="Q1024" s="5"/>
      <c r="AL1024" s="7" t="str">
        <f>HYPERLINK("http://dx.doi.org/10.1016/j.ecolecon.2021.107337","http://dx.doi.org/10.1016/j.ecolecon.2021.107337")</f>
        <v>http://dx.doi.org/10.1016/j.ecolecon.2021.107337</v>
      </c>
      <c r="AM1024" s="5">
        <v>3</v>
      </c>
      <c r="AN1024" s="5">
        <v>3</v>
      </c>
      <c r="AO1024" s="5">
        <v>194</v>
      </c>
      <c r="AP1024" s="5" t="s">
        <v>16</v>
      </c>
      <c r="AQ1024" s="5" t="s">
        <v>16</v>
      </c>
      <c r="AR1024" s="5" t="s">
        <v>16</v>
      </c>
      <c r="AS1024" s="5">
        <v>107337</v>
      </c>
      <c r="AT1024" s="5" t="s">
        <v>6136</v>
      </c>
      <c r="AU1024" s="5" t="s">
        <v>6137</v>
      </c>
      <c r="AV1024" s="5" t="s">
        <v>6139</v>
      </c>
    </row>
    <row r="1025" spans="1:48" ht="45" customHeight="1" x14ac:dyDescent="0.15">
      <c r="A1025" s="5" t="s">
        <v>6140</v>
      </c>
      <c r="B1025" s="5">
        <v>2016</v>
      </c>
      <c r="C1025" s="5" t="s">
        <v>6141</v>
      </c>
      <c r="D1025" s="5" t="s">
        <v>2976</v>
      </c>
      <c r="E1025" s="5" t="s">
        <v>18453</v>
      </c>
      <c r="F1025" s="5" t="s">
        <v>6144</v>
      </c>
      <c r="G1025" s="5"/>
      <c r="H1025" s="5"/>
      <c r="I1025" s="5"/>
      <c r="J1025" s="5"/>
      <c r="K1025" s="5"/>
      <c r="L1025" s="5"/>
      <c r="M1025" s="5"/>
      <c r="N1025" s="5"/>
      <c r="O1025" s="5"/>
      <c r="P1025" s="5"/>
      <c r="Q1025" s="5"/>
      <c r="AL1025" s="7" t="str">
        <f>HYPERLINK("http://dx.doi.org/10.1016/j.gecco.2016.03.004","http://dx.doi.org/10.1016/j.gecco.2016.03.004")</f>
        <v>http://dx.doi.org/10.1016/j.gecco.2016.03.004</v>
      </c>
      <c r="AM1025" s="5">
        <v>17</v>
      </c>
      <c r="AN1025" s="5">
        <v>19</v>
      </c>
      <c r="AO1025" s="5">
        <v>6</v>
      </c>
      <c r="AP1025" s="5" t="s">
        <v>16</v>
      </c>
      <c r="AQ1025" s="5">
        <v>232</v>
      </c>
      <c r="AR1025" s="5">
        <v>241</v>
      </c>
      <c r="AS1025" s="5" t="s">
        <v>16</v>
      </c>
      <c r="AT1025" s="5" t="s">
        <v>6142</v>
      </c>
      <c r="AU1025" s="5" t="s">
        <v>6143</v>
      </c>
      <c r="AV1025" s="5" t="s">
        <v>6145</v>
      </c>
    </row>
    <row r="1026" spans="1:48" ht="45" customHeight="1" x14ac:dyDescent="0.15">
      <c r="A1026" s="5" t="s">
        <v>6146</v>
      </c>
      <c r="B1026" s="5">
        <v>2008</v>
      </c>
      <c r="C1026" s="5" t="s">
        <v>6147</v>
      </c>
      <c r="D1026" s="5" t="s">
        <v>49</v>
      </c>
      <c r="E1026" s="5" t="s">
        <v>18453</v>
      </c>
      <c r="F1026" s="5" t="s">
        <v>6150</v>
      </c>
      <c r="G1026" s="5"/>
      <c r="H1026" s="5"/>
      <c r="I1026" s="5"/>
      <c r="J1026" s="5"/>
      <c r="K1026" s="5"/>
      <c r="L1026" s="5"/>
      <c r="M1026" s="5"/>
      <c r="N1026" s="5"/>
      <c r="O1026" s="5"/>
      <c r="P1026" s="5"/>
      <c r="Q1026" s="5"/>
      <c r="AL1026" s="7" t="str">
        <f>HYPERLINK("http://dx.doi.org/10.3354/meps07635","http://dx.doi.org/10.3354/meps07635")</f>
        <v>http://dx.doi.org/10.3354/meps07635</v>
      </c>
      <c r="AM1026" s="5">
        <v>37</v>
      </c>
      <c r="AN1026" s="5">
        <v>38</v>
      </c>
      <c r="AO1026" s="5">
        <v>368</v>
      </c>
      <c r="AP1026" s="5" t="s">
        <v>16</v>
      </c>
      <c r="AQ1026" s="5">
        <v>1</v>
      </c>
      <c r="AR1026" s="5">
        <v>8</v>
      </c>
      <c r="AS1026" s="5" t="s">
        <v>16</v>
      </c>
      <c r="AT1026" s="5" t="s">
        <v>6148</v>
      </c>
      <c r="AU1026" s="5" t="s">
        <v>6149</v>
      </c>
      <c r="AV1026" s="5" t="s">
        <v>6151</v>
      </c>
    </row>
    <row r="1027" spans="1:48" ht="45" customHeight="1" x14ac:dyDescent="0.15">
      <c r="A1027" s="5" t="s">
        <v>6152</v>
      </c>
      <c r="B1027" s="5">
        <v>2023</v>
      </c>
      <c r="C1027" s="5" t="s">
        <v>6153</v>
      </c>
      <c r="D1027" s="5" t="s">
        <v>59</v>
      </c>
      <c r="E1027" s="5" t="s">
        <v>18453</v>
      </c>
      <c r="F1027" s="5" t="s">
        <v>6156</v>
      </c>
      <c r="G1027" s="5"/>
      <c r="H1027" s="5"/>
      <c r="I1027" s="5"/>
      <c r="J1027" s="5"/>
      <c r="K1027" s="5"/>
      <c r="L1027" s="5"/>
      <c r="M1027" s="5"/>
      <c r="N1027" s="5"/>
      <c r="O1027" s="5"/>
      <c r="P1027" s="5"/>
      <c r="Q1027" s="5"/>
      <c r="AL1027" s="7" t="str">
        <f>HYPERLINK("http://dx.doi.org/10.1111/ele.14149","http://dx.doi.org/10.1111/ele.14149")</f>
        <v>http://dx.doi.org/10.1111/ele.14149</v>
      </c>
      <c r="AM1027" s="5">
        <v>0</v>
      </c>
      <c r="AN1027" s="5">
        <v>0</v>
      </c>
      <c r="AO1027" s="5">
        <v>26</v>
      </c>
      <c r="AP1027" s="5">
        <v>2</v>
      </c>
      <c r="AQ1027" s="5">
        <v>257</v>
      </c>
      <c r="AR1027" s="5">
        <v>267</v>
      </c>
      <c r="AS1027" s="5" t="s">
        <v>16</v>
      </c>
      <c r="AT1027" s="5" t="s">
        <v>6154</v>
      </c>
      <c r="AU1027" s="5" t="s">
        <v>6155</v>
      </c>
      <c r="AV1027" s="5" t="s">
        <v>6157</v>
      </c>
    </row>
    <row r="1028" spans="1:48" ht="45" customHeight="1" x14ac:dyDescent="0.15">
      <c r="A1028" s="5" t="s">
        <v>6158</v>
      </c>
      <c r="B1028" s="5">
        <v>2010</v>
      </c>
      <c r="C1028" s="5" t="s">
        <v>6159</v>
      </c>
      <c r="D1028" s="5" t="s">
        <v>162</v>
      </c>
      <c r="E1028" s="5" t="s">
        <v>18453</v>
      </c>
      <c r="F1028" s="5" t="s">
        <v>6162</v>
      </c>
      <c r="G1028" s="5"/>
      <c r="H1028" s="5"/>
      <c r="I1028" s="5"/>
      <c r="J1028" s="5"/>
      <c r="K1028" s="5"/>
      <c r="L1028" s="5"/>
      <c r="M1028" s="5"/>
      <c r="N1028" s="5"/>
      <c r="O1028" s="5"/>
      <c r="P1028" s="5"/>
      <c r="Q1028" s="5"/>
      <c r="AL1028" s="7" t="str">
        <f>HYPERLINK("http://dx.doi.org/10.1111/j.1365-2435.2010.01689.x","http://dx.doi.org/10.1111/j.1365-2435.2010.01689.x")</f>
        <v>http://dx.doi.org/10.1111/j.1365-2435.2010.01689.x</v>
      </c>
      <c r="AM1028" s="5">
        <v>34</v>
      </c>
      <c r="AN1028" s="5">
        <v>34</v>
      </c>
      <c r="AO1028" s="5">
        <v>24</v>
      </c>
      <c r="AP1028" s="5">
        <v>4</v>
      </c>
      <c r="AQ1028" s="5">
        <v>796</v>
      </c>
      <c r="AR1028" s="5">
        <v>804</v>
      </c>
      <c r="AS1028" s="5" t="s">
        <v>16</v>
      </c>
      <c r="AT1028" s="5" t="s">
        <v>6160</v>
      </c>
      <c r="AU1028" s="5" t="s">
        <v>6161</v>
      </c>
      <c r="AV1028" s="5" t="s">
        <v>6163</v>
      </c>
    </row>
    <row r="1029" spans="1:48" ht="45" customHeight="1" x14ac:dyDescent="0.15">
      <c r="A1029" s="5" t="s">
        <v>6164</v>
      </c>
      <c r="B1029" s="5">
        <v>2021</v>
      </c>
      <c r="C1029" s="5" t="s">
        <v>6165</v>
      </c>
      <c r="D1029" s="5" t="s">
        <v>111</v>
      </c>
      <c r="E1029" s="5" t="s">
        <v>18453</v>
      </c>
      <c r="F1029" s="5" t="s">
        <v>6167</v>
      </c>
      <c r="G1029" s="5"/>
      <c r="H1029" s="5"/>
      <c r="I1029" s="5"/>
      <c r="J1029" s="5"/>
      <c r="K1029" s="5"/>
      <c r="L1029" s="5"/>
      <c r="M1029" s="5"/>
      <c r="N1029" s="5"/>
      <c r="O1029" s="5"/>
      <c r="P1029" s="5"/>
      <c r="Q1029" s="5"/>
      <c r="AL1029" s="7" t="str">
        <f>HYPERLINK("http://dx.doi.org/10.1007/s10452-021-09859-0","http://dx.doi.org/10.1007/s10452-021-09859-0")</f>
        <v>http://dx.doi.org/10.1007/s10452-021-09859-0</v>
      </c>
      <c r="AM1029" s="5">
        <v>8</v>
      </c>
      <c r="AN1029" s="5">
        <v>8</v>
      </c>
      <c r="AO1029" s="5">
        <v>55</v>
      </c>
      <c r="AP1029" s="5">
        <v>3</v>
      </c>
      <c r="AQ1029" s="5">
        <v>765</v>
      </c>
      <c r="AR1029" s="5">
        <v>777</v>
      </c>
      <c r="AS1029" s="5" t="s">
        <v>16</v>
      </c>
      <c r="AT1029" s="5" t="s">
        <v>6166</v>
      </c>
      <c r="AU1029" s="5" t="s">
        <v>16</v>
      </c>
      <c r="AV1029" s="5" t="s">
        <v>6168</v>
      </c>
    </row>
    <row r="1030" spans="1:48" ht="45" customHeight="1" x14ac:dyDescent="0.15">
      <c r="A1030" s="5" t="s">
        <v>6169</v>
      </c>
      <c r="B1030" s="5">
        <v>2021</v>
      </c>
      <c r="C1030" s="5" t="s">
        <v>6170</v>
      </c>
      <c r="D1030" s="5" t="s">
        <v>49</v>
      </c>
      <c r="E1030" s="5" t="s">
        <v>18453</v>
      </c>
      <c r="F1030" s="5" t="s">
        <v>6173</v>
      </c>
      <c r="G1030" s="5"/>
      <c r="H1030" s="5"/>
      <c r="I1030" s="5"/>
      <c r="J1030" s="5"/>
      <c r="K1030" s="5"/>
      <c r="L1030" s="5"/>
      <c r="M1030" s="5"/>
      <c r="N1030" s="5"/>
      <c r="O1030" s="5"/>
      <c r="P1030" s="5"/>
      <c r="Q1030" s="5"/>
      <c r="AL1030" s="7" t="str">
        <f>HYPERLINK("http://dx.doi.org/10.3354/meps13834","http://dx.doi.org/10.3354/meps13834")</f>
        <v>http://dx.doi.org/10.3354/meps13834</v>
      </c>
      <c r="AM1030" s="5">
        <v>4</v>
      </c>
      <c r="AN1030" s="5">
        <v>4</v>
      </c>
      <c r="AO1030" s="5">
        <v>675</v>
      </c>
      <c r="AP1030" s="5" t="s">
        <v>16</v>
      </c>
      <c r="AQ1030" s="5">
        <v>181</v>
      </c>
      <c r="AR1030" s="5">
        <v>197</v>
      </c>
      <c r="AS1030" s="5" t="s">
        <v>16</v>
      </c>
      <c r="AT1030" s="5" t="s">
        <v>6171</v>
      </c>
      <c r="AU1030" s="5" t="s">
        <v>6172</v>
      </c>
      <c r="AV1030" s="5" t="s">
        <v>6174</v>
      </c>
    </row>
    <row r="1031" spans="1:48" ht="45" customHeight="1" x14ac:dyDescent="0.15">
      <c r="A1031" s="5" t="s">
        <v>6175</v>
      </c>
      <c r="B1031" s="5">
        <v>2017</v>
      </c>
      <c r="C1031" s="5" t="s">
        <v>6176</v>
      </c>
      <c r="D1031" s="5" t="s">
        <v>162</v>
      </c>
      <c r="E1031" s="5" t="s">
        <v>18453</v>
      </c>
      <c r="F1031" s="5" t="s">
        <v>6179</v>
      </c>
      <c r="G1031" s="5"/>
      <c r="H1031" s="5"/>
      <c r="I1031" s="5"/>
      <c r="J1031" s="5"/>
      <c r="K1031" s="5"/>
      <c r="L1031" s="5"/>
      <c r="M1031" s="5"/>
      <c r="N1031" s="5"/>
      <c r="O1031" s="5"/>
      <c r="P1031" s="5"/>
      <c r="Q1031" s="5"/>
      <c r="AL1031" s="7" t="str">
        <f>HYPERLINK("http://dx.doi.org/10.1111/1365-2435.12737","http://dx.doi.org/10.1111/1365-2435.12737")</f>
        <v>http://dx.doi.org/10.1111/1365-2435.12737</v>
      </c>
      <c r="AM1031" s="5">
        <v>28</v>
      </c>
      <c r="AN1031" s="5">
        <v>32</v>
      </c>
      <c r="AO1031" s="5">
        <v>31</v>
      </c>
      <c r="AP1031" s="5">
        <v>2</v>
      </c>
      <c r="AQ1031" s="5">
        <v>488</v>
      </c>
      <c r="AR1031" s="5">
        <v>498</v>
      </c>
      <c r="AS1031" s="5" t="s">
        <v>16</v>
      </c>
      <c r="AT1031" s="5" t="s">
        <v>6177</v>
      </c>
      <c r="AU1031" s="5" t="s">
        <v>6178</v>
      </c>
      <c r="AV1031" s="5" t="s">
        <v>6180</v>
      </c>
    </row>
    <row r="1032" spans="1:48" ht="45" customHeight="1" x14ac:dyDescent="0.15">
      <c r="A1032" s="5" t="s">
        <v>6181</v>
      </c>
      <c r="B1032" s="5">
        <v>2017</v>
      </c>
      <c r="C1032" s="5" t="s">
        <v>6182</v>
      </c>
      <c r="D1032" s="5" t="s">
        <v>49</v>
      </c>
      <c r="E1032" s="5" t="s">
        <v>18453</v>
      </c>
      <c r="F1032" s="5" t="s">
        <v>6185</v>
      </c>
      <c r="G1032" s="5"/>
      <c r="H1032" s="5"/>
      <c r="I1032" s="5"/>
      <c r="J1032" s="5"/>
      <c r="K1032" s="5"/>
      <c r="L1032" s="5"/>
      <c r="M1032" s="5"/>
      <c r="N1032" s="5"/>
      <c r="O1032" s="5"/>
      <c r="P1032" s="5"/>
      <c r="Q1032" s="5"/>
      <c r="AL1032" s="7" t="str">
        <f>HYPERLINK("http://dx.doi.org/10.3354/meps12240","http://dx.doi.org/10.3354/meps12240")</f>
        <v>http://dx.doi.org/10.3354/meps12240</v>
      </c>
      <c r="AM1032" s="5">
        <v>14</v>
      </c>
      <c r="AN1032" s="5">
        <v>14</v>
      </c>
      <c r="AO1032" s="5">
        <v>577</v>
      </c>
      <c r="AP1032" s="5" t="s">
        <v>16</v>
      </c>
      <c r="AQ1032" s="5">
        <v>237</v>
      </c>
      <c r="AR1032" s="5">
        <v>250</v>
      </c>
      <c r="AS1032" s="5" t="s">
        <v>16</v>
      </c>
      <c r="AT1032" s="5" t="s">
        <v>6183</v>
      </c>
      <c r="AU1032" s="5" t="s">
        <v>6184</v>
      </c>
      <c r="AV1032" s="5" t="s">
        <v>6186</v>
      </c>
    </row>
    <row r="1033" spans="1:48" ht="45" customHeight="1" x14ac:dyDescent="0.15">
      <c r="A1033" s="5" t="s">
        <v>6187</v>
      </c>
      <c r="B1033" s="5">
        <v>2015</v>
      </c>
      <c r="C1033" s="5" t="s">
        <v>6188</v>
      </c>
      <c r="D1033" s="5" t="s">
        <v>296</v>
      </c>
      <c r="E1033" s="5" t="s">
        <v>18453</v>
      </c>
      <c r="F1033" s="5" t="s">
        <v>6191</v>
      </c>
      <c r="G1033" s="5"/>
      <c r="H1033" s="5"/>
      <c r="I1033" s="5"/>
      <c r="J1033" s="5"/>
      <c r="K1033" s="5"/>
      <c r="L1033" s="5"/>
      <c r="M1033" s="5"/>
      <c r="N1033" s="5"/>
      <c r="O1033" s="5"/>
      <c r="P1033" s="5"/>
      <c r="Q1033" s="5"/>
      <c r="AL1033" s="7" t="str">
        <f>HYPERLINK("http://dx.doi.org/10.1098/rspb.2015.0032","http://dx.doi.org/10.1098/rspb.2015.0032")</f>
        <v>http://dx.doi.org/10.1098/rspb.2015.0032</v>
      </c>
      <c r="AM1033" s="5">
        <v>82</v>
      </c>
      <c r="AN1033" s="5">
        <v>84</v>
      </c>
      <c r="AO1033" s="5">
        <v>282</v>
      </c>
      <c r="AP1033" s="5">
        <v>1805</v>
      </c>
      <c r="AQ1033" s="5" t="s">
        <v>16</v>
      </c>
      <c r="AR1033" s="5" t="s">
        <v>16</v>
      </c>
      <c r="AS1033" s="5">
        <v>20150032</v>
      </c>
      <c r="AT1033" s="5" t="s">
        <v>6189</v>
      </c>
      <c r="AU1033" s="5" t="s">
        <v>6190</v>
      </c>
      <c r="AV1033" s="5" t="s">
        <v>6192</v>
      </c>
    </row>
    <row r="1034" spans="1:48" ht="45" customHeight="1" x14ac:dyDescent="0.15">
      <c r="A1034" s="5" t="s">
        <v>6193</v>
      </c>
      <c r="B1034" s="5">
        <v>2009</v>
      </c>
      <c r="C1034" s="5" t="s">
        <v>6194</v>
      </c>
      <c r="D1034" s="5" t="s">
        <v>172</v>
      </c>
      <c r="E1034" s="5" t="s">
        <v>18453</v>
      </c>
      <c r="F1034" s="5" t="s">
        <v>6197</v>
      </c>
      <c r="G1034" s="5"/>
      <c r="H1034" s="5"/>
      <c r="I1034" s="5"/>
      <c r="J1034" s="5"/>
      <c r="K1034" s="5"/>
      <c r="L1034" s="5"/>
      <c r="M1034" s="5"/>
      <c r="N1034" s="5"/>
      <c r="O1034" s="5"/>
      <c r="P1034" s="5"/>
      <c r="Q1034" s="5"/>
      <c r="AL1034" s="7" t="str">
        <f>HYPERLINK("http://dx.doi.org/10.1007/s00442-009-1411-0","http://dx.doi.org/10.1007/s00442-009-1411-0")</f>
        <v>http://dx.doi.org/10.1007/s00442-009-1411-0</v>
      </c>
      <c r="AM1034" s="5">
        <v>74</v>
      </c>
      <c r="AN1034" s="5">
        <v>75</v>
      </c>
      <c r="AO1034" s="5">
        <v>161</v>
      </c>
      <c r="AP1034" s="5">
        <v>4</v>
      </c>
      <c r="AQ1034" s="5">
        <v>825</v>
      </c>
      <c r="AR1034" s="5">
        <v>835</v>
      </c>
      <c r="AS1034" s="5" t="s">
        <v>16</v>
      </c>
      <c r="AT1034" s="5" t="s">
        <v>6195</v>
      </c>
      <c r="AU1034" s="5" t="s">
        <v>6196</v>
      </c>
      <c r="AV1034" s="5" t="s">
        <v>6198</v>
      </c>
    </row>
    <row r="1035" spans="1:48" ht="45" customHeight="1" x14ac:dyDescent="0.15">
      <c r="A1035" s="5" t="s">
        <v>6199</v>
      </c>
      <c r="B1035" s="5">
        <v>2021</v>
      </c>
      <c r="C1035" s="5" t="s">
        <v>6200</v>
      </c>
      <c r="D1035" s="5" t="s">
        <v>1621</v>
      </c>
      <c r="E1035" s="5" t="s">
        <v>18453</v>
      </c>
      <c r="F1035" s="5" t="s">
        <v>6203</v>
      </c>
      <c r="G1035" s="5"/>
      <c r="H1035" s="5"/>
      <c r="I1035" s="5"/>
      <c r="J1035" s="5"/>
      <c r="K1035" s="5"/>
      <c r="L1035" s="5"/>
      <c r="M1035" s="5"/>
      <c r="N1035" s="5"/>
      <c r="O1035" s="5"/>
      <c r="P1035" s="5"/>
      <c r="Q1035" s="5"/>
      <c r="AL1035" s="7" t="str">
        <f>HYPERLINK("http://dx.doi.org/10.1093/conphys/coaa123","http://dx.doi.org/10.1093/conphys/coaa123")</f>
        <v>http://dx.doi.org/10.1093/conphys/coaa123</v>
      </c>
      <c r="AM1035" s="5">
        <v>2</v>
      </c>
      <c r="AN1035" s="5">
        <v>2</v>
      </c>
      <c r="AO1035" s="5">
        <v>9</v>
      </c>
      <c r="AP1035" s="5" t="s">
        <v>16</v>
      </c>
      <c r="AQ1035" s="5" t="s">
        <v>16</v>
      </c>
      <c r="AR1035" s="5" t="s">
        <v>16</v>
      </c>
      <c r="AS1035" s="5" t="s">
        <v>6204</v>
      </c>
      <c r="AT1035" s="5" t="s">
        <v>6201</v>
      </c>
      <c r="AU1035" s="5" t="s">
        <v>6202</v>
      </c>
      <c r="AV1035" s="5" t="s">
        <v>6205</v>
      </c>
    </row>
    <row r="1036" spans="1:48" ht="45" customHeight="1" x14ac:dyDescent="0.15">
      <c r="A1036" s="5" t="s">
        <v>6206</v>
      </c>
      <c r="B1036" s="5">
        <v>2011</v>
      </c>
      <c r="C1036" s="5" t="s">
        <v>6207</v>
      </c>
      <c r="D1036" s="5" t="s">
        <v>295</v>
      </c>
      <c r="E1036" s="5" t="s">
        <v>18453</v>
      </c>
      <c r="F1036" s="5" t="s">
        <v>6210</v>
      </c>
      <c r="G1036" s="5"/>
      <c r="H1036" s="5"/>
      <c r="I1036" s="5"/>
      <c r="J1036" s="5"/>
      <c r="K1036" s="5"/>
      <c r="L1036" s="5"/>
      <c r="M1036" s="5"/>
      <c r="N1036" s="5"/>
      <c r="O1036" s="5"/>
      <c r="P1036" s="5"/>
      <c r="Q1036" s="5"/>
      <c r="AL1036" s="7" t="str">
        <f>HYPERLINK("http://dx.doi.org/10.1016/j.jembe.2010.11.024","http://dx.doi.org/10.1016/j.jembe.2010.11.024")</f>
        <v>http://dx.doi.org/10.1016/j.jembe.2010.11.024</v>
      </c>
      <c r="AM1036" s="5">
        <v>24</v>
      </c>
      <c r="AN1036" s="5">
        <v>24</v>
      </c>
      <c r="AO1036" s="5">
        <v>397</v>
      </c>
      <c r="AP1036" s="5">
        <v>2</v>
      </c>
      <c r="AQ1036" s="5">
        <v>136</v>
      </c>
      <c r="AR1036" s="5">
        <v>143</v>
      </c>
      <c r="AS1036" s="5" t="s">
        <v>16</v>
      </c>
      <c r="AT1036" s="5" t="s">
        <v>6208</v>
      </c>
      <c r="AU1036" s="5" t="s">
        <v>6209</v>
      </c>
      <c r="AV1036" s="5" t="s">
        <v>6211</v>
      </c>
    </row>
    <row r="1037" spans="1:48" ht="45" customHeight="1" x14ac:dyDescent="0.15">
      <c r="A1037" s="5" t="s">
        <v>6212</v>
      </c>
      <c r="B1037" s="5">
        <v>2020</v>
      </c>
      <c r="C1037" s="5" t="s">
        <v>6213</v>
      </c>
      <c r="D1037" s="5" t="s">
        <v>49</v>
      </c>
      <c r="E1037" s="5" t="s">
        <v>18453</v>
      </c>
      <c r="F1037" s="5" t="s">
        <v>6216</v>
      </c>
      <c r="G1037" s="5"/>
      <c r="H1037" s="5"/>
      <c r="I1037" s="5"/>
      <c r="J1037" s="5"/>
      <c r="K1037" s="5"/>
      <c r="L1037" s="5"/>
      <c r="M1037" s="5"/>
      <c r="N1037" s="5"/>
      <c r="O1037" s="5"/>
      <c r="P1037" s="5"/>
      <c r="Q1037" s="5"/>
      <c r="AL1037" s="7" t="str">
        <f>HYPERLINK("http://dx.doi.org/10.3354/meps13387","http://dx.doi.org/10.3354/meps13387")</f>
        <v>http://dx.doi.org/10.3354/meps13387</v>
      </c>
      <c r="AM1037" s="5">
        <v>7</v>
      </c>
      <c r="AN1037" s="5">
        <v>7</v>
      </c>
      <c r="AO1037" s="5">
        <v>646</v>
      </c>
      <c r="AP1037" s="5" t="s">
        <v>16</v>
      </c>
      <c r="AQ1037" s="5">
        <v>189</v>
      </c>
      <c r="AR1037" s="5">
        <v>200</v>
      </c>
      <c r="AS1037" s="5" t="s">
        <v>16</v>
      </c>
      <c r="AT1037" s="5" t="s">
        <v>6214</v>
      </c>
      <c r="AU1037" s="5" t="s">
        <v>6215</v>
      </c>
      <c r="AV1037" s="5" t="s">
        <v>6217</v>
      </c>
    </row>
    <row r="1038" spans="1:48" ht="45" customHeight="1" x14ac:dyDescent="0.15">
      <c r="A1038" s="5" t="s">
        <v>6218</v>
      </c>
      <c r="B1038" s="5">
        <v>2022</v>
      </c>
      <c r="C1038" s="5" t="s">
        <v>6219</v>
      </c>
      <c r="D1038" s="5" t="s">
        <v>116</v>
      </c>
      <c r="E1038" s="5" t="s">
        <v>18453</v>
      </c>
      <c r="F1038" s="5" t="s">
        <v>6222</v>
      </c>
      <c r="G1038" s="5"/>
      <c r="H1038" s="5"/>
      <c r="I1038" s="5"/>
      <c r="J1038" s="5"/>
      <c r="K1038" s="5"/>
      <c r="L1038" s="5"/>
      <c r="M1038" s="5"/>
      <c r="N1038" s="5"/>
      <c r="O1038" s="5"/>
      <c r="P1038" s="5"/>
      <c r="Q1038" s="5"/>
      <c r="AL1038" s="7" t="str">
        <f>HYPERLINK("http://dx.doi.org/10.1007/s10641-022-01210-2","http://dx.doi.org/10.1007/s10641-022-01210-2")</f>
        <v>http://dx.doi.org/10.1007/s10641-022-01210-2</v>
      </c>
      <c r="AM1038" s="5">
        <v>4</v>
      </c>
      <c r="AN1038" s="5">
        <v>4</v>
      </c>
      <c r="AO1038" s="5">
        <v>105</v>
      </c>
      <c r="AP1038" s="5">
        <v>12</v>
      </c>
      <c r="AQ1038" s="5">
        <v>1887</v>
      </c>
      <c r="AR1038" s="5">
        <v>1906</v>
      </c>
      <c r="AS1038" s="5" t="s">
        <v>16</v>
      </c>
      <c r="AT1038" s="5" t="s">
        <v>6220</v>
      </c>
      <c r="AU1038" s="5" t="s">
        <v>6221</v>
      </c>
      <c r="AV1038" s="5" t="s">
        <v>6223</v>
      </c>
    </row>
    <row r="1039" spans="1:48" ht="45" customHeight="1" x14ac:dyDescent="0.15">
      <c r="A1039" s="5" t="s">
        <v>6224</v>
      </c>
      <c r="B1039" s="5">
        <v>2004</v>
      </c>
      <c r="C1039" s="5" t="s">
        <v>6225</v>
      </c>
      <c r="D1039" s="5" t="s">
        <v>49</v>
      </c>
      <c r="E1039" s="5" t="s">
        <v>18453</v>
      </c>
      <c r="F1039" s="5" t="s">
        <v>6228</v>
      </c>
      <c r="G1039" s="5"/>
      <c r="H1039" s="5"/>
      <c r="I1039" s="5"/>
      <c r="J1039" s="5"/>
      <c r="K1039" s="5"/>
      <c r="L1039" s="5"/>
      <c r="M1039" s="5"/>
      <c r="N1039" s="5"/>
      <c r="O1039" s="5"/>
      <c r="P1039" s="5"/>
      <c r="Q1039" s="5"/>
      <c r="AL1039" s="7" t="str">
        <f>HYPERLINK("http://dx.doi.org/10.3354/meps273291","http://dx.doi.org/10.3354/meps273291")</f>
        <v>http://dx.doi.org/10.3354/meps273291</v>
      </c>
      <c r="AM1039" s="5">
        <v>247</v>
      </c>
      <c r="AN1039" s="5">
        <v>255</v>
      </c>
      <c r="AO1039" s="5">
        <v>273</v>
      </c>
      <c r="AP1039" s="5" t="s">
        <v>16</v>
      </c>
      <c r="AQ1039" s="5">
        <v>291</v>
      </c>
      <c r="AR1039" s="5">
        <v>302</v>
      </c>
      <c r="AS1039" s="5" t="s">
        <v>16</v>
      </c>
      <c r="AT1039" s="5" t="s">
        <v>6226</v>
      </c>
      <c r="AU1039" s="5" t="s">
        <v>6227</v>
      </c>
      <c r="AV1039" s="5" t="s">
        <v>6229</v>
      </c>
    </row>
    <row r="1040" spans="1:48" ht="45" customHeight="1" x14ac:dyDescent="0.15">
      <c r="A1040" s="5" t="s">
        <v>6230</v>
      </c>
      <c r="B1040" s="5">
        <v>2022</v>
      </c>
      <c r="C1040" s="5" t="s">
        <v>6231</v>
      </c>
      <c r="D1040" s="5" t="s">
        <v>1419</v>
      </c>
      <c r="E1040" s="5" t="s">
        <v>18453</v>
      </c>
      <c r="F1040" s="5" t="s">
        <v>6234</v>
      </c>
      <c r="G1040" s="5"/>
      <c r="H1040" s="5"/>
      <c r="I1040" s="5"/>
      <c r="J1040" s="5"/>
      <c r="K1040" s="5"/>
      <c r="L1040" s="5"/>
      <c r="M1040" s="5"/>
      <c r="N1040" s="5"/>
      <c r="O1040" s="5"/>
      <c r="P1040" s="5"/>
      <c r="Q1040" s="5"/>
      <c r="AL1040" s="7" t="str">
        <f>HYPERLINK("http://dx.doi.org/10.1016/j.fooweb.2022.e00221","http://dx.doi.org/10.1016/j.fooweb.2022.e00221")</f>
        <v>http://dx.doi.org/10.1016/j.fooweb.2022.e00221</v>
      </c>
      <c r="AM1040" s="5">
        <v>1</v>
      </c>
      <c r="AN1040" s="5">
        <v>1</v>
      </c>
      <c r="AO1040" s="5">
        <v>31</v>
      </c>
      <c r="AP1040" s="5" t="s">
        <v>16</v>
      </c>
      <c r="AQ1040" s="5" t="s">
        <v>16</v>
      </c>
      <c r="AR1040" s="5" t="s">
        <v>16</v>
      </c>
      <c r="AS1040" s="5" t="s">
        <v>6235</v>
      </c>
      <c r="AT1040" s="5" t="s">
        <v>6232</v>
      </c>
      <c r="AU1040" s="5" t="s">
        <v>6233</v>
      </c>
      <c r="AV1040" s="5" t="s">
        <v>6236</v>
      </c>
    </row>
    <row r="1041" spans="1:48" ht="45" customHeight="1" x14ac:dyDescent="0.15">
      <c r="A1041" s="5" t="s">
        <v>6237</v>
      </c>
      <c r="B1041" s="5">
        <v>1994</v>
      </c>
      <c r="C1041" s="5" t="s">
        <v>6238</v>
      </c>
      <c r="D1041" s="5" t="s">
        <v>1758</v>
      </c>
      <c r="E1041" s="5" t="s">
        <v>18453</v>
      </c>
      <c r="F1041" s="5" t="s">
        <v>6240</v>
      </c>
      <c r="G1041" s="5"/>
      <c r="H1041" s="5"/>
      <c r="I1041" s="5"/>
      <c r="J1041" s="5"/>
      <c r="K1041" s="5"/>
      <c r="L1041" s="5"/>
      <c r="M1041" s="5"/>
      <c r="N1041" s="5"/>
      <c r="O1041" s="5"/>
      <c r="P1041" s="5"/>
      <c r="Q1041" s="5"/>
      <c r="AL1041" s="7" t="str">
        <f>HYPERLINK("http://dx.doi.org/10.1007/BF03160659","http://dx.doi.org/10.1007/BF03160659")</f>
        <v>http://dx.doi.org/10.1007/BF03160659</v>
      </c>
      <c r="AM1041" s="5">
        <v>34</v>
      </c>
      <c r="AN1041" s="5">
        <v>35</v>
      </c>
      <c r="AO1041" s="5">
        <v>14</v>
      </c>
      <c r="AP1041" s="5">
        <v>3</v>
      </c>
      <c r="AQ1041" s="5">
        <v>223</v>
      </c>
      <c r="AR1041" s="5">
        <v>228</v>
      </c>
      <c r="AS1041" s="5" t="s">
        <v>16</v>
      </c>
      <c r="AT1041" s="5" t="s">
        <v>6239</v>
      </c>
      <c r="AU1041" s="5" t="s">
        <v>16</v>
      </c>
      <c r="AV1041" s="5" t="s">
        <v>6241</v>
      </c>
    </row>
    <row r="1042" spans="1:48" ht="45" customHeight="1" x14ac:dyDescent="0.15">
      <c r="A1042" s="5" t="s">
        <v>6242</v>
      </c>
      <c r="B1042" s="5">
        <v>2014</v>
      </c>
      <c r="C1042" s="5" t="s">
        <v>6243</v>
      </c>
      <c r="D1042" s="5" t="s">
        <v>49</v>
      </c>
      <c r="E1042" s="5" t="s">
        <v>18453</v>
      </c>
      <c r="F1042" s="5" t="s">
        <v>6246</v>
      </c>
      <c r="G1042" s="5"/>
      <c r="H1042" s="5"/>
      <c r="I1042" s="5"/>
      <c r="J1042" s="5"/>
      <c r="K1042" s="5"/>
      <c r="L1042" s="5"/>
      <c r="M1042" s="5"/>
      <c r="N1042" s="5"/>
      <c r="O1042" s="5"/>
      <c r="P1042" s="5"/>
      <c r="Q1042" s="5"/>
      <c r="AL1042" s="7" t="str">
        <f>HYPERLINK("http://dx.doi.org/10.3354/meps10738","http://dx.doi.org/10.3354/meps10738")</f>
        <v>http://dx.doi.org/10.3354/meps10738</v>
      </c>
      <c r="AM1042" s="5">
        <v>8</v>
      </c>
      <c r="AN1042" s="5">
        <v>8</v>
      </c>
      <c r="AO1042" s="5">
        <v>504</v>
      </c>
      <c r="AP1042" s="5" t="s">
        <v>16</v>
      </c>
      <c r="AQ1042" s="5">
        <v>253</v>
      </c>
      <c r="AR1042" s="5">
        <v>263</v>
      </c>
      <c r="AS1042" s="5" t="s">
        <v>16</v>
      </c>
      <c r="AT1042" s="5" t="s">
        <v>6244</v>
      </c>
      <c r="AU1042" s="5" t="s">
        <v>6245</v>
      </c>
      <c r="AV1042" s="5" t="s">
        <v>6247</v>
      </c>
    </row>
    <row r="1043" spans="1:48" ht="45" customHeight="1" x14ac:dyDescent="0.15">
      <c r="A1043" s="5" t="s">
        <v>6248</v>
      </c>
      <c r="B1043" s="5">
        <v>2018</v>
      </c>
      <c r="C1043" s="5" t="s">
        <v>6249</v>
      </c>
      <c r="D1043" s="5" t="s">
        <v>217</v>
      </c>
      <c r="E1043" s="5" t="s">
        <v>18453</v>
      </c>
      <c r="F1043" s="5" t="s">
        <v>6252</v>
      </c>
      <c r="G1043" s="5"/>
      <c r="H1043" s="5"/>
      <c r="I1043" s="5"/>
      <c r="J1043" s="5"/>
      <c r="K1043" s="5"/>
      <c r="L1043" s="5"/>
      <c r="M1043" s="5"/>
      <c r="N1043" s="5"/>
      <c r="O1043" s="5"/>
      <c r="P1043" s="5"/>
      <c r="Q1043" s="5"/>
      <c r="AL1043" s="7" t="str">
        <f>HYPERLINK("http://dx.doi.org/10.1111/2041-210X.13001","http://dx.doi.org/10.1111/2041-210X.13001")</f>
        <v>http://dx.doi.org/10.1111/2041-210X.13001</v>
      </c>
      <c r="AM1043" s="5">
        <v>4</v>
      </c>
      <c r="AN1043" s="5">
        <v>4</v>
      </c>
      <c r="AO1043" s="5">
        <v>9</v>
      </c>
      <c r="AP1043" s="5">
        <v>6</v>
      </c>
      <c r="AQ1043" s="5">
        <v>1581</v>
      </c>
      <c r="AR1043" s="5">
        <v>1591</v>
      </c>
      <c r="AS1043" s="5" t="s">
        <v>16</v>
      </c>
      <c r="AT1043" s="5" t="s">
        <v>6250</v>
      </c>
      <c r="AU1043" s="5" t="s">
        <v>6251</v>
      </c>
      <c r="AV1043" s="5" t="s">
        <v>6253</v>
      </c>
    </row>
    <row r="1044" spans="1:48" ht="45" customHeight="1" x14ac:dyDescent="0.15">
      <c r="A1044" s="5" t="s">
        <v>6254</v>
      </c>
      <c r="B1044" s="5">
        <v>2011</v>
      </c>
      <c r="C1044" s="5" t="s">
        <v>6255</v>
      </c>
      <c r="D1044" s="5" t="s">
        <v>27</v>
      </c>
      <c r="E1044" s="5" t="s">
        <v>18453</v>
      </c>
      <c r="F1044" s="5" t="s">
        <v>6258</v>
      </c>
      <c r="G1044" s="5"/>
      <c r="H1044" s="5"/>
      <c r="I1044" s="5"/>
      <c r="J1044" s="5"/>
      <c r="K1044" s="5"/>
      <c r="L1044" s="5"/>
      <c r="M1044" s="5"/>
      <c r="N1044" s="5"/>
      <c r="O1044" s="5"/>
      <c r="P1044" s="5"/>
      <c r="Q1044" s="5"/>
      <c r="AL1044" s="7" t="str">
        <f>HYPERLINK("http://dx.doi.org/10.1890/10-2229.1","http://dx.doi.org/10.1890/10-2229.1")</f>
        <v>http://dx.doi.org/10.1890/10-2229.1</v>
      </c>
      <c r="AM1044" s="5">
        <v>41</v>
      </c>
      <c r="AN1044" s="5">
        <v>41</v>
      </c>
      <c r="AO1044" s="5">
        <v>92</v>
      </c>
      <c r="AP1044" s="5">
        <v>7</v>
      </c>
      <c r="AQ1044" s="5">
        <v>1407</v>
      </c>
      <c r="AR1044" s="5">
        <v>1413</v>
      </c>
      <c r="AS1044" s="5" t="s">
        <v>16</v>
      </c>
      <c r="AT1044" s="5" t="s">
        <v>6256</v>
      </c>
      <c r="AU1044" s="5" t="s">
        <v>6257</v>
      </c>
      <c r="AV1044" s="5" t="s">
        <v>6259</v>
      </c>
    </row>
    <row r="1045" spans="1:48" ht="45" customHeight="1" x14ac:dyDescent="0.15">
      <c r="A1045" s="5" t="s">
        <v>6260</v>
      </c>
      <c r="B1045" s="5">
        <v>2020</v>
      </c>
      <c r="C1045" s="5" t="s">
        <v>6261</v>
      </c>
      <c r="D1045" s="5" t="s">
        <v>172</v>
      </c>
      <c r="E1045" s="5" t="s">
        <v>18453</v>
      </c>
      <c r="F1045" s="5" t="s">
        <v>6264</v>
      </c>
      <c r="G1045" s="5"/>
      <c r="H1045" s="5"/>
      <c r="I1045" s="5"/>
      <c r="J1045" s="5"/>
      <c r="K1045" s="5"/>
      <c r="L1045" s="5"/>
      <c r="M1045" s="5"/>
      <c r="N1045" s="5"/>
      <c r="O1045" s="5"/>
      <c r="P1045" s="5"/>
      <c r="Q1045" s="5"/>
      <c r="AL1045" s="7" t="str">
        <f>HYPERLINK("http://dx.doi.org/10.1007/s00442-020-04628-6","http://dx.doi.org/10.1007/s00442-020-04628-6")</f>
        <v>http://dx.doi.org/10.1007/s00442-020-04628-6</v>
      </c>
      <c r="AM1045" s="5">
        <v>25</v>
      </c>
      <c r="AN1045" s="5">
        <v>26</v>
      </c>
      <c r="AO1045" s="5">
        <v>192</v>
      </c>
      <c r="AP1045" s="5">
        <v>4</v>
      </c>
      <c r="AQ1045" s="5">
        <v>1111</v>
      </c>
      <c r="AR1045" s="5">
        <v>1126</v>
      </c>
      <c r="AS1045" s="5" t="s">
        <v>16</v>
      </c>
      <c r="AT1045" s="5" t="s">
        <v>6262</v>
      </c>
      <c r="AU1045" s="5" t="s">
        <v>6263</v>
      </c>
      <c r="AV1045" s="5" t="s">
        <v>6265</v>
      </c>
    </row>
    <row r="1046" spans="1:48" ht="45" customHeight="1" x14ac:dyDescent="0.15">
      <c r="A1046" s="5" t="s">
        <v>6266</v>
      </c>
      <c r="B1046" s="5">
        <v>2007</v>
      </c>
      <c r="C1046" s="5" t="s">
        <v>6267</v>
      </c>
      <c r="D1046" s="5" t="s">
        <v>172</v>
      </c>
      <c r="E1046" s="5" t="s">
        <v>18453</v>
      </c>
      <c r="F1046" s="5" t="s">
        <v>6270</v>
      </c>
      <c r="G1046" s="5"/>
      <c r="H1046" s="5"/>
      <c r="I1046" s="5"/>
      <c r="J1046" s="5"/>
      <c r="K1046" s="5"/>
      <c r="L1046" s="5"/>
      <c r="M1046" s="5"/>
      <c r="N1046" s="5"/>
      <c r="O1046" s="5"/>
      <c r="P1046" s="5"/>
      <c r="Q1046" s="5"/>
      <c r="AL1046" s="7" t="str">
        <f>HYPERLINK("http://dx.doi.org/10.1007/s00442-007-0711-5","http://dx.doi.org/10.1007/s00442-007-0711-5")</f>
        <v>http://dx.doi.org/10.1007/s00442-007-0711-5</v>
      </c>
      <c r="AM1046" s="5">
        <v>33</v>
      </c>
      <c r="AN1046" s="5">
        <v>34</v>
      </c>
      <c r="AO1046" s="5">
        <v>153</v>
      </c>
      <c r="AP1046" s="5">
        <v>1</v>
      </c>
      <c r="AQ1046" s="5">
        <v>99</v>
      </c>
      <c r="AR1046" s="5">
        <v>109</v>
      </c>
      <c r="AS1046" s="5" t="s">
        <v>16</v>
      </c>
      <c r="AT1046" s="5" t="s">
        <v>6268</v>
      </c>
      <c r="AU1046" s="5" t="s">
        <v>6269</v>
      </c>
      <c r="AV1046" s="5" t="s">
        <v>6271</v>
      </c>
    </row>
    <row r="1047" spans="1:48" ht="45" customHeight="1" x14ac:dyDescent="0.15">
      <c r="A1047" s="5" t="s">
        <v>6272</v>
      </c>
      <c r="B1047" s="5">
        <v>2020</v>
      </c>
      <c r="C1047" s="5" t="s">
        <v>6273</v>
      </c>
      <c r="D1047" s="5" t="s">
        <v>782</v>
      </c>
      <c r="E1047" s="5" t="s">
        <v>18453</v>
      </c>
      <c r="F1047" s="5" t="s">
        <v>6276</v>
      </c>
      <c r="G1047" s="5"/>
      <c r="H1047" s="5"/>
      <c r="I1047" s="5"/>
      <c r="J1047" s="5"/>
      <c r="K1047" s="5"/>
      <c r="L1047" s="5"/>
      <c r="M1047" s="5"/>
      <c r="N1047" s="5"/>
      <c r="O1047" s="5"/>
      <c r="P1047" s="5"/>
      <c r="Q1047" s="5"/>
      <c r="AL1047" s="7" t="str">
        <f>HYPERLINK("http://dx.doi.org/10.1093/jpe/rtaa064","http://dx.doi.org/10.1093/jpe/rtaa064")</f>
        <v>http://dx.doi.org/10.1093/jpe/rtaa064</v>
      </c>
      <c r="AM1047" s="5">
        <v>6</v>
      </c>
      <c r="AN1047" s="5">
        <v>6</v>
      </c>
      <c r="AO1047" s="5">
        <v>13</v>
      </c>
      <c r="AP1047" s="5">
        <v>6</v>
      </c>
      <c r="AQ1047" s="5">
        <v>793</v>
      </c>
      <c r="AR1047" s="5">
        <v>800</v>
      </c>
      <c r="AS1047" s="5" t="s">
        <v>16</v>
      </c>
      <c r="AT1047" s="5" t="s">
        <v>6274</v>
      </c>
      <c r="AU1047" s="5" t="s">
        <v>6275</v>
      </c>
      <c r="AV1047" s="5" t="s">
        <v>6277</v>
      </c>
    </row>
    <row r="1048" spans="1:48" ht="45" customHeight="1" x14ac:dyDescent="0.15">
      <c r="A1048" s="5" t="s">
        <v>6278</v>
      </c>
      <c r="B1048" s="5">
        <v>2017</v>
      </c>
      <c r="C1048" s="5" t="s">
        <v>6279</v>
      </c>
      <c r="D1048" s="5" t="s">
        <v>212</v>
      </c>
      <c r="E1048" s="5" t="s">
        <v>18453</v>
      </c>
      <c r="F1048" s="5" t="s">
        <v>6282</v>
      </c>
      <c r="G1048" s="5"/>
      <c r="H1048" s="5"/>
      <c r="I1048" s="5"/>
      <c r="J1048" s="5"/>
      <c r="K1048" s="5"/>
      <c r="L1048" s="5"/>
      <c r="M1048" s="5"/>
      <c r="N1048" s="5"/>
      <c r="O1048" s="5"/>
      <c r="P1048" s="5"/>
      <c r="Q1048" s="5"/>
      <c r="AL1048" s="7" t="str">
        <f>HYPERLINK("http://dx.doi.org/10.1007/s00300-017-2122-3","http://dx.doi.org/10.1007/s00300-017-2122-3")</f>
        <v>http://dx.doi.org/10.1007/s00300-017-2122-3</v>
      </c>
      <c r="AM1048" s="5">
        <v>10</v>
      </c>
      <c r="AN1048" s="5">
        <v>10</v>
      </c>
      <c r="AO1048" s="5">
        <v>40</v>
      </c>
      <c r="AP1048" s="5">
        <v>10</v>
      </c>
      <c r="AQ1048" s="5">
        <v>2027</v>
      </c>
      <c r="AR1048" s="5">
        <v>2033</v>
      </c>
      <c r="AS1048" s="5" t="s">
        <v>16</v>
      </c>
      <c r="AT1048" s="5" t="s">
        <v>6280</v>
      </c>
      <c r="AU1048" s="5" t="s">
        <v>6281</v>
      </c>
      <c r="AV1048" s="5" t="s">
        <v>6283</v>
      </c>
    </row>
    <row r="1049" spans="1:48" ht="45" customHeight="1" x14ac:dyDescent="0.15">
      <c r="A1049" s="5" t="s">
        <v>6284</v>
      </c>
      <c r="B1049" s="5">
        <v>2017</v>
      </c>
      <c r="C1049" s="5" t="s">
        <v>6285</v>
      </c>
      <c r="D1049" s="5" t="s">
        <v>973</v>
      </c>
      <c r="E1049" s="5" t="s">
        <v>18453</v>
      </c>
      <c r="F1049" s="5" t="s">
        <v>6287</v>
      </c>
      <c r="G1049" s="5"/>
      <c r="H1049" s="5"/>
      <c r="I1049" s="5"/>
      <c r="J1049" s="5"/>
      <c r="K1049" s="5"/>
      <c r="L1049" s="5"/>
      <c r="M1049" s="5"/>
      <c r="N1049" s="5"/>
      <c r="O1049" s="5"/>
      <c r="P1049" s="5"/>
      <c r="Q1049" s="5"/>
      <c r="AL1049" s="7" t="str">
        <f>HYPERLINK("http://dx.doi.org/10.5194/bg-14-2481-2017","http://dx.doi.org/10.5194/bg-14-2481-2017")</f>
        <v>http://dx.doi.org/10.5194/bg-14-2481-2017</v>
      </c>
      <c r="AM1049" s="5">
        <v>29</v>
      </c>
      <c r="AN1049" s="5">
        <v>29</v>
      </c>
      <c r="AO1049" s="5">
        <v>14</v>
      </c>
      <c r="AP1049" s="5">
        <v>9</v>
      </c>
      <c r="AQ1049" s="5">
        <v>2481</v>
      </c>
      <c r="AR1049" s="5">
        <v>2494</v>
      </c>
      <c r="AS1049" s="5" t="s">
        <v>16</v>
      </c>
      <c r="AT1049" s="5" t="s">
        <v>16</v>
      </c>
      <c r="AU1049" s="5" t="s">
        <v>6286</v>
      </c>
      <c r="AV1049" s="5" t="s">
        <v>6288</v>
      </c>
    </row>
    <row r="1050" spans="1:48" ht="45" customHeight="1" x14ac:dyDescent="0.15">
      <c r="A1050" s="5" t="s">
        <v>6289</v>
      </c>
      <c r="B1050" s="5">
        <v>2014</v>
      </c>
      <c r="C1050" s="5" t="s">
        <v>6290</v>
      </c>
      <c r="D1050" s="5" t="s">
        <v>15</v>
      </c>
      <c r="E1050" s="5" t="s">
        <v>18453</v>
      </c>
      <c r="F1050" s="5" t="s">
        <v>6293</v>
      </c>
      <c r="G1050" s="5"/>
      <c r="H1050" s="5"/>
      <c r="I1050" s="5"/>
      <c r="J1050" s="5"/>
      <c r="K1050" s="5"/>
      <c r="L1050" s="5"/>
      <c r="M1050" s="5"/>
      <c r="N1050" s="5"/>
      <c r="O1050" s="5"/>
      <c r="P1050" s="5"/>
      <c r="Q1050" s="5"/>
      <c r="AL1050" s="7" t="str">
        <f>HYPERLINK("http://dx.doi.org/10.1002/ece3.1103","http://dx.doi.org/10.1002/ece3.1103")</f>
        <v>http://dx.doi.org/10.1002/ece3.1103</v>
      </c>
      <c r="AM1050" s="5">
        <v>138</v>
      </c>
      <c r="AN1050" s="5">
        <v>144</v>
      </c>
      <c r="AO1050" s="5">
        <v>4</v>
      </c>
      <c r="AP1050" s="5">
        <v>12</v>
      </c>
      <c r="AQ1050" s="5">
        <v>2423</v>
      </c>
      <c r="AR1050" s="5">
        <v>2449</v>
      </c>
      <c r="AS1050" s="5" t="s">
        <v>16</v>
      </c>
      <c r="AT1050" s="5" t="s">
        <v>6291</v>
      </c>
      <c r="AU1050" s="5" t="s">
        <v>6292</v>
      </c>
      <c r="AV1050" s="5" t="s">
        <v>6294</v>
      </c>
    </row>
    <row r="1051" spans="1:48" ht="45" customHeight="1" x14ac:dyDescent="0.15">
      <c r="A1051" s="5" t="s">
        <v>6295</v>
      </c>
      <c r="B1051" s="5">
        <v>2022</v>
      </c>
      <c r="C1051" s="5" t="s">
        <v>6296</v>
      </c>
      <c r="D1051" s="5" t="s">
        <v>1084</v>
      </c>
      <c r="E1051" s="5" t="s">
        <v>18453</v>
      </c>
      <c r="F1051" s="5" t="s">
        <v>6299</v>
      </c>
      <c r="G1051" s="5"/>
      <c r="H1051" s="5"/>
      <c r="I1051" s="5"/>
      <c r="J1051" s="5"/>
      <c r="K1051" s="5"/>
      <c r="L1051" s="5"/>
      <c r="M1051" s="5"/>
      <c r="N1051" s="5"/>
      <c r="O1051" s="5"/>
      <c r="P1051" s="5"/>
      <c r="Q1051" s="5"/>
      <c r="AL1051" s="7" t="str">
        <f>HYPERLINK("http://dx.doi.org/10.1016/j.jnc.2021.126126","http://dx.doi.org/10.1016/j.jnc.2021.126126")</f>
        <v>http://dx.doi.org/10.1016/j.jnc.2021.126126</v>
      </c>
      <c r="AM1051" s="5">
        <v>2</v>
      </c>
      <c r="AN1051" s="5">
        <v>2</v>
      </c>
      <c r="AO1051" s="5">
        <v>66</v>
      </c>
      <c r="AP1051" s="5" t="s">
        <v>16</v>
      </c>
      <c r="AQ1051" s="5" t="s">
        <v>16</v>
      </c>
      <c r="AR1051" s="5" t="s">
        <v>16</v>
      </c>
      <c r="AS1051" s="5">
        <v>126126</v>
      </c>
      <c r="AT1051" s="5" t="s">
        <v>6297</v>
      </c>
      <c r="AU1051" s="5" t="s">
        <v>6298</v>
      </c>
      <c r="AV1051" s="5" t="s">
        <v>6300</v>
      </c>
    </row>
    <row r="1052" spans="1:48" ht="45" customHeight="1" x14ac:dyDescent="0.15">
      <c r="A1052" s="5" t="s">
        <v>6301</v>
      </c>
      <c r="B1052" s="5">
        <v>2021</v>
      </c>
      <c r="C1052" s="5" t="s">
        <v>6302</v>
      </c>
      <c r="D1052" s="5" t="s">
        <v>172</v>
      </c>
      <c r="E1052" s="5" t="s">
        <v>18453</v>
      </c>
      <c r="F1052" s="5" t="s">
        <v>6305</v>
      </c>
      <c r="G1052" s="5"/>
      <c r="H1052" s="5"/>
      <c r="I1052" s="5"/>
      <c r="J1052" s="5"/>
      <c r="K1052" s="5"/>
      <c r="L1052" s="5"/>
      <c r="M1052" s="5"/>
      <c r="N1052" s="5"/>
      <c r="O1052" s="5"/>
      <c r="P1052" s="5"/>
      <c r="Q1052" s="5"/>
      <c r="AL1052" s="7" t="str">
        <f>HYPERLINK("http://dx.doi.org/10.1007/s00442-021-05005-7","http://dx.doi.org/10.1007/s00442-021-05005-7")</f>
        <v>http://dx.doi.org/10.1007/s00442-021-05005-7</v>
      </c>
      <c r="AM1052" s="5">
        <v>3</v>
      </c>
      <c r="AN1052" s="5">
        <v>3</v>
      </c>
      <c r="AO1052" s="5">
        <v>197</v>
      </c>
      <c r="AP1052" s="5">
        <v>1</v>
      </c>
      <c r="AQ1052" s="5">
        <v>283</v>
      </c>
      <c r="AR1052" s="5">
        <v>295</v>
      </c>
      <c r="AS1052" s="5" t="s">
        <v>16</v>
      </c>
      <c r="AT1052" s="5" t="s">
        <v>6303</v>
      </c>
      <c r="AU1052" s="5" t="s">
        <v>6304</v>
      </c>
      <c r="AV1052" s="5" t="s">
        <v>6306</v>
      </c>
    </row>
    <row r="1053" spans="1:48" ht="45" customHeight="1" x14ac:dyDescent="0.15">
      <c r="A1053" s="5" t="s">
        <v>6307</v>
      </c>
      <c r="B1053" s="5">
        <v>2022</v>
      </c>
      <c r="C1053" s="5" t="s">
        <v>6308</v>
      </c>
      <c r="D1053" s="5" t="s">
        <v>6309</v>
      </c>
      <c r="E1053" s="5" t="s">
        <v>18453</v>
      </c>
      <c r="F1053" s="5" t="s">
        <v>6312</v>
      </c>
      <c r="G1053" s="5"/>
      <c r="H1053" s="5"/>
      <c r="I1053" s="5"/>
      <c r="J1053" s="5"/>
      <c r="K1053" s="5"/>
      <c r="L1053" s="5"/>
      <c r="M1053" s="5"/>
      <c r="N1053" s="5"/>
      <c r="O1053" s="5"/>
      <c r="P1053" s="5"/>
      <c r="Q1053" s="5"/>
      <c r="AL1053" s="7" t="str">
        <f>HYPERLINK("http://dx.doi.org/10.1007/s11252-021-01123-5","http://dx.doi.org/10.1007/s11252-021-01123-5")</f>
        <v>http://dx.doi.org/10.1007/s11252-021-01123-5</v>
      </c>
      <c r="AM1053" s="5">
        <v>1</v>
      </c>
      <c r="AN1053" s="5">
        <v>1</v>
      </c>
      <c r="AO1053" s="5">
        <v>25</v>
      </c>
      <c r="AP1053" s="5">
        <v>1</v>
      </c>
      <c r="AQ1053" s="5">
        <v>87</v>
      </c>
      <c r="AR1053" s="5">
        <v>100</v>
      </c>
      <c r="AS1053" s="5" t="s">
        <v>16</v>
      </c>
      <c r="AT1053" s="5" t="s">
        <v>6310</v>
      </c>
      <c r="AU1053" s="5" t="s">
        <v>6311</v>
      </c>
      <c r="AV1053" s="5" t="s">
        <v>6313</v>
      </c>
    </row>
    <row r="1054" spans="1:48" ht="45" customHeight="1" x14ac:dyDescent="0.15">
      <c r="A1054" s="5" t="s">
        <v>6314</v>
      </c>
      <c r="B1054" s="5">
        <v>2017</v>
      </c>
      <c r="C1054" s="5" t="s">
        <v>6315</v>
      </c>
      <c r="D1054" s="5" t="s">
        <v>49</v>
      </c>
      <c r="E1054" s="5" t="s">
        <v>18453</v>
      </c>
      <c r="F1054" s="5" t="s">
        <v>6318</v>
      </c>
      <c r="G1054" s="5"/>
      <c r="H1054" s="5"/>
      <c r="I1054" s="5"/>
      <c r="J1054" s="5"/>
      <c r="K1054" s="5"/>
      <c r="L1054" s="5"/>
      <c r="M1054" s="5"/>
      <c r="N1054" s="5"/>
      <c r="O1054" s="5"/>
      <c r="P1054" s="5"/>
      <c r="Q1054" s="5"/>
      <c r="AL1054" s="7" t="str">
        <f>HYPERLINK("http://dx.doi.org/10.3354/meps12036","http://dx.doi.org/10.3354/meps12036")</f>
        <v>http://dx.doi.org/10.3354/meps12036</v>
      </c>
      <c r="AM1054" s="5">
        <v>21</v>
      </c>
      <c r="AN1054" s="5">
        <v>21</v>
      </c>
      <c r="AO1054" s="5">
        <v>567</v>
      </c>
      <c r="AP1054" s="5" t="s">
        <v>16</v>
      </c>
      <c r="AQ1054" s="5">
        <v>139</v>
      </c>
      <c r="AR1054" s="5">
        <v>156</v>
      </c>
      <c r="AS1054" s="5" t="s">
        <v>16</v>
      </c>
      <c r="AT1054" s="5" t="s">
        <v>6316</v>
      </c>
      <c r="AU1054" s="5" t="s">
        <v>6317</v>
      </c>
      <c r="AV1054" s="5" t="s">
        <v>6319</v>
      </c>
    </row>
    <row r="1055" spans="1:48" ht="45" customHeight="1" x14ac:dyDescent="0.15">
      <c r="A1055" s="5" t="s">
        <v>6320</v>
      </c>
      <c r="B1055" s="5">
        <v>2022</v>
      </c>
      <c r="C1055" s="5" t="s">
        <v>6321</v>
      </c>
      <c r="D1055" s="5" t="s">
        <v>17</v>
      </c>
      <c r="E1055" s="5" t="s">
        <v>18453</v>
      </c>
      <c r="F1055" s="5" t="s">
        <v>6324</v>
      </c>
      <c r="G1055" s="5"/>
      <c r="H1055" s="5"/>
      <c r="I1055" s="5"/>
      <c r="J1055" s="5"/>
      <c r="K1055" s="5"/>
      <c r="L1055" s="5"/>
      <c r="M1055" s="5"/>
      <c r="N1055" s="5"/>
      <c r="O1055" s="5"/>
      <c r="P1055" s="5"/>
      <c r="Q1055" s="5"/>
      <c r="AL1055" s="7" t="str">
        <f>HYPERLINK("http://dx.doi.org/10.1111/fwb.13842","http://dx.doi.org/10.1111/fwb.13842")</f>
        <v>http://dx.doi.org/10.1111/fwb.13842</v>
      </c>
      <c r="AM1055" s="5">
        <v>3</v>
      </c>
      <c r="AN1055" s="5">
        <v>3</v>
      </c>
      <c r="AO1055" s="5">
        <v>67</v>
      </c>
      <c r="AP1055" s="5">
        <v>2</v>
      </c>
      <c r="AQ1055" s="5">
        <v>309</v>
      </c>
      <c r="AR1055" s="5">
        <v>324</v>
      </c>
      <c r="AS1055" s="5" t="s">
        <v>16</v>
      </c>
      <c r="AT1055" s="5" t="s">
        <v>6322</v>
      </c>
      <c r="AU1055" s="5" t="s">
        <v>6323</v>
      </c>
      <c r="AV1055" s="5" t="s">
        <v>6325</v>
      </c>
    </row>
    <row r="1056" spans="1:48" ht="45" customHeight="1" x14ac:dyDescent="0.15">
      <c r="A1056" s="5" t="s">
        <v>6326</v>
      </c>
      <c r="B1056" s="5">
        <v>2017</v>
      </c>
      <c r="C1056" s="5" t="s">
        <v>6327</v>
      </c>
      <c r="D1056" s="5" t="s">
        <v>6328</v>
      </c>
      <c r="E1056" s="5" t="s">
        <v>18453</v>
      </c>
      <c r="F1056" s="5" t="s">
        <v>6330</v>
      </c>
      <c r="G1056" s="5"/>
      <c r="H1056" s="5"/>
      <c r="I1056" s="5"/>
      <c r="J1056" s="5"/>
      <c r="K1056" s="5"/>
      <c r="L1056" s="5"/>
      <c r="M1056" s="5"/>
      <c r="N1056" s="5"/>
      <c r="O1056" s="5"/>
      <c r="P1056" s="5"/>
      <c r="Q1056" s="5"/>
      <c r="AL1056" s="7" t="str">
        <f>HYPERLINK("http://dx.doi.org/10.15666/aeer/1504_457465","http://dx.doi.org/10.15666/aeer/1504_457465")</f>
        <v>http://dx.doi.org/10.15666/aeer/1504_457465</v>
      </c>
      <c r="AM1056" s="5">
        <v>2</v>
      </c>
      <c r="AN1056" s="5">
        <v>2</v>
      </c>
      <c r="AO1056" s="5">
        <v>15</v>
      </c>
      <c r="AP1056" s="5">
        <v>4</v>
      </c>
      <c r="AQ1056" s="5">
        <v>457</v>
      </c>
      <c r="AR1056" s="5">
        <v>465</v>
      </c>
      <c r="AS1056" s="5" t="s">
        <v>16</v>
      </c>
      <c r="AT1056" s="5" t="s">
        <v>6329</v>
      </c>
      <c r="AU1056" s="5" t="s">
        <v>16</v>
      </c>
      <c r="AV1056" s="5" t="s">
        <v>6331</v>
      </c>
    </row>
    <row r="1057" spans="1:48" ht="45" customHeight="1" x14ac:dyDescent="0.15">
      <c r="A1057" s="5" t="s">
        <v>6332</v>
      </c>
      <c r="B1057" s="5">
        <v>2012</v>
      </c>
      <c r="C1057" s="5" t="s">
        <v>6333</v>
      </c>
      <c r="D1057" s="5" t="s">
        <v>116</v>
      </c>
      <c r="E1057" s="5" t="s">
        <v>18453</v>
      </c>
      <c r="F1057" s="5" t="s">
        <v>6336</v>
      </c>
      <c r="G1057" s="5"/>
      <c r="H1057" s="5"/>
      <c r="I1057" s="5"/>
      <c r="J1057" s="5"/>
      <c r="K1057" s="5"/>
      <c r="L1057" s="5"/>
      <c r="M1057" s="5"/>
      <c r="N1057" s="5"/>
      <c r="O1057" s="5"/>
      <c r="P1057" s="5"/>
      <c r="Q1057" s="5"/>
      <c r="AL1057" s="7" t="str">
        <f>HYPERLINK("http://dx.doi.org/10.1007/s10641-012-0002-9","http://dx.doi.org/10.1007/s10641-012-0002-9")</f>
        <v>http://dx.doi.org/10.1007/s10641-012-0002-9</v>
      </c>
      <c r="AM1057" s="5">
        <v>9</v>
      </c>
      <c r="AN1057" s="5">
        <v>8</v>
      </c>
      <c r="AO1057" s="5">
        <v>94</v>
      </c>
      <c r="AP1057" s="5">
        <v>4</v>
      </c>
      <c r="AQ1057" s="5">
        <v>695</v>
      </c>
      <c r="AR1057" s="5">
        <v>706</v>
      </c>
      <c r="AS1057" s="5" t="s">
        <v>16</v>
      </c>
      <c r="AT1057" s="5" t="s">
        <v>6334</v>
      </c>
      <c r="AU1057" s="5" t="s">
        <v>6335</v>
      </c>
      <c r="AV1057" s="5" t="s">
        <v>6337</v>
      </c>
    </row>
    <row r="1058" spans="1:48" ht="45" customHeight="1" x14ac:dyDescent="0.15">
      <c r="A1058" s="5" t="s">
        <v>6338</v>
      </c>
      <c r="B1058" s="5">
        <v>1996</v>
      </c>
      <c r="C1058" s="5" t="s">
        <v>6339</v>
      </c>
      <c r="D1058" s="5" t="s">
        <v>312</v>
      </c>
      <c r="E1058" s="5" t="s">
        <v>18453</v>
      </c>
      <c r="F1058" s="5" t="s">
        <v>6342</v>
      </c>
      <c r="G1058" s="5"/>
      <c r="H1058" s="5"/>
      <c r="I1058" s="5"/>
      <c r="J1058" s="5"/>
      <c r="K1058" s="5"/>
      <c r="L1058" s="5"/>
      <c r="M1058" s="5"/>
      <c r="N1058" s="5"/>
      <c r="O1058" s="5"/>
      <c r="P1058" s="5"/>
      <c r="Q1058" s="5"/>
      <c r="AL1058" s="7" t="str">
        <f>HYPERLINK("http://dx.doi.org/10.1016/0304-3800(94)00199-5","http://dx.doi.org/10.1016/0304-3800(94)00199-5")</f>
        <v>http://dx.doi.org/10.1016/0304-3800(94)00199-5</v>
      </c>
      <c r="AM1058" s="5">
        <v>24</v>
      </c>
      <c r="AN1058" s="5">
        <v>28</v>
      </c>
      <c r="AO1058" s="5">
        <v>87</v>
      </c>
      <c r="AP1058" s="5" t="s">
        <v>2954</v>
      </c>
      <c r="AQ1058" s="5">
        <v>11</v>
      </c>
      <c r="AR1058" s="5">
        <v>27</v>
      </c>
      <c r="AS1058" s="5" t="s">
        <v>16</v>
      </c>
      <c r="AT1058" s="5" t="s">
        <v>6340</v>
      </c>
      <c r="AU1058" s="5" t="s">
        <v>6341</v>
      </c>
      <c r="AV1058" s="5" t="s">
        <v>6343</v>
      </c>
    </row>
    <row r="1059" spans="1:48" ht="45" customHeight="1" x14ac:dyDescent="0.15">
      <c r="A1059" s="5" t="s">
        <v>6344</v>
      </c>
      <c r="B1059" s="5">
        <v>2017</v>
      </c>
      <c r="C1059" s="5" t="s">
        <v>6345</v>
      </c>
      <c r="D1059" s="5" t="s">
        <v>57</v>
      </c>
      <c r="E1059" s="5" t="s">
        <v>18453</v>
      </c>
      <c r="F1059" s="5" t="s">
        <v>6348</v>
      </c>
      <c r="G1059" s="5"/>
      <c r="H1059" s="5"/>
      <c r="I1059" s="5"/>
      <c r="J1059" s="5"/>
      <c r="K1059" s="5"/>
      <c r="L1059" s="5"/>
      <c r="M1059" s="5"/>
      <c r="N1059" s="5"/>
      <c r="O1059" s="5"/>
      <c r="P1059" s="5"/>
      <c r="Q1059" s="5"/>
      <c r="AL1059" s="7" t="str">
        <f>HYPERLINK("http://dx.doi.org/10.1098/rsbl.2017.0241","http://dx.doi.org/10.1098/rsbl.2017.0241")</f>
        <v>http://dx.doi.org/10.1098/rsbl.2017.0241</v>
      </c>
      <c r="AM1059" s="5">
        <v>8</v>
      </c>
      <c r="AN1059" s="5">
        <v>9</v>
      </c>
      <c r="AO1059" s="5">
        <v>13</v>
      </c>
      <c r="AP1059" s="5">
        <v>8</v>
      </c>
      <c r="AQ1059" s="5" t="s">
        <v>16</v>
      </c>
      <c r="AR1059" s="5" t="s">
        <v>16</v>
      </c>
      <c r="AS1059" s="5">
        <v>20170241</v>
      </c>
      <c r="AT1059" s="5" t="s">
        <v>6346</v>
      </c>
      <c r="AU1059" s="5" t="s">
        <v>6347</v>
      </c>
      <c r="AV1059" s="5" t="s">
        <v>6349</v>
      </c>
    </row>
    <row r="1060" spans="1:48" ht="45" customHeight="1" x14ac:dyDescent="0.15">
      <c r="A1060" s="5" t="s">
        <v>6350</v>
      </c>
      <c r="B1060" s="5">
        <v>2012</v>
      </c>
      <c r="C1060" s="5" t="s">
        <v>6351</v>
      </c>
      <c r="D1060" s="5" t="s">
        <v>1900</v>
      </c>
      <c r="E1060" s="5" t="s">
        <v>18453</v>
      </c>
      <c r="F1060" s="5" t="s">
        <v>6353</v>
      </c>
      <c r="G1060" s="5"/>
      <c r="H1060" s="5"/>
      <c r="I1060" s="5"/>
      <c r="J1060" s="5"/>
      <c r="K1060" s="5"/>
      <c r="L1060" s="5"/>
      <c r="M1060" s="5"/>
      <c r="N1060" s="5"/>
      <c r="O1060" s="5"/>
      <c r="P1060" s="5"/>
      <c r="Q1060" s="5"/>
      <c r="AL1060" s="7" t="str">
        <f>HYPERLINK("http://dx.doi.org/10.1656/058.011.0303","http://dx.doi.org/10.1656/058.011.0303")</f>
        <v>http://dx.doi.org/10.1656/058.011.0303</v>
      </c>
      <c r="AM1060" s="5">
        <v>19</v>
      </c>
      <c r="AN1060" s="5">
        <v>19</v>
      </c>
      <c r="AO1060" s="5">
        <v>11</v>
      </c>
      <c r="AP1060" s="5">
        <v>3</v>
      </c>
      <c r="AQ1060" s="5">
        <v>387</v>
      </c>
      <c r="AR1060" s="5">
        <v>404</v>
      </c>
      <c r="AS1060" s="5" t="s">
        <v>16</v>
      </c>
      <c r="AT1060" s="5" t="s">
        <v>16</v>
      </c>
      <c r="AU1060" s="5" t="s">
        <v>6352</v>
      </c>
      <c r="AV1060" s="5" t="s">
        <v>6354</v>
      </c>
    </row>
    <row r="1061" spans="1:48" ht="45" customHeight="1" x14ac:dyDescent="0.15">
      <c r="A1061" s="5" t="s">
        <v>6355</v>
      </c>
      <c r="B1061" s="5">
        <v>2020</v>
      </c>
      <c r="C1061" s="5" t="s">
        <v>6356</v>
      </c>
      <c r="D1061" s="5" t="s">
        <v>33</v>
      </c>
      <c r="E1061" s="5" t="s">
        <v>18453</v>
      </c>
      <c r="F1061" s="5" t="s">
        <v>6359</v>
      </c>
      <c r="G1061" s="5"/>
      <c r="H1061" s="5"/>
      <c r="I1061" s="5"/>
      <c r="J1061" s="5"/>
      <c r="K1061" s="5"/>
      <c r="L1061" s="5"/>
      <c r="M1061" s="5"/>
      <c r="N1061" s="5"/>
      <c r="O1061" s="5"/>
      <c r="P1061" s="5"/>
      <c r="Q1061" s="5"/>
      <c r="AL1061" s="7" t="str">
        <f>HYPERLINK("http://dx.doi.org/10.1111/gcb.15206","http://dx.doi.org/10.1111/gcb.15206")</f>
        <v>http://dx.doi.org/10.1111/gcb.15206</v>
      </c>
      <c r="AM1061" s="5">
        <v>33</v>
      </c>
      <c r="AN1061" s="5">
        <v>36</v>
      </c>
      <c r="AO1061" s="5">
        <v>26</v>
      </c>
      <c r="AP1061" s="5">
        <v>9</v>
      </c>
      <c r="AQ1061" s="5">
        <v>5277</v>
      </c>
      <c r="AR1061" s="5">
        <v>5289</v>
      </c>
      <c r="AS1061" s="5" t="s">
        <v>16</v>
      </c>
      <c r="AT1061" s="5" t="s">
        <v>6357</v>
      </c>
      <c r="AU1061" s="5" t="s">
        <v>6358</v>
      </c>
      <c r="AV1061" s="5" t="s">
        <v>6360</v>
      </c>
    </row>
    <row r="1062" spans="1:48" ht="45" customHeight="1" x14ac:dyDescent="0.15">
      <c r="A1062" s="5" t="s">
        <v>6361</v>
      </c>
      <c r="B1062" s="5">
        <v>2012</v>
      </c>
      <c r="C1062" s="5" t="s">
        <v>6362</v>
      </c>
      <c r="D1062" s="5" t="s">
        <v>973</v>
      </c>
      <c r="E1062" s="5" t="s">
        <v>18453</v>
      </c>
      <c r="F1062" s="5" t="s">
        <v>6364</v>
      </c>
      <c r="G1062" s="5"/>
      <c r="H1062" s="5"/>
      <c r="I1062" s="5"/>
      <c r="J1062" s="5"/>
      <c r="K1062" s="5"/>
      <c r="L1062" s="5"/>
      <c r="M1062" s="5"/>
      <c r="N1062" s="5"/>
      <c r="O1062" s="5"/>
      <c r="P1062" s="5"/>
      <c r="Q1062" s="5"/>
      <c r="AL1062" s="7" t="str">
        <f>HYPERLINK("http://dx.doi.org/10.5194/bg-9-867-2012","http://dx.doi.org/10.5194/bg-9-867-2012")</f>
        <v>http://dx.doi.org/10.5194/bg-9-867-2012</v>
      </c>
      <c r="AM1062" s="5">
        <v>21</v>
      </c>
      <c r="AN1062" s="5">
        <v>22</v>
      </c>
      <c r="AO1062" s="5">
        <v>9</v>
      </c>
      <c r="AP1062" s="5">
        <v>2</v>
      </c>
      <c r="AQ1062" s="5">
        <v>867</v>
      </c>
      <c r="AR1062" s="5">
        <v>874</v>
      </c>
      <c r="AS1062" s="5" t="s">
        <v>16</v>
      </c>
      <c r="AT1062" s="5" t="s">
        <v>16</v>
      </c>
      <c r="AU1062" s="5" t="s">
        <v>6363</v>
      </c>
      <c r="AV1062" s="5" t="s">
        <v>6365</v>
      </c>
    </row>
    <row r="1063" spans="1:48" ht="45" customHeight="1" x14ac:dyDescent="0.15">
      <c r="A1063" s="5" t="s">
        <v>6366</v>
      </c>
      <c r="B1063" s="5">
        <v>2019</v>
      </c>
      <c r="C1063" s="5" t="s">
        <v>6367</v>
      </c>
      <c r="D1063" s="5" t="s">
        <v>49</v>
      </c>
      <c r="E1063" s="5" t="s">
        <v>18453</v>
      </c>
      <c r="F1063" s="5" t="s">
        <v>6370</v>
      </c>
      <c r="G1063" s="5"/>
      <c r="H1063" s="5"/>
      <c r="I1063" s="5"/>
      <c r="J1063" s="5"/>
      <c r="K1063" s="5"/>
      <c r="L1063" s="5"/>
      <c r="M1063" s="5"/>
      <c r="N1063" s="5"/>
      <c r="O1063" s="5"/>
      <c r="P1063" s="5"/>
      <c r="Q1063" s="5"/>
      <c r="AL1063" s="7" t="str">
        <f>HYPERLINK("http://dx.doi.org/10.3354/meps13137","http://dx.doi.org/10.3354/meps13137")</f>
        <v>http://dx.doi.org/10.3354/meps13137</v>
      </c>
      <c r="AM1063" s="5">
        <v>8</v>
      </c>
      <c r="AN1063" s="5">
        <v>10</v>
      </c>
      <c r="AO1063" s="5">
        <v>631</v>
      </c>
      <c r="AP1063" s="5" t="s">
        <v>16</v>
      </c>
      <c r="AQ1063" s="5">
        <v>19</v>
      </c>
      <c r="AR1063" s="5">
        <v>30</v>
      </c>
      <c r="AS1063" s="5" t="s">
        <v>16</v>
      </c>
      <c r="AT1063" s="5" t="s">
        <v>6368</v>
      </c>
      <c r="AU1063" s="5" t="s">
        <v>6369</v>
      </c>
      <c r="AV1063" s="5" t="s">
        <v>6371</v>
      </c>
    </row>
    <row r="1064" spans="1:48" ht="45" customHeight="1" x14ac:dyDescent="0.15">
      <c r="A1064" s="5" t="s">
        <v>6372</v>
      </c>
      <c r="B1064" s="5">
        <v>2015</v>
      </c>
      <c r="C1064" s="5" t="s">
        <v>6373</v>
      </c>
      <c r="D1064" s="5" t="s">
        <v>49</v>
      </c>
      <c r="E1064" s="5" t="s">
        <v>18453</v>
      </c>
      <c r="F1064" s="5" t="s">
        <v>6376</v>
      </c>
      <c r="G1064" s="5"/>
      <c r="H1064" s="5"/>
      <c r="I1064" s="5"/>
      <c r="J1064" s="5"/>
      <c r="K1064" s="5"/>
      <c r="L1064" s="5"/>
      <c r="M1064" s="5"/>
      <c r="N1064" s="5"/>
      <c r="O1064" s="5"/>
      <c r="P1064" s="5"/>
      <c r="Q1064" s="5"/>
      <c r="AL1064" s="7" t="str">
        <f>HYPERLINK("http://dx.doi.org/10.3354/meps11455","http://dx.doi.org/10.3354/meps11455")</f>
        <v>http://dx.doi.org/10.3354/meps11455</v>
      </c>
      <c r="AM1064" s="5">
        <v>8</v>
      </c>
      <c r="AN1064" s="5">
        <v>8</v>
      </c>
      <c r="AO1064" s="5">
        <v>536</v>
      </c>
      <c r="AP1064" s="5" t="s">
        <v>16</v>
      </c>
      <c r="AQ1064" s="5">
        <v>243</v>
      </c>
      <c r="AR1064" s="5">
        <v>257</v>
      </c>
      <c r="AS1064" s="5" t="s">
        <v>16</v>
      </c>
      <c r="AT1064" s="5" t="s">
        <v>6374</v>
      </c>
      <c r="AU1064" s="5" t="s">
        <v>6375</v>
      </c>
      <c r="AV1064" s="5" t="s">
        <v>6377</v>
      </c>
    </row>
    <row r="1065" spans="1:48" ht="45" customHeight="1" x14ac:dyDescent="0.15">
      <c r="A1065" s="5" t="s">
        <v>6378</v>
      </c>
      <c r="B1065" s="5">
        <v>2017</v>
      </c>
      <c r="C1065" s="5" t="s">
        <v>6379</v>
      </c>
      <c r="D1065" s="5" t="s">
        <v>6380</v>
      </c>
      <c r="E1065" s="5" t="s">
        <v>18453</v>
      </c>
      <c r="F1065" s="5" t="s">
        <v>6382</v>
      </c>
      <c r="G1065" s="5"/>
      <c r="H1065" s="5"/>
      <c r="I1065" s="5"/>
      <c r="J1065" s="5"/>
      <c r="K1065" s="5"/>
      <c r="L1065" s="5"/>
      <c r="M1065" s="5"/>
      <c r="N1065" s="5"/>
      <c r="O1065" s="5"/>
      <c r="P1065" s="5"/>
      <c r="Q1065" s="5"/>
      <c r="AL1065" s="7" t="str">
        <f>HYPERLINK("http://dx.doi.org/10.1017/pab.2016.50","http://dx.doi.org/10.1017/pab.2016.50")</f>
        <v>http://dx.doi.org/10.1017/pab.2016.50</v>
      </c>
      <c r="AM1065" s="5">
        <v>31</v>
      </c>
      <c r="AN1065" s="5">
        <v>31</v>
      </c>
      <c r="AO1065" s="5">
        <v>43</v>
      </c>
      <c r="AP1065" s="5">
        <v>2</v>
      </c>
      <c r="AQ1065" s="5">
        <v>181</v>
      </c>
      <c r="AR1065" s="5">
        <v>195</v>
      </c>
      <c r="AS1065" s="5" t="s">
        <v>16</v>
      </c>
      <c r="AT1065" s="5" t="s">
        <v>16</v>
      </c>
      <c r="AU1065" s="5" t="s">
        <v>6381</v>
      </c>
      <c r="AV1065" s="5" t="s">
        <v>6383</v>
      </c>
    </row>
    <row r="1066" spans="1:48" ht="45" customHeight="1" x14ac:dyDescent="0.15">
      <c r="A1066" s="5" t="s">
        <v>6384</v>
      </c>
      <c r="B1066" s="5">
        <v>2022</v>
      </c>
      <c r="C1066" s="5" t="s">
        <v>6385</v>
      </c>
      <c r="D1066" s="5" t="s">
        <v>190</v>
      </c>
      <c r="E1066" s="5" t="s">
        <v>18453</v>
      </c>
      <c r="F1066" s="5" t="s">
        <v>6388</v>
      </c>
      <c r="G1066" s="5"/>
      <c r="H1066" s="5"/>
      <c r="I1066" s="5"/>
      <c r="J1066" s="5"/>
      <c r="K1066" s="5"/>
      <c r="L1066" s="5"/>
      <c r="M1066" s="5"/>
      <c r="N1066" s="5"/>
      <c r="O1066" s="5"/>
      <c r="P1066" s="5"/>
      <c r="Q1066" s="5"/>
      <c r="AL1066" s="7" t="str">
        <f>HYPERLINK("http://dx.doi.org/10.1007/s10530-022-02745-2","http://dx.doi.org/10.1007/s10530-022-02745-2")</f>
        <v>http://dx.doi.org/10.1007/s10530-022-02745-2</v>
      </c>
      <c r="AM1066" s="5">
        <v>0</v>
      </c>
      <c r="AN1066" s="5">
        <v>0</v>
      </c>
      <c r="AO1066" s="5">
        <v>24</v>
      </c>
      <c r="AP1066" s="5">
        <v>6</v>
      </c>
      <c r="AQ1066" s="5">
        <v>1661</v>
      </c>
      <c r="AR1066" s="5">
        <v>1676</v>
      </c>
      <c r="AS1066" s="5" t="s">
        <v>16</v>
      </c>
      <c r="AT1066" s="5" t="s">
        <v>6386</v>
      </c>
      <c r="AU1066" s="5" t="s">
        <v>6387</v>
      </c>
      <c r="AV1066" s="5" t="s">
        <v>6389</v>
      </c>
    </row>
    <row r="1067" spans="1:48" ht="45" customHeight="1" x14ac:dyDescent="0.15">
      <c r="A1067" s="5" t="s">
        <v>6390</v>
      </c>
      <c r="B1067" s="5">
        <v>1999</v>
      </c>
      <c r="C1067" s="5" t="s">
        <v>6391</v>
      </c>
      <c r="D1067" s="5" t="s">
        <v>1004</v>
      </c>
      <c r="E1067" s="5" t="s">
        <v>18453</v>
      </c>
      <c r="F1067" s="5" t="s">
        <v>6394</v>
      </c>
      <c r="G1067" s="5"/>
      <c r="H1067" s="5"/>
      <c r="I1067" s="5"/>
      <c r="J1067" s="5"/>
      <c r="K1067" s="5"/>
      <c r="L1067" s="5"/>
      <c r="M1067" s="5"/>
      <c r="N1067" s="5"/>
      <c r="O1067" s="5"/>
      <c r="P1067" s="5"/>
      <c r="Q1067" s="5"/>
      <c r="AL1067" s="7" t="str">
        <f>HYPERLINK("http://dx.doi.org/10.1046/j.1365-2028.1999.00203.x","http://dx.doi.org/10.1046/j.1365-2028.1999.00203.x")</f>
        <v>http://dx.doi.org/10.1046/j.1365-2028.1999.00203.x</v>
      </c>
      <c r="AM1067" s="5">
        <v>20</v>
      </c>
      <c r="AN1067" s="5">
        <v>20</v>
      </c>
      <c r="AO1067" s="5">
        <v>37</v>
      </c>
      <c r="AP1067" s="5">
        <v>4</v>
      </c>
      <c r="AQ1067" s="5">
        <v>457</v>
      </c>
      <c r="AR1067" s="5">
        <v>470</v>
      </c>
      <c r="AS1067" s="5" t="s">
        <v>16</v>
      </c>
      <c r="AT1067" s="5" t="s">
        <v>6392</v>
      </c>
      <c r="AU1067" s="5" t="s">
        <v>6393</v>
      </c>
      <c r="AV1067" s="5" t="s">
        <v>6395</v>
      </c>
    </row>
    <row r="1068" spans="1:48" ht="45" customHeight="1" x14ac:dyDescent="0.15">
      <c r="A1068" s="5" t="s">
        <v>6396</v>
      </c>
      <c r="B1068" s="5">
        <v>2022</v>
      </c>
      <c r="C1068" s="5" t="s">
        <v>6397</v>
      </c>
      <c r="D1068" s="5" t="s">
        <v>2057</v>
      </c>
      <c r="E1068" s="5" t="s">
        <v>18453</v>
      </c>
      <c r="F1068" s="5" t="s">
        <v>6400</v>
      </c>
      <c r="G1068" s="5"/>
      <c r="H1068" s="5"/>
      <c r="I1068" s="5"/>
      <c r="J1068" s="5"/>
      <c r="K1068" s="5"/>
      <c r="L1068" s="5"/>
      <c r="M1068" s="5"/>
      <c r="N1068" s="5"/>
      <c r="O1068" s="5"/>
      <c r="P1068" s="5"/>
      <c r="Q1068" s="5"/>
      <c r="AL1068" s="7" t="str">
        <f>HYPERLINK("http://dx.doi.org/10.1139/as-2020-0035","http://dx.doi.org/10.1139/as-2020-0035")</f>
        <v>http://dx.doi.org/10.1139/as-2020-0035</v>
      </c>
      <c r="AM1068" s="5">
        <v>4</v>
      </c>
      <c r="AN1068" s="5">
        <v>4</v>
      </c>
      <c r="AO1068" s="5">
        <v>8</v>
      </c>
      <c r="AP1068" s="5">
        <v>1</v>
      </c>
      <c r="AQ1068" s="5">
        <v>292</v>
      </c>
      <c r="AR1068" s="5">
        <v>312</v>
      </c>
      <c r="AS1068" s="5" t="s">
        <v>16</v>
      </c>
      <c r="AT1068" s="5" t="s">
        <v>6398</v>
      </c>
      <c r="AU1068" s="5" t="s">
        <v>6399</v>
      </c>
      <c r="AV1068" s="5" t="s">
        <v>6401</v>
      </c>
    </row>
    <row r="1069" spans="1:48" ht="45" customHeight="1" x14ac:dyDescent="0.15">
      <c r="A1069" s="5" t="s">
        <v>6402</v>
      </c>
      <c r="B1069" s="5">
        <v>2016</v>
      </c>
      <c r="C1069" s="5" t="s">
        <v>6403</v>
      </c>
      <c r="D1069" s="5" t="s">
        <v>6404</v>
      </c>
      <c r="E1069" s="5" t="s">
        <v>18453</v>
      </c>
      <c r="F1069" s="5" t="s">
        <v>6407</v>
      </c>
      <c r="G1069" s="5"/>
      <c r="H1069" s="5"/>
      <c r="I1069" s="5"/>
      <c r="J1069" s="5"/>
      <c r="K1069" s="5"/>
      <c r="L1069" s="5"/>
      <c r="M1069" s="5"/>
      <c r="N1069" s="5"/>
      <c r="O1069" s="5"/>
      <c r="P1069" s="5"/>
      <c r="Q1069" s="5"/>
      <c r="AL1069" s="7" t="str">
        <f>HYPERLINK("http://dx.doi.org/10.1016/j.bse.2016.07.007","http://dx.doi.org/10.1016/j.bse.2016.07.007")</f>
        <v>http://dx.doi.org/10.1016/j.bse.2016.07.007</v>
      </c>
      <c r="AM1069" s="5">
        <v>5</v>
      </c>
      <c r="AN1069" s="5">
        <v>10</v>
      </c>
      <c r="AO1069" s="5">
        <v>68</v>
      </c>
      <c r="AP1069" s="5" t="s">
        <v>16</v>
      </c>
      <c r="AQ1069" s="5">
        <v>148</v>
      </c>
      <c r="AR1069" s="5">
        <v>155</v>
      </c>
      <c r="AS1069" s="5" t="s">
        <v>16</v>
      </c>
      <c r="AT1069" s="5" t="s">
        <v>6405</v>
      </c>
      <c r="AU1069" s="5" t="s">
        <v>6406</v>
      </c>
      <c r="AV1069" s="5" t="s">
        <v>6408</v>
      </c>
    </row>
    <row r="1070" spans="1:48" ht="45" customHeight="1" x14ac:dyDescent="0.15">
      <c r="A1070" s="5" t="s">
        <v>6409</v>
      </c>
      <c r="B1070" s="5">
        <v>2017</v>
      </c>
      <c r="C1070" s="5" t="s">
        <v>6410</v>
      </c>
      <c r="D1070" s="5" t="s">
        <v>1758</v>
      </c>
      <c r="E1070" s="5" t="s">
        <v>18453</v>
      </c>
      <c r="F1070" s="5" t="s">
        <v>6413</v>
      </c>
      <c r="G1070" s="5"/>
      <c r="H1070" s="5"/>
      <c r="I1070" s="5"/>
      <c r="J1070" s="5"/>
      <c r="K1070" s="5"/>
      <c r="L1070" s="5"/>
      <c r="M1070" s="5"/>
      <c r="N1070" s="5"/>
      <c r="O1070" s="5"/>
      <c r="P1070" s="5"/>
      <c r="Q1070" s="5"/>
      <c r="AL1070" s="7" t="str">
        <f>HYPERLINK("http://dx.doi.org/10.1007/s13157-017-0883-7","http://dx.doi.org/10.1007/s13157-017-0883-7")</f>
        <v>http://dx.doi.org/10.1007/s13157-017-0883-7</v>
      </c>
      <c r="AM1070" s="5">
        <v>16</v>
      </c>
      <c r="AN1070" s="5">
        <v>17</v>
      </c>
      <c r="AO1070" s="5">
        <v>37</v>
      </c>
      <c r="AP1070" s="5">
        <v>3</v>
      </c>
      <c r="AQ1070" s="5">
        <v>471</v>
      </c>
      <c r="AR1070" s="5">
        <v>483</v>
      </c>
      <c r="AS1070" s="5" t="s">
        <v>16</v>
      </c>
      <c r="AT1070" s="5" t="s">
        <v>6411</v>
      </c>
      <c r="AU1070" s="5" t="s">
        <v>6412</v>
      </c>
      <c r="AV1070" s="5" t="s">
        <v>6414</v>
      </c>
    </row>
    <row r="1071" spans="1:48" ht="45" customHeight="1" x14ac:dyDescent="0.15">
      <c r="A1071" s="5" t="s">
        <v>6415</v>
      </c>
      <c r="B1071" s="5">
        <v>2012</v>
      </c>
      <c r="C1071" s="5" t="s">
        <v>6416</v>
      </c>
      <c r="D1071" s="5" t="s">
        <v>18</v>
      </c>
      <c r="E1071" s="5" t="s">
        <v>18453</v>
      </c>
      <c r="F1071" s="5" t="s">
        <v>6419</v>
      </c>
      <c r="G1071" s="5"/>
      <c r="H1071" s="5"/>
      <c r="I1071" s="5"/>
      <c r="J1071" s="5"/>
      <c r="K1071" s="5"/>
      <c r="L1071" s="5"/>
      <c r="M1071" s="5"/>
      <c r="N1071" s="5"/>
      <c r="O1071" s="5"/>
      <c r="P1071" s="5"/>
      <c r="Q1071" s="5"/>
      <c r="AL1071" s="7" t="str">
        <f>HYPERLINK("http://dx.doi.org/10.1890/ES12-00062.1","http://dx.doi.org/10.1890/ES12-00062.1")</f>
        <v>http://dx.doi.org/10.1890/ES12-00062.1</v>
      </c>
      <c r="AM1071" s="5">
        <v>42</v>
      </c>
      <c r="AN1071" s="5">
        <v>43</v>
      </c>
      <c r="AO1071" s="5">
        <v>3</v>
      </c>
      <c r="AP1071" s="5">
        <v>6</v>
      </c>
      <c r="AQ1071" s="5" t="s">
        <v>16</v>
      </c>
      <c r="AR1071" s="5" t="s">
        <v>16</v>
      </c>
      <c r="AS1071" s="5">
        <v>53</v>
      </c>
      <c r="AT1071" s="5" t="s">
        <v>6417</v>
      </c>
      <c r="AU1071" s="5" t="s">
        <v>6418</v>
      </c>
      <c r="AV1071" s="5" t="s">
        <v>6420</v>
      </c>
    </row>
    <row r="1072" spans="1:48" ht="45" customHeight="1" x14ac:dyDescent="0.15">
      <c r="A1072" s="5" t="s">
        <v>6421</v>
      </c>
      <c r="B1072" s="5">
        <v>2016</v>
      </c>
      <c r="C1072" s="5" t="s">
        <v>6422</v>
      </c>
      <c r="D1072" s="5" t="s">
        <v>33</v>
      </c>
      <c r="E1072" s="5" t="s">
        <v>18453</v>
      </c>
      <c r="F1072" s="5" t="s">
        <v>6425</v>
      </c>
      <c r="G1072" s="5"/>
      <c r="H1072" s="5"/>
      <c r="I1072" s="5"/>
      <c r="J1072" s="5"/>
      <c r="K1072" s="5"/>
      <c r="L1072" s="5"/>
      <c r="M1072" s="5"/>
      <c r="N1072" s="5"/>
      <c r="O1072" s="5"/>
      <c r="P1072" s="5"/>
      <c r="Q1072" s="5"/>
      <c r="AL1072" s="7" t="str">
        <f>HYPERLINK("http://dx.doi.org/10.1111/gcb.13194","http://dx.doi.org/10.1111/gcb.13194")</f>
        <v>http://dx.doi.org/10.1111/gcb.13194</v>
      </c>
      <c r="AM1072" s="5">
        <v>6</v>
      </c>
      <c r="AN1072" s="5">
        <v>7</v>
      </c>
      <c r="AO1072" s="5">
        <v>22</v>
      </c>
      <c r="AP1072" s="5">
        <v>4</v>
      </c>
      <c r="AQ1072" s="5">
        <v>1490</v>
      </c>
      <c r="AR1072" s="5">
        <v>1504</v>
      </c>
      <c r="AS1072" s="5" t="s">
        <v>16</v>
      </c>
      <c r="AT1072" s="5" t="s">
        <v>6423</v>
      </c>
      <c r="AU1072" s="5" t="s">
        <v>6424</v>
      </c>
      <c r="AV1072" s="5" t="s">
        <v>6426</v>
      </c>
    </row>
    <row r="1073" spans="1:48" ht="45" customHeight="1" x14ac:dyDescent="0.15">
      <c r="A1073" s="5" t="s">
        <v>6427</v>
      </c>
      <c r="B1073" s="5">
        <v>2023</v>
      </c>
      <c r="C1073" s="5" t="s">
        <v>6428</v>
      </c>
      <c r="D1073" s="5" t="s">
        <v>1765</v>
      </c>
      <c r="E1073" s="5" t="s">
        <v>18453</v>
      </c>
      <c r="F1073" s="5" t="s">
        <v>6431</v>
      </c>
      <c r="G1073" s="5"/>
      <c r="H1073" s="5"/>
      <c r="I1073" s="5"/>
      <c r="J1073" s="5"/>
      <c r="K1073" s="5"/>
      <c r="L1073" s="5"/>
      <c r="M1073" s="5"/>
      <c r="N1073" s="5"/>
      <c r="O1073" s="5"/>
      <c r="P1073" s="5"/>
      <c r="Q1073" s="5"/>
      <c r="AL1073" s="7" t="str">
        <f>HYPERLINK("http://dx.doi.org/10.1016/j.agee.2023.108418","http://dx.doi.org/10.1016/j.agee.2023.108418")</f>
        <v>http://dx.doi.org/10.1016/j.agee.2023.108418</v>
      </c>
      <c r="AM1073" s="5">
        <v>0</v>
      </c>
      <c r="AN1073" s="5">
        <v>0</v>
      </c>
      <c r="AO1073" s="5">
        <v>348</v>
      </c>
      <c r="AP1073" s="5" t="s">
        <v>16</v>
      </c>
      <c r="AQ1073" s="5" t="s">
        <v>16</v>
      </c>
      <c r="AR1073" s="5" t="s">
        <v>16</v>
      </c>
      <c r="AS1073" s="5">
        <v>108418</v>
      </c>
      <c r="AT1073" s="5" t="s">
        <v>6429</v>
      </c>
      <c r="AU1073" s="5" t="s">
        <v>6430</v>
      </c>
      <c r="AV1073" s="5" t="s">
        <v>6432</v>
      </c>
    </row>
    <row r="1074" spans="1:48" ht="45" customHeight="1" x14ac:dyDescent="0.15">
      <c r="A1074" s="5" t="s">
        <v>6433</v>
      </c>
      <c r="B1074" s="5">
        <v>2015</v>
      </c>
      <c r="C1074" s="5" t="s">
        <v>6434</v>
      </c>
      <c r="D1074" s="5" t="s">
        <v>27</v>
      </c>
      <c r="E1074" s="5" t="s">
        <v>18453</v>
      </c>
      <c r="F1074" s="5" t="s">
        <v>6437</v>
      </c>
      <c r="G1074" s="5"/>
      <c r="H1074" s="5"/>
      <c r="I1074" s="5"/>
      <c r="J1074" s="5"/>
      <c r="K1074" s="5"/>
      <c r="L1074" s="5"/>
      <c r="M1074" s="5"/>
      <c r="N1074" s="5"/>
      <c r="O1074" s="5"/>
      <c r="P1074" s="5"/>
      <c r="Q1074" s="5"/>
      <c r="AL1074" s="7" t="str">
        <f>HYPERLINK("http://dx.doi.org/10.1890/14-1666.1","http://dx.doi.org/10.1890/14-1666.1")</f>
        <v>http://dx.doi.org/10.1890/14-1666.1</v>
      </c>
      <c r="AM1074" s="5">
        <v>17</v>
      </c>
      <c r="AN1074" s="5">
        <v>17</v>
      </c>
      <c r="AO1074" s="5">
        <v>96</v>
      </c>
      <c r="AP1074" s="5">
        <v>12</v>
      </c>
      <c r="AQ1074" s="5">
        <v>3213</v>
      </c>
      <c r="AR1074" s="5">
        <v>3226</v>
      </c>
      <c r="AS1074" s="5" t="s">
        <v>16</v>
      </c>
      <c r="AT1074" s="5" t="s">
        <v>6435</v>
      </c>
      <c r="AU1074" s="5" t="s">
        <v>6436</v>
      </c>
      <c r="AV1074" s="5" t="s">
        <v>6438</v>
      </c>
    </row>
    <row r="1075" spans="1:48" ht="45" customHeight="1" x14ac:dyDescent="0.15">
      <c r="A1075" s="5" t="s">
        <v>6439</v>
      </c>
      <c r="B1075" s="5">
        <v>2020</v>
      </c>
      <c r="C1075" s="5" t="s">
        <v>6440</v>
      </c>
      <c r="D1075" s="5" t="s">
        <v>172</v>
      </c>
      <c r="E1075" s="5" t="s">
        <v>18453</v>
      </c>
      <c r="F1075" s="5" t="s">
        <v>6443</v>
      </c>
      <c r="G1075" s="5"/>
      <c r="H1075" s="5"/>
      <c r="I1075" s="5"/>
      <c r="J1075" s="5"/>
      <c r="K1075" s="5"/>
      <c r="L1075" s="5"/>
      <c r="M1075" s="5"/>
      <c r="N1075" s="5"/>
      <c r="O1075" s="5"/>
      <c r="P1075" s="5"/>
      <c r="Q1075" s="5"/>
      <c r="AL1075" s="7" t="str">
        <f>HYPERLINK("http://dx.doi.org/10.1007/s00442-020-04667-z","http://dx.doi.org/10.1007/s00442-020-04667-z")</f>
        <v>http://dx.doi.org/10.1007/s00442-020-04667-z</v>
      </c>
      <c r="AM1075" s="5">
        <v>7</v>
      </c>
      <c r="AN1075" s="5">
        <v>7</v>
      </c>
      <c r="AO1075" s="5">
        <v>193</v>
      </c>
      <c r="AP1075" s="5">
        <v>2</v>
      </c>
      <c r="AQ1075" s="5">
        <v>461</v>
      </c>
      <c r="AR1075" s="5">
        <v>474</v>
      </c>
      <c r="AS1075" s="5" t="s">
        <v>16</v>
      </c>
      <c r="AT1075" s="5" t="s">
        <v>6441</v>
      </c>
      <c r="AU1075" s="5" t="s">
        <v>6442</v>
      </c>
      <c r="AV1075" s="5" t="s">
        <v>6444</v>
      </c>
    </row>
    <row r="1076" spans="1:48" ht="45" customHeight="1" x14ac:dyDescent="0.15">
      <c r="A1076" s="5" t="s">
        <v>6445</v>
      </c>
      <c r="B1076" s="5">
        <v>1995</v>
      </c>
      <c r="C1076" s="5" t="s">
        <v>6446</v>
      </c>
      <c r="D1076" s="5" t="s">
        <v>1531</v>
      </c>
      <c r="E1076" s="5" t="s">
        <v>18453</v>
      </c>
      <c r="F1076" s="5" t="s">
        <v>6448</v>
      </c>
      <c r="G1076" s="5"/>
      <c r="H1076" s="5"/>
      <c r="I1076" s="5"/>
      <c r="J1076" s="5"/>
      <c r="K1076" s="5"/>
      <c r="L1076" s="5"/>
      <c r="M1076" s="5"/>
      <c r="N1076" s="5"/>
      <c r="O1076" s="5"/>
      <c r="P1076" s="5"/>
      <c r="Q1076" s="5"/>
      <c r="AL1076" s="7" t="str">
        <f>HYPERLINK("http://dx.doi.org/10.2307/1467546","http://dx.doi.org/10.2307/1467546")</f>
        <v>http://dx.doi.org/10.2307/1467546</v>
      </c>
      <c r="AM1076" s="5">
        <v>549</v>
      </c>
      <c r="AN1076" s="5">
        <v>563</v>
      </c>
      <c r="AO1076" s="5">
        <v>14</v>
      </c>
      <c r="AP1076" s="5">
        <v>4</v>
      </c>
      <c r="AQ1076" s="5">
        <v>631</v>
      </c>
      <c r="AR1076" s="5">
        <v>653</v>
      </c>
      <c r="AS1076" s="5" t="s">
        <v>16</v>
      </c>
      <c r="AT1076" s="5" t="s">
        <v>6447</v>
      </c>
      <c r="AU1076" s="5" t="s">
        <v>16</v>
      </c>
      <c r="AV1076" s="5" t="s">
        <v>6449</v>
      </c>
    </row>
    <row r="1077" spans="1:48" ht="45" customHeight="1" x14ac:dyDescent="0.15">
      <c r="A1077" s="5" t="s">
        <v>6450</v>
      </c>
      <c r="B1077" s="5">
        <v>2015</v>
      </c>
      <c r="C1077" s="5" t="s">
        <v>6451</v>
      </c>
      <c r="D1077" s="5" t="s">
        <v>49</v>
      </c>
      <c r="E1077" s="5" t="s">
        <v>18453</v>
      </c>
      <c r="F1077" s="5" t="s">
        <v>6454</v>
      </c>
      <c r="G1077" s="5"/>
      <c r="H1077" s="5"/>
      <c r="I1077" s="5"/>
      <c r="J1077" s="5"/>
      <c r="K1077" s="5"/>
      <c r="L1077" s="5"/>
      <c r="M1077" s="5"/>
      <c r="N1077" s="5"/>
      <c r="O1077" s="5"/>
      <c r="P1077" s="5"/>
      <c r="Q1077" s="5"/>
      <c r="AL1077" s="7" t="str">
        <f>HYPERLINK("http://dx.doi.org/10.3354/meps11270","http://dx.doi.org/10.3354/meps11270")</f>
        <v>http://dx.doi.org/10.3354/meps11270</v>
      </c>
      <c r="AM1077" s="5">
        <v>5</v>
      </c>
      <c r="AN1077" s="5">
        <v>5</v>
      </c>
      <c r="AO1077" s="5">
        <v>528</v>
      </c>
      <c r="AP1077" s="5" t="s">
        <v>16</v>
      </c>
      <c r="AQ1077" s="5">
        <v>117</v>
      </c>
      <c r="AR1077" s="5">
        <v>126</v>
      </c>
      <c r="AS1077" s="5" t="s">
        <v>16</v>
      </c>
      <c r="AT1077" s="5" t="s">
        <v>6452</v>
      </c>
      <c r="AU1077" s="5" t="s">
        <v>6453</v>
      </c>
      <c r="AV1077" s="5" t="s">
        <v>6455</v>
      </c>
    </row>
    <row r="1078" spans="1:48" ht="45" customHeight="1" x14ac:dyDescent="0.15">
      <c r="A1078" s="5" t="s">
        <v>6456</v>
      </c>
      <c r="B1078" s="5">
        <v>2016</v>
      </c>
      <c r="C1078" s="5" t="s">
        <v>6457</v>
      </c>
      <c r="D1078" s="5" t="s">
        <v>15</v>
      </c>
      <c r="E1078" s="5" t="s">
        <v>18453</v>
      </c>
      <c r="F1078" s="5" t="s">
        <v>6460</v>
      </c>
      <c r="G1078" s="5"/>
      <c r="H1078" s="5"/>
      <c r="I1078" s="5"/>
      <c r="J1078" s="5"/>
      <c r="K1078" s="5"/>
      <c r="L1078" s="5"/>
      <c r="M1078" s="5"/>
      <c r="N1078" s="5"/>
      <c r="O1078" s="5"/>
      <c r="P1078" s="5"/>
      <c r="Q1078" s="5"/>
      <c r="AL1078" s="7" t="str">
        <f>HYPERLINK("http://dx.doi.org/10.1002/ece3.2450","http://dx.doi.org/10.1002/ece3.2450")</f>
        <v>http://dx.doi.org/10.1002/ece3.2450</v>
      </c>
      <c r="AM1078" s="5">
        <v>15</v>
      </c>
      <c r="AN1078" s="5">
        <v>16</v>
      </c>
      <c r="AO1078" s="5">
        <v>6</v>
      </c>
      <c r="AP1078" s="5">
        <v>22</v>
      </c>
      <c r="AQ1078" s="5">
        <v>8159</v>
      </c>
      <c r="AR1078" s="5">
        <v>8173</v>
      </c>
      <c r="AS1078" s="5" t="s">
        <v>16</v>
      </c>
      <c r="AT1078" s="5" t="s">
        <v>6458</v>
      </c>
      <c r="AU1078" s="5" t="s">
        <v>6459</v>
      </c>
      <c r="AV1078" s="5" t="s">
        <v>6461</v>
      </c>
    </row>
    <row r="1079" spans="1:48" ht="45" customHeight="1" x14ac:dyDescent="0.15">
      <c r="A1079" s="5" t="s">
        <v>6462</v>
      </c>
      <c r="B1079" s="5">
        <v>2023</v>
      </c>
      <c r="C1079" s="5" t="s">
        <v>6463</v>
      </c>
      <c r="D1079" s="5" t="s">
        <v>33</v>
      </c>
      <c r="E1079" s="5" t="s">
        <v>18453</v>
      </c>
      <c r="F1079" s="5" t="s">
        <v>6466</v>
      </c>
      <c r="G1079" s="5"/>
      <c r="H1079" s="5"/>
      <c r="I1079" s="5"/>
      <c r="J1079" s="5"/>
      <c r="K1079" s="5"/>
      <c r="L1079" s="5"/>
      <c r="M1079" s="5"/>
      <c r="N1079" s="5"/>
      <c r="O1079" s="5"/>
      <c r="P1079" s="5"/>
      <c r="Q1079" s="5"/>
      <c r="AL1079" s="7" t="str">
        <f>HYPERLINK("http://dx.doi.org/10.1111/gcb.16641","http://dx.doi.org/10.1111/gcb.16641")</f>
        <v>http://dx.doi.org/10.1111/gcb.16641</v>
      </c>
      <c r="AM1079" s="5">
        <v>0</v>
      </c>
      <c r="AN1079" s="5">
        <v>0</v>
      </c>
      <c r="AO1079" s="5">
        <v>29</v>
      </c>
      <c r="AP1079" s="5">
        <v>9</v>
      </c>
      <c r="AQ1079" s="5">
        <v>2627</v>
      </c>
      <c r="AR1079" s="5">
        <v>2639</v>
      </c>
      <c r="AS1079" s="5" t="s">
        <v>16</v>
      </c>
      <c r="AT1079" s="5" t="s">
        <v>6464</v>
      </c>
      <c r="AU1079" s="5" t="s">
        <v>6465</v>
      </c>
      <c r="AV1079" s="5" t="s">
        <v>6467</v>
      </c>
    </row>
    <row r="1080" spans="1:48" ht="45" customHeight="1" x14ac:dyDescent="0.15">
      <c r="A1080" s="5" t="s">
        <v>6468</v>
      </c>
      <c r="B1080" s="5">
        <v>2017</v>
      </c>
      <c r="C1080" s="5" t="s">
        <v>6469</v>
      </c>
      <c r="D1080" s="5" t="s">
        <v>162</v>
      </c>
      <c r="E1080" s="5" t="s">
        <v>18453</v>
      </c>
      <c r="F1080" s="5" t="s">
        <v>6472</v>
      </c>
      <c r="G1080" s="5"/>
      <c r="H1080" s="5"/>
      <c r="I1080" s="5"/>
      <c r="J1080" s="5"/>
      <c r="K1080" s="5"/>
      <c r="L1080" s="5"/>
      <c r="M1080" s="5"/>
      <c r="N1080" s="5"/>
      <c r="O1080" s="5"/>
      <c r="P1080" s="5"/>
      <c r="Q1080" s="5"/>
      <c r="AL1080" s="7" t="str">
        <f>HYPERLINK("http://dx.doi.org/10.1111/1365-2435.12857","http://dx.doi.org/10.1111/1365-2435.12857")</f>
        <v>http://dx.doi.org/10.1111/1365-2435.12857</v>
      </c>
      <c r="AM1080" s="5">
        <v>35</v>
      </c>
      <c r="AN1080" s="5">
        <v>35</v>
      </c>
      <c r="AO1080" s="5">
        <v>31</v>
      </c>
      <c r="AP1080" s="5">
        <v>7</v>
      </c>
      <c r="AQ1080" s="5">
        <v>1359</v>
      </c>
      <c r="AR1080" s="5">
        <v>1370</v>
      </c>
      <c r="AS1080" s="5" t="s">
        <v>16</v>
      </c>
      <c r="AT1080" s="5" t="s">
        <v>6470</v>
      </c>
      <c r="AU1080" s="5" t="s">
        <v>6471</v>
      </c>
      <c r="AV1080" s="5" t="s">
        <v>6473</v>
      </c>
    </row>
    <row r="1081" spans="1:48" ht="45" customHeight="1" x14ac:dyDescent="0.15">
      <c r="A1081" s="5" t="s">
        <v>6474</v>
      </c>
      <c r="B1081" s="5">
        <v>2020</v>
      </c>
      <c r="C1081" s="5" t="s">
        <v>6475</v>
      </c>
      <c r="D1081" s="5" t="s">
        <v>33</v>
      </c>
      <c r="E1081" s="5" t="s">
        <v>18453</v>
      </c>
      <c r="F1081" s="5" t="s">
        <v>6478</v>
      </c>
      <c r="G1081" s="5"/>
      <c r="H1081" s="5"/>
      <c r="I1081" s="5"/>
      <c r="J1081" s="5"/>
      <c r="K1081" s="5"/>
      <c r="L1081" s="5"/>
      <c r="M1081" s="5"/>
      <c r="N1081" s="5"/>
      <c r="O1081" s="5"/>
      <c r="P1081" s="5"/>
      <c r="Q1081" s="5"/>
      <c r="AL1081" s="7" t="str">
        <f>HYPERLINK("http://dx.doi.org/10.1111/gcb.15115","http://dx.doi.org/10.1111/gcb.15115")</f>
        <v>http://dx.doi.org/10.1111/gcb.15115</v>
      </c>
      <c r="AM1081" s="5">
        <v>19</v>
      </c>
      <c r="AN1081" s="5">
        <v>19</v>
      </c>
      <c r="AO1081" s="5">
        <v>26</v>
      </c>
      <c r="AP1081" s="5">
        <v>10</v>
      </c>
      <c r="AQ1081" s="5">
        <v>5404</v>
      </c>
      <c r="AR1081" s="5">
        <v>5413</v>
      </c>
      <c r="AS1081" s="5" t="s">
        <v>16</v>
      </c>
      <c r="AT1081" s="5" t="s">
        <v>6476</v>
      </c>
      <c r="AU1081" s="5" t="s">
        <v>6477</v>
      </c>
      <c r="AV1081" s="5" t="s">
        <v>6479</v>
      </c>
    </row>
    <row r="1082" spans="1:48" ht="45" customHeight="1" x14ac:dyDescent="0.15">
      <c r="A1082" s="5" t="s">
        <v>6480</v>
      </c>
      <c r="B1082" s="5">
        <v>2022</v>
      </c>
      <c r="C1082" s="5" t="s">
        <v>6481</v>
      </c>
      <c r="D1082" s="5" t="s">
        <v>33</v>
      </c>
      <c r="E1082" s="5" t="s">
        <v>18453</v>
      </c>
      <c r="F1082" s="5" t="s">
        <v>6484</v>
      </c>
      <c r="G1082" s="5"/>
      <c r="H1082" s="5"/>
      <c r="I1082" s="5"/>
      <c r="J1082" s="5"/>
      <c r="K1082" s="5"/>
      <c r="L1082" s="5"/>
      <c r="M1082" s="5"/>
      <c r="N1082" s="5"/>
      <c r="O1082" s="5"/>
      <c r="P1082" s="5"/>
      <c r="Q1082" s="5"/>
      <c r="AL1082" s="7" t="str">
        <f>HYPERLINK("http://dx.doi.org/10.1111/gcb.16407","http://dx.doi.org/10.1111/gcb.16407")</f>
        <v>http://dx.doi.org/10.1111/gcb.16407</v>
      </c>
      <c r="AM1082" s="5">
        <v>5</v>
      </c>
      <c r="AN1082" s="5">
        <v>5</v>
      </c>
      <c r="AO1082" s="5">
        <v>28</v>
      </c>
      <c r="AP1082" s="5">
        <v>24</v>
      </c>
      <c r="AQ1082" s="5">
        <v>7428</v>
      </c>
      <c r="AR1082" s="5">
        <v>7436</v>
      </c>
      <c r="AS1082" s="5" t="s">
        <v>16</v>
      </c>
      <c r="AT1082" s="5" t="s">
        <v>6482</v>
      </c>
      <c r="AU1082" s="5" t="s">
        <v>6483</v>
      </c>
      <c r="AV1082" s="5" t="s">
        <v>6485</v>
      </c>
    </row>
    <row r="1083" spans="1:48" ht="45" customHeight="1" x14ac:dyDescent="0.15">
      <c r="A1083" s="5" t="s">
        <v>6486</v>
      </c>
      <c r="B1083" s="5">
        <v>2005</v>
      </c>
      <c r="C1083" s="5" t="s">
        <v>6487</v>
      </c>
      <c r="D1083" s="5" t="s">
        <v>1134</v>
      </c>
      <c r="E1083" s="5" t="s">
        <v>18453</v>
      </c>
      <c r="F1083" s="5" t="s">
        <v>6490</v>
      </c>
      <c r="G1083" s="5"/>
      <c r="H1083" s="5"/>
      <c r="I1083" s="5"/>
      <c r="J1083" s="5"/>
      <c r="K1083" s="5"/>
      <c r="L1083" s="5"/>
      <c r="M1083" s="5"/>
      <c r="N1083" s="5"/>
      <c r="O1083" s="5"/>
      <c r="P1083" s="5"/>
      <c r="Q1083" s="5"/>
      <c r="AL1083" s="7" t="str">
        <f>HYPERLINK("http://dx.doi.org/10.1080/17451000510019123","http://dx.doi.org/10.1080/17451000510019123")</f>
        <v>http://dx.doi.org/10.1080/17451000510019123</v>
      </c>
      <c r="AM1083" s="5">
        <v>13</v>
      </c>
      <c r="AN1083" s="5">
        <v>14</v>
      </c>
      <c r="AO1083" s="5">
        <v>1</v>
      </c>
      <c r="AP1083" s="5">
        <v>3</v>
      </c>
      <c r="AQ1083" s="5">
        <v>202</v>
      </c>
      <c r="AR1083" s="5">
        <v>215</v>
      </c>
      <c r="AS1083" s="5" t="s">
        <v>16</v>
      </c>
      <c r="AT1083" s="5" t="s">
        <v>6488</v>
      </c>
      <c r="AU1083" s="5" t="s">
        <v>6489</v>
      </c>
      <c r="AV1083" s="5" t="s">
        <v>6491</v>
      </c>
    </row>
    <row r="1084" spans="1:48" ht="45" customHeight="1" x14ac:dyDescent="0.15">
      <c r="A1084" s="5" t="s">
        <v>6492</v>
      </c>
      <c r="B1084" s="5">
        <v>2020</v>
      </c>
      <c r="C1084" s="5" t="s">
        <v>6493</v>
      </c>
      <c r="D1084" s="5" t="s">
        <v>172</v>
      </c>
      <c r="E1084" s="5" t="s">
        <v>18453</v>
      </c>
      <c r="F1084" s="5" t="s">
        <v>6496</v>
      </c>
      <c r="G1084" s="5"/>
      <c r="H1084" s="5"/>
      <c r="I1084" s="5"/>
      <c r="J1084" s="5"/>
      <c r="K1084" s="5"/>
      <c r="L1084" s="5"/>
      <c r="M1084" s="5"/>
      <c r="N1084" s="5"/>
      <c r="O1084" s="5"/>
      <c r="P1084" s="5"/>
      <c r="Q1084" s="5"/>
      <c r="AL1084" s="7" t="str">
        <f>HYPERLINK("http://dx.doi.org/10.1007/s00442-019-04567-x","http://dx.doi.org/10.1007/s00442-019-04567-x")</f>
        <v>http://dx.doi.org/10.1007/s00442-019-04567-x</v>
      </c>
      <c r="AM1084" s="5">
        <v>14</v>
      </c>
      <c r="AN1084" s="5">
        <v>14</v>
      </c>
      <c r="AO1084" s="5">
        <v>192</v>
      </c>
      <c r="AP1084" s="5">
        <v>1</v>
      </c>
      <c r="AQ1084" s="5">
        <v>55</v>
      </c>
      <c r="AR1084" s="5">
        <v>66</v>
      </c>
      <c r="AS1084" s="5" t="s">
        <v>16</v>
      </c>
      <c r="AT1084" s="5" t="s">
        <v>6494</v>
      </c>
      <c r="AU1084" s="5" t="s">
        <v>6495</v>
      </c>
      <c r="AV1084" s="5" t="s">
        <v>6497</v>
      </c>
    </row>
    <row r="1085" spans="1:48" ht="45" customHeight="1" x14ac:dyDescent="0.15">
      <c r="A1085" s="5" t="s">
        <v>6498</v>
      </c>
      <c r="B1085" s="5">
        <v>2010</v>
      </c>
      <c r="C1085" s="5" t="s">
        <v>6499</v>
      </c>
      <c r="D1085" s="5" t="s">
        <v>190</v>
      </c>
      <c r="E1085" s="5" t="s">
        <v>18453</v>
      </c>
      <c r="F1085" s="5" t="s">
        <v>6502</v>
      </c>
      <c r="G1085" s="5"/>
      <c r="H1085" s="5"/>
      <c r="I1085" s="5"/>
      <c r="J1085" s="5"/>
      <c r="K1085" s="5"/>
      <c r="L1085" s="5"/>
      <c r="M1085" s="5"/>
      <c r="N1085" s="5"/>
      <c r="O1085" s="5"/>
      <c r="P1085" s="5"/>
      <c r="Q1085" s="5"/>
      <c r="AL1085" s="7" t="str">
        <f>HYPERLINK("http://dx.doi.org/10.1007/s10530-009-9566-5","http://dx.doi.org/10.1007/s10530-009-9566-5")</f>
        <v>http://dx.doi.org/10.1007/s10530-009-9566-5</v>
      </c>
      <c r="AM1085" s="5">
        <v>106</v>
      </c>
      <c r="AN1085" s="5">
        <v>109</v>
      </c>
      <c r="AO1085" s="5">
        <v>12</v>
      </c>
      <c r="AP1085" s="5">
        <v>6</v>
      </c>
      <c r="AQ1085" s="5">
        <v>1533</v>
      </c>
      <c r="AR1085" s="5">
        <v>1542</v>
      </c>
      <c r="AS1085" s="5" t="s">
        <v>16</v>
      </c>
      <c r="AT1085" s="5" t="s">
        <v>6500</v>
      </c>
      <c r="AU1085" s="5" t="s">
        <v>6501</v>
      </c>
      <c r="AV1085" s="5" t="s">
        <v>6503</v>
      </c>
    </row>
    <row r="1086" spans="1:48" ht="45" customHeight="1" x14ac:dyDescent="0.15">
      <c r="A1086" s="5" t="s">
        <v>6504</v>
      </c>
      <c r="B1086" s="5">
        <v>2013</v>
      </c>
      <c r="C1086" s="5" t="s">
        <v>6505</v>
      </c>
      <c r="D1086" s="5" t="s">
        <v>2020</v>
      </c>
      <c r="E1086" s="5" t="s">
        <v>18453</v>
      </c>
      <c r="F1086" s="5" t="s">
        <v>6508</v>
      </c>
      <c r="G1086" s="5"/>
      <c r="H1086" s="5"/>
      <c r="I1086" s="5"/>
      <c r="J1086" s="5"/>
      <c r="K1086" s="5"/>
      <c r="L1086" s="5"/>
      <c r="M1086" s="5"/>
      <c r="N1086" s="5"/>
      <c r="O1086" s="5"/>
      <c r="P1086" s="5"/>
      <c r="Q1086" s="5"/>
      <c r="AL1086" s="7" t="str">
        <f>HYPERLINK("http://dx.doi.org/10.5751/ES-05877-180420","http://dx.doi.org/10.5751/ES-05877-180420")</f>
        <v>http://dx.doi.org/10.5751/ES-05877-180420</v>
      </c>
      <c r="AM1086" s="5">
        <v>88</v>
      </c>
      <c r="AN1086" s="5">
        <v>96</v>
      </c>
      <c r="AO1086" s="5">
        <v>18</v>
      </c>
      <c r="AP1086" s="5">
        <v>4</v>
      </c>
      <c r="AQ1086" s="5" t="s">
        <v>16</v>
      </c>
      <c r="AR1086" s="5" t="s">
        <v>16</v>
      </c>
      <c r="AS1086" s="5">
        <v>20</v>
      </c>
      <c r="AT1086" s="5" t="s">
        <v>6506</v>
      </c>
      <c r="AU1086" s="5" t="s">
        <v>6507</v>
      </c>
      <c r="AV1086" s="5" t="s">
        <v>6509</v>
      </c>
    </row>
    <row r="1087" spans="1:48" ht="45" customHeight="1" x14ac:dyDescent="0.15">
      <c r="A1087" s="5" t="s">
        <v>6510</v>
      </c>
      <c r="B1087" s="5">
        <v>2019</v>
      </c>
      <c r="C1087" s="5" t="s">
        <v>6511</v>
      </c>
      <c r="D1087" s="5" t="s">
        <v>18</v>
      </c>
      <c r="E1087" s="5" t="s">
        <v>18453</v>
      </c>
      <c r="F1087" s="5" t="s">
        <v>6514</v>
      </c>
      <c r="G1087" s="5"/>
      <c r="H1087" s="5"/>
      <c r="I1087" s="5"/>
      <c r="J1087" s="5"/>
      <c r="K1087" s="5"/>
      <c r="L1087" s="5"/>
      <c r="M1087" s="5"/>
      <c r="N1087" s="5"/>
      <c r="O1087" s="5"/>
      <c r="P1087" s="5"/>
      <c r="Q1087" s="5"/>
      <c r="AL1087" s="7" t="str">
        <f>HYPERLINK("http://dx.doi.org/10.1002/ecs2.2914","http://dx.doi.org/10.1002/ecs2.2914")</f>
        <v>http://dx.doi.org/10.1002/ecs2.2914</v>
      </c>
      <c r="AM1087" s="5">
        <v>12</v>
      </c>
      <c r="AN1087" s="5">
        <v>12</v>
      </c>
      <c r="AO1087" s="5">
        <v>10</v>
      </c>
      <c r="AP1087" s="5">
        <v>11</v>
      </c>
      <c r="AQ1087" s="5" t="s">
        <v>16</v>
      </c>
      <c r="AR1087" s="5" t="s">
        <v>16</v>
      </c>
      <c r="AS1087" s="5" t="s">
        <v>6515</v>
      </c>
      <c r="AT1087" s="5" t="s">
        <v>6512</v>
      </c>
      <c r="AU1087" s="5" t="s">
        <v>6513</v>
      </c>
      <c r="AV1087" s="5" t="s">
        <v>6516</v>
      </c>
    </row>
    <row r="1088" spans="1:48" ht="45" customHeight="1" x14ac:dyDescent="0.15">
      <c r="A1088" s="5" t="s">
        <v>6517</v>
      </c>
      <c r="B1088" s="5">
        <v>2023</v>
      </c>
      <c r="C1088" s="5" t="s">
        <v>6518</v>
      </c>
      <c r="D1088" s="5" t="s">
        <v>33</v>
      </c>
      <c r="E1088" s="5" t="s">
        <v>18453</v>
      </c>
      <c r="F1088" s="5" t="s">
        <v>6521</v>
      </c>
      <c r="G1088" s="5"/>
      <c r="H1088" s="5"/>
      <c r="I1088" s="5"/>
      <c r="J1088" s="5"/>
      <c r="K1088" s="5"/>
      <c r="L1088" s="5"/>
      <c r="M1088" s="5"/>
      <c r="N1088" s="5"/>
      <c r="O1088" s="5"/>
      <c r="P1088" s="5"/>
      <c r="Q1088" s="5"/>
      <c r="AL1088" s="7" t="str">
        <f>HYPERLINK("http://dx.doi.org/10.1111/gcb.16750","http://dx.doi.org/10.1111/gcb.16750")</f>
        <v>http://dx.doi.org/10.1111/gcb.16750</v>
      </c>
      <c r="AM1088" s="5">
        <v>0</v>
      </c>
      <c r="AN1088" s="5">
        <v>0</v>
      </c>
      <c r="AO1088" s="5" t="s">
        <v>16</v>
      </c>
      <c r="AP1088" s="5" t="s">
        <v>16</v>
      </c>
      <c r="AQ1088" s="5" t="s">
        <v>16</v>
      </c>
      <c r="AR1088" s="5" t="s">
        <v>16</v>
      </c>
      <c r="AS1088" s="5" t="s">
        <v>16</v>
      </c>
      <c r="AT1088" s="5" t="s">
        <v>6519</v>
      </c>
      <c r="AU1088" s="5" t="s">
        <v>6520</v>
      </c>
      <c r="AV1088" s="5" t="s">
        <v>6522</v>
      </c>
    </row>
    <row r="1089" spans="1:48" ht="45" customHeight="1" x14ac:dyDescent="0.15">
      <c r="A1089" s="5" t="s">
        <v>6523</v>
      </c>
      <c r="B1089" s="5">
        <v>2016</v>
      </c>
      <c r="C1089" s="5" t="s">
        <v>6524</v>
      </c>
      <c r="D1089" s="5" t="s">
        <v>124</v>
      </c>
      <c r="E1089" s="5" t="s">
        <v>18453</v>
      </c>
      <c r="F1089" s="5" t="s">
        <v>6527</v>
      </c>
      <c r="G1089" s="5"/>
      <c r="H1089" s="5"/>
      <c r="I1089" s="5"/>
      <c r="J1089" s="5"/>
      <c r="K1089" s="5"/>
      <c r="L1089" s="5"/>
      <c r="M1089" s="5"/>
      <c r="N1089" s="5"/>
      <c r="O1089" s="5"/>
      <c r="P1089" s="5"/>
      <c r="Q1089" s="5"/>
      <c r="AL1089" s="7" t="str">
        <f>HYPERLINK("http://dx.doi.org/10.1086/685296","http://dx.doi.org/10.1086/685296")</f>
        <v>http://dx.doi.org/10.1086/685296</v>
      </c>
      <c r="AM1089" s="5">
        <v>32</v>
      </c>
      <c r="AN1089" s="5">
        <v>33</v>
      </c>
      <c r="AO1089" s="5">
        <v>187</v>
      </c>
      <c r="AP1089" s="5">
        <v>4</v>
      </c>
      <c r="AQ1089" s="5">
        <v>436</v>
      </c>
      <c r="AR1089" s="5">
        <v>446</v>
      </c>
      <c r="AS1089" s="5" t="s">
        <v>16</v>
      </c>
      <c r="AT1089" s="5" t="s">
        <v>6525</v>
      </c>
      <c r="AU1089" s="5" t="s">
        <v>6526</v>
      </c>
      <c r="AV1089" s="5" t="s">
        <v>6528</v>
      </c>
    </row>
    <row r="1090" spans="1:48" ht="45" customHeight="1" x14ac:dyDescent="0.15">
      <c r="A1090" s="5" t="s">
        <v>6529</v>
      </c>
      <c r="B1090" s="5">
        <v>2019</v>
      </c>
      <c r="C1090" s="5" t="s">
        <v>6530</v>
      </c>
      <c r="D1090" s="5" t="s">
        <v>161</v>
      </c>
      <c r="E1090" s="5" t="s">
        <v>18453</v>
      </c>
      <c r="F1090" s="5" t="s">
        <v>6533</v>
      </c>
      <c r="G1090" s="5"/>
      <c r="H1090" s="5"/>
      <c r="I1090" s="5"/>
      <c r="J1090" s="5"/>
      <c r="K1090" s="5"/>
      <c r="L1090" s="5"/>
      <c r="M1090" s="5"/>
      <c r="N1090" s="5"/>
      <c r="O1090" s="5"/>
      <c r="P1090" s="5"/>
      <c r="Q1090" s="5"/>
      <c r="AL1090" s="7" t="str">
        <f>HYPERLINK("http://dx.doi.org/10.1111/geb.12976","http://dx.doi.org/10.1111/geb.12976")</f>
        <v>http://dx.doi.org/10.1111/geb.12976</v>
      </c>
      <c r="AM1090" s="5">
        <v>15</v>
      </c>
      <c r="AN1090" s="5">
        <v>15</v>
      </c>
      <c r="AO1090" s="5">
        <v>28</v>
      </c>
      <c r="AP1090" s="5">
        <v>11</v>
      </c>
      <c r="AQ1090" s="5">
        <v>1597</v>
      </c>
      <c r="AR1090" s="5">
        <v>1609</v>
      </c>
      <c r="AS1090" s="5" t="s">
        <v>16</v>
      </c>
      <c r="AT1090" s="5" t="s">
        <v>6531</v>
      </c>
      <c r="AU1090" s="5" t="s">
        <v>6532</v>
      </c>
      <c r="AV1090" s="5" t="s">
        <v>6534</v>
      </c>
    </row>
    <row r="1091" spans="1:48" ht="45" customHeight="1" x14ac:dyDescent="0.15">
      <c r="A1091" s="5" t="s">
        <v>6535</v>
      </c>
      <c r="B1091" s="5">
        <v>2015</v>
      </c>
      <c r="C1091" s="5" t="s">
        <v>6536</v>
      </c>
      <c r="D1091" s="5" t="s">
        <v>295</v>
      </c>
      <c r="E1091" s="5" t="s">
        <v>18453</v>
      </c>
      <c r="F1091" s="5" t="s">
        <v>6539</v>
      </c>
      <c r="G1091" s="5"/>
      <c r="H1091" s="5"/>
      <c r="I1091" s="5"/>
      <c r="J1091" s="5"/>
      <c r="K1091" s="5"/>
      <c r="L1091" s="5"/>
      <c r="M1091" s="5"/>
      <c r="N1091" s="5"/>
      <c r="O1091" s="5"/>
      <c r="P1091" s="5"/>
      <c r="Q1091" s="5"/>
      <c r="AL1091" s="7" t="str">
        <f>HYPERLINK("http://dx.doi.org/10.1016/j.jembe.2015.01.014","http://dx.doi.org/10.1016/j.jembe.2015.01.014")</f>
        <v>http://dx.doi.org/10.1016/j.jembe.2015.01.014</v>
      </c>
      <c r="AM1091" s="5">
        <v>12</v>
      </c>
      <c r="AN1091" s="5">
        <v>12</v>
      </c>
      <c r="AO1091" s="5">
        <v>466</v>
      </c>
      <c r="AP1091" s="5" t="s">
        <v>16</v>
      </c>
      <c r="AQ1091" s="5">
        <v>24</v>
      </c>
      <c r="AR1091" s="5">
        <v>33</v>
      </c>
      <c r="AS1091" s="5" t="s">
        <v>16</v>
      </c>
      <c r="AT1091" s="5" t="s">
        <v>6537</v>
      </c>
      <c r="AU1091" s="5" t="s">
        <v>6538</v>
      </c>
      <c r="AV1091" s="5" t="s">
        <v>6540</v>
      </c>
    </row>
    <row r="1092" spans="1:48" ht="45" customHeight="1" x14ac:dyDescent="0.15">
      <c r="A1092" s="5" t="s">
        <v>6541</v>
      </c>
      <c r="B1092" s="5">
        <v>2015</v>
      </c>
      <c r="C1092" s="5" t="s">
        <v>6542</v>
      </c>
      <c r="D1092" s="5" t="s">
        <v>252</v>
      </c>
      <c r="E1092" s="5" t="s">
        <v>18453</v>
      </c>
      <c r="F1092" s="5" t="s">
        <v>6545</v>
      </c>
      <c r="G1092" s="5"/>
      <c r="H1092" s="5"/>
      <c r="I1092" s="5"/>
      <c r="J1092" s="5"/>
      <c r="K1092" s="5"/>
      <c r="L1092" s="5"/>
      <c r="M1092" s="5"/>
      <c r="N1092" s="5"/>
      <c r="O1092" s="5"/>
      <c r="P1092" s="5"/>
      <c r="Q1092" s="5"/>
      <c r="AL1092" s="7" t="str">
        <f>HYPERLINK("http://dx.doi.org/10.1111/cobi.12392","http://dx.doi.org/10.1111/cobi.12392")</f>
        <v>http://dx.doi.org/10.1111/cobi.12392</v>
      </c>
      <c r="AM1092" s="5">
        <v>19</v>
      </c>
      <c r="AN1092" s="5">
        <v>19</v>
      </c>
      <c r="AO1092" s="5">
        <v>29</v>
      </c>
      <c r="AP1092" s="5">
        <v>2</v>
      </c>
      <c r="AQ1092" s="5">
        <v>400</v>
      </c>
      <c r="AR1092" s="5">
        <v>408</v>
      </c>
      <c r="AS1092" s="5" t="s">
        <v>16</v>
      </c>
      <c r="AT1092" s="5" t="s">
        <v>6543</v>
      </c>
      <c r="AU1092" s="5" t="s">
        <v>6544</v>
      </c>
      <c r="AV1092" s="5" t="s">
        <v>6546</v>
      </c>
    </row>
    <row r="1093" spans="1:48" ht="45" customHeight="1" x14ac:dyDescent="0.15">
      <c r="A1093" s="5" t="s">
        <v>6547</v>
      </c>
      <c r="B1093" s="5">
        <v>2003</v>
      </c>
      <c r="C1093" s="5" t="s">
        <v>6548</v>
      </c>
      <c r="D1093" s="5" t="s">
        <v>1141</v>
      </c>
      <c r="E1093" s="5" t="s">
        <v>18453</v>
      </c>
      <c r="F1093" s="5" t="s">
        <v>6551</v>
      </c>
      <c r="G1093" s="5"/>
      <c r="H1093" s="5"/>
      <c r="I1093" s="5"/>
      <c r="J1093" s="5"/>
      <c r="K1093" s="5"/>
      <c r="L1093" s="5"/>
      <c r="M1093" s="5"/>
      <c r="N1093" s="5"/>
      <c r="O1093" s="5"/>
      <c r="P1093" s="5"/>
      <c r="Q1093" s="5"/>
      <c r="AL1093" s="7" t="str">
        <f>HYPERLINK("http://dx.doi.org/10.1080/11956860.2003.11682798","http://dx.doi.org/10.1080/11956860.2003.11682798")</f>
        <v>http://dx.doi.org/10.1080/11956860.2003.11682798</v>
      </c>
      <c r="AM1093" s="5">
        <v>18</v>
      </c>
      <c r="AN1093" s="5">
        <v>20</v>
      </c>
      <c r="AO1093" s="5">
        <v>10</v>
      </c>
      <c r="AP1093" s="5">
        <v>4</v>
      </c>
      <c r="AQ1093" s="5">
        <v>502</v>
      </c>
      <c r="AR1093" s="5">
        <v>508</v>
      </c>
      <c r="AS1093" s="5" t="s">
        <v>16</v>
      </c>
      <c r="AT1093" s="5" t="s">
        <v>6549</v>
      </c>
      <c r="AU1093" s="5" t="s">
        <v>6550</v>
      </c>
      <c r="AV1093" s="5" t="s">
        <v>6552</v>
      </c>
    </row>
    <row r="1094" spans="1:48" ht="45" customHeight="1" x14ac:dyDescent="0.15">
      <c r="A1094" s="5" t="s">
        <v>6553</v>
      </c>
      <c r="B1094" s="5">
        <v>2015</v>
      </c>
      <c r="C1094" s="5" t="s">
        <v>6554</v>
      </c>
      <c r="D1094" s="5" t="s">
        <v>212</v>
      </c>
      <c r="E1094" s="5" t="s">
        <v>18453</v>
      </c>
      <c r="F1094" s="5" t="s">
        <v>6557</v>
      </c>
      <c r="G1094" s="5"/>
      <c r="H1094" s="5"/>
      <c r="I1094" s="5"/>
      <c r="J1094" s="5"/>
      <c r="K1094" s="5"/>
      <c r="L1094" s="5"/>
      <c r="M1094" s="5"/>
      <c r="N1094" s="5"/>
      <c r="O1094" s="5"/>
      <c r="P1094" s="5"/>
      <c r="Q1094" s="5"/>
      <c r="AL1094" s="7" t="str">
        <f>HYPERLINK("http://dx.doi.org/10.1007/s00300-014-1571-1","http://dx.doi.org/10.1007/s00300-014-1571-1")</f>
        <v>http://dx.doi.org/10.1007/s00300-014-1571-1</v>
      </c>
      <c r="AM1094" s="5">
        <v>56</v>
      </c>
      <c r="AN1094" s="5">
        <v>59</v>
      </c>
      <c r="AO1094" s="5">
        <v>38</v>
      </c>
      <c r="AP1094" s="5">
        <v>2</v>
      </c>
      <c r="AQ1094" s="5">
        <v>131</v>
      </c>
      <c r="AR1094" s="5">
        <v>143</v>
      </c>
      <c r="AS1094" s="5" t="s">
        <v>16</v>
      </c>
      <c r="AT1094" s="5" t="s">
        <v>6555</v>
      </c>
      <c r="AU1094" s="5" t="s">
        <v>6556</v>
      </c>
      <c r="AV1094" s="5" t="s">
        <v>6558</v>
      </c>
    </row>
    <row r="1095" spans="1:48" ht="45" customHeight="1" x14ac:dyDescent="0.15">
      <c r="A1095" s="5" t="s">
        <v>6559</v>
      </c>
      <c r="B1095" s="5">
        <v>2007</v>
      </c>
      <c r="C1095" s="5" t="s">
        <v>6560</v>
      </c>
      <c r="D1095" s="5" t="s">
        <v>82</v>
      </c>
      <c r="E1095" s="5" t="s">
        <v>18453</v>
      </c>
      <c r="F1095" s="5" t="s">
        <v>6563</v>
      </c>
      <c r="G1095" s="5"/>
      <c r="H1095" s="5"/>
      <c r="I1095" s="5"/>
      <c r="J1095" s="5"/>
      <c r="K1095" s="5"/>
      <c r="L1095" s="5"/>
      <c r="M1095" s="5"/>
      <c r="N1095" s="5"/>
      <c r="O1095" s="5"/>
      <c r="P1095" s="5"/>
      <c r="Q1095" s="5"/>
      <c r="AL1095" s="7" t="str">
        <f>HYPERLINK("http://dx.doi.org/10.1890/05-0684.1","http://dx.doi.org/10.1890/05-0684.1")</f>
        <v>http://dx.doi.org/10.1890/05-0684.1</v>
      </c>
      <c r="AM1095" s="5">
        <v>27</v>
      </c>
      <c r="AN1095" s="5">
        <v>30</v>
      </c>
      <c r="AO1095" s="5">
        <v>17</v>
      </c>
      <c r="AP1095" s="5">
        <v>5</v>
      </c>
      <c r="AQ1095" s="5" t="s">
        <v>6564</v>
      </c>
      <c r="AR1095" s="5" t="s">
        <v>6565</v>
      </c>
      <c r="AS1095" s="5" t="s">
        <v>16</v>
      </c>
      <c r="AT1095" s="5" t="s">
        <v>6561</v>
      </c>
      <c r="AU1095" s="5" t="s">
        <v>6562</v>
      </c>
      <c r="AV1095" s="5" t="s">
        <v>6566</v>
      </c>
    </row>
    <row r="1096" spans="1:48" ht="45" customHeight="1" x14ac:dyDescent="0.15">
      <c r="A1096" s="5" t="s">
        <v>6567</v>
      </c>
      <c r="B1096" s="5">
        <v>2019</v>
      </c>
      <c r="C1096" s="5" t="s">
        <v>6568</v>
      </c>
      <c r="D1096" s="5" t="s">
        <v>296</v>
      </c>
      <c r="E1096" s="5" t="s">
        <v>18453</v>
      </c>
      <c r="F1096" s="5" t="s">
        <v>6571</v>
      </c>
      <c r="G1096" s="5"/>
      <c r="H1096" s="5"/>
      <c r="I1096" s="5"/>
      <c r="J1096" s="5"/>
      <c r="K1096" s="5"/>
      <c r="L1096" s="5"/>
      <c r="M1096" s="5"/>
      <c r="N1096" s="5"/>
      <c r="O1096" s="5"/>
      <c r="P1096" s="5"/>
      <c r="Q1096" s="5"/>
      <c r="AL1096" s="7" t="str">
        <f>HYPERLINK("http://dx.doi.org/10.1098/rspb.2018.2894","http://dx.doi.org/10.1098/rspb.2018.2894")</f>
        <v>http://dx.doi.org/10.1098/rspb.2018.2894</v>
      </c>
      <c r="AM1096" s="5">
        <v>54</v>
      </c>
      <c r="AN1096" s="5">
        <v>54</v>
      </c>
      <c r="AO1096" s="5">
        <v>286</v>
      </c>
      <c r="AP1096" s="5">
        <v>1904</v>
      </c>
      <c r="AQ1096" s="5" t="s">
        <v>16</v>
      </c>
      <c r="AR1096" s="5" t="s">
        <v>16</v>
      </c>
      <c r="AS1096" s="5">
        <v>20182894</v>
      </c>
      <c r="AT1096" s="5" t="s">
        <v>6569</v>
      </c>
      <c r="AU1096" s="5" t="s">
        <v>6570</v>
      </c>
      <c r="AV1096" s="5" t="s">
        <v>6572</v>
      </c>
    </row>
    <row r="1097" spans="1:48" ht="45" customHeight="1" x14ac:dyDescent="0.15">
      <c r="A1097" s="5" t="s">
        <v>6573</v>
      </c>
      <c r="B1097" s="5">
        <v>2015</v>
      </c>
      <c r="C1097" s="5" t="s">
        <v>6574</v>
      </c>
      <c r="D1097" s="5" t="s">
        <v>18</v>
      </c>
      <c r="E1097" s="5" t="s">
        <v>18453</v>
      </c>
      <c r="F1097" s="5" t="s">
        <v>6577</v>
      </c>
      <c r="G1097" s="5"/>
      <c r="H1097" s="5"/>
      <c r="I1097" s="5"/>
      <c r="J1097" s="5"/>
      <c r="K1097" s="5"/>
      <c r="L1097" s="5"/>
      <c r="M1097" s="5"/>
      <c r="N1097" s="5"/>
      <c r="O1097" s="5"/>
      <c r="P1097" s="5"/>
      <c r="Q1097" s="5"/>
      <c r="AL1097" s="7" t="str">
        <f>HYPERLINK("http://dx.doi.org/10.1890/ES15-00319.1","http://dx.doi.org/10.1890/ES15-00319.1")</f>
        <v>http://dx.doi.org/10.1890/ES15-00319.1</v>
      </c>
      <c r="AM1097" s="5">
        <v>12</v>
      </c>
      <c r="AN1097" s="5">
        <v>12</v>
      </c>
      <c r="AO1097" s="5">
        <v>6</v>
      </c>
      <c r="AP1097" s="5">
        <v>10</v>
      </c>
      <c r="AQ1097" s="5" t="s">
        <v>16</v>
      </c>
      <c r="AR1097" s="5" t="s">
        <v>16</v>
      </c>
      <c r="AS1097" s="5">
        <v>200</v>
      </c>
      <c r="AT1097" s="5" t="s">
        <v>6575</v>
      </c>
      <c r="AU1097" s="5" t="s">
        <v>6576</v>
      </c>
      <c r="AV1097" s="5" t="s">
        <v>6578</v>
      </c>
    </row>
    <row r="1098" spans="1:48" ht="45" customHeight="1" x14ac:dyDescent="0.15">
      <c r="A1098" s="5" t="s">
        <v>6579</v>
      </c>
      <c r="B1098" s="5">
        <v>2019</v>
      </c>
      <c r="C1098" s="5" t="s">
        <v>6580</v>
      </c>
      <c r="D1098" s="5" t="s">
        <v>15</v>
      </c>
      <c r="E1098" s="5" t="s">
        <v>18453</v>
      </c>
      <c r="F1098" s="5" t="s">
        <v>6583</v>
      </c>
      <c r="G1098" s="5"/>
      <c r="H1098" s="5"/>
      <c r="I1098" s="5"/>
      <c r="J1098" s="5"/>
      <c r="K1098" s="5"/>
      <c r="L1098" s="5"/>
      <c r="M1098" s="5"/>
      <c r="N1098" s="5"/>
      <c r="O1098" s="5"/>
      <c r="P1098" s="5"/>
      <c r="Q1098" s="5"/>
      <c r="AL1098" s="7" t="str">
        <f>HYPERLINK("http://dx.doi.org/10.1002/ece3.5228","http://dx.doi.org/10.1002/ece3.5228")</f>
        <v>http://dx.doi.org/10.1002/ece3.5228</v>
      </c>
      <c r="AM1098" s="5">
        <v>45</v>
      </c>
      <c r="AN1098" s="5">
        <v>45</v>
      </c>
      <c r="AO1098" s="5">
        <v>9</v>
      </c>
      <c r="AP1098" s="5">
        <v>11</v>
      </c>
      <c r="AQ1098" s="5">
        <v>6508</v>
      </c>
      <c r="AR1098" s="5">
        <v>6523</v>
      </c>
      <c r="AS1098" s="5" t="s">
        <v>16</v>
      </c>
      <c r="AT1098" s="5" t="s">
        <v>6581</v>
      </c>
      <c r="AU1098" s="5" t="s">
        <v>6582</v>
      </c>
      <c r="AV1098" s="5" t="s">
        <v>6584</v>
      </c>
    </row>
    <row r="1099" spans="1:48" ht="45" customHeight="1" x14ac:dyDescent="0.15">
      <c r="A1099" s="5" t="s">
        <v>6585</v>
      </c>
      <c r="B1099" s="5">
        <v>2017</v>
      </c>
      <c r="C1099" s="5" t="s">
        <v>6586</v>
      </c>
      <c r="D1099" s="5" t="s">
        <v>49</v>
      </c>
      <c r="E1099" s="5" t="s">
        <v>18453</v>
      </c>
      <c r="F1099" s="5" t="s">
        <v>6589</v>
      </c>
      <c r="G1099" s="5"/>
      <c r="H1099" s="5"/>
      <c r="I1099" s="5"/>
      <c r="J1099" s="5"/>
      <c r="K1099" s="5"/>
      <c r="L1099" s="5"/>
      <c r="M1099" s="5"/>
      <c r="N1099" s="5"/>
      <c r="O1099" s="5"/>
      <c r="P1099" s="5"/>
      <c r="Q1099" s="5"/>
      <c r="AL1099" s="7" t="str">
        <f>HYPERLINK("http://dx.doi.org/10.3354/meps12035","http://dx.doi.org/10.3354/meps12035")</f>
        <v>http://dx.doi.org/10.3354/meps12035</v>
      </c>
      <c r="AM1099" s="5">
        <v>8</v>
      </c>
      <c r="AN1099" s="5">
        <v>8</v>
      </c>
      <c r="AO1099" s="5">
        <v>567</v>
      </c>
      <c r="AP1099" s="5" t="s">
        <v>16</v>
      </c>
      <c r="AQ1099" s="5">
        <v>157</v>
      </c>
      <c r="AR1099" s="5">
        <v>172</v>
      </c>
      <c r="AS1099" s="5" t="s">
        <v>16</v>
      </c>
      <c r="AT1099" s="5" t="s">
        <v>6587</v>
      </c>
      <c r="AU1099" s="5" t="s">
        <v>6588</v>
      </c>
      <c r="AV1099" s="5" t="s">
        <v>6590</v>
      </c>
    </row>
    <row r="1100" spans="1:48" ht="45" customHeight="1" x14ac:dyDescent="0.15">
      <c r="A1100" s="5" t="s">
        <v>6591</v>
      </c>
      <c r="B1100" s="5">
        <v>2019</v>
      </c>
      <c r="C1100" s="5" t="s">
        <v>6592</v>
      </c>
      <c r="D1100" s="5" t="s">
        <v>690</v>
      </c>
      <c r="E1100" s="5" t="s">
        <v>18453</v>
      </c>
      <c r="F1100" s="5" t="s">
        <v>6595</v>
      </c>
      <c r="G1100" s="5"/>
      <c r="H1100" s="5"/>
      <c r="I1100" s="5"/>
      <c r="J1100" s="5"/>
      <c r="K1100" s="5"/>
      <c r="L1100" s="5"/>
      <c r="M1100" s="5"/>
      <c r="N1100" s="5"/>
      <c r="O1100" s="5"/>
      <c r="P1100" s="5"/>
      <c r="Q1100" s="5"/>
      <c r="AL1100" s="7" t="str">
        <f>HYPERLINK("http://dx.doi.org/10.1111/mec.15240","http://dx.doi.org/10.1111/mec.15240")</f>
        <v>http://dx.doi.org/10.1111/mec.15240</v>
      </c>
      <c r="AM1100" s="5">
        <v>17</v>
      </c>
      <c r="AN1100" s="5">
        <v>17</v>
      </c>
      <c r="AO1100" s="5">
        <v>28</v>
      </c>
      <c r="AP1100" s="5">
        <v>20</v>
      </c>
      <c r="AQ1100" s="5">
        <v>4592</v>
      </c>
      <c r="AR1100" s="5">
        <v>4607</v>
      </c>
      <c r="AS1100" s="5" t="s">
        <v>16</v>
      </c>
      <c r="AT1100" s="5" t="s">
        <v>6593</v>
      </c>
      <c r="AU1100" s="5" t="s">
        <v>6594</v>
      </c>
      <c r="AV1100" s="5" t="s">
        <v>6596</v>
      </c>
    </row>
    <row r="1101" spans="1:48" ht="45" customHeight="1" x14ac:dyDescent="0.15">
      <c r="A1101" s="5" t="s">
        <v>6597</v>
      </c>
      <c r="B1101" s="5">
        <v>2022</v>
      </c>
      <c r="C1101" s="5" t="s">
        <v>6598</v>
      </c>
      <c r="D1101" s="5" t="s">
        <v>77</v>
      </c>
      <c r="E1101" s="5" t="s">
        <v>18453</v>
      </c>
      <c r="F1101" s="5" t="s">
        <v>6601</v>
      </c>
      <c r="G1101" s="5"/>
      <c r="H1101" s="5"/>
      <c r="I1101" s="5"/>
      <c r="J1101" s="5"/>
      <c r="K1101" s="5"/>
      <c r="L1101" s="5"/>
      <c r="M1101" s="5"/>
      <c r="N1101" s="5"/>
      <c r="O1101" s="5"/>
      <c r="P1101" s="5"/>
      <c r="Q1101" s="5"/>
      <c r="AL1101" s="7" t="str">
        <f>HYPERLINK("http://dx.doi.org/10.1111/1365-2656.13637","http://dx.doi.org/10.1111/1365-2656.13637")</f>
        <v>http://dx.doi.org/10.1111/1365-2656.13637</v>
      </c>
      <c r="AM1101" s="5">
        <v>1</v>
      </c>
      <c r="AN1101" s="5">
        <v>1</v>
      </c>
      <c r="AO1101" s="5">
        <v>91</v>
      </c>
      <c r="AP1101" s="5">
        <v>2</v>
      </c>
      <c r="AQ1101" s="5">
        <v>381</v>
      </c>
      <c r="AR1101" s="5">
        <v>390</v>
      </c>
      <c r="AS1101" s="5" t="s">
        <v>16</v>
      </c>
      <c r="AT1101" s="5" t="s">
        <v>6599</v>
      </c>
      <c r="AU1101" s="5" t="s">
        <v>6600</v>
      </c>
      <c r="AV1101" s="5" t="s">
        <v>6602</v>
      </c>
    </row>
    <row r="1102" spans="1:48" ht="45" customHeight="1" x14ac:dyDescent="0.15">
      <c r="A1102" s="5" t="s">
        <v>6603</v>
      </c>
      <c r="B1102" s="5">
        <v>2022</v>
      </c>
      <c r="C1102" s="5" t="s">
        <v>6604</v>
      </c>
      <c r="D1102" s="5" t="s">
        <v>190</v>
      </c>
      <c r="E1102" s="5" t="s">
        <v>18453</v>
      </c>
      <c r="F1102" s="5" t="s">
        <v>6607</v>
      </c>
      <c r="G1102" s="5"/>
      <c r="H1102" s="5"/>
      <c r="I1102" s="5"/>
      <c r="J1102" s="5"/>
      <c r="K1102" s="5"/>
      <c r="L1102" s="5"/>
      <c r="M1102" s="5"/>
      <c r="N1102" s="5"/>
      <c r="O1102" s="5"/>
      <c r="P1102" s="5"/>
      <c r="Q1102" s="5"/>
      <c r="AL1102" s="7" t="str">
        <f>HYPERLINK("http://dx.doi.org/10.1007/s10530-022-02750-5","http://dx.doi.org/10.1007/s10530-022-02750-5")</f>
        <v>http://dx.doi.org/10.1007/s10530-022-02750-5</v>
      </c>
      <c r="AM1102" s="5">
        <v>2</v>
      </c>
      <c r="AN1102" s="5">
        <v>2</v>
      </c>
      <c r="AO1102" s="5">
        <v>24</v>
      </c>
      <c r="AP1102" s="5">
        <v>6</v>
      </c>
      <c r="AQ1102" s="5">
        <v>1809</v>
      </c>
      <c r="AR1102" s="5">
        <v>1826</v>
      </c>
      <c r="AS1102" s="5" t="s">
        <v>16</v>
      </c>
      <c r="AT1102" s="5" t="s">
        <v>6605</v>
      </c>
      <c r="AU1102" s="5" t="s">
        <v>6606</v>
      </c>
      <c r="AV1102" s="5" t="s">
        <v>6608</v>
      </c>
    </row>
    <row r="1103" spans="1:48" ht="45" customHeight="1" x14ac:dyDescent="0.15">
      <c r="A1103" s="5" t="s">
        <v>6609</v>
      </c>
      <c r="B1103" s="5">
        <v>2022</v>
      </c>
      <c r="C1103" s="5" t="s">
        <v>6610</v>
      </c>
      <c r="D1103" s="5" t="s">
        <v>190</v>
      </c>
      <c r="E1103" s="5" t="s">
        <v>18453</v>
      </c>
      <c r="F1103" s="5" t="s">
        <v>6613</v>
      </c>
      <c r="G1103" s="5"/>
      <c r="H1103" s="5"/>
      <c r="I1103" s="5"/>
      <c r="J1103" s="5"/>
      <c r="K1103" s="5"/>
      <c r="L1103" s="5"/>
      <c r="M1103" s="5"/>
      <c r="N1103" s="5"/>
      <c r="O1103" s="5"/>
      <c r="P1103" s="5"/>
      <c r="Q1103" s="5"/>
      <c r="AL1103" s="7" t="str">
        <f>HYPERLINK("http://dx.doi.org/10.1007/s10530-022-02822-6","http://dx.doi.org/10.1007/s10530-022-02822-6")</f>
        <v>http://dx.doi.org/10.1007/s10530-022-02822-6</v>
      </c>
      <c r="AM1103" s="5">
        <v>1</v>
      </c>
      <c r="AN1103" s="5">
        <v>1</v>
      </c>
      <c r="AO1103" s="5">
        <v>24</v>
      </c>
      <c r="AP1103" s="5">
        <v>10</v>
      </c>
      <c r="AQ1103" s="5">
        <v>3013</v>
      </c>
      <c r="AR1103" s="5">
        <v>3031</v>
      </c>
      <c r="AS1103" s="5" t="s">
        <v>16</v>
      </c>
      <c r="AT1103" s="5" t="s">
        <v>6611</v>
      </c>
      <c r="AU1103" s="5" t="s">
        <v>6612</v>
      </c>
      <c r="AV1103" s="5" t="s">
        <v>6614</v>
      </c>
    </row>
    <row r="1104" spans="1:48" ht="45" customHeight="1" x14ac:dyDescent="0.15">
      <c r="A1104" s="5" t="s">
        <v>6615</v>
      </c>
      <c r="B1104" s="5">
        <v>2019</v>
      </c>
      <c r="C1104" s="5" t="s">
        <v>6616</v>
      </c>
      <c r="D1104" s="5" t="s">
        <v>161</v>
      </c>
      <c r="E1104" s="5" t="s">
        <v>18453</v>
      </c>
      <c r="F1104" s="5" t="s">
        <v>6619</v>
      </c>
      <c r="G1104" s="5"/>
      <c r="H1104" s="5"/>
      <c r="I1104" s="5"/>
      <c r="J1104" s="5"/>
      <c r="K1104" s="5"/>
      <c r="L1104" s="5"/>
      <c r="M1104" s="5"/>
      <c r="N1104" s="5"/>
      <c r="O1104" s="5"/>
      <c r="P1104" s="5"/>
      <c r="Q1104" s="5"/>
      <c r="AL1104" s="7" t="str">
        <f>HYPERLINK("http://dx.doi.org/10.1111/geb.12981","http://dx.doi.org/10.1111/geb.12981")</f>
        <v>http://dx.doi.org/10.1111/geb.12981</v>
      </c>
      <c r="AM1104" s="5">
        <v>19</v>
      </c>
      <c r="AN1104" s="5">
        <v>18</v>
      </c>
      <c r="AO1104" s="5">
        <v>28</v>
      </c>
      <c r="AP1104" s="5">
        <v>11</v>
      </c>
      <c r="AQ1104" s="5">
        <v>1636</v>
      </c>
      <c r="AR1104" s="5">
        <v>1648</v>
      </c>
      <c r="AS1104" s="5" t="s">
        <v>16</v>
      </c>
      <c r="AT1104" s="5" t="s">
        <v>6617</v>
      </c>
      <c r="AU1104" s="5" t="s">
        <v>6618</v>
      </c>
      <c r="AV1104" s="5" t="s">
        <v>6620</v>
      </c>
    </row>
    <row r="1105" spans="1:48" ht="45" customHeight="1" x14ac:dyDescent="0.15">
      <c r="A1105" s="5" t="s">
        <v>6621</v>
      </c>
      <c r="B1105" s="5">
        <v>2019</v>
      </c>
      <c r="C1105" s="5" t="s">
        <v>6622</v>
      </c>
      <c r="D1105" s="5" t="s">
        <v>212</v>
      </c>
      <c r="E1105" s="5" t="s">
        <v>18453</v>
      </c>
      <c r="F1105" s="5" t="s">
        <v>6625</v>
      </c>
      <c r="G1105" s="5"/>
      <c r="H1105" s="5"/>
      <c r="I1105" s="5"/>
      <c r="J1105" s="5"/>
      <c r="K1105" s="5"/>
      <c r="L1105" s="5"/>
      <c r="M1105" s="5"/>
      <c r="N1105" s="5"/>
      <c r="O1105" s="5"/>
      <c r="P1105" s="5"/>
      <c r="Q1105" s="5"/>
      <c r="AL1105" s="7" t="str">
        <f>HYPERLINK("http://dx.doi.org/10.1007/s00300-018-02447-3","http://dx.doi.org/10.1007/s00300-018-02447-3")</f>
        <v>http://dx.doi.org/10.1007/s00300-018-02447-3</v>
      </c>
      <c r="AM1105" s="5">
        <v>8</v>
      </c>
      <c r="AN1105" s="5">
        <v>8</v>
      </c>
      <c r="AO1105" s="5">
        <v>42</v>
      </c>
      <c r="AP1105" s="5">
        <v>3</v>
      </c>
      <c r="AQ1105" s="5">
        <v>639</v>
      </c>
      <c r="AR1105" s="5">
        <v>644</v>
      </c>
      <c r="AS1105" s="5" t="s">
        <v>16</v>
      </c>
      <c r="AT1105" s="5" t="s">
        <v>6623</v>
      </c>
      <c r="AU1105" s="5" t="s">
        <v>6624</v>
      </c>
      <c r="AV1105" s="5" t="s">
        <v>6626</v>
      </c>
    </row>
    <row r="1106" spans="1:48" ht="45" customHeight="1" x14ac:dyDescent="0.15">
      <c r="A1106" s="5" t="s">
        <v>6627</v>
      </c>
      <c r="B1106" s="5">
        <v>2009</v>
      </c>
      <c r="C1106" s="5" t="s">
        <v>6628</v>
      </c>
      <c r="D1106" s="5" t="s">
        <v>17</v>
      </c>
      <c r="E1106" s="5" t="s">
        <v>18453</v>
      </c>
      <c r="F1106" s="5" t="s">
        <v>6631</v>
      </c>
      <c r="G1106" s="5"/>
      <c r="H1106" s="5"/>
      <c r="I1106" s="5"/>
      <c r="J1106" s="5"/>
      <c r="K1106" s="5"/>
      <c r="L1106" s="5"/>
      <c r="M1106" s="5"/>
      <c r="N1106" s="5"/>
      <c r="O1106" s="5"/>
      <c r="P1106" s="5"/>
      <c r="Q1106" s="5"/>
      <c r="AL1106" s="7" t="str">
        <f>HYPERLINK("http://dx.doi.org/10.1111/j.1365-2427.2009.02224.x","http://dx.doi.org/10.1111/j.1365-2427.2009.02224.x")</f>
        <v>http://dx.doi.org/10.1111/j.1365-2427.2009.02224.x</v>
      </c>
      <c r="AM1106" s="5">
        <v>15</v>
      </c>
      <c r="AN1106" s="5">
        <v>17</v>
      </c>
      <c r="AO1106" s="5">
        <v>54</v>
      </c>
      <c r="AP1106" s="5">
        <v>8</v>
      </c>
      <c r="AQ1106" s="5">
        <v>1705</v>
      </c>
      <c r="AR1106" s="5">
        <v>1719</v>
      </c>
      <c r="AS1106" s="5" t="s">
        <v>16</v>
      </c>
      <c r="AT1106" s="5" t="s">
        <v>6629</v>
      </c>
      <c r="AU1106" s="5" t="s">
        <v>6630</v>
      </c>
      <c r="AV1106" s="5" t="s">
        <v>6632</v>
      </c>
    </row>
    <row r="1107" spans="1:48" ht="45" customHeight="1" x14ac:dyDescent="0.15">
      <c r="A1107" s="5" t="s">
        <v>6633</v>
      </c>
      <c r="B1107" s="5">
        <v>2017</v>
      </c>
      <c r="C1107" s="5" t="s">
        <v>6634</v>
      </c>
      <c r="D1107" s="5" t="s">
        <v>27</v>
      </c>
      <c r="E1107" s="5" t="s">
        <v>18453</v>
      </c>
      <c r="F1107" s="5" t="s">
        <v>6637</v>
      </c>
      <c r="G1107" s="5"/>
      <c r="H1107" s="5"/>
      <c r="I1107" s="5"/>
      <c r="J1107" s="5"/>
      <c r="K1107" s="5"/>
      <c r="L1107" s="5"/>
      <c r="M1107" s="5"/>
      <c r="N1107" s="5"/>
      <c r="O1107" s="5"/>
      <c r="P1107" s="5"/>
      <c r="Q1107" s="5"/>
      <c r="AL1107" s="7" t="str">
        <f>HYPERLINK("http://dx.doi.org/10.1002/ecy.2009","http://dx.doi.org/10.1002/ecy.2009")</f>
        <v>http://dx.doi.org/10.1002/ecy.2009</v>
      </c>
      <c r="AM1107" s="5">
        <v>10</v>
      </c>
      <c r="AN1107" s="5">
        <v>10</v>
      </c>
      <c r="AO1107" s="5">
        <v>98</v>
      </c>
      <c r="AP1107" s="5">
        <v>12</v>
      </c>
      <c r="AQ1107" s="5">
        <v>3044</v>
      </c>
      <c r="AR1107" s="5">
        <v>3055</v>
      </c>
      <c r="AS1107" s="5" t="s">
        <v>16</v>
      </c>
      <c r="AT1107" s="5" t="s">
        <v>6635</v>
      </c>
      <c r="AU1107" s="5" t="s">
        <v>6636</v>
      </c>
      <c r="AV1107" s="5" t="s">
        <v>6638</v>
      </c>
    </row>
    <row r="1108" spans="1:48" ht="45" customHeight="1" x14ac:dyDescent="0.15">
      <c r="A1108" s="5" t="s">
        <v>6639</v>
      </c>
      <c r="B1108" s="5">
        <v>2010</v>
      </c>
      <c r="C1108" s="5" t="s">
        <v>6640</v>
      </c>
      <c r="D1108" s="5" t="s">
        <v>295</v>
      </c>
      <c r="E1108" s="5" t="s">
        <v>18453</v>
      </c>
      <c r="F1108" s="5" t="s">
        <v>6643</v>
      </c>
      <c r="G1108" s="5"/>
      <c r="H1108" s="5"/>
      <c r="I1108" s="5"/>
      <c r="J1108" s="5"/>
      <c r="K1108" s="5"/>
      <c r="L1108" s="5"/>
      <c r="M1108" s="5"/>
      <c r="N1108" s="5"/>
      <c r="O1108" s="5"/>
      <c r="P1108" s="5"/>
      <c r="Q1108" s="5"/>
      <c r="AL1108" s="7" t="str">
        <f>HYPERLINK("http://dx.doi.org/10.1016/j.jembe.2010.08.015","http://dx.doi.org/10.1016/j.jembe.2010.08.015")</f>
        <v>http://dx.doi.org/10.1016/j.jembe.2010.08.015</v>
      </c>
      <c r="AM1108" s="5">
        <v>22</v>
      </c>
      <c r="AN1108" s="5">
        <v>22</v>
      </c>
      <c r="AO1108" s="5">
        <v>395</v>
      </c>
      <c r="AP1108" s="5" t="s">
        <v>778</v>
      </c>
      <c r="AQ1108" s="5">
        <v>1</v>
      </c>
      <c r="AR1108" s="5">
        <v>9</v>
      </c>
      <c r="AS1108" s="5" t="s">
        <v>16</v>
      </c>
      <c r="AT1108" s="5" t="s">
        <v>6641</v>
      </c>
      <c r="AU1108" s="5" t="s">
        <v>6642</v>
      </c>
      <c r="AV1108" s="5" t="s">
        <v>6644</v>
      </c>
    </row>
    <row r="1109" spans="1:48" ht="45" customHeight="1" x14ac:dyDescent="0.15">
      <c r="A1109" s="5" t="s">
        <v>6645</v>
      </c>
      <c r="B1109" s="5">
        <v>2011</v>
      </c>
      <c r="C1109" s="5" t="s">
        <v>6646</v>
      </c>
      <c r="D1109" s="5" t="s">
        <v>295</v>
      </c>
      <c r="E1109" s="5" t="s">
        <v>18453</v>
      </c>
      <c r="F1109" s="5" t="s">
        <v>6649</v>
      </c>
      <c r="G1109" s="5"/>
      <c r="H1109" s="5"/>
      <c r="I1109" s="5"/>
      <c r="J1109" s="5"/>
      <c r="K1109" s="5"/>
      <c r="L1109" s="5"/>
      <c r="M1109" s="5"/>
      <c r="N1109" s="5"/>
      <c r="O1109" s="5"/>
      <c r="P1109" s="5"/>
      <c r="Q1109" s="5"/>
      <c r="AL1109" s="7" t="str">
        <f>HYPERLINK("http://dx.doi.org/10.1016/j.jembe.2011.05.012","http://dx.doi.org/10.1016/j.jembe.2011.05.012")</f>
        <v>http://dx.doi.org/10.1016/j.jembe.2011.05.012</v>
      </c>
      <c r="AM1109" s="5">
        <v>77</v>
      </c>
      <c r="AN1109" s="5">
        <v>81</v>
      </c>
      <c r="AO1109" s="5">
        <v>405</v>
      </c>
      <c r="AP1109" s="5" t="s">
        <v>778</v>
      </c>
      <c r="AQ1109" s="5">
        <v>25</v>
      </c>
      <c r="AR1109" s="5">
        <v>32</v>
      </c>
      <c r="AS1109" s="5" t="s">
        <v>16</v>
      </c>
      <c r="AT1109" s="5" t="s">
        <v>6647</v>
      </c>
      <c r="AU1109" s="5" t="s">
        <v>6648</v>
      </c>
      <c r="AV1109" s="5" t="s">
        <v>6650</v>
      </c>
    </row>
    <row r="1110" spans="1:48" ht="45" customHeight="1" x14ac:dyDescent="0.15">
      <c r="A1110" s="5" t="s">
        <v>6651</v>
      </c>
      <c r="B1110" s="5">
        <v>2022</v>
      </c>
      <c r="C1110" s="5" t="s">
        <v>6652</v>
      </c>
      <c r="D1110" s="5" t="s">
        <v>942</v>
      </c>
      <c r="E1110" s="5" t="s">
        <v>18453</v>
      </c>
      <c r="F1110" s="5" t="s">
        <v>6655</v>
      </c>
      <c r="G1110" s="5"/>
      <c r="H1110" s="5"/>
      <c r="I1110" s="5"/>
      <c r="J1110" s="5"/>
      <c r="K1110" s="5"/>
      <c r="L1110" s="5"/>
      <c r="M1110" s="5"/>
      <c r="N1110" s="5"/>
      <c r="O1110" s="5"/>
      <c r="P1110" s="5"/>
      <c r="Q1110" s="5"/>
      <c r="AL1110" s="7" t="str">
        <f>HYPERLINK("http://dx.doi.org/10.1016/j.rsma.2022.102439","http://dx.doi.org/10.1016/j.rsma.2022.102439")</f>
        <v>http://dx.doi.org/10.1016/j.rsma.2022.102439</v>
      </c>
      <c r="AM1110" s="5">
        <v>1</v>
      </c>
      <c r="AN1110" s="5">
        <v>1</v>
      </c>
      <c r="AO1110" s="5">
        <v>53</v>
      </c>
      <c r="AP1110" s="5" t="s">
        <v>16</v>
      </c>
      <c r="AQ1110" s="5" t="s">
        <v>16</v>
      </c>
      <c r="AR1110" s="5" t="s">
        <v>16</v>
      </c>
      <c r="AS1110" s="5">
        <v>102439</v>
      </c>
      <c r="AT1110" s="5" t="s">
        <v>6653</v>
      </c>
      <c r="AU1110" s="5" t="s">
        <v>6654</v>
      </c>
      <c r="AV1110" s="5" t="s">
        <v>6656</v>
      </c>
    </row>
    <row r="1111" spans="1:48" ht="45" customHeight="1" x14ac:dyDescent="0.15">
      <c r="A1111" s="5" t="s">
        <v>6657</v>
      </c>
      <c r="B1111" s="5">
        <v>2014</v>
      </c>
      <c r="C1111" s="5" t="s">
        <v>6658</v>
      </c>
      <c r="D1111" s="5" t="s">
        <v>2087</v>
      </c>
      <c r="E1111" s="5" t="s">
        <v>18453</v>
      </c>
      <c r="F1111" s="5" t="s">
        <v>6661</v>
      </c>
      <c r="G1111" s="5"/>
      <c r="H1111" s="5"/>
      <c r="I1111" s="5"/>
      <c r="J1111" s="5"/>
      <c r="K1111" s="5"/>
      <c r="L1111" s="5"/>
      <c r="M1111" s="5"/>
      <c r="N1111" s="5"/>
      <c r="O1111" s="5"/>
      <c r="P1111" s="5"/>
      <c r="Q1111" s="5"/>
      <c r="AL1111" s="7" t="str">
        <f>HYPERLINK("http://dx.doi.org/10.1002/eco.1419","http://dx.doi.org/10.1002/eco.1419")</f>
        <v>http://dx.doi.org/10.1002/eco.1419</v>
      </c>
      <c r="AM1111" s="5">
        <v>34</v>
      </c>
      <c r="AN1111" s="5">
        <v>41</v>
      </c>
      <c r="AO1111" s="5">
        <v>7</v>
      </c>
      <c r="AP1111" s="5">
        <v>3</v>
      </c>
      <c r="AQ1111" s="5">
        <v>927</v>
      </c>
      <c r="AR1111" s="5">
        <v>935</v>
      </c>
      <c r="AS1111" s="5" t="s">
        <v>16</v>
      </c>
      <c r="AT1111" s="5" t="s">
        <v>6659</v>
      </c>
      <c r="AU1111" s="5" t="s">
        <v>6660</v>
      </c>
      <c r="AV1111" s="5" t="s">
        <v>6662</v>
      </c>
    </row>
    <row r="1112" spans="1:48" ht="45" customHeight="1" x14ac:dyDescent="0.15">
      <c r="A1112" s="5" t="s">
        <v>6663</v>
      </c>
      <c r="B1112" s="5">
        <v>2021</v>
      </c>
      <c r="C1112" s="5" t="s">
        <v>6664</v>
      </c>
      <c r="D1112" s="5" t="s">
        <v>62</v>
      </c>
      <c r="E1112" s="5" t="s">
        <v>18453</v>
      </c>
      <c r="F1112" s="5" t="s">
        <v>6667</v>
      </c>
      <c r="G1112" s="5"/>
      <c r="H1112" s="5"/>
      <c r="I1112" s="5"/>
      <c r="J1112" s="5"/>
      <c r="K1112" s="5"/>
      <c r="L1112" s="5"/>
      <c r="M1112" s="5"/>
      <c r="N1112" s="5"/>
      <c r="O1112" s="5"/>
      <c r="P1112" s="5"/>
      <c r="Q1112" s="5"/>
      <c r="AL1112" s="7" t="str">
        <f>HYPERLINK("http://dx.doi.org/10.1007/s10021-020-00524-5","http://dx.doi.org/10.1007/s10021-020-00524-5")</f>
        <v>http://dx.doi.org/10.1007/s10021-020-00524-5</v>
      </c>
      <c r="AM1112" s="5">
        <v>5</v>
      </c>
      <c r="AN1112" s="5">
        <v>5</v>
      </c>
      <c r="AO1112" s="5">
        <v>24</v>
      </c>
      <c r="AP1112" s="5">
        <v>2</v>
      </c>
      <c r="AQ1112" s="5">
        <v>384</v>
      </c>
      <c r="AR1112" s="5">
        <v>402</v>
      </c>
      <c r="AS1112" s="5" t="s">
        <v>16</v>
      </c>
      <c r="AT1112" s="5" t="s">
        <v>6665</v>
      </c>
      <c r="AU1112" s="5" t="s">
        <v>6666</v>
      </c>
      <c r="AV1112" s="5" t="s">
        <v>6668</v>
      </c>
    </row>
    <row r="1113" spans="1:48" ht="45" customHeight="1" x14ac:dyDescent="0.15">
      <c r="A1113" s="5" t="s">
        <v>6669</v>
      </c>
      <c r="B1113" s="5">
        <v>2019</v>
      </c>
      <c r="C1113" s="5" t="s">
        <v>6670</v>
      </c>
      <c r="D1113" s="5" t="s">
        <v>270</v>
      </c>
      <c r="E1113" s="5" t="s">
        <v>18453</v>
      </c>
      <c r="F1113" s="5" t="s">
        <v>6673</v>
      </c>
      <c r="G1113" s="5"/>
      <c r="H1113" s="5"/>
      <c r="I1113" s="5"/>
      <c r="J1113" s="5"/>
      <c r="K1113" s="5"/>
      <c r="L1113" s="5"/>
      <c r="M1113" s="5"/>
      <c r="N1113" s="5"/>
      <c r="O1113" s="5"/>
      <c r="P1113" s="5"/>
      <c r="Q1113" s="5"/>
      <c r="AL1113" s="7" t="str">
        <f>HYPERLINK("http://dx.doi.org/10.3391/ai.2019.14.2.09","http://dx.doi.org/10.3391/ai.2019.14.2.09")</f>
        <v>http://dx.doi.org/10.3391/ai.2019.14.2.09</v>
      </c>
      <c r="AM1113" s="5">
        <v>20</v>
      </c>
      <c r="AN1113" s="5">
        <v>20</v>
      </c>
      <c r="AO1113" s="5">
        <v>14</v>
      </c>
      <c r="AP1113" s="5">
        <v>2</v>
      </c>
      <c r="AQ1113" s="5">
        <v>299</v>
      </c>
      <c r="AR1113" s="5">
        <v>309</v>
      </c>
      <c r="AS1113" s="5" t="s">
        <v>16</v>
      </c>
      <c r="AT1113" s="5" t="s">
        <v>6671</v>
      </c>
      <c r="AU1113" s="5" t="s">
        <v>6672</v>
      </c>
      <c r="AV1113" s="5" t="s">
        <v>6674</v>
      </c>
    </row>
    <row r="1114" spans="1:48" ht="45" customHeight="1" x14ac:dyDescent="0.15">
      <c r="A1114" s="5" t="s">
        <v>6675</v>
      </c>
      <c r="B1114" s="5">
        <v>2013</v>
      </c>
      <c r="C1114" s="5" t="s">
        <v>6676</v>
      </c>
      <c r="D1114" s="5" t="s">
        <v>212</v>
      </c>
      <c r="E1114" s="5" t="s">
        <v>18453</v>
      </c>
      <c r="F1114" s="5" t="s">
        <v>6679</v>
      </c>
      <c r="G1114" s="5"/>
      <c r="H1114" s="5"/>
      <c r="I1114" s="5"/>
      <c r="J1114" s="5"/>
      <c r="K1114" s="5"/>
      <c r="L1114" s="5"/>
      <c r="M1114" s="5"/>
      <c r="N1114" s="5"/>
      <c r="O1114" s="5"/>
      <c r="P1114" s="5"/>
      <c r="Q1114" s="5"/>
      <c r="AL1114" s="7" t="str">
        <f>HYPERLINK("http://dx.doi.org/10.1007/s00300-012-1266-4","http://dx.doi.org/10.1007/s00300-012-1266-4")</f>
        <v>http://dx.doi.org/10.1007/s00300-012-1266-4</v>
      </c>
      <c r="AM1114" s="5">
        <v>14</v>
      </c>
      <c r="AN1114" s="5">
        <v>17</v>
      </c>
      <c r="AO1114" s="5">
        <v>36</v>
      </c>
      <c r="AP1114" s="5">
        <v>3</v>
      </c>
      <c r="AQ1114" s="5">
        <v>437</v>
      </c>
      <c r="AR1114" s="5">
        <v>443</v>
      </c>
      <c r="AS1114" s="5" t="s">
        <v>16</v>
      </c>
      <c r="AT1114" s="5" t="s">
        <v>6677</v>
      </c>
      <c r="AU1114" s="5" t="s">
        <v>6678</v>
      </c>
      <c r="AV1114" s="5" t="s">
        <v>6680</v>
      </c>
    </row>
    <row r="1115" spans="1:48" ht="45" customHeight="1" x14ac:dyDescent="0.15">
      <c r="A1115" s="5" t="s">
        <v>6681</v>
      </c>
      <c r="B1115" s="5">
        <v>2019</v>
      </c>
      <c r="C1115" s="5" t="s">
        <v>6682</v>
      </c>
      <c r="D1115" s="5" t="s">
        <v>6683</v>
      </c>
      <c r="E1115" s="5" t="s">
        <v>18453</v>
      </c>
      <c r="F1115" s="5" t="s">
        <v>6685</v>
      </c>
      <c r="G1115" s="5"/>
      <c r="H1115" s="5"/>
      <c r="I1115" s="5"/>
      <c r="J1115" s="5"/>
      <c r="K1115" s="5"/>
      <c r="L1115" s="5"/>
      <c r="M1115" s="5"/>
      <c r="N1115" s="5"/>
      <c r="O1115" s="5"/>
      <c r="P1115" s="5"/>
      <c r="Q1115" s="5"/>
      <c r="AL1115" s="7" t="str">
        <f>HYPERLINK("http://dx.doi.org/10.1038/s41559-019-1042-8","http://dx.doi.org/10.1038/s41559-019-1042-8")</f>
        <v>http://dx.doi.org/10.1038/s41559-019-1042-8</v>
      </c>
      <c r="AM1115" s="5">
        <v>111</v>
      </c>
      <c r="AN1115" s="5">
        <v>114</v>
      </c>
      <c r="AO1115" s="5">
        <v>3</v>
      </c>
      <c r="AP1115" s="5">
        <v>12</v>
      </c>
      <c r="AQ1115" s="5">
        <v>1675</v>
      </c>
      <c r="AR1115" s="5">
        <v>1685</v>
      </c>
      <c r="AS1115" s="5" t="s">
        <v>16</v>
      </c>
      <c r="AT1115" s="5" t="s">
        <v>16</v>
      </c>
      <c r="AU1115" s="5" t="s">
        <v>6684</v>
      </c>
      <c r="AV1115" s="5" t="s">
        <v>6686</v>
      </c>
    </row>
    <row r="1116" spans="1:48" ht="45" customHeight="1" x14ac:dyDescent="0.15">
      <c r="A1116" s="5" t="s">
        <v>6687</v>
      </c>
      <c r="B1116" s="5">
        <v>2014</v>
      </c>
      <c r="C1116" s="5" t="s">
        <v>6688</v>
      </c>
      <c r="D1116" s="5" t="s">
        <v>27</v>
      </c>
      <c r="E1116" s="5" t="s">
        <v>18453</v>
      </c>
      <c r="F1116" s="5" t="s">
        <v>6691</v>
      </c>
      <c r="G1116" s="5"/>
      <c r="H1116" s="5"/>
      <c r="I1116" s="5"/>
      <c r="J1116" s="5"/>
      <c r="K1116" s="5"/>
      <c r="L1116" s="5"/>
      <c r="M1116" s="5"/>
      <c r="N1116" s="5"/>
      <c r="O1116" s="5"/>
      <c r="P1116" s="5"/>
      <c r="Q1116" s="5"/>
      <c r="AL1116" s="7" t="str">
        <f>HYPERLINK("http://dx.doi.org/10.1890/13-0843.1","http://dx.doi.org/10.1890/13-0843.1")</f>
        <v>http://dx.doi.org/10.1890/13-0843.1</v>
      </c>
      <c r="AM1116" s="5">
        <v>15</v>
      </c>
      <c r="AN1116" s="5">
        <v>15</v>
      </c>
      <c r="AO1116" s="5">
        <v>95</v>
      </c>
      <c r="AP1116" s="5">
        <v>9</v>
      </c>
      <c r="AQ1116" s="5">
        <v>2409</v>
      </c>
      <c r="AR1116" s="5">
        <v>2422</v>
      </c>
      <c r="AS1116" s="5" t="s">
        <v>16</v>
      </c>
      <c r="AT1116" s="5" t="s">
        <v>6689</v>
      </c>
      <c r="AU1116" s="5" t="s">
        <v>6690</v>
      </c>
      <c r="AV1116" s="5" t="s">
        <v>6692</v>
      </c>
    </row>
    <row r="1117" spans="1:48" ht="45" customHeight="1" x14ac:dyDescent="0.15">
      <c r="A1117" s="5" t="s">
        <v>6693</v>
      </c>
      <c r="B1117" s="5">
        <v>2020</v>
      </c>
      <c r="C1117" s="5" t="s">
        <v>6694</v>
      </c>
      <c r="D1117" s="5" t="s">
        <v>6695</v>
      </c>
      <c r="E1117" s="5" t="s">
        <v>18453</v>
      </c>
      <c r="F1117" s="5" t="s">
        <v>6698</v>
      </c>
      <c r="G1117" s="5"/>
      <c r="H1117" s="5"/>
      <c r="I1117" s="5"/>
      <c r="J1117" s="5"/>
      <c r="K1117" s="5"/>
      <c r="L1117" s="5"/>
      <c r="M1117" s="5"/>
      <c r="N1117" s="5"/>
      <c r="O1117" s="5"/>
      <c r="P1117" s="5"/>
      <c r="Q1117" s="5"/>
      <c r="AL1117" s="7" t="str">
        <f>HYPERLINK("http://dx.doi.org/10.3955/046.094.0203","http://dx.doi.org/10.3955/046.094.0203")</f>
        <v>http://dx.doi.org/10.3955/046.094.0203</v>
      </c>
      <c r="AM1117" s="5">
        <v>0</v>
      </c>
      <c r="AN1117" s="5">
        <v>0</v>
      </c>
      <c r="AO1117" s="5">
        <v>94</v>
      </c>
      <c r="AP1117" s="5">
        <v>2</v>
      </c>
      <c r="AQ1117" s="5">
        <v>118</v>
      </c>
      <c r="AR1117" s="5">
        <v>128</v>
      </c>
      <c r="AS1117" s="5" t="s">
        <v>16</v>
      </c>
      <c r="AT1117" s="5" t="s">
        <v>6696</v>
      </c>
      <c r="AU1117" s="5" t="s">
        <v>6697</v>
      </c>
      <c r="AV1117" s="5" t="s">
        <v>6699</v>
      </c>
    </row>
    <row r="1118" spans="1:48" ht="45" customHeight="1" x14ac:dyDescent="0.15">
      <c r="A1118" s="5" t="s">
        <v>6700</v>
      </c>
      <c r="B1118" s="5">
        <v>2019</v>
      </c>
      <c r="C1118" s="5" t="s">
        <v>6701</v>
      </c>
      <c r="D1118" s="5" t="s">
        <v>162</v>
      </c>
      <c r="E1118" s="5" t="s">
        <v>18453</v>
      </c>
      <c r="F1118" s="5" t="s">
        <v>6704</v>
      </c>
      <c r="G1118" s="5"/>
      <c r="H1118" s="5"/>
      <c r="I1118" s="5"/>
      <c r="J1118" s="5"/>
      <c r="K1118" s="5"/>
      <c r="L1118" s="5"/>
      <c r="M1118" s="5"/>
      <c r="N1118" s="5"/>
      <c r="O1118" s="5"/>
      <c r="P1118" s="5"/>
      <c r="Q1118" s="5"/>
      <c r="AL1118" s="7" t="str">
        <f>HYPERLINK("http://dx.doi.org/10.1111/1365-2435.13266","http://dx.doi.org/10.1111/1365-2435.13266")</f>
        <v>http://dx.doi.org/10.1111/1365-2435.13266</v>
      </c>
      <c r="AM1118" s="5">
        <v>27</v>
      </c>
      <c r="AN1118" s="5">
        <v>27</v>
      </c>
      <c r="AO1118" s="5">
        <v>33</v>
      </c>
      <c r="AP1118" s="5">
        <v>2</v>
      </c>
      <c r="AQ1118" s="5">
        <v>335</v>
      </c>
      <c r="AR1118" s="5">
        <v>345</v>
      </c>
      <c r="AS1118" s="5" t="s">
        <v>16</v>
      </c>
      <c r="AT1118" s="5" t="s">
        <v>6702</v>
      </c>
      <c r="AU1118" s="5" t="s">
        <v>6703</v>
      </c>
      <c r="AV1118" s="5" t="s">
        <v>6705</v>
      </c>
    </row>
    <row r="1119" spans="1:48" ht="45" customHeight="1" x14ac:dyDescent="0.15">
      <c r="A1119" s="5" t="s">
        <v>6706</v>
      </c>
      <c r="B1119" s="5">
        <v>1998</v>
      </c>
      <c r="C1119" s="5" t="s">
        <v>6707</v>
      </c>
      <c r="D1119" s="5" t="s">
        <v>27</v>
      </c>
      <c r="E1119" s="5" t="s">
        <v>18453</v>
      </c>
      <c r="F1119" s="5" t="s">
        <v>6710</v>
      </c>
      <c r="G1119" s="5"/>
      <c r="H1119" s="5"/>
      <c r="I1119" s="5"/>
      <c r="J1119" s="5"/>
      <c r="K1119" s="5"/>
      <c r="L1119" s="5"/>
      <c r="M1119" s="5"/>
      <c r="N1119" s="5"/>
      <c r="O1119" s="5"/>
      <c r="P1119" s="5"/>
      <c r="Q1119" s="5"/>
      <c r="AL1119" s="7" t="str">
        <f>HYPERLINK("http://dx.doi.org/10.1890/0012-9658(1998)079[0828:CISCFA]2.0.CO;2","http://dx.doi.org/10.1890/0012-9658(1998)079[0828:CISCFA]2.0.CO;2")</f>
        <v>http://dx.doi.org/10.1890/0012-9658(1998)079[0828:CISCFA]2.0.CO;2</v>
      </c>
      <c r="AM1119" s="5">
        <v>156</v>
      </c>
      <c r="AN1119" s="5">
        <v>176</v>
      </c>
      <c r="AO1119" s="5">
        <v>79</v>
      </c>
      <c r="AP1119" s="5">
        <v>3</v>
      </c>
      <c r="AQ1119" s="5">
        <v>828</v>
      </c>
      <c r="AR1119" s="5">
        <v>833</v>
      </c>
      <c r="AS1119" s="5" t="s">
        <v>16</v>
      </c>
      <c r="AT1119" s="5" t="s">
        <v>6708</v>
      </c>
      <c r="AU1119" s="5" t="s">
        <v>6709</v>
      </c>
      <c r="AV1119" s="5" t="s">
        <v>6711</v>
      </c>
    </row>
    <row r="1120" spans="1:48" ht="45" customHeight="1" x14ac:dyDescent="0.15">
      <c r="A1120" s="5" t="s">
        <v>6712</v>
      </c>
      <c r="B1120" s="5">
        <v>2012</v>
      </c>
      <c r="C1120" s="5" t="s">
        <v>6713</v>
      </c>
      <c r="D1120" s="5" t="s">
        <v>49</v>
      </c>
      <c r="E1120" s="5" t="s">
        <v>18453</v>
      </c>
      <c r="F1120" s="5" t="s">
        <v>6716</v>
      </c>
      <c r="G1120" s="5"/>
      <c r="H1120" s="5"/>
      <c r="I1120" s="5"/>
      <c r="J1120" s="5"/>
      <c r="K1120" s="5"/>
      <c r="L1120" s="5"/>
      <c r="M1120" s="5"/>
      <c r="N1120" s="5"/>
      <c r="O1120" s="5"/>
      <c r="P1120" s="5"/>
      <c r="Q1120" s="5"/>
      <c r="AL1120" s="7" t="str">
        <f>HYPERLINK("http://dx.doi.org/10.3354/meps09833","http://dx.doi.org/10.3354/meps09833")</f>
        <v>http://dx.doi.org/10.3354/meps09833</v>
      </c>
      <c r="AM1120" s="5">
        <v>34</v>
      </c>
      <c r="AN1120" s="5">
        <v>34</v>
      </c>
      <c r="AO1120" s="5">
        <v>461</v>
      </c>
      <c r="AP1120" s="5" t="s">
        <v>16</v>
      </c>
      <c r="AQ1120" s="5">
        <v>187</v>
      </c>
      <c r="AR1120" s="5">
        <v>196</v>
      </c>
      <c r="AS1120" s="5" t="s">
        <v>16</v>
      </c>
      <c r="AT1120" s="5" t="s">
        <v>6714</v>
      </c>
      <c r="AU1120" s="5" t="s">
        <v>6715</v>
      </c>
      <c r="AV1120" s="5" t="s">
        <v>6717</v>
      </c>
    </row>
    <row r="1121" spans="1:48" ht="45" customHeight="1" x14ac:dyDescent="0.15">
      <c r="A1121" s="5" t="s">
        <v>6718</v>
      </c>
      <c r="B1121" s="5">
        <v>1997</v>
      </c>
      <c r="C1121" s="5" t="s">
        <v>6719</v>
      </c>
      <c r="D1121" s="5" t="s">
        <v>33</v>
      </c>
      <c r="E1121" s="5" t="s">
        <v>18453</v>
      </c>
      <c r="F1121" s="5" t="s">
        <v>6722</v>
      </c>
      <c r="G1121" s="5"/>
      <c r="H1121" s="5"/>
      <c r="I1121" s="5"/>
      <c r="J1121" s="5"/>
      <c r="K1121" s="5"/>
      <c r="L1121" s="5"/>
      <c r="M1121" s="5"/>
      <c r="N1121" s="5"/>
      <c r="O1121" s="5"/>
      <c r="P1121" s="5"/>
      <c r="Q1121" s="5"/>
      <c r="AL1121" s="7" t="str">
        <f>HYPERLINK("http://dx.doi.org/10.1046/j.1365-2486.1997.00082.x","http://dx.doi.org/10.1046/j.1365-2486.1997.00082.x")</f>
        <v>http://dx.doi.org/10.1046/j.1365-2486.1997.00082.x</v>
      </c>
      <c r="AM1121" s="5">
        <v>148</v>
      </c>
      <c r="AN1121" s="5">
        <v>171</v>
      </c>
      <c r="AO1121" s="5">
        <v>3</v>
      </c>
      <c r="AP1121" s="5">
        <v>5</v>
      </c>
      <c r="AQ1121" s="5">
        <v>439</v>
      </c>
      <c r="AR1121" s="5">
        <v>450</v>
      </c>
      <c r="AS1121" s="5" t="s">
        <v>16</v>
      </c>
      <c r="AT1121" s="5" t="s">
        <v>6720</v>
      </c>
      <c r="AU1121" s="5" t="s">
        <v>6721</v>
      </c>
      <c r="AV1121" s="5" t="s">
        <v>6723</v>
      </c>
    </row>
    <row r="1122" spans="1:48" ht="45" customHeight="1" x14ac:dyDescent="0.15">
      <c r="A1122" s="5" t="s">
        <v>146</v>
      </c>
      <c r="B1122" s="5">
        <v>2023</v>
      </c>
      <c r="C1122" s="5" t="s">
        <v>6724</v>
      </c>
      <c r="D1122" s="5" t="s">
        <v>111</v>
      </c>
      <c r="E1122" s="5" t="s">
        <v>18453</v>
      </c>
      <c r="F1122" s="5" t="s">
        <v>6727</v>
      </c>
      <c r="G1122" s="5"/>
      <c r="H1122" s="5"/>
      <c r="I1122" s="5"/>
      <c r="J1122" s="5"/>
      <c r="K1122" s="5"/>
      <c r="L1122" s="5"/>
      <c r="M1122" s="5"/>
      <c r="N1122" s="5"/>
      <c r="O1122" s="5"/>
      <c r="P1122" s="5"/>
      <c r="Q1122" s="5"/>
      <c r="AL1122" s="7" t="str">
        <f>HYPERLINK("http://dx.doi.org/10.1007/s10452-023-10018-w","http://dx.doi.org/10.1007/s10452-023-10018-w")</f>
        <v>http://dx.doi.org/10.1007/s10452-023-10018-w</v>
      </c>
      <c r="AM1122" s="5">
        <v>0</v>
      </c>
      <c r="AN1122" s="5">
        <v>0</v>
      </c>
      <c r="AO1122" s="5">
        <v>57</v>
      </c>
      <c r="AP1122" s="5">
        <v>2</v>
      </c>
      <c r="AQ1122" s="5">
        <v>405</v>
      </c>
      <c r="AR1122" s="5">
        <v>419</v>
      </c>
      <c r="AS1122" s="5" t="s">
        <v>16</v>
      </c>
      <c r="AT1122" s="5" t="s">
        <v>6725</v>
      </c>
      <c r="AU1122" s="5" t="s">
        <v>6726</v>
      </c>
      <c r="AV1122" s="5" t="s">
        <v>6728</v>
      </c>
    </row>
    <row r="1123" spans="1:48" ht="45" customHeight="1" x14ac:dyDescent="0.15">
      <c r="A1123" s="5" t="s">
        <v>6729</v>
      </c>
      <c r="B1123" s="5">
        <v>2003</v>
      </c>
      <c r="C1123" s="5" t="s">
        <v>6730</v>
      </c>
      <c r="D1123" s="5" t="s">
        <v>49</v>
      </c>
      <c r="E1123" s="5" t="s">
        <v>18453</v>
      </c>
      <c r="F1123" s="5" t="s">
        <v>6733</v>
      </c>
      <c r="G1123" s="5"/>
      <c r="H1123" s="5"/>
      <c r="I1123" s="5"/>
      <c r="J1123" s="5"/>
      <c r="K1123" s="5"/>
      <c r="L1123" s="5"/>
      <c r="M1123" s="5"/>
      <c r="N1123" s="5"/>
      <c r="O1123" s="5"/>
      <c r="P1123" s="5"/>
      <c r="Q1123" s="5"/>
      <c r="AL1123" s="7" t="str">
        <f>HYPERLINK("http://dx.doi.org/10.3354/meps248257","http://dx.doi.org/10.3354/meps248257")</f>
        <v>http://dx.doi.org/10.3354/meps248257</v>
      </c>
      <c r="AM1123" s="5">
        <v>28</v>
      </c>
      <c r="AN1123" s="5">
        <v>30</v>
      </c>
      <c r="AO1123" s="5">
        <v>248</v>
      </c>
      <c r="AP1123" s="5" t="s">
        <v>16</v>
      </c>
      <c r="AQ1123" s="5">
        <v>257</v>
      </c>
      <c r="AR1123" s="5">
        <v>266</v>
      </c>
      <c r="AS1123" s="5" t="s">
        <v>16</v>
      </c>
      <c r="AT1123" s="5" t="s">
        <v>6731</v>
      </c>
      <c r="AU1123" s="5" t="s">
        <v>6732</v>
      </c>
      <c r="AV1123" s="5" t="s">
        <v>6734</v>
      </c>
    </row>
    <row r="1124" spans="1:48" ht="45" customHeight="1" x14ac:dyDescent="0.15">
      <c r="A1124" s="5" t="s">
        <v>6735</v>
      </c>
      <c r="B1124" s="5">
        <v>2021</v>
      </c>
      <c r="C1124" s="5" t="s">
        <v>6736</v>
      </c>
      <c r="D1124" s="5" t="s">
        <v>2057</v>
      </c>
      <c r="E1124" s="5" t="s">
        <v>18453</v>
      </c>
      <c r="F1124" s="5" t="s">
        <v>6739</v>
      </c>
      <c r="G1124" s="5"/>
      <c r="H1124" s="5"/>
      <c r="I1124" s="5"/>
      <c r="J1124" s="5"/>
      <c r="K1124" s="5"/>
      <c r="L1124" s="5"/>
      <c r="M1124" s="5"/>
      <c r="N1124" s="5"/>
      <c r="O1124" s="5"/>
      <c r="P1124" s="5"/>
      <c r="Q1124" s="5"/>
      <c r="AL1124" s="7" t="str">
        <f>HYPERLINK("http://dx.doi.org/10.1139/as-2019-0036","http://dx.doi.org/10.1139/as-2019-0036")</f>
        <v>http://dx.doi.org/10.1139/as-2019-0036</v>
      </c>
      <c r="AM1124" s="5">
        <v>6</v>
      </c>
      <c r="AN1124" s="5">
        <v>6</v>
      </c>
      <c r="AO1124" s="5">
        <v>7</v>
      </c>
      <c r="AP1124" s="5">
        <v>2</v>
      </c>
      <c r="AQ1124" s="5">
        <v>436</v>
      </c>
      <c r="AR1124" s="5">
        <v>453</v>
      </c>
      <c r="AS1124" s="5" t="s">
        <v>16</v>
      </c>
      <c r="AT1124" s="5" t="s">
        <v>6737</v>
      </c>
      <c r="AU1124" s="5" t="s">
        <v>6738</v>
      </c>
      <c r="AV1124" s="5" t="s">
        <v>6740</v>
      </c>
    </row>
    <row r="1125" spans="1:48" ht="45" customHeight="1" x14ac:dyDescent="0.15">
      <c r="A1125" s="5" t="s">
        <v>6741</v>
      </c>
      <c r="B1125" s="5">
        <v>2018</v>
      </c>
      <c r="C1125" s="5" t="s">
        <v>6742</v>
      </c>
      <c r="D1125" s="5" t="s">
        <v>77</v>
      </c>
      <c r="E1125" s="5" t="s">
        <v>18453</v>
      </c>
      <c r="F1125" s="5" t="s">
        <v>6745</v>
      </c>
      <c r="G1125" s="5"/>
      <c r="H1125" s="5"/>
      <c r="I1125" s="5"/>
      <c r="J1125" s="5"/>
      <c r="K1125" s="5"/>
      <c r="L1125" s="5"/>
      <c r="M1125" s="5"/>
      <c r="N1125" s="5"/>
      <c r="O1125" s="5"/>
      <c r="P1125" s="5"/>
      <c r="Q1125" s="5"/>
      <c r="AL1125" s="7" t="str">
        <f>HYPERLINK("http://dx.doi.org/10.1111/1365-2656.12779","http://dx.doi.org/10.1111/1365-2656.12779")</f>
        <v>http://dx.doi.org/10.1111/1365-2656.12779</v>
      </c>
      <c r="AM1125" s="5">
        <v>10</v>
      </c>
      <c r="AN1125" s="5">
        <v>10</v>
      </c>
      <c r="AO1125" s="5">
        <v>87</v>
      </c>
      <c r="AP1125" s="5">
        <v>3</v>
      </c>
      <c r="AQ1125" s="5">
        <v>741</v>
      </c>
      <c r="AR1125" s="5">
        <v>753</v>
      </c>
      <c r="AS1125" s="5" t="s">
        <v>16</v>
      </c>
      <c r="AT1125" s="5" t="s">
        <v>6743</v>
      </c>
      <c r="AU1125" s="5" t="s">
        <v>6744</v>
      </c>
      <c r="AV1125" s="5" t="s">
        <v>6746</v>
      </c>
    </row>
    <row r="1126" spans="1:48" ht="45" customHeight="1" x14ac:dyDescent="0.15">
      <c r="A1126" s="5" t="s">
        <v>6747</v>
      </c>
      <c r="B1126" s="5">
        <v>2013</v>
      </c>
      <c r="C1126" s="5" t="s">
        <v>6748</v>
      </c>
      <c r="D1126" s="5" t="s">
        <v>49</v>
      </c>
      <c r="E1126" s="5" t="s">
        <v>18453</v>
      </c>
      <c r="F1126" s="5" t="s">
        <v>6751</v>
      </c>
      <c r="G1126" s="5"/>
      <c r="H1126" s="5"/>
      <c r="I1126" s="5"/>
      <c r="J1126" s="5"/>
      <c r="K1126" s="5"/>
      <c r="L1126" s="5"/>
      <c r="M1126" s="5"/>
      <c r="N1126" s="5"/>
      <c r="O1126" s="5"/>
      <c r="P1126" s="5"/>
      <c r="Q1126" s="5"/>
      <c r="AL1126" s="7" t="str">
        <f>HYPERLINK("http://dx.doi.org/10.3354/meps10133","http://dx.doi.org/10.3354/meps10133")</f>
        <v>http://dx.doi.org/10.3354/meps10133</v>
      </c>
      <c r="AM1126" s="5">
        <v>22</v>
      </c>
      <c r="AN1126" s="5">
        <v>23</v>
      </c>
      <c r="AO1126" s="5">
        <v>477</v>
      </c>
      <c r="AP1126" s="5" t="s">
        <v>16</v>
      </c>
      <c r="AQ1126" s="5">
        <v>123</v>
      </c>
      <c r="AR1126" s="5">
        <v>134</v>
      </c>
      <c r="AS1126" s="5" t="s">
        <v>16</v>
      </c>
      <c r="AT1126" s="5" t="s">
        <v>6749</v>
      </c>
      <c r="AU1126" s="5" t="s">
        <v>6750</v>
      </c>
      <c r="AV1126" s="5" t="s">
        <v>6752</v>
      </c>
    </row>
    <row r="1127" spans="1:48" ht="45" customHeight="1" x14ac:dyDescent="0.15">
      <c r="A1127" s="5" t="s">
        <v>6753</v>
      </c>
      <c r="B1127" s="5">
        <v>2022</v>
      </c>
      <c r="C1127" s="5" t="s">
        <v>6754</v>
      </c>
      <c r="D1127" s="5" t="s">
        <v>123</v>
      </c>
      <c r="E1127" s="5" t="s">
        <v>18453</v>
      </c>
      <c r="F1127" s="5" t="s">
        <v>6757</v>
      </c>
      <c r="G1127" s="5"/>
      <c r="H1127" s="5"/>
      <c r="I1127" s="5"/>
      <c r="J1127" s="5"/>
      <c r="K1127" s="5"/>
      <c r="L1127" s="5"/>
      <c r="M1127" s="5"/>
      <c r="N1127" s="5"/>
      <c r="O1127" s="5"/>
      <c r="P1127" s="5"/>
      <c r="Q1127" s="5"/>
      <c r="AL1127" s="7" t="str">
        <f>HYPERLINK("http://dx.doi.org/10.1111/ddi.13580","http://dx.doi.org/10.1111/ddi.13580")</f>
        <v>http://dx.doi.org/10.1111/ddi.13580</v>
      </c>
      <c r="AM1127" s="5">
        <v>3</v>
      </c>
      <c r="AN1127" s="5">
        <v>3</v>
      </c>
      <c r="AO1127" s="5">
        <v>28</v>
      </c>
      <c r="AP1127" s="5">
        <v>12</v>
      </c>
      <c r="AQ1127" s="5">
        <v>2503</v>
      </c>
      <c r="AR1127" s="5">
        <v>2520</v>
      </c>
      <c r="AS1127" s="5" t="s">
        <v>16</v>
      </c>
      <c r="AT1127" s="5" t="s">
        <v>6755</v>
      </c>
      <c r="AU1127" s="5" t="s">
        <v>6756</v>
      </c>
      <c r="AV1127" s="5" t="s">
        <v>6758</v>
      </c>
    </row>
    <row r="1128" spans="1:48" ht="45" customHeight="1" x14ac:dyDescent="0.15">
      <c r="A1128" s="5" t="s">
        <v>6759</v>
      </c>
      <c r="B1128" s="5">
        <v>2007</v>
      </c>
      <c r="C1128" s="5" t="s">
        <v>6760</v>
      </c>
      <c r="D1128" s="5" t="s">
        <v>242</v>
      </c>
      <c r="E1128" s="5" t="s">
        <v>18453</v>
      </c>
      <c r="F1128" s="5" t="s">
        <v>6763</v>
      </c>
      <c r="G1128" s="5"/>
      <c r="H1128" s="5"/>
      <c r="I1128" s="5"/>
      <c r="J1128" s="5"/>
      <c r="K1128" s="5"/>
      <c r="L1128" s="5"/>
      <c r="M1128" s="5"/>
      <c r="N1128" s="5"/>
      <c r="O1128" s="5"/>
      <c r="P1128" s="5"/>
      <c r="Q1128" s="5"/>
      <c r="AL1128" s="7" t="str">
        <f>HYPERLINK("http://dx.doi.org/10.1007/s10980-006-9025-y","http://dx.doi.org/10.1007/s10980-006-9025-y")</f>
        <v>http://dx.doi.org/10.1007/s10980-006-9025-y</v>
      </c>
      <c r="AM1128" s="5">
        <v>74</v>
      </c>
      <c r="AN1128" s="5">
        <v>76</v>
      </c>
      <c r="AO1128" s="5">
        <v>22</v>
      </c>
      <c r="AP1128" s="5">
        <v>3</v>
      </c>
      <c r="AQ1128" s="5">
        <v>431</v>
      </c>
      <c r="AR1128" s="5">
        <v>445</v>
      </c>
      <c r="AS1128" s="5" t="s">
        <v>16</v>
      </c>
      <c r="AT1128" s="5" t="s">
        <v>6761</v>
      </c>
      <c r="AU1128" s="5" t="s">
        <v>6762</v>
      </c>
      <c r="AV1128" s="5" t="s">
        <v>6764</v>
      </c>
    </row>
    <row r="1129" spans="1:48" ht="45" customHeight="1" x14ac:dyDescent="0.15">
      <c r="A1129" s="5" t="s">
        <v>6765</v>
      </c>
      <c r="B1129" s="5">
        <v>2017</v>
      </c>
      <c r="C1129" s="5" t="s">
        <v>6766</v>
      </c>
      <c r="D1129" s="5" t="s">
        <v>6683</v>
      </c>
      <c r="E1129" s="5" t="s">
        <v>18453</v>
      </c>
      <c r="F1129" s="5" t="s">
        <v>6768</v>
      </c>
      <c r="G1129" s="5"/>
      <c r="H1129" s="5"/>
      <c r="I1129" s="5"/>
      <c r="J1129" s="5"/>
      <c r="K1129" s="5"/>
      <c r="L1129" s="5"/>
      <c r="M1129" s="5"/>
      <c r="N1129" s="5"/>
      <c r="O1129" s="5"/>
      <c r="P1129" s="5"/>
      <c r="Q1129" s="5"/>
      <c r="AL1129" s="7" t="str">
        <f>HYPERLINK("http://dx.doi.org/10.1038/s41559-017-0125","http://dx.doi.org/10.1038/s41559-017-0125")</f>
        <v>http://dx.doi.org/10.1038/s41559-017-0125</v>
      </c>
      <c r="AM1129" s="5">
        <v>38</v>
      </c>
      <c r="AN1129" s="5">
        <v>38</v>
      </c>
      <c r="AO1129" s="5">
        <v>1</v>
      </c>
      <c r="AP1129" s="5">
        <v>5</v>
      </c>
      <c r="AQ1129" s="5" t="s">
        <v>16</v>
      </c>
      <c r="AR1129" s="5" t="s">
        <v>16</v>
      </c>
      <c r="AS1129" s="5">
        <v>125</v>
      </c>
      <c r="AT1129" s="5" t="s">
        <v>16</v>
      </c>
      <c r="AU1129" s="5" t="s">
        <v>6767</v>
      </c>
      <c r="AV1129" s="5" t="s">
        <v>6769</v>
      </c>
    </row>
    <row r="1130" spans="1:48" ht="45" customHeight="1" x14ac:dyDescent="0.15">
      <c r="A1130" s="5" t="s">
        <v>6770</v>
      </c>
      <c r="B1130" s="5">
        <v>2023</v>
      </c>
      <c r="C1130" s="5" t="s">
        <v>6771</v>
      </c>
      <c r="D1130" s="5" t="s">
        <v>1785</v>
      </c>
      <c r="E1130" s="5" t="s">
        <v>18453</v>
      </c>
      <c r="F1130" s="5" t="s">
        <v>6774</v>
      </c>
      <c r="G1130" s="5"/>
      <c r="H1130" s="5"/>
      <c r="I1130" s="5"/>
      <c r="J1130" s="5"/>
      <c r="K1130" s="5"/>
      <c r="L1130" s="5"/>
      <c r="M1130" s="5"/>
      <c r="N1130" s="5"/>
      <c r="O1130" s="5"/>
      <c r="P1130" s="5"/>
      <c r="Q1130" s="5"/>
      <c r="AL1130" s="7" t="str">
        <f>HYPERLINK("http://dx.doi.org/10.5751/ACE-02383-180110","http://dx.doi.org/10.5751/ACE-02383-180110")</f>
        <v>http://dx.doi.org/10.5751/ACE-02383-180110</v>
      </c>
      <c r="AM1130" s="5">
        <v>1</v>
      </c>
      <c r="AN1130" s="5">
        <v>1</v>
      </c>
      <c r="AO1130" s="5">
        <v>18</v>
      </c>
      <c r="AP1130" s="5">
        <v>1</v>
      </c>
      <c r="AQ1130" s="5" t="s">
        <v>16</v>
      </c>
      <c r="AR1130" s="5" t="s">
        <v>16</v>
      </c>
      <c r="AS1130" s="5">
        <v>10</v>
      </c>
      <c r="AT1130" s="5" t="s">
        <v>6772</v>
      </c>
      <c r="AU1130" s="5" t="s">
        <v>6773</v>
      </c>
      <c r="AV1130" s="5" t="s">
        <v>6775</v>
      </c>
    </row>
    <row r="1131" spans="1:48" ht="45" customHeight="1" x14ac:dyDescent="0.15">
      <c r="A1131" s="5" t="s">
        <v>6776</v>
      </c>
      <c r="B1131" s="5">
        <v>2012</v>
      </c>
      <c r="C1131" s="5" t="s">
        <v>6777</v>
      </c>
      <c r="D1131" s="5" t="s">
        <v>252</v>
      </c>
      <c r="E1131" s="5" t="s">
        <v>18453</v>
      </c>
      <c r="F1131" s="5" t="s">
        <v>6780</v>
      </c>
      <c r="G1131" s="5"/>
      <c r="H1131" s="5"/>
      <c r="I1131" s="5"/>
      <c r="J1131" s="5"/>
      <c r="K1131" s="5"/>
      <c r="L1131" s="5"/>
      <c r="M1131" s="5"/>
      <c r="N1131" s="5"/>
      <c r="O1131" s="5"/>
      <c r="P1131" s="5"/>
      <c r="Q1131" s="5"/>
      <c r="AL1131" s="7" t="str">
        <f>HYPERLINK("http://dx.doi.org/10.1111/j.1523-1739.2012.01864.x","http://dx.doi.org/10.1111/j.1523-1739.2012.01864.x")</f>
        <v>http://dx.doi.org/10.1111/j.1523-1739.2012.01864.x</v>
      </c>
      <c r="AM1131" s="5">
        <v>7</v>
      </c>
      <c r="AN1131" s="5">
        <v>7</v>
      </c>
      <c r="AO1131" s="5">
        <v>26</v>
      </c>
      <c r="AP1131" s="5">
        <v>5</v>
      </c>
      <c r="AQ1131" s="5">
        <v>938</v>
      </c>
      <c r="AR1131" s="5">
        <v>942</v>
      </c>
      <c r="AS1131" s="5" t="s">
        <v>16</v>
      </c>
      <c r="AT1131" s="5" t="s">
        <v>6778</v>
      </c>
      <c r="AU1131" s="5" t="s">
        <v>6779</v>
      </c>
      <c r="AV1131" s="5" t="s">
        <v>6781</v>
      </c>
    </row>
    <row r="1132" spans="1:48" ht="45" customHeight="1" x14ac:dyDescent="0.15">
      <c r="A1132" s="5" t="s">
        <v>6782</v>
      </c>
      <c r="B1132" s="5">
        <v>2014</v>
      </c>
      <c r="C1132" s="5" t="s">
        <v>6783</v>
      </c>
      <c r="D1132" s="5" t="s">
        <v>690</v>
      </c>
      <c r="E1132" s="5" t="s">
        <v>18453</v>
      </c>
      <c r="F1132" s="5" t="s">
        <v>6786</v>
      </c>
      <c r="G1132" s="5"/>
      <c r="H1132" s="5"/>
      <c r="I1132" s="5"/>
      <c r="J1132" s="5"/>
      <c r="K1132" s="5"/>
      <c r="L1132" s="5"/>
      <c r="M1132" s="5"/>
      <c r="N1132" s="5"/>
      <c r="O1132" s="5"/>
      <c r="P1132" s="5"/>
      <c r="Q1132" s="5"/>
      <c r="AL1132" s="7" t="str">
        <f>HYPERLINK("http://dx.doi.org/10.1111/mec.12475","http://dx.doi.org/10.1111/mec.12475")</f>
        <v>http://dx.doi.org/10.1111/mec.12475</v>
      </c>
      <c r="AM1132" s="5">
        <v>25</v>
      </c>
      <c r="AN1132" s="5">
        <v>31</v>
      </c>
      <c r="AO1132" s="5">
        <v>23</v>
      </c>
      <c r="AP1132" s="5">
        <v>15</v>
      </c>
      <c r="AQ1132" s="5">
        <v>3734</v>
      </c>
      <c r="AR1132" s="5">
        <v>3743</v>
      </c>
      <c r="AS1132" s="5" t="s">
        <v>16</v>
      </c>
      <c r="AT1132" s="5" t="s">
        <v>6784</v>
      </c>
      <c r="AU1132" s="5" t="s">
        <v>6785</v>
      </c>
      <c r="AV1132" s="5" t="s">
        <v>6787</v>
      </c>
    </row>
    <row r="1133" spans="1:48" ht="45" customHeight="1" x14ac:dyDescent="0.15">
      <c r="A1133" s="5" t="s">
        <v>6788</v>
      </c>
      <c r="B1133" s="5">
        <v>2010</v>
      </c>
      <c r="C1133" s="5" t="s">
        <v>6789</v>
      </c>
      <c r="D1133" s="5" t="s">
        <v>172</v>
      </c>
      <c r="E1133" s="5" t="s">
        <v>18453</v>
      </c>
      <c r="F1133" s="5" t="s">
        <v>6792</v>
      </c>
      <c r="G1133" s="5"/>
      <c r="H1133" s="5"/>
      <c r="I1133" s="5"/>
      <c r="J1133" s="5"/>
      <c r="K1133" s="5"/>
      <c r="L1133" s="5"/>
      <c r="M1133" s="5"/>
      <c r="N1133" s="5"/>
      <c r="O1133" s="5"/>
      <c r="P1133" s="5"/>
      <c r="Q1133" s="5"/>
      <c r="AL1133" s="7" t="str">
        <f>HYPERLINK("http://dx.doi.org/10.1007/s00442-009-1447-1","http://dx.doi.org/10.1007/s00442-009-1447-1")</f>
        <v>http://dx.doi.org/10.1007/s00442-009-1447-1</v>
      </c>
      <c r="AM1133" s="5">
        <v>57</v>
      </c>
      <c r="AN1133" s="5">
        <v>68</v>
      </c>
      <c r="AO1133" s="5">
        <v>162</v>
      </c>
      <c r="AP1133" s="5">
        <v>1</v>
      </c>
      <c r="AQ1133" s="5">
        <v>11</v>
      </c>
      <c r="AR1133" s="5">
        <v>21</v>
      </c>
      <c r="AS1133" s="5" t="s">
        <v>16</v>
      </c>
      <c r="AT1133" s="5" t="s">
        <v>6790</v>
      </c>
      <c r="AU1133" s="5" t="s">
        <v>6791</v>
      </c>
      <c r="AV1133" s="5" t="s">
        <v>6793</v>
      </c>
    </row>
    <row r="1134" spans="1:48" ht="45" customHeight="1" x14ac:dyDescent="0.15">
      <c r="A1134" s="5" t="s">
        <v>6794</v>
      </c>
      <c r="B1134" s="5">
        <v>2019</v>
      </c>
      <c r="C1134" s="5" t="s">
        <v>6795</v>
      </c>
      <c r="D1134" s="5" t="s">
        <v>2437</v>
      </c>
      <c r="E1134" s="5" t="s">
        <v>18453</v>
      </c>
      <c r="F1134" s="5" t="s">
        <v>6798</v>
      </c>
      <c r="G1134" s="5"/>
      <c r="H1134" s="5"/>
      <c r="I1134" s="5"/>
      <c r="J1134" s="5"/>
      <c r="K1134" s="5"/>
      <c r="L1134" s="5"/>
      <c r="M1134" s="5"/>
      <c r="N1134" s="5"/>
      <c r="O1134" s="5"/>
      <c r="P1134" s="5"/>
      <c r="Q1134" s="5"/>
      <c r="AL1134" s="7" t="str">
        <f>HYPERLINK("http://dx.doi.org/10.1002/ecm.1366","http://dx.doi.org/10.1002/ecm.1366")</f>
        <v>http://dx.doi.org/10.1002/ecm.1366</v>
      </c>
      <c r="AM1134" s="5">
        <v>68</v>
      </c>
      <c r="AN1134" s="5">
        <v>68</v>
      </c>
      <c r="AO1134" s="5">
        <v>89</v>
      </c>
      <c r="AP1134" s="5">
        <v>3</v>
      </c>
      <c r="AQ1134" s="5" t="s">
        <v>16</v>
      </c>
      <c r="AR1134" s="5" t="s">
        <v>16</v>
      </c>
      <c r="AS1134" s="5" t="s">
        <v>6799</v>
      </c>
      <c r="AT1134" s="5" t="s">
        <v>6796</v>
      </c>
      <c r="AU1134" s="5" t="s">
        <v>6797</v>
      </c>
      <c r="AV1134" s="5" t="s">
        <v>6800</v>
      </c>
    </row>
    <row r="1135" spans="1:48" ht="45" customHeight="1" x14ac:dyDescent="0.15">
      <c r="A1135" s="5" t="s">
        <v>6801</v>
      </c>
      <c r="B1135" s="5">
        <v>2023</v>
      </c>
      <c r="C1135" s="5" t="s">
        <v>6802</v>
      </c>
      <c r="D1135" s="5" t="s">
        <v>18</v>
      </c>
      <c r="E1135" s="5" t="s">
        <v>18453</v>
      </c>
      <c r="F1135" s="5" t="s">
        <v>6805</v>
      </c>
      <c r="G1135" s="5"/>
      <c r="H1135" s="5"/>
      <c r="I1135" s="5"/>
      <c r="J1135" s="5"/>
      <c r="K1135" s="5"/>
      <c r="L1135" s="5"/>
      <c r="M1135" s="5"/>
      <c r="N1135" s="5"/>
      <c r="O1135" s="5"/>
      <c r="P1135" s="5"/>
      <c r="Q1135" s="5"/>
      <c r="AL1135" s="7" t="str">
        <f>HYPERLINK("http://dx.doi.org/10.1002/ecs2.4492","http://dx.doi.org/10.1002/ecs2.4492")</f>
        <v>http://dx.doi.org/10.1002/ecs2.4492</v>
      </c>
      <c r="AM1135" s="5">
        <v>0</v>
      </c>
      <c r="AN1135" s="5">
        <v>0</v>
      </c>
      <c r="AO1135" s="5">
        <v>14</v>
      </c>
      <c r="AP1135" s="5">
        <v>5</v>
      </c>
      <c r="AQ1135" s="5" t="s">
        <v>16</v>
      </c>
      <c r="AR1135" s="5" t="s">
        <v>16</v>
      </c>
      <c r="AS1135" s="5" t="s">
        <v>6806</v>
      </c>
      <c r="AT1135" s="5" t="s">
        <v>6803</v>
      </c>
      <c r="AU1135" s="5" t="s">
        <v>6804</v>
      </c>
      <c r="AV1135" s="5" t="s">
        <v>6807</v>
      </c>
    </row>
    <row r="1136" spans="1:48" ht="45" customHeight="1" x14ac:dyDescent="0.15">
      <c r="A1136" s="5" t="s">
        <v>6808</v>
      </c>
      <c r="B1136" s="5">
        <v>2023</v>
      </c>
      <c r="C1136" s="5" t="s">
        <v>6809</v>
      </c>
      <c r="D1136" s="5" t="s">
        <v>49</v>
      </c>
      <c r="E1136" s="5" t="s">
        <v>18453</v>
      </c>
      <c r="F1136" s="5" t="s">
        <v>6812</v>
      </c>
      <c r="G1136" s="5"/>
      <c r="H1136" s="5"/>
      <c r="I1136" s="5"/>
      <c r="J1136" s="5"/>
      <c r="K1136" s="5"/>
      <c r="L1136" s="5"/>
      <c r="M1136" s="5"/>
      <c r="N1136" s="5"/>
      <c r="O1136" s="5"/>
      <c r="P1136" s="5"/>
      <c r="Q1136" s="5"/>
      <c r="AL1136" s="7" t="str">
        <f>HYPERLINK("http://dx.doi.org/10.3354/meps14238","http://dx.doi.org/10.3354/meps14238")</f>
        <v>http://dx.doi.org/10.3354/meps14238</v>
      </c>
      <c r="AM1136" s="5">
        <v>0</v>
      </c>
      <c r="AN1136" s="5">
        <v>0</v>
      </c>
      <c r="AO1136" s="5">
        <v>706</v>
      </c>
      <c r="AP1136" s="5" t="s">
        <v>16</v>
      </c>
      <c r="AQ1136" s="5">
        <v>109</v>
      </c>
      <c r="AR1136" s="5">
        <v>123</v>
      </c>
      <c r="AS1136" s="5" t="s">
        <v>16</v>
      </c>
      <c r="AT1136" s="5" t="s">
        <v>6810</v>
      </c>
      <c r="AU1136" s="5" t="s">
        <v>6811</v>
      </c>
      <c r="AV1136" s="5" t="s">
        <v>6813</v>
      </c>
    </row>
    <row r="1137" spans="1:48" ht="45" customHeight="1" x14ac:dyDescent="0.15">
      <c r="A1137" s="5" t="s">
        <v>6814</v>
      </c>
      <c r="B1137" s="5">
        <v>2015</v>
      </c>
      <c r="C1137" s="5" t="s">
        <v>6815</v>
      </c>
      <c r="D1137" s="5" t="s">
        <v>116</v>
      </c>
      <c r="E1137" s="5" t="s">
        <v>18453</v>
      </c>
      <c r="F1137" s="5" t="s">
        <v>6818</v>
      </c>
      <c r="G1137" s="5"/>
      <c r="H1137" s="5"/>
      <c r="I1137" s="5"/>
      <c r="J1137" s="5"/>
      <c r="K1137" s="5"/>
      <c r="L1137" s="5"/>
      <c r="M1137" s="5"/>
      <c r="N1137" s="5"/>
      <c r="O1137" s="5"/>
      <c r="P1137" s="5"/>
      <c r="Q1137" s="5"/>
      <c r="AL1137" s="7" t="str">
        <f>HYPERLINK("http://dx.doi.org/10.1007/s10641-015-0414-4","http://dx.doi.org/10.1007/s10641-015-0414-4")</f>
        <v>http://dx.doi.org/10.1007/s10641-015-0414-4</v>
      </c>
      <c r="AM1137" s="5">
        <v>7</v>
      </c>
      <c r="AN1137" s="5">
        <v>8</v>
      </c>
      <c r="AO1137" s="5">
        <v>98</v>
      </c>
      <c r="AP1137" s="5">
        <v>8</v>
      </c>
      <c r="AQ1137" s="5">
        <v>1965</v>
      </c>
      <c r="AR1137" s="5">
        <v>1978</v>
      </c>
      <c r="AS1137" s="5" t="s">
        <v>16</v>
      </c>
      <c r="AT1137" s="5" t="s">
        <v>6816</v>
      </c>
      <c r="AU1137" s="5" t="s">
        <v>6817</v>
      </c>
      <c r="AV1137" s="5" t="s">
        <v>6819</v>
      </c>
    </row>
    <row r="1138" spans="1:48" ht="45" customHeight="1" x14ac:dyDescent="0.15">
      <c r="A1138" s="5" t="s">
        <v>6820</v>
      </c>
      <c r="B1138" s="5">
        <v>2018</v>
      </c>
      <c r="C1138" s="5" t="s">
        <v>6821</v>
      </c>
      <c r="D1138" s="5" t="s">
        <v>49</v>
      </c>
      <c r="E1138" s="5" t="s">
        <v>18453</v>
      </c>
      <c r="F1138" s="5" t="s">
        <v>6824</v>
      </c>
      <c r="G1138" s="5"/>
      <c r="H1138" s="5"/>
      <c r="I1138" s="5"/>
      <c r="J1138" s="5"/>
      <c r="K1138" s="5"/>
      <c r="L1138" s="5"/>
      <c r="M1138" s="5"/>
      <c r="N1138" s="5"/>
      <c r="O1138" s="5"/>
      <c r="P1138" s="5"/>
      <c r="Q1138" s="5"/>
      <c r="AL1138" s="7" t="str">
        <f>HYPERLINK("http://dx.doi.org/10.3354/meps12498","http://dx.doi.org/10.3354/meps12498")</f>
        <v>http://dx.doi.org/10.3354/meps12498</v>
      </c>
      <c r="AM1138" s="5">
        <v>6</v>
      </c>
      <c r="AN1138" s="5">
        <v>6</v>
      </c>
      <c r="AO1138" s="5">
        <v>593</v>
      </c>
      <c r="AP1138" s="5" t="s">
        <v>16</v>
      </c>
      <c r="AQ1138" s="5">
        <v>61</v>
      </c>
      <c r="AR1138" s="5">
        <v>72</v>
      </c>
      <c r="AS1138" s="5" t="s">
        <v>16</v>
      </c>
      <c r="AT1138" s="5" t="s">
        <v>6822</v>
      </c>
      <c r="AU1138" s="5" t="s">
        <v>6823</v>
      </c>
      <c r="AV1138" s="5" t="s">
        <v>6825</v>
      </c>
    </row>
    <row r="1139" spans="1:48" ht="45" customHeight="1" x14ac:dyDescent="0.15">
      <c r="A1139" s="5" t="s">
        <v>6832</v>
      </c>
      <c r="B1139" s="5">
        <v>2019</v>
      </c>
      <c r="C1139" s="5" t="s">
        <v>6833</v>
      </c>
      <c r="D1139" s="5" t="s">
        <v>49</v>
      </c>
      <c r="E1139" s="5" t="s">
        <v>18453</v>
      </c>
      <c r="F1139" s="5" t="s">
        <v>6836</v>
      </c>
      <c r="G1139" s="5"/>
      <c r="H1139" s="5"/>
      <c r="I1139" s="5"/>
      <c r="J1139" s="5"/>
      <c r="K1139" s="5"/>
      <c r="L1139" s="5"/>
      <c r="M1139" s="5"/>
      <c r="N1139" s="5"/>
      <c r="O1139" s="5"/>
      <c r="P1139" s="5"/>
      <c r="Q1139" s="5"/>
      <c r="AL1139" s="7" t="str">
        <f>HYPERLINK("http://dx.doi.org/10.3354/meps13030","http://dx.doi.org/10.3354/meps13030")</f>
        <v>http://dx.doi.org/10.3354/meps13030</v>
      </c>
      <c r="AM1139" s="5">
        <v>17</v>
      </c>
      <c r="AN1139" s="5">
        <v>17</v>
      </c>
      <c r="AO1139" s="5">
        <v>624</v>
      </c>
      <c r="AP1139" s="5" t="s">
        <v>16</v>
      </c>
      <c r="AQ1139" s="5">
        <v>103</v>
      </c>
      <c r="AR1139" s="5">
        <v>116</v>
      </c>
      <c r="AS1139" s="5" t="s">
        <v>16</v>
      </c>
      <c r="AT1139" s="5" t="s">
        <v>6834</v>
      </c>
      <c r="AU1139" s="5" t="s">
        <v>6835</v>
      </c>
      <c r="AV1139" s="5" t="s">
        <v>6837</v>
      </c>
    </row>
    <row r="1140" spans="1:48" ht="45" customHeight="1" x14ac:dyDescent="0.15">
      <c r="A1140" s="5" t="s">
        <v>6838</v>
      </c>
      <c r="B1140" s="5">
        <v>2008</v>
      </c>
      <c r="C1140" s="5" t="s">
        <v>6839</v>
      </c>
      <c r="D1140" s="5" t="s">
        <v>82</v>
      </c>
      <c r="E1140" s="5" t="s">
        <v>18453</v>
      </c>
      <c r="F1140" s="5" t="s">
        <v>6842</v>
      </c>
      <c r="G1140" s="5"/>
      <c r="H1140" s="5"/>
      <c r="I1140" s="5"/>
      <c r="J1140" s="5"/>
      <c r="K1140" s="5"/>
      <c r="L1140" s="5"/>
      <c r="M1140" s="5"/>
      <c r="N1140" s="5"/>
      <c r="O1140" s="5"/>
      <c r="P1140" s="5"/>
      <c r="Q1140" s="5"/>
      <c r="AL1140" s="7" t="str">
        <f>HYPERLINK("http://dx.doi.org/10.1890/06-1415.1","http://dx.doi.org/10.1890/06-1415.1")</f>
        <v>http://dx.doi.org/10.1890/06-1415.1</v>
      </c>
      <c r="AM1140" s="5">
        <v>47</v>
      </c>
      <c r="AN1140" s="5">
        <v>48</v>
      </c>
      <c r="AO1140" s="5">
        <v>18</v>
      </c>
      <c r="AP1140" s="5">
        <v>8</v>
      </c>
      <c r="AQ1140" s="5" t="s">
        <v>6843</v>
      </c>
      <c r="AR1140" s="5" t="s">
        <v>6844</v>
      </c>
      <c r="AS1140" s="5" t="s">
        <v>16</v>
      </c>
      <c r="AT1140" s="5" t="s">
        <v>6840</v>
      </c>
      <c r="AU1140" s="5" t="s">
        <v>6841</v>
      </c>
      <c r="AV1140" s="5" t="s">
        <v>6845</v>
      </c>
    </row>
    <row r="1141" spans="1:48" ht="45" customHeight="1" x14ac:dyDescent="0.15">
      <c r="A1141" s="5" t="s">
        <v>6846</v>
      </c>
      <c r="B1141" s="5">
        <v>1999</v>
      </c>
      <c r="C1141" s="5" t="s">
        <v>6847</v>
      </c>
      <c r="D1141" s="5" t="s">
        <v>383</v>
      </c>
      <c r="E1141" s="5" t="s">
        <v>18453</v>
      </c>
      <c r="F1141" s="5" t="s">
        <v>6850</v>
      </c>
      <c r="G1141" s="5"/>
      <c r="H1141" s="5"/>
      <c r="I1141" s="5"/>
      <c r="J1141" s="5"/>
      <c r="K1141" s="5"/>
      <c r="L1141" s="5"/>
      <c r="M1141" s="5"/>
      <c r="N1141" s="5"/>
      <c r="O1141" s="5"/>
      <c r="P1141" s="5"/>
      <c r="Q1141" s="5"/>
      <c r="AL1141" s="7" t="str">
        <f>HYPERLINK("http://dx.doi.org/10.1046/j.1440-1703.1999.00310.x","http://dx.doi.org/10.1046/j.1440-1703.1999.00310.x")</f>
        <v>http://dx.doi.org/10.1046/j.1440-1703.1999.00310.x</v>
      </c>
      <c r="AM1141" s="5">
        <v>23</v>
      </c>
      <c r="AN1141" s="5">
        <v>23</v>
      </c>
      <c r="AO1141" s="5">
        <v>14</v>
      </c>
      <c r="AP1141" s="5">
        <v>4</v>
      </c>
      <c r="AQ1141" s="5">
        <v>317</v>
      </c>
      <c r="AR1141" s="5">
        <v>328</v>
      </c>
      <c r="AS1141" s="5" t="s">
        <v>16</v>
      </c>
      <c r="AT1141" s="5" t="s">
        <v>6848</v>
      </c>
      <c r="AU1141" s="5" t="s">
        <v>6849</v>
      </c>
      <c r="AV1141" s="5" t="s">
        <v>6851</v>
      </c>
    </row>
    <row r="1142" spans="1:48" ht="45" customHeight="1" x14ac:dyDescent="0.15">
      <c r="A1142" s="5" t="s">
        <v>6852</v>
      </c>
      <c r="B1142" s="5">
        <v>2018</v>
      </c>
      <c r="C1142" s="5" t="s">
        <v>6853</v>
      </c>
      <c r="D1142" s="5" t="s">
        <v>212</v>
      </c>
      <c r="E1142" s="5" t="s">
        <v>18453</v>
      </c>
      <c r="F1142" s="5" t="s">
        <v>6856</v>
      </c>
      <c r="G1142" s="5"/>
      <c r="H1142" s="5"/>
      <c r="I1142" s="5"/>
      <c r="J1142" s="5"/>
      <c r="K1142" s="5"/>
      <c r="L1142" s="5"/>
      <c r="M1142" s="5"/>
      <c r="N1142" s="5"/>
      <c r="O1142" s="5"/>
      <c r="P1142" s="5"/>
      <c r="Q1142" s="5"/>
      <c r="AL1142" s="7" t="str">
        <f>HYPERLINK("http://dx.doi.org/10.1007/s00300-018-2329-y","http://dx.doi.org/10.1007/s00300-018-2329-y")</f>
        <v>http://dx.doi.org/10.1007/s00300-018-2329-y</v>
      </c>
      <c r="AM1142" s="5">
        <v>15</v>
      </c>
      <c r="AN1142" s="5">
        <v>15</v>
      </c>
      <c r="AO1142" s="5">
        <v>41</v>
      </c>
      <c r="AP1142" s="5">
        <v>9</v>
      </c>
      <c r="AQ1142" s="5">
        <v>1881</v>
      </c>
      <c r="AR1142" s="5">
        <v>1893</v>
      </c>
      <c r="AS1142" s="5" t="s">
        <v>16</v>
      </c>
      <c r="AT1142" s="5" t="s">
        <v>6854</v>
      </c>
      <c r="AU1142" s="5" t="s">
        <v>6855</v>
      </c>
      <c r="AV1142" s="5" t="s">
        <v>6857</v>
      </c>
    </row>
    <row r="1143" spans="1:48" ht="45" customHeight="1" x14ac:dyDescent="0.15">
      <c r="A1143" s="5" t="s">
        <v>6858</v>
      </c>
      <c r="B1143" s="5">
        <v>2016</v>
      </c>
      <c r="C1143" s="5" t="s">
        <v>6859</v>
      </c>
      <c r="D1143" s="5" t="s">
        <v>77</v>
      </c>
      <c r="E1143" s="5" t="s">
        <v>18453</v>
      </c>
      <c r="F1143" s="5" t="s">
        <v>6862</v>
      </c>
      <c r="G1143" s="5"/>
      <c r="H1143" s="5"/>
      <c r="I1143" s="5"/>
      <c r="J1143" s="5"/>
      <c r="K1143" s="5"/>
      <c r="L1143" s="5"/>
      <c r="M1143" s="5"/>
      <c r="N1143" s="5"/>
      <c r="O1143" s="5"/>
      <c r="P1143" s="5"/>
      <c r="Q1143" s="5"/>
      <c r="AL1143" s="7" t="str">
        <f>HYPERLINK("http://dx.doi.org/10.1111/1365-2656.12533","http://dx.doi.org/10.1111/1365-2656.12533")</f>
        <v>http://dx.doi.org/10.1111/1365-2656.12533</v>
      </c>
      <c r="AM1143" s="5">
        <v>33</v>
      </c>
      <c r="AN1143" s="5">
        <v>34</v>
      </c>
      <c r="AO1143" s="5">
        <v>85</v>
      </c>
      <c r="AP1143" s="5">
        <v>4</v>
      </c>
      <c r="AQ1143" s="5">
        <v>1098</v>
      </c>
      <c r="AR1143" s="5">
        <v>1107</v>
      </c>
      <c r="AS1143" s="5" t="s">
        <v>16</v>
      </c>
      <c r="AT1143" s="5" t="s">
        <v>6860</v>
      </c>
      <c r="AU1143" s="5" t="s">
        <v>6861</v>
      </c>
      <c r="AV1143" s="5" t="s">
        <v>6863</v>
      </c>
    </row>
    <row r="1144" spans="1:48" ht="45" customHeight="1" x14ac:dyDescent="0.15">
      <c r="A1144" s="5" t="s">
        <v>1874</v>
      </c>
      <c r="B1144" s="5">
        <v>2009</v>
      </c>
      <c r="C1144" s="5" t="s">
        <v>6864</v>
      </c>
      <c r="D1144" s="5" t="s">
        <v>383</v>
      </c>
      <c r="E1144" s="5" t="s">
        <v>18453</v>
      </c>
      <c r="F1144" s="5" t="s">
        <v>6867</v>
      </c>
      <c r="G1144" s="5"/>
      <c r="H1144" s="5"/>
      <c r="I1144" s="5"/>
      <c r="J1144" s="5"/>
      <c r="K1144" s="5"/>
      <c r="L1144" s="5"/>
      <c r="M1144" s="5"/>
      <c r="N1144" s="5"/>
      <c r="O1144" s="5"/>
      <c r="P1144" s="5"/>
      <c r="Q1144" s="5"/>
      <c r="AL1144" s="7" t="str">
        <f>HYPERLINK("http://dx.doi.org/10.1007/s11284-008-0559-0","http://dx.doi.org/10.1007/s11284-008-0559-0")</f>
        <v>http://dx.doi.org/10.1007/s11284-008-0559-0</v>
      </c>
      <c r="AM1144" s="5">
        <v>69</v>
      </c>
      <c r="AN1144" s="5">
        <v>75</v>
      </c>
      <c r="AO1144" s="5">
        <v>24</v>
      </c>
      <c r="AP1144" s="5">
        <v>4</v>
      </c>
      <c r="AQ1144" s="5">
        <v>855</v>
      </c>
      <c r="AR1144" s="5">
        <v>863</v>
      </c>
      <c r="AS1144" s="5" t="s">
        <v>16</v>
      </c>
      <c r="AT1144" s="5" t="s">
        <v>6865</v>
      </c>
      <c r="AU1144" s="5" t="s">
        <v>6866</v>
      </c>
      <c r="AV1144" s="5" t="s">
        <v>6868</v>
      </c>
    </row>
    <row r="1145" spans="1:48" ht="45" customHeight="1" x14ac:dyDescent="0.15">
      <c r="A1145" s="5" t="s">
        <v>6869</v>
      </c>
      <c r="B1145" s="5">
        <v>2018</v>
      </c>
      <c r="C1145" s="5" t="s">
        <v>6870</v>
      </c>
      <c r="D1145" s="5" t="s">
        <v>18</v>
      </c>
      <c r="E1145" s="5" t="s">
        <v>18453</v>
      </c>
      <c r="F1145" s="5" t="s">
        <v>6873</v>
      </c>
      <c r="G1145" s="5"/>
      <c r="H1145" s="5"/>
      <c r="I1145" s="5"/>
      <c r="J1145" s="5"/>
      <c r="K1145" s="5"/>
      <c r="L1145" s="5"/>
      <c r="M1145" s="5"/>
      <c r="N1145" s="5"/>
      <c r="O1145" s="5"/>
      <c r="P1145" s="5"/>
      <c r="Q1145" s="5"/>
      <c r="AL1145" s="7" t="str">
        <f>HYPERLINK("http://dx.doi.org/10.1002/ecs2.2299","http://dx.doi.org/10.1002/ecs2.2299")</f>
        <v>http://dx.doi.org/10.1002/ecs2.2299</v>
      </c>
      <c r="AM1145" s="5">
        <v>3</v>
      </c>
      <c r="AN1145" s="5">
        <v>3</v>
      </c>
      <c r="AO1145" s="5">
        <v>9</v>
      </c>
      <c r="AP1145" s="5">
        <v>7</v>
      </c>
      <c r="AQ1145" s="5" t="s">
        <v>16</v>
      </c>
      <c r="AR1145" s="5" t="s">
        <v>16</v>
      </c>
      <c r="AS1145" s="5" t="s">
        <v>6874</v>
      </c>
      <c r="AT1145" s="5" t="s">
        <v>6871</v>
      </c>
      <c r="AU1145" s="5" t="s">
        <v>6872</v>
      </c>
      <c r="AV1145" s="5" t="s">
        <v>6875</v>
      </c>
    </row>
    <row r="1146" spans="1:48" ht="45" customHeight="1" x14ac:dyDescent="0.15">
      <c r="A1146" s="5" t="s">
        <v>6876</v>
      </c>
      <c r="B1146" s="5">
        <v>2017</v>
      </c>
      <c r="C1146" s="5" t="s">
        <v>6877</v>
      </c>
      <c r="D1146" s="5" t="s">
        <v>49</v>
      </c>
      <c r="E1146" s="5" t="s">
        <v>18453</v>
      </c>
      <c r="F1146" s="5" t="s">
        <v>6880</v>
      </c>
      <c r="G1146" s="5"/>
      <c r="H1146" s="5"/>
      <c r="I1146" s="5"/>
      <c r="J1146" s="5"/>
      <c r="K1146" s="5"/>
      <c r="L1146" s="5"/>
      <c r="M1146" s="5"/>
      <c r="N1146" s="5"/>
      <c r="O1146" s="5"/>
      <c r="P1146" s="5"/>
      <c r="Q1146" s="5"/>
      <c r="AL1146" s="7" t="str">
        <f>HYPERLINK("http://dx.doi.org/10.3354/meps12057","http://dx.doi.org/10.3354/meps12057")</f>
        <v>http://dx.doi.org/10.3354/meps12057</v>
      </c>
      <c r="AM1146" s="5">
        <v>40</v>
      </c>
      <c r="AN1146" s="5">
        <v>40</v>
      </c>
      <c r="AO1146" s="5">
        <v>567</v>
      </c>
      <c r="AP1146" s="5" t="s">
        <v>16</v>
      </c>
      <c r="AQ1146" s="5">
        <v>1</v>
      </c>
      <c r="AR1146" s="5">
        <v>16</v>
      </c>
      <c r="AS1146" s="5" t="s">
        <v>16</v>
      </c>
      <c r="AT1146" s="5" t="s">
        <v>6878</v>
      </c>
      <c r="AU1146" s="5" t="s">
        <v>6879</v>
      </c>
      <c r="AV1146" s="5" t="s">
        <v>6881</v>
      </c>
    </row>
    <row r="1147" spans="1:48" ht="45" customHeight="1" x14ac:dyDescent="0.15">
      <c r="A1147" s="5" t="s">
        <v>6882</v>
      </c>
      <c r="B1147" s="5">
        <v>2003</v>
      </c>
      <c r="C1147" s="5" t="s">
        <v>6883</v>
      </c>
      <c r="D1147" s="5" t="s">
        <v>138</v>
      </c>
      <c r="E1147" s="5" t="s">
        <v>18453</v>
      </c>
      <c r="F1147" s="5" t="s">
        <v>6886</v>
      </c>
      <c r="G1147" s="5"/>
      <c r="H1147" s="5"/>
      <c r="I1147" s="5"/>
      <c r="J1147" s="5"/>
      <c r="K1147" s="5"/>
      <c r="L1147" s="5"/>
      <c r="M1147" s="5"/>
      <c r="N1147" s="5"/>
      <c r="O1147" s="5"/>
      <c r="P1147" s="5"/>
      <c r="Q1147" s="5"/>
      <c r="AL1147" s="7" t="str">
        <f>HYPERLINK("http://dx.doi.org/10.1046/j.1442-9993.2003.01249.x","http://dx.doi.org/10.1046/j.1442-9993.2003.01249.x")</f>
        <v>http://dx.doi.org/10.1046/j.1442-9993.2003.01249.x</v>
      </c>
      <c r="AM1147" s="5">
        <v>4</v>
      </c>
      <c r="AN1147" s="5">
        <v>5</v>
      </c>
      <c r="AO1147" s="5">
        <v>28</v>
      </c>
      <c r="AP1147" s="5">
        <v>1</v>
      </c>
      <c r="AQ1147" s="5">
        <v>61</v>
      </c>
      <c r="AR1147" s="5">
        <v>69</v>
      </c>
      <c r="AS1147" s="5" t="s">
        <v>16</v>
      </c>
      <c r="AT1147" s="5" t="s">
        <v>6884</v>
      </c>
      <c r="AU1147" s="5" t="s">
        <v>6885</v>
      </c>
      <c r="AV1147" s="5" t="s">
        <v>6887</v>
      </c>
    </row>
    <row r="1148" spans="1:48" ht="45" customHeight="1" x14ac:dyDescent="0.15">
      <c r="A1148" s="5" t="s">
        <v>6888</v>
      </c>
      <c r="B1148" s="5">
        <v>2005</v>
      </c>
      <c r="C1148" s="5" t="s">
        <v>6889</v>
      </c>
      <c r="D1148" s="5" t="s">
        <v>77</v>
      </c>
      <c r="E1148" s="5" t="s">
        <v>18453</v>
      </c>
      <c r="F1148" s="5" t="s">
        <v>6892</v>
      </c>
      <c r="G1148" s="5"/>
      <c r="H1148" s="5"/>
      <c r="I1148" s="5"/>
      <c r="J1148" s="5"/>
      <c r="K1148" s="5"/>
      <c r="L1148" s="5"/>
      <c r="M1148" s="5"/>
      <c r="N1148" s="5"/>
      <c r="O1148" s="5"/>
      <c r="P1148" s="5"/>
      <c r="Q1148" s="5"/>
      <c r="AL1148" s="7" t="str">
        <f>HYPERLINK("http://dx.doi.org/10.1111/j.1365-2656.2004.00899.x","http://dx.doi.org/10.1111/j.1365-2656.2004.00899.x")</f>
        <v>http://dx.doi.org/10.1111/j.1365-2656.2004.00899.x</v>
      </c>
      <c r="AM1148" s="5">
        <v>145</v>
      </c>
      <c r="AN1148" s="5">
        <v>149</v>
      </c>
      <c r="AO1148" s="5">
        <v>74</v>
      </c>
      <c r="AP1148" s="5">
        <v>1</v>
      </c>
      <c r="AQ1148" s="5">
        <v>77</v>
      </c>
      <c r="AR1148" s="5">
        <v>85</v>
      </c>
      <c r="AS1148" s="5" t="s">
        <v>16</v>
      </c>
      <c r="AT1148" s="5" t="s">
        <v>6890</v>
      </c>
      <c r="AU1148" s="5" t="s">
        <v>6891</v>
      </c>
      <c r="AV1148" s="5" t="s">
        <v>6893</v>
      </c>
    </row>
    <row r="1149" spans="1:48" ht="45" customHeight="1" x14ac:dyDescent="0.15">
      <c r="A1149" s="5" t="s">
        <v>6894</v>
      </c>
      <c r="B1149" s="5">
        <v>2023</v>
      </c>
      <c r="C1149" s="5" t="s">
        <v>6895</v>
      </c>
      <c r="D1149" s="5" t="s">
        <v>1765</v>
      </c>
      <c r="E1149" s="5" t="s">
        <v>18453</v>
      </c>
      <c r="F1149" s="5" t="s">
        <v>6898</v>
      </c>
      <c r="G1149" s="5"/>
      <c r="H1149" s="5"/>
      <c r="I1149" s="5"/>
      <c r="J1149" s="5"/>
      <c r="K1149" s="5"/>
      <c r="L1149" s="5"/>
      <c r="M1149" s="5"/>
      <c r="N1149" s="5"/>
      <c r="O1149" s="5"/>
      <c r="P1149" s="5"/>
      <c r="Q1149" s="5"/>
      <c r="AL1149" s="7" t="str">
        <f>HYPERLINK("http://dx.doi.org/10.1016/j.agee.2022.108337","http://dx.doi.org/10.1016/j.agee.2022.108337")</f>
        <v>http://dx.doi.org/10.1016/j.agee.2022.108337</v>
      </c>
      <c r="AM1149" s="5">
        <v>1</v>
      </c>
      <c r="AN1149" s="5">
        <v>1</v>
      </c>
      <c r="AO1149" s="5">
        <v>345</v>
      </c>
      <c r="AP1149" s="5" t="s">
        <v>16</v>
      </c>
      <c r="AQ1149" s="5" t="s">
        <v>16</v>
      </c>
      <c r="AR1149" s="5" t="s">
        <v>16</v>
      </c>
      <c r="AS1149" s="5">
        <v>108337</v>
      </c>
      <c r="AT1149" s="5" t="s">
        <v>6896</v>
      </c>
      <c r="AU1149" s="5" t="s">
        <v>6897</v>
      </c>
      <c r="AV1149" s="5" t="s">
        <v>6899</v>
      </c>
    </row>
    <row r="1150" spans="1:48" ht="45" customHeight="1" x14ac:dyDescent="0.15">
      <c r="A1150" s="5" t="s">
        <v>6900</v>
      </c>
      <c r="B1150" s="5">
        <v>2021</v>
      </c>
      <c r="C1150" s="5" t="s">
        <v>6901</v>
      </c>
      <c r="D1150" s="5" t="s">
        <v>296</v>
      </c>
      <c r="E1150" s="5" t="s">
        <v>18453</v>
      </c>
      <c r="F1150" s="5" t="s">
        <v>6904</v>
      </c>
      <c r="G1150" s="5"/>
      <c r="H1150" s="5"/>
      <c r="I1150" s="5"/>
      <c r="J1150" s="5"/>
      <c r="K1150" s="5"/>
      <c r="L1150" s="5"/>
      <c r="M1150" s="5"/>
      <c r="N1150" s="5"/>
      <c r="O1150" s="5"/>
      <c r="P1150" s="5"/>
      <c r="Q1150" s="5"/>
      <c r="AL1150" s="7" t="str">
        <f>HYPERLINK("http://dx.doi.org/10.1098/rspb.2021.0991","http://dx.doi.org/10.1098/rspb.2021.0991")</f>
        <v>http://dx.doi.org/10.1098/rspb.2021.0991</v>
      </c>
      <c r="AM1150" s="5">
        <v>2</v>
      </c>
      <c r="AN1150" s="5">
        <v>2</v>
      </c>
      <c r="AO1150" s="5">
        <v>288</v>
      </c>
      <c r="AP1150" s="5">
        <v>1957</v>
      </c>
      <c r="AQ1150" s="5" t="s">
        <v>16</v>
      </c>
      <c r="AR1150" s="5" t="s">
        <v>16</v>
      </c>
      <c r="AS1150" s="5">
        <v>20210991</v>
      </c>
      <c r="AT1150" s="5" t="s">
        <v>6902</v>
      </c>
      <c r="AU1150" s="5" t="s">
        <v>6903</v>
      </c>
      <c r="AV1150" s="5" t="s">
        <v>6905</v>
      </c>
    </row>
    <row r="1151" spans="1:48" ht="45" customHeight="1" x14ac:dyDescent="0.15">
      <c r="A1151" s="5" t="s">
        <v>6906</v>
      </c>
      <c r="B1151" s="5">
        <v>2019</v>
      </c>
      <c r="C1151" s="5" t="s">
        <v>6907</v>
      </c>
      <c r="D1151" s="5" t="s">
        <v>2057</v>
      </c>
      <c r="E1151" s="5" t="s">
        <v>18453</v>
      </c>
      <c r="F1151" s="5" t="s">
        <v>6910</v>
      </c>
      <c r="G1151" s="5"/>
      <c r="H1151" s="5"/>
      <c r="I1151" s="5"/>
      <c r="J1151" s="5"/>
      <c r="K1151" s="5"/>
      <c r="L1151" s="5"/>
      <c r="M1151" s="5"/>
      <c r="N1151" s="5"/>
      <c r="O1151" s="5"/>
      <c r="P1151" s="5"/>
      <c r="Q1151" s="5"/>
      <c r="AL1151" s="7" t="str">
        <f>HYPERLINK("http://dx.doi.org/10.1139/as-2018-0022","http://dx.doi.org/10.1139/as-2018-0022")</f>
        <v>http://dx.doi.org/10.1139/as-2018-0022</v>
      </c>
      <c r="AM1151" s="5">
        <v>3</v>
      </c>
      <c r="AN1151" s="5">
        <v>3</v>
      </c>
      <c r="AO1151" s="5">
        <v>5</v>
      </c>
      <c r="AP1151" s="5">
        <v>2</v>
      </c>
      <c r="AQ1151" s="5">
        <v>90</v>
      </c>
      <c r="AR1151" s="5">
        <v>106</v>
      </c>
      <c r="AS1151" s="5" t="s">
        <v>16</v>
      </c>
      <c r="AT1151" s="5" t="s">
        <v>6908</v>
      </c>
      <c r="AU1151" s="5" t="s">
        <v>6909</v>
      </c>
      <c r="AV1151" s="5" t="s">
        <v>6911</v>
      </c>
    </row>
    <row r="1152" spans="1:48" ht="45" customHeight="1" x14ac:dyDescent="0.15">
      <c r="A1152" s="5" t="s">
        <v>6912</v>
      </c>
      <c r="B1152" s="5">
        <v>2013</v>
      </c>
      <c r="C1152" s="5" t="s">
        <v>6913</v>
      </c>
      <c r="D1152" s="5" t="s">
        <v>172</v>
      </c>
      <c r="E1152" s="5" t="s">
        <v>18453</v>
      </c>
      <c r="F1152" s="5" t="s">
        <v>6916</v>
      </c>
      <c r="G1152" s="5"/>
      <c r="H1152" s="5"/>
      <c r="I1152" s="5"/>
      <c r="J1152" s="5"/>
      <c r="K1152" s="5"/>
      <c r="L1152" s="5"/>
      <c r="M1152" s="5"/>
      <c r="N1152" s="5"/>
      <c r="O1152" s="5"/>
      <c r="P1152" s="5"/>
      <c r="Q1152" s="5"/>
      <c r="AL1152" s="7" t="str">
        <f>HYPERLINK("http://dx.doi.org/10.1007/s00442-012-2421-x","http://dx.doi.org/10.1007/s00442-012-2421-x")</f>
        <v>http://dx.doi.org/10.1007/s00442-012-2421-x</v>
      </c>
      <c r="AM1152" s="5">
        <v>38</v>
      </c>
      <c r="AN1152" s="5">
        <v>39</v>
      </c>
      <c r="AO1152" s="5">
        <v>171</v>
      </c>
      <c r="AP1152" s="5">
        <v>2</v>
      </c>
      <c r="AQ1152" s="5">
        <v>459</v>
      </c>
      <c r="AR1152" s="5">
        <v>471</v>
      </c>
      <c r="AS1152" s="5" t="s">
        <v>16</v>
      </c>
      <c r="AT1152" s="5" t="s">
        <v>6914</v>
      </c>
      <c r="AU1152" s="5" t="s">
        <v>6915</v>
      </c>
      <c r="AV1152" s="5" t="s">
        <v>6917</v>
      </c>
    </row>
    <row r="1153" spans="1:48" ht="45" customHeight="1" x14ac:dyDescent="0.15">
      <c r="A1153" s="5" t="s">
        <v>6918</v>
      </c>
      <c r="B1153" s="5">
        <v>2012</v>
      </c>
      <c r="C1153" s="5" t="s">
        <v>6919</v>
      </c>
      <c r="D1153" s="5" t="s">
        <v>973</v>
      </c>
      <c r="E1153" s="5" t="s">
        <v>18453</v>
      </c>
      <c r="F1153" s="5" t="s">
        <v>6921</v>
      </c>
      <c r="G1153" s="5"/>
      <c r="H1153" s="5"/>
      <c r="I1153" s="5"/>
      <c r="J1153" s="5"/>
      <c r="K1153" s="5"/>
      <c r="L1153" s="5"/>
      <c r="M1153" s="5"/>
      <c r="N1153" s="5"/>
      <c r="O1153" s="5"/>
      <c r="P1153" s="5"/>
      <c r="Q1153" s="5"/>
      <c r="AL1153" s="7" t="str">
        <f>HYPERLINK("http://dx.doi.org/10.5194/bg-9-3083-2012","http://dx.doi.org/10.5194/bg-9-3083-2012")</f>
        <v>http://dx.doi.org/10.5194/bg-9-3083-2012</v>
      </c>
      <c r="AM1153" s="5">
        <v>117</v>
      </c>
      <c r="AN1153" s="5">
        <v>119</v>
      </c>
      <c r="AO1153" s="5">
        <v>9</v>
      </c>
      <c r="AP1153" s="5">
        <v>8</v>
      </c>
      <c r="AQ1153" s="5">
        <v>3083</v>
      </c>
      <c r="AR1153" s="5">
        <v>3111</v>
      </c>
      <c r="AS1153" s="5" t="s">
        <v>16</v>
      </c>
      <c r="AT1153" s="5" t="s">
        <v>16</v>
      </c>
      <c r="AU1153" s="5" t="s">
        <v>6920</v>
      </c>
      <c r="AV1153" s="5" t="s">
        <v>6922</v>
      </c>
    </row>
    <row r="1154" spans="1:48" ht="45" customHeight="1" x14ac:dyDescent="0.15">
      <c r="A1154" s="5" t="s">
        <v>6923</v>
      </c>
      <c r="B1154" s="5">
        <v>2022</v>
      </c>
      <c r="C1154" s="5" t="s">
        <v>6924</v>
      </c>
      <c r="D1154" s="5" t="s">
        <v>44</v>
      </c>
      <c r="E1154" s="5" t="s">
        <v>18453</v>
      </c>
      <c r="F1154" s="5" t="s">
        <v>6927</v>
      </c>
      <c r="G1154" s="5"/>
      <c r="H1154" s="5"/>
      <c r="I1154" s="5"/>
      <c r="J1154" s="5"/>
      <c r="K1154" s="5"/>
      <c r="L1154" s="5"/>
      <c r="M1154" s="5"/>
      <c r="N1154" s="5"/>
      <c r="O1154" s="5"/>
      <c r="P1154" s="5"/>
      <c r="Q1154" s="5"/>
      <c r="AL1154" s="7" t="str">
        <f>HYPERLINK("http://dx.doi.org/10.3389/fevo.2022.954231","http://dx.doi.org/10.3389/fevo.2022.954231")</f>
        <v>http://dx.doi.org/10.3389/fevo.2022.954231</v>
      </c>
      <c r="AM1154" s="5">
        <v>0</v>
      </c>
      <c r="AN1154" s="5">
        <v>0</v>
      </c>
      <c r="AO1154" s="5">
        <v>10</v>
      </c>
      <c r="AP1154" s="5" t="s">
        <v>16</v>
      </c>
      <c r="AQ1154" s="5" t="s">
        <v>16</v>
      </c>
      <c r="AR1154" s="5" t="s">
        <v>16</v>
      </c>
      <c r="AS1154" s="5">
        <v>954231</v>
      </c>
      <c r="AT1154" s="5" t="s">
        <v>6925</v>
      </c>
      <c r="AU1154" s="5" t="s">
        <v>6926</v>
      </c>
      <c r="AV1154" s="5" t="s">
        <v>6928</v>
      </c>
    </row>
    <row r="1155" spans="1:48" ht="45" customHeight="1" x14ac:dyDescent="0.15">
      <c r="A1155" s="5" t="s">
        <v>6929</v>
      </c>
      <c r="B1155" s="5">
        <v>2013</v>
      </c>
      <c r="C1155" s="5" t="s">
        <v>6930</v>
      </c>
      <c r="D1155" s="5" t="s">
        <v>77</v>
      </c>
      <c r="E1155" s="5" t="s">
        <v>18453</v>
      </c>
      <c r="F1155" s="5" t="s">
        <v>6933</v>
      </c>
      <c r="G1155" s="5"/>
      <c r="H1155" s="5"/>
      <c r="I1155" s="5"/>
      <c r="J1155" s="5"/>
      <c r="K1155" s="5"/>
      <c r="L1155" s="5"/>
      <c r="M1155" s="5"/>
      <c r="N1155" s="5"/>
      <c r="O1155" s="5"/>
      <c r="P1155" s="5"/>
      <c r="Q1155" s="5"/>
      <c r="AL1155" s="7" t="str">
        <f>HYPERLINK("http://dx.doi.org/10.1111/1365-2656.12019","http://dx.doi.org/10.1111/1365-2656.12019")</f>
        <v>http://dx.doi.org/10.1111/1365-2656.12019</v>
      </c>
      <c r="AM1155" s="5">
        <v>48</v>
      </c>
      <c r="AN1155" s="5">
        <v>48</v>
      </c>
      <c r="AO1155" s="5">
        <v>82</v>
      </c>
      <c r="AP1155" s="5">
        <v>3</v>
      </c>
      <c r="AQ1155" s="5">
        <v>694</v>
      </c>
      <c r="AR1155" s="5">
        <v>706</v>
      </c>
      <c r="AS1155" s="5" t="s">
        <v>16</v>
      </c>
      <c r="AT1155" s="5" t="s">
        <v>6931</v>
      </c>
      <c r="AU1155" s="5" t="s">
        <v>6932</v>
      </c>
      <c r="AV1155" s="5" t="s">
        <v>6934</v>
      </c>
    </row>
    <row r="1156" spans="1:48" ht="45" customHeight="1" x14ac:dyDescent="0.15">
      <c r="A1156" s="5" t="s">
        <v>6935</v>
      </c>
      <c r="B1156" s="5">
        <v>2008</v>
      </c>
      <c r="C1156" s="5" t="s">
        <v>6936</v>
      </c>
      <c r="D1156" s="5" t="s">
        <v>269</v>
      </c>
      <c r="E1156" s="5" t="s">
        <v>18453</v>
      </c>
      <c r="F1156" s="5" t="s">
        <v>6939</v>
      </c>
      <c r="G1156" s="5"/>
      <c r="H1156" s="5"/>
      <c r="I1156" s="5"/>
      <c r="J1156" s="5"/>
      <c r="K1156" s="5"/>
      <c r="L1156" s="5"/>
      <c r="M1156" s="5"/>
      <c r="N1156" s="5"/>
      <c r="O1156" s="5"/>
      <c r="P1156" s="5"/>
      <c r="Q1156" s="5"/>
      <c r="AL1156" s="7" t="str">
        <f>HYPERLINK("http://dx.doi.org/10.1080/14634980802530392","http://dx.doi.org/10.1080/14634980802530392")</f>
        <v>http://dx.doi.org/10.1080/14634980802530392</v>
      </c>
      <c r="AM1156" s="5">
        <v>39</v>
      </c>
      <c r="AN1156" s="5">
        <v>40</v>
      </c>
      <c r="AO1156" s="5">
        <v>11</v>
      </c>
      <c r="AP1156" s="5">
        <v>4</v>
      </c>
      <c r="AQ1156" s="5">
        <v>403</v>
      </c>
      <c r="AR1156" s="5">
        <v>411</v>
      </c>
      <c r="AS1156" s="5" t="s">
        <v>6940</v>
      </c>
      <c r="AT1156" s="5" t="s">
        <v>6937</v>
      </c>
      <c r="AU1156" s="5" t="s">
        <v>6938</v>
      </c>
      <c r="AV1156" s="5" t="s">
        <v>6941</v>
      </c>
    </row>
    <row r="1157" spans="1:48" ht="45" customHeight="1" x14ac:dyDescent="0.15">
      <c r="A1157" s="5" t="s">
        <v>6942</v>
      </c>
      <c r="B1157" s="5">
        <v>2021</v>
      </c>
      <c r="C1157" s="5" t="s">
        <v>6943</v>
      </c>
      <c r="D1157" s="5" t="s">
        <v>513</v>
      </c>
      <c r="E1157" s="5" t="s">
        <v>18453</v>
      </c>
      <c r="F1157" s="5" t="s">
        <v>6946</v>
      </c>
      <c r="G1157" s="5"/>
      <c r="H1157" s="5"/>
      <c r="I1157" s="5"/>
      <c r="J1157" s="5"/>
      <c r="K1157" s="5"/>
      <c r="L1157" s="5"/>
      <c r="M1157" s="5"/>
      <c r="N1157" s="5"/>
      <c r="O1157" s="5"/>
      <c r="P1157" s="5"/>
      <c r="Q1157" s="5"/>
      <c r="AL1157" s="7" t="str">
        <f>HYPERLINK("http://dx.doi.org/10.1016/j.ecoleng.2021.106239","http://dx.doi.org/10.1016/j.ecoleng.2021.106239")</f>
        <v>http://dx.doi.org/10.1016/j.ecoleng.2021.106239</v>
      </c>
      <c r="AM1157" s="5">
        <v>7</v>
      </c>
      <c r="AN1157" s="5">
        <v>8</v>
      </c>
      <c r="AO1157" s="5">
        <v>166</v>
      </c>
      <c r="AP1157" s="5" t="s">
        <v>16</v>
      </c>
      <c r="AQ1157" s="5" t="s">
        <v>16</v>
      </c>
      <c r="AR1157" s="5" t="s">
        <v>16</v>
      </c>
      <c r="AS1157" s="5">
        <v>106239</v>
      </c>
      <c r="AT1157" s="5" t="s">
        <v>6944</v>
      </c>
      <c r="AU1157" s="5" t="s">
        <v>6945</v>
      </c>
      <c r="AV1157" s="5" t="s">
        <v>6947</v>
      </c>
    </row>
    <row r="1158" spans="1:48" ht="45" customHeight="1" x14ac:dyDescent="0.15">
      <c r="A1158" s="5" t="s">
        <v>6948</v>
      </c>
      <c r="B1158" s="5">
        <v>2021</v>
      </c>
      <c r="C1158" s="5" t="s">
        <v>6949</v>
      </c>
      <c r="D1158" s="5" t="s">
        <v>123</v>
      </c>
      <c r="E1158" s="5" t="s">
        <v>18453</v>
      </c>
      <c r="F1158" s="5" t="s">
        <v>6952</v>
      </c>
      <c r="G1158" s="5"/>
      <c r="H1158" s="5"/>
      <c r="I1158" s="5"/>
      <c r="J1158" s="5"/>
      <c r="K1158" s="5"/>
      <c r="L1158" s="5"/>
      <c r="M1158" s="5"/>
      <c r="N1158" s="5"/>
      <c r="O1158" s="5"/>
      <c r="P1158" s="5"/>
      <c r="Q1158" s="5"/>
      <c r="AL1158" s="7" t="str">
        <f>HYPERLINK("http://dx.doi.org/10.1111/ddi.13240","http://dx.doi.org/10.1111/ddi.13240")</f>
        <v>http://dx.doi.org/10.1111/ddi.13240</v>
      </c>
      <c r="AM1158" s="5">
        <v>7</v>
      </c>
      <c r="AN1158" s="5">
        <v>7</v>
      </c>
      <c r="AO1158" s="5">
        <v>27</v>
      </c>
      <c r="AP1158" s="5">
        <v>5</v>
      </c>
      <c r="AQ1158" s="5">
        <v>901</v>
      </c>
      <c r="AR1158" s="5">
        <v>912</v>
      </c>
      <c r="AS1158" s="5" t="s">
        <v>16</v>
      </c>
      <c r="AT1158" s="5" t="s">
        <v>6950</v>
      </c>
      <c r="AU1158" s="5" t="s">
        <v>6951</v>
      </c>
      <c r="AV1158" s="5" t="s">
        <v>6953</v>
      </c>
    </row>
    <row r="1159" spans="1:48" ht="45" customHeight="1" x14ac:dyDescent="0.15">
      <c r="A1159" s="5" t="s">
        <v>6954</v>
      </c>
      <c r="B1159" s="5">
        <v>2015</v>
      </c>
      <c r="C1159" s="5" t="s">
        <v>6955</v>
      </c>
      <c r="D1159" s="5" t="s">
        <v>15</v>
      </c>
      <c r="E1159" s="5" t="s">
        <v>18453</v>
      </c>
      <c r="F1159" s="5" t="s">
        <v>6958</v>
      </c>
      <c r="G1159" s="5"/>
      <c r="H1159" s="5"/>
      <c r="I1159" s="5"/>
      <c r="J1159" s="5"/>
      <c r="K1159" s="5"/>
      <c r="L1159" s="5"/>
      <c r="M1159" s="5"/>
      <c r="N1159" s="5"/>
      <c r="O1159" s="5"/>
      <c r="P1159" s="5"/>
      <c r="Q1159" s="5"/>
      <c r="AL1159" s="7" t="str">
        <f>HYPERLINK("http://dx.doi.org/10.1002/ece3.1738","http://dx.doi.org/10.1002/ece3.1738")</f>
        <v>http://dx.doi.org/10.1002/ece3.1738</v>
      </c>
      <c r="AM1159" s="5">
        <v>38</v>
      </c>
      <c r="AN1159" s="5">
        <v>38</v>
      </c>
      <c r="AO1159" s="5">
        <v>5</v>
      </c>
      <c r="AP1159" s="5">
        <v>21</v>
      </c>
      <c r="AQ1159" s="5">
        <v>4829</v>
      </c>
      <c r="AR1159" s="5">
        <v>4839</v>
      </c>
      <c r="AS1159" s="5" t="s">
        <v>16</v>
      </c>
      <c r="AT1159" s="5" t="s">
        <v>6956</v>
      </c>
      <c r="AU1159" s="5" t="s">
        <v>6957</v>
      </c>
      <c r="AV1159" s="5" t="s">
        <v>6959</v>
      </c>
    </row>
    <row r="1160" spans="1:48" ht="45" customHeight="1" x14ac:dyDescent="0.15">
      <c r="A1160" s="5" t="s">
        <v>6960</v>
      </c>
      <c r="B1160" s="5">
        <v>2007</v>
      </c>
      <c r="C1160" s="5" t="s">
        <v>6961</v>
      </c>
      <c r="D1160" s="5" t="s">
        <v>269</v>
      </c>
      <c r="E1160" s="5" t="s">
        <v>18453</v>
      </c>
      <c r="F1160" s="5" t="s">
        <v>6964</v>
      </c>
      <c r="G1160" s="5"/>
      <c r="H1160" s="5"/>
      <c r="I1160" s="5"/>
      <c r="J1160" s="5"/>
      <c r="K1160" s="5"/>
      <c r="L1160" s="5"/>
      <c r="M1160" s="5"/>
      <c r="N1160" s="5"/>
      <c r="O1160" s="5"/>
      <c r="P1160" s="5"/>
      <c r="Q1160" s="5"/>
      <c r="AL1160" s="7" t="str">
        <f>HYPERLINK("http://dx.doi.org/10.1080/14634980701709352","http://dx.doi.org/10.1080/14634980701709352")</f>
        <v>http://dx.doi.org/10.1080/14634980701709352</v>
      </c>
      <c r="AM1160" s="5">
        <v>10</v>
      </c>
      <c r="AN1160" s="5">
        <v>11</v>
      </c>
      <c r="AO1160" s="5">
        <v>10</v>
      </c>
      <c r="AP1160" s="5">
        <v>4</v>
      </c>
      <c r="AQ1160" s="5">
        <v>392</v>
      </c>
      <c r="AR1160" s="5">
        <v>397</v>
      </c>
      <c r="AS1160" s="5" t="s">
        <v>16</v>
      </c>
      <c r="AT1160" s="5" t="s">
        <v>6962</v>
      </c>
      <c r="AU1160" s="5" t="s">
        <v>6963</v>
      </c>
      <c r="AV1160" s="5" t="s">
        <v>6965</v>
      </c>
    </row>
    <row r="1161" spans="1:48" ht="45" customHeight="1" x14ac:dyDescent="0.15">
      <c r="A1161" s="5" t="s">
        <v>6966</v>
      </c>
      <c r="B1161" s="5">
        <v>2021</v>
      </c>
      <c r="C1161" s="5" t="s">
        <v>6967</v>
      </c>
      <c r="D1161" s="5" t="s">
        <v>1419</v>
      </c>
      <c r="E1161" s="5" t="s">
        <v>18453</v>
      </c>
      <c r="F1161" s="5" t="s">
        <v>6970</v>
      </c>
      <c r="G1161" s="5"/>
      <c r="H1161" s="5"/>
      <c r="I1161" s="5"/>
      <c r="J1161" s="5"/>
      <c r="K1161" s="5"/>
      <c r="L1161" s="5"/>
      <c r="M1161" s="5"/>
      <c r="N1161" s="5"/>
      <c r="O1161" s="5"/>
      <c r="P1161" s="5"/>
      <c r="Q1161" s="5"/>
      <c r="AL1161" s="7" t="str">
        <f>HYPERLINK("http://dx.doi.org/10.1016/j.fooweb.2021.e00205","http://dx.doi.org/10.1016/j.fooweb.2021.e00205")</f>
        <v>http://dx.doi.org/10.1016/j.fooweb.2021.e00205</v>
      </c>
      <c r="AM1161" s="5">
        <v>4</v>
      </c>
      <c r="AN1161" s="5">
        <v>4</v>
      </c>
      <c r="AO1161" s="5">
        <v>29</v>
      </c>
      <c r="AP1161" s="5" t="s">
        <v>16</v>
      </c>
      <c r="AQ1161" s="5" t="s">
        <v>16</v>
      </c>
      <c r="AR1161" s="5" t="s">
        <v>16</v>
      </c>
      <c r="AS1161" s="5" t="s">
        <v>6971</v>
      </c>
      <c r="AT1161" s="5" t="s">
        <v>6968</v>
      </c>
      <c r="AU1161" s="5" t="s">
        <v>6969</v>
      </c>
      <c r="AV1161" s="5" t="s">
        <v>6972</v>
      </c>
    </row>
    <row r="1162" spans="1:48" ht="45" customHeight="1" x14ac:dyDescent="0.15">
      <c r="A1162" s="5" t="s">
        <v>6973</v>
      </c>
      <c r="B1162" s="5">
        <v>2012</v>
      </c>
      <c r="C1162" s="5" t="s">
        <v>6974</v>
      </c>
      <c r="D1162" s="5" t="s">
        <v>59</v>
      </c>
      <c r="E1162" s="5" t="s">
        <v>18453</v>
      </c>
      <c r="F1162" s="5" t="s">
        <v>6977</v>
      </c>
      <c r="G1162" s="5"/>
      <c r="H1162" s="5"/>
      <c r="I1162" s="5"/>
      <c r="J1162" s="5"/>
      <c r="K1162" s="5"/>
      <c r="L1162" s="5"/>
      <c r="M1162" s="5"/>
      <c r="N1162" s="5"/>
      <c r="O1162" s="5"/>
      <c r="P1162" s="5"/>
      <c r="Q1162" s="5"/>
      <c r="AL1162" s="7" t="str">
        <f>HYPERLINK("http://dx.doi.org/10.1111/j.1461-0248.2012.01823.x","http://dx.doi.org/10.1111/j.1461-0248.2012.01823.x")</f>
        <v>http://dx.doi.org/10.1111/j.1461-0248.2012.01823.x</v>
      </c>
      <c r="AM1162" s="5">
        <v>73</v>
      </c>
      <c r="AN1162" s="5">
        <v>73</v>
      </c>
      <c r="AO1162" s="5">
        <v>15</v>
      </c>
      <c r="AP1162" s="5">
        <v>9</v>
      </c>
      <c r="AQ1162" s="5">
        <v>935</v>
      </c>
      <c r="AR1162" s="5">
        <v>946</v>
      </c>
      <c r="AS1162" s="5" t="s">
        <v>16</v>
      </c>
      <c r="AT1162" s="5" t="s">
        <v>6975</v>
      </c>
      <c r="AU1162" s="5" t="s">
        <v>6976</v>
      </c>
      <c r="AV1162" s="5" t="s">
        <v>6978</v>
      </c>
    </row>
    <row r="1163" spans="1:48" ht="45" customHeight="1" x14ac:dyDescent="0.15">
      <c r="A1163" s="5" t="s">
        <v>6979</v>
      </c>
      <c r="B1163" s="5">
        <v>2007</v>
      </c>
      <c r="C1163" s="5" t="s">
        <v>6980</v>
      </c>
      <c r="D1163" s="5" t="s">
        <v>49</v>
      </c>
      <c r="E1163" s="5" t="s">
        <v>18453</v>
      </c>
      <c r="F1163" s="5" t="s">
        <v>6983</v>
      </c>
      <c r="G1163" s="5"/>
      <c r="H1163" s="5"/>
      <c r="I1163" s="5"/>
      <c r="J1163" s="5"/>
      <c r="K1163" s="5"/>
      <c r="L1163" s="5"/>
      <c r="M1163" s="5"/>
      <c r="N1163" s="5"/>
      <c r="O1163" s="5"/>
      <c r="P1163" s="5"/>
      <c r="Q1163" s="5"/>
      <c r="AL1163" s="7" t="str">
        <f>HYPERLINK("http://dx.doi.org/10.3354/meps07010","http://dx.doi.org/10.3354/meps07010")</f>
        <v>http://dx.doi.org/10.3354/meps07010</v>
      </c>
      <c r="AM1163" s="5">
        <v>39</v>
      </c>
      <c r="AN1163" s="5">
        <v>46</v>
      </c>
      <c r="AO1163" s="5">
        <v>346</v>
      </c>
      <c r="AP1163" s="5" t="s">
        <v>16</v>
      </c>
      <c r="AQ1163" s="5">
        <v>127</v>
      </c>
      <c r="AR1163" s="5">
        <v>141</v>
      </c>
      <c r="AS1163" s="5" t="s">
        <v>16</v>
      </c>
      <c r="AT1163" s="5" t="s">
        <v>6981</v>
      </c>
      <c r="AU1163" s="5" t="s">
        <v>6982</v>
      </c>
      <c r="AV1163" s="5" t="s">
        <v>6984</v>
      </c>
    </row>
    <row r="1164" spans="1:48" ht="45" customHeight="1" x14ac:dyDescent="0.15">
      <c r="A1164" s="5" t="s">
        <v>6985</v>
      </c>
      <c r="B1164" s="5">
        <v>2008</v>
      </c>
      <c r="C1164" s="5" t="s">
        <v>6986</v>
      </c>
      <c r="D1164" s="5" t="s">
        <v>59</v>
      </c>
      <c r="E1164" s="5" t="s">
        <v>18453</v>
      </c>
      <c r="F1164" s="5" t="s">
        <v>6989</v>
      </c>
      <c r="G1164" s="5"/>
      <c r="H1164" s="5"/>
      <c r="I1164" s="5"/>
      <c r="J1164" s="5"/>
      <c r="K1164" s="5"/>
      <c r="L1164" s="5"/>
      <c r="M1164" s="5"/>
      <c r="N1164" s="5"/>
      <c r="O1164" s="5"/>
      <c r="P1164" s="5"/>
      <c r="Q1164" s="5"/>
      <c r="AL1164" s="7" t="str">
        <f>HYPERLINK("http://dx.doi.org/10.1111/j.1461-0248.2008.01163.x","http://dx.doi.org/10.1111/j.1461-0248.2008.01163.x")</f>
        <v>http://dx.doi.org/10.1111/j.1461-0248.2008.01163.x</v>
      </c>
      <c r="AM1164" s="5">
        <v>877</v>
      </c>
      <c r="AN1164" s="5">
        <v>935</v>
      </c>
      <c r="AO1164" s="5">
        <v>11</v>
      </c>
      <c r="AP1164" s="5">
        <v>5</v>
      </c>
      <c r="AQ1164" s="5">
        <v>470</v>
      </c>
      <c r="AR1164" s="5">
        <v>480</v>
      </c>
      <c r="AS1164" s="5" t="s">
        <v>16</v>
      </c>
      <c r="AT1164" s="5" t="s">
        <v>6987</v>
      </c>
      <c r="AU1164" s="5" t="s">
        <v>6988</v>
      </c>
      <c r="AV1164" s="5" t="s">
        <v>6990</v>
      </c>
    </row>
    <row r="1165" spans="1:48" ht="45" customHeight="1" x14ac:dyDescent="0.15">
      <c r="A1165" s="5" t="s">
        <v>6991</v>
      </c>
      <c r="B1165" s="5">
        <v>2016</v>
      </c>
      <c r="C1165" s="5" t="s">
        <v>6992</v>
      </c>
      <c r="D1165" s="5" t="s">
        <v>15</v>
      </c>
      <c r="E1165" s="5" t="s">
        <v>18453</v>
      </c>
      <c r="F1165" s="5" t="s">
        <v>6995</v>
      </c>
      <c r="G1165" s="5"/>
      <c r="H1165" s="5"/>
      <c r="I1165" s="5"/>
      <c r="J1165" s="5"/>
      <c r="K1165" s="5"/>
      <c r="L1165" s="5"/>
      <c r="M1165" s="5"/>
      <c r="N1165" s="5"/>
      <c r="O1165" s="5"/>
      <c r="P1165" s="5"/>
      <c r="Q1165" s="5"/>
      <c r="AL1165" s="7" t="str">
        <f>HYPERLINK("http://dx.doi.org/10.1002/ece3.2074","http://dx.doi.org/10.1002/ece3.2074")</f>
        <v>http://dx.doi.org/10.1002/ece3.2074</v>
      </c>
      <c r="AM1165" s="5">
        <v>44</v>
      </c>
      <c r="AN1165" s="5">
        <v>48</v>
      </c>
      <c r="AO1165" s="5">
        <v>6</v>
      </c>
      <c r="AP1165" s="5">
        <v>9</v>
      </c>
      <c r="AQ1165" s="5">
        <v>2725</v>
      </c>
      <c r="AR1165" s="5">
        <v>2738</v>
      </c>
      <c r="AS1165" s="5" t="s">
        <v>16</v>
      </c>
      <c r="AT1165" s="5" t="s">
        <v>6993</v>
      </c>
      <c r="AU1165" s="5" t="s">
        <v>6994</v>
      </c>
      <c r="AV1165" s="5" t="s">
        <v>6996</v>
      </c>
    </row>
    <row r="1166" spans="1:48" ht="45" customHeight="1" x14ac:dyDescent="0.15">
      <c r="A1166" s="5" t="s">
        <v>6997</v>
      </c>
      <c r="B1166" s="5">
        <v>2010</v>
      </c>
      <c r="C1166" s="5" t="s">
        <v>6998</v>
      </c>
      <c r="D1166" s="5" t="s">
        <v>973</v>
      </c>
      <c r="E1166" s="5" t="s">
        <v>18453</v>
      </c>
      <c r="F1166" s="5" t="s">
        <v>7000</v>
      </c>
      <c r="G1166" s="5"/>
      <c r="H1166" s="5"/>
      <c r="I1166" s="5"/>
      <c r="J1166" s="5"/>
      <c r="K1166" s="5"/>
      <c r="L1166" s="5"/>
      <c r="M1166" s="5"/>
      <c r="N1166" s="5"/>
      <c r="O1166" s="5"/>
      <c r="P1166" s="5"/>
      <c r="Q1166" s="5"/>
      <c r="AL1166" s="7" t="str">
        <f>HYPERLINK("http://dx.doi.org/10.5194/bg-7-3109-2010","http://dx.doi.org/10.5194/bg-7-3109-2010")</f>
        <v>http://dx.doi.org/10.5194/bg-7-3109-2010</v>
      </c>
      <c r="AM1166" s="5">
        <v>54</v>
      </c>
      <c r="AN1166" s="5">
        <v>54</v>
      </c>
      <c r="AO1166" s="5">
        <v>7</v>
      </c>
      <c r="AP1166" s="5">
        <v>10</v>
      </c>
      <c r="AQ1166" s="5">
        <v>3109</v>
      </c>
      <c r="AR1166" s="5">
        <v>3122</v>
      </c>
      <c r="AS1166" s="5" t="s">
        <v>16</v>
      </c>
      <c r="AT1166" s="5" t="s">
        <v>16</v>
      </c>
      <c r="AU1166" s="5" t="s">
        <v>6999</v>
      </c>
      <c r="AV1166" s="5" t="s">
        <v>7001</v>
      </c>
    </row>
    <row r="1167" spans="1:48" ht="45" customHeight="1" x14ac:dyDescent="0.15">
      <c r="A1167" s="5" t="s">
        <v>7002</v>
      </c>
      <c r="B1167" s="5">
        <v>2023</v>
      </c>
      <c r="C1167" s="5" t="s">
        <v>7003</v>
      </c>
      <c r="D1167" s="5" t="s">
        <v>111</v>
      </c>
      <c r="E1167" s="5" t="s">
        <v>18453</v>
      </c>
      <c r="F1167" s="5" t="s">
        <v>7006</v>
      </c>
      <c r="G1167" s="5"/>
      <c r="H1167" s="5"/>
      <c r="I1167" s="5"/>
      <c r="J1167" s="5"/>
      <c r="K1167" s="5"/>
      <c r="L1167" s="5"/>
      <c r="M1167" s="5"/>
      <c r="N1167" s="5"/>
      <c r="O1167" s="5"/>
      <c r="P1167" s="5"/>
      <c r="Q1167" s="5"/>
      <c r="AL1167" s="7" t="str">
        <f>HYPERLINK("http://dx.doi.org/10.1007/s10452-023-10030-0","http://dx.doi.org/10.1007/s10452-023-10030-0")</f>
        <v>http://dx.doi.org/10.1007/s10452-023-10030-0</v>
      </c>
      <c r="AM1167" s="5">
        <v>0</v>
      </c>
      <c r="AN1167" s="5">
        <v>0</v>
      </c>
      <c r="AO1167" s="5" t="s">
        <v>16</v>
      </c>
      <c r="AP1167" s="5" t="s">
        <v>16</v>
      </c>
      <c r="AQ1167" s="5" t="s">
        <v>16</v>
      </c>
      <c r="AR1167" s="5" t="s">
        <v>16</v>
      </c>
      <c r="AS1167" s="5" t="s">
        <v>16</v>
      </c>
      <c r="AT1167" s="5" t="s">
        <v>7004</v>
      </c>
      <c r="AU1167" s="5" t="s">
        <v>7005</v>
      </c>
      <c r="AV1167" s="5" t="s">
        <v>7007</v>
      </c>
    </row>
    <row r="1168" spans="1:48" ht="45" customHeight="1" x14ac:dyDescent="0.15">
      <c r="A1168" s="5" t="s">
        <v>7008</v>
      </c>
      <c r="B1168" s="5">
        <v>2023</v>
      </c>
      <c r="C1168" s="5" t="s">
        <v>7009</v>
      </c>
      <c r="D1168" s="5" t="s">
        <v>289</v>
      </c>
      <c r="E1168" s="5" t="s">
        <v>18453</v>
      </c>
      <c r="F1168" s="5" t="s">
        <v>7012</v>
      </c>
      <c r="G1168" s="5"/>
      <c r="H1168" s="5"/>
      <c r="I1168" s="5"/>
      <c r="J1168" s="5"/>
      <c r="K1168" s="5"/>
      <c r="L1168" s="5"/>
      <c r="M1168" s="5"/>
      <c r="N1168" s="5"/>
      <c r="O1168" s="5"/>
      <c r="P1168" s="5"/>
      <c r="Q1168" s="5"/>
      <c r="AL1168" s="7" t="str">
        <f>HYPERLINK("http://dx.doi.org/10.1111/1365-2745.14088","http://dx.doi.org/10.1111/1365-2745.14088")</f>
        <v>http://dx.doi.org/10.1111/1365-2745.14088</v>
      </c>
      <c r="AM1168" s="5">
        <v>0</v>
      </c>
      <c r="AN1168" s="5">
        <v>0</v>
      </c>
      <c r="AO1168" s="5">
        <v>111</v>
      </c>
      <c r="AP1168" s="5">
        <v>5</v>
      </c>
      <c r="AQ1168" s="5">
        <v>1151</v>
      </c>
      <c r="AR1168" s="5">
        <v>1165</v>
      </c>
      <c r="AS1168" s="5" t="s">
        <v>16</v>
      </c>
      <c r="AT1168" s="5" t="s">
        <v>7010</v>
      </c>
      <c r="AU1168" s="5" t="s">
        <v>7011</v>
      </c>
      <c r="AV1168" s="5" t="s">
        <v>7013</v>
      </c>
    </row>
    <row r="1169" spans="1:48" ht="45" customHeight="1" x14ac:dyDescent="0.15">
      <c r="A1169" s="5" t="s">
        <v>7014</v>
      </c>
      <c r="B1169" s="5">
        <v>2012</v>
      </c>
      <c r="C1169" s="5" t="s">
        <v>7015</v>
      </c>
      <c r="D1169" s="5" t="s">
        <v>295</v>
      </c>
      <c r="E1169" s="5" t="s">
        <v>18453</v>
      </c>
      <c r="F1169" s="5" t="s">
        <v>7018</v>
      </c>
      <c r="G1169" s="5"/>
      <c r="H1169" s="5"/>
      <c r="I1169" s="5"/>
      <c r="J1169" s="5"/>
      <c r="K1169" s="5"/>
      <c r="L1169" s="5"/>
      <c r="M1169" s="5"/>
      <c r="N1169" s="5"/>
      <c r="O1169" s="5"/>
      <c r="P1169" s="5"/>
      <c r="Q1169" s="5"/>
      <c r="AL1169" s="7" t="str">
        <f>HYPERLINK("http://dx.doi.org/10.1016/j.jembe.2012.07.012","http://dx.doi.org/10.1016/j.jembe.2012.07.012")</f>
        <v>http://dx.doi.org/10.1016/j.jembe.2012.07.012</v>
      </c>
      <c r="AM1169" s="5">
        <v>57</v>
      </c>
      <c r="AN1169" s="5">
        <v>58</v>
      </c>
      <c r="AO1169" s="5">
        <v>434</v>
      </c>
      <c r="AP1169" s="5" t="s">
        <v>16</v>
      </c>
      <c r="AQ1169" s="5">
        <v>7</v>
      </c>
      <c r="AR1169" s="5">
        <v>15</v>
      </c>
      <c r="AS1169" s="5" t="s">
        <v>16</v>
      </c>
      <c r="AT1169" s="5" t="s">
        <v>7016</v>
      </c>
      <c r="AU1169" s="5" t="s">
        <v>7017</v>
      </c>
      <c r="AV1169" s="5" t="s">
        <v>7019</v>
      </c>
    </row>
    <row r="1170" spans="1:48" ht="45" customHeight="1" x14ac:dyDescent="0.15">
      <c r="A1170" s="5" t="s">
        <v>7020</v>
      </c>
      <c r="B1170" s="5">
        <v>2021</v>
      </c>
      <c r="C1170" s="5" t="s">
        <v>7021</v>
      </c>
      <c r="D1170" s="5" t="s">
        <v>296</v>
      </c>
      <c r="E1170" s="5" t="s">
        <v>18453</v>
      </c>
      <c r="F1170" s="5" t="s">
        <v>7024</v>
      </c>
      <c r="G1170" s="5"/>
      <c r="H1170" s="5"/>
      <c r="I1170" s="5"/>
      <c r="J1170" s="5"/>
      <c r="K1170" s="5"/>
      <c r="L1170" s="5"/>
      <c r="M1170" s="5"/>
      <c r="N1170" s="5"/>
      <c r="O1170" s="5"/>
      <c r="P1170" s="5"/>
      <c r="Q1170" s="5"/>
      <c r="AL1170" s="7" t="str">
        <f>HYPERLINK("http://dx.doi.org/10.1098/rspb.2021.1290","http://dx.doi.org/10.1098/rspb.2021.1290")</f>
        <v>http://dx.doi.org/10.1098/rspb.2021.1290</v>
      </c>
      <c r="AM1170" s="5">
        <v>5</v>
      </c>
      <c r="AN1170" s="5">
        <v>6</v>
      </c>
      <c r="AO1170" s="5">
        <v>288</v>
      </c>
      <c r="AP1170" s="5">
        <v>1958</v>
      </c>
      <c r="AQ1170" s="5" t="s">
        <v>16</v>
      </c>
      <c r="AR1170" s="5" t="s">
        <v>16</v>
      </c>
      <c r="AS1170" s="5">
        <v>20211290</v>
      </c>
      <c r="AT1170" s="5" t="s">
        <v>7022</v>
      </c>
      <c r="AU1170" s="5" t="s">
        <v>7023</v>
      </c>
      <c r="AV1170" s="5" t="s">
        <v>7025</v>
      </c>
    </row>
    <row r="1171" spans="1:48" ht="45" customHeight="1" x14ac:dyDescent="0.15">
      <c r="A1171" s="5" t="s">
        <v>7026</v>
      </c>
      <c r="B1171" s="5">
        <v>2013</v>
      </c>
      <c r="C1171" s="5" t="s">
        <v>7027</v>
      </c>
      <c r="D1171" s="5" t="s">
        <v>2768</v>
      </c>
      <c r="E1171" s="5" t="s">
        <v>18453</v>
      </c>
      <c r="F1171" s="5" t="s">
        <v>7030</v>
      </c>
      <c r="G1171" s="5"/>
      <c r="H1171" s="5"/>
      <c r="I1171" s="5"/>
      <c r="J1171" s="5"/>
      <c r="K1171" s="5"/>
      <c r="L1171" s="5"/>
      <c r="M1171" s="5"/>
      <c r="N1171" s="5"/>
      <c r="O1171" s="5"/>
      <c r="P1171" s="5"/>
      <c r="Q1171" s="5"/>
      <c r="AL1171" s="7" t="str">
        <f>HYPERLINK("http://dx.doi.org/10.1007/s10531-012-0419-7","http://dx.doi.org/10.1007/s10531-012-0419-7")</f>
        <v>http://dx.doi.org/10.1007/s10531-012-0419-7</v>
      </c>
      <c r="AM1171" s="5">
        <v>52</v>
      </c>
      <c r="AN1171" s="5">
        <v>52</v>
      </c>
      <c r="AO1171" s="5">
        <v>22</v>
      </c>
      <c r="AP1171" s="5">
        <v>1</v>
      </c>
      <c r="AQ1171" s="5">
        <v>253</v>
      </c>
      <c r="AR1171" s="5">
        <v>268</v>
      </c>
      <c r="AS1171" s="5" t="s">
        <v>16</v>
      </c>
      <c r="AT1171" s="5" t="s">
        <v>7028</v>
      </c>
      <c r="AU1171" s="5" t="s">
        <v>7029</v>
      </c>
      <c r="AV1171" s="5" t="s">
        <v>7031</v>
      </c>
    </row>
    <row r="1172" spans="1:48" ht="45" customHeight="1" x14ac:dyDescent="0.15">
      <c r="A1172" s="5" t="s">
        <v>7032</v>
      </c>
      <c r="B1172" s="5">
        <v>2004</v>
      </c>
      <c r="C1172" s="5" t="s">
        <v>7033</v>
      </c>
      <c r="D1172" s="5" t="s">
        <v>172</v>
      </c>
      <c r="E1172" s="5" t="s">
        <v>18453</v>
      </c>
      <c r="F1172" s="5" t="s">
        <v>7036</v>
      </c>
      <c r="G1172" s="5"/>
      <c r="H1172" s="5"/>
      <c r="I1172" s="5"/>
      <c r="J1172" s="5"/>
      <c r="K1172" s="5"/>
      <c r="L1172" s="5"/>
      <c r="M1172" s="5"/>
      <c r="N1172" s="5"/>
      <c r="O1172" s="5"/>
      <c r="P1172" s="5"/>
      <c r="Q1172" s="5"/>
      <c r="AL1172" s="7" t="str">
        <f>HYPERLINK("http://dx.doi.org/10.1007/s00442-003-1479-x","http://dx.doi.org/10.1007/s00442-003-1479-x")</f>
        <v>http://dx.doi.org/10.1007/s00442-003-1479-x</v>
      </c>
      <c r="AM1172" s="5">
        <v>195</v>
      </c>
      <c r="AN1172" s="5">
        <v>200</v>
      </c>
      <c r="AO1172" s="5">
        <v>139</v>
      </c>
      <c r="AP1172" s="5">
        <v>1</v>
      </c>
      <c r="AQ1172" s="5">
        <v>11</v>
      </c>
      <c r="AR1172" s="5">
        <v>22</v>
      </c>
      <c r="AS1172" s="5" t="s">
        <v>16</v>
      </c>
      <c r="AT1172" s="5" t="s">
        <v>7034</v>
      </c>
      <c r="AU1172" s="5" t="s">
        <v>7035</v>
      </c>
      <c r="AV1172" s="5" t="s">
        <v>7037</v>
      </c>
    </row>
    <row r="1173" spans="1:48" ht="45" customHeight="1" x14ac:dyDescent="0.15">
      <c r="A1173" s="5" t="s">
        <v>7038</v>
      </c>
      <c r="B1173" s="5">
        <v>1993</v>
      </c>
      <c r="C1173" s="5" t="s">
        <v>7039</v>
      </c>
      <c r="D1173" s="5" t="s">
        <v>259</v>
      </c>
      <c r="E1173" s="5" t="s">
        <v>18453</v>
      </c>
      <c r="F1173" s="5" t="s">
        <v>7041</v>
      </c>
      <c r="G1173" s="5"/>
      <c r="H1173" s="5"/>
      <c r="I1173" s="5"/>
      <c r="J1173" s="5"/>
      <c r="K1173" s="5"/>
      <c r="L1173" s="5"/>
      <c r="M1173" s="5"/>
      <c r="N1173" s="5"/>
      <c r="O1173" s="5"/>
      <c r="P1173" s="5"/>
      <c r="Q1173" s="5"/>
      <c r="AL1173" s="7" t="str">
        <f>HYPERLINK("http://dx.doi.org/10.2307/3808999","http://dx.doi.org/10.2307/3808999")</f>
        <v>http://dx.doi.org/10.2307/3808999</v>
      </c>
      <c r="AM1173" s="5">
        <v>38</v>
      </c>
      <c r="AN1173" s="5">
        <v>44</v>
      </c>
      <c r="AO1173" s="5">
        <v>57</v>
      </c>
      <c r="AP1173" s="5">
        <v>1</v>
      </c>
      <c r="AQ1173" s="5">
        <v>49</v>
      </c>
      <c r="AR1173" s="5">
        <v>54</v>
      </c>
      <c r="AS1173" s="5" t="s">
        <v>16</v>
      </c>
      <c r="AT1173" s="5" t="s">
        <v>16</v>
      </c>
      <c r="AU1173" s="5" t="s">
        <v>7040</v>
      </c>
      <c r="AV1173" s="5" t="s">
        <v>7042</v>
      </c>
    </row>
    <row r="1174" spans="1:48" ht="45" customHeight="1" x14ac:dyDescent="0.15">
      <c r="A1174" s="5" t="s">
        <v>7043</v>
      </c>
      <c r="B1174" s="5">
        <v>2021</v>
      </c>
      <c r="C1174" s="5" t="s">
        <v>7044</v>
      </c>
      <c r="D1174" s="5" t="s">
        <v>161</v>
      </c>
      <c r="E1174" s="5" t="s">
        <v>18453</v>
      </c>
      <c r="F1174" s="5" t="s">
        <v>7047</v>
      </c>
      <c r="G1174" s="5"/>
      <c r="H1174" s="5"/>
      <c r="I1174" s="5"/>
      <c r="J1174" s="5"/>
      <c r="K1174" s="5"/>
      <c r="L1174" s="5"/>
      <c r="M1174" s="5"/>
      <c r="N1174" s="5"/>
      <c r="O1174" s="5"/>
      <c r="P1174" s="5"/>
      <c r="Q1174" s="5"/>
      <c r="AL1174" s="7" t="str">
        <f>HYPERLINK("http://dx.doi.org/10.1111/geb.13264","http://dx.doi.org/10.1111/geb.13264")</f>
        <v>http://dx.doi.org/10.1111/geb.13264</v>
      </c>
      <c r="AM1174" s="5">
        <v>11</v>
      </c>
      <c r="AN1174" s="5">
        <v>12</v>
      </c>
      <c r="AO1174" s="5">
        <v>30</v>
      </c>
      <c r="AP1174" s="5">
        <v>4</v>
      </c>
      <c r="AQ1174" s="5">
        <v>896</v>
      </c>
      <c r="AR1174" s="5">
        <v>908</v>
      </c>
      <c r="AS1174" s="5" t="s">
        <v>16</v>
      </c>
      <c r="AT1174" s="5" t="s">
        <v>7045</v>
      </c>
      <c r="AU1174" s="5" t="s">
        <v>7046</v>
      </c>
      <c r="AV1174" s="5" t="s">
        <v>7048</v>
      </c>
    </row>
    <row r="1175" spans="1:48" ht="45" customHeight="1" x14ac:dyDescent="0.15">
      <c r="A1175" s="5" t="s">
        <v>7049</v>
      </c>
      <c r="B1175" s="5">
        <v>2014</v>
      </c>
      <c r="C1175" s="5" t="s">
        <v>7050</v>
      </c>
      <c r="D1175" s="5" t="s">
        <v>18</v>
      </c>
      <c r="E1175" s="5" t="s">
        <v>18453</v>
      </c>
      <c r="F1175" s="5" t="s">
        <v>7053</v>
      </c>
      <c r="G1175" s="5"/>
      <c r="H1175" s="5"/>
      <c r="I1175" s="5"/>
      <c r="J1175" s="5"/>
      <c r="K1175" s="5"/>
      <c r="L1175" s="5"/>
      <c r="M1175" s="5"/>
      <c r="N1175" s="5"/>
      <c r="O1175" s="5"/>
      <c r="P1175" s="5"/>
      <c r="Q1175" s="5"/>
      <c r="AL1175" s="7" t="str">
        <f>HYPERLINK("http://dx.doi.org/10.1890/ES14-00029.1","http://dx.doi.org/10.1890/ES14-00029.1")</f>
        <v>http://dx.doi.org/10.1890/ES14-00029.1</v>
      </c>
      <c r="AM1175" s="5">
        <v>12</v>
      </c>
      <c r="AN1175" s="5">
        <v>12</v>
      </c>
      <c r="AO1175" s="5">
        <v>5</v>
      </c>
      <c r="AP1175" s="5">
        <v>5</v>
      </c>
      <c r="AQ1175" s="5" t="s">
        <v>16</v>
      </c>
      <c r="AR1175" s="5" t="s">
        <v>16</v>
      </c>
      <c r="AS1175" s="5">
        <v>54</v>
      </c>
      <c r="AT1175" s="5" t="s">
        <v>7051</v>
      </c>
      <c r="AU1175" s="5" t="s">
        <v>7052</v>
      </c>
      <c r="AV1175" s="5" t="s">
        <v>7054</v>
      </c>
    </row>
    <row r="1176" spans="1:48" ht="45" customHeight="1" x14ac:dyDescent="0.15">
      <c r="A1176" s="5" t="s">
        <v>7055</v>
      </c>
      <c r="B1176" s="5">
        <v>2021</v>
      </c>
      <c r="C1176" s="5" t="s">
        <v>7056</v>
      </c>
      <c r="D1176" s="5" t="s">
        <v>49</v>
      </c>
      <c r="E1176" s="5" t="s">
        <v>18453</v>
      </c>
      <c r="F1176" s="5" t="s">
        <v>7059</v>
      </c>
      <c r="G1176" s="5"/>
      <c r="H1176" s="5"/>
      <c r="I1176" s="5"/>
      <c r="J1176" s="5"/>
      <c r="K1176" s="5"/>
      <c r="L1176" s="5"/>
      <c r="M1176" s="5"/>
      <c r="N1176" s="5"/>
      <c r="O1176" s="5"/>
      <c r="P1176" s="5"/>
      <c r="Q1176" s="5"/>
      <c r="AL1176" s="7" t="str">
        <f>HYPERLINK("http://dx.doi.org/10.3354/meps13645","http://dx.doi.org/10.3354/meps13645")</f>
        <v>http://dx.doi.org/10.3354/meps13645</v>
      </c>
      <c r="AM1176" s="5">
        <v>5</v>
      </c>
      <c r="AN1176" s="5">
        <v>5</v>
      </c>
      <c r="AO1176" s="5">
        <v>664</v>
      </c>
      <c r="AP1176" s="5" t="s">
        <v>16</v>
      </c>
      <c r="AQ1176" s="5">
        <v>207</v>
      </c>
      <c r="AR1176" s="5">
        <v>225</v>
      </c>
      <c r="AS1176" s="5" t="s">
        <v>16</v>
      </c>
      <c r="AT1176" s="5" t="s">
        <v>7057</v>
      </c>
      <c r="AU1176" s="5" t="s">
        <v>7058</v>
      </c>
      <c r="AV1176" s="5" t="s">
        <v>7060</v>
      </c>
    </row>
    <row r="1177" spans="1:48" ht="45" customHeight="1" x14ac:dyDescent="0.15">
      <c r="A1177" s="5" t="s">
        <v>7061</v>
      </c>
      <c r="B1177" s="5">
        <v>2011</v>
      </c>
      <c r="C1177" s="5" t="s">
        <v>7062</v>
      </c>
      <c r="D1177" s="5" t="s">
        <v>33</v>
      </c>
      <c r="E1177" s="5" t="s">
        <v>18453</v>
      </c>
      <c r="F1177" s="5" t="s">
        <v>7065</v>
      </c>
      <c r="G1177" s="5"/>
      <c r="H1177" s="5"/>
      <c r="I1177" s="5"/>
      <c r="J1177" s="5"/>
      <c r="K1177" s="5"/>
      <c r="L1177" s="5"/>
      <c r="M1177" s="5"/>
      <c r="N1177" s="5"/>
      <c r="O1177" s="5"/>
      <c r="P1177" s="5"/>
      <c r="Q1177" s="5"/>
      <c r="AL1177" s="7" t="str">
        <f>HYPERLINK("http://dx.doi.org/10.1111/j.1365-2486.2010.02278.x","http://dx.doi.org/10.1111/j.1365-2486.2010.02278.x")</f>
        <v>http://dx.doi.org/10.1111/j.1365-2486.2010.02278.x</v>
      </c>
      <c r="AM1177" s="5">
        <v>289</v>
      </c>
      <c r="AN1177" s="5">
        <v>296</v>
      </c>
      <c r="AO1177" s="5">
        <v>17</v>
      </c>
      <c r="AP1177" s="5">
        <v>2</v>
      </c>
      <c r="AQ1177" s="5">
        <v>1097</v>
      </c>
      <c r="AR1177" s="5">
        <v>1107</v>
      </c>
      <c r="AS1177" s="5" t="s">
        <v>16</v>
      </c>
      <c r="AT1177" s="5" t="s">
        <v>7063</v>
      </c>
      <c r="AU1177" s="5" t="s">
        <v>7064</v>
      </c>
      <c r="AV1177" s="5" t="s">
        <v>7066</v>
      </c>
    </row>
    <row r="1178" spans="1:48" ht="45" customHeight="1" x14ac:dyDescent="0.15">
      <c r="A1178" s="5" t="s">
        <v>7067</v>
      </c>
      <c r="B1178" s="5">
        <v>2007</v>
      </c>
      <c r="C1178" s="5" t="s">
        <v>7068</v>
      </c>
      <c r="D1178" s="5" t="s">
        <v>49</v>
      </c>
      <c r="E1178" s="5" t="s">
        <v>18453</v>
      </c>
      <c r="F1178" s="5" t="s">
        <v>7071</v>
      </c>
      <c r="G1178" s="5"/>
      <c r="H1178" s="5"/>
      <c r="I1178" s="5"/>
      <c r="J1178" s="5"/>
      <c r="K1178" s="5"/>
      <c r="L1178" s="5"/>
      <c r="M1178" s="5"/>
      <c r="N1178" s="5"/>
      <c r="O1178" s="5"/>
      <c r="P1178" s="5"/>
      <c r="Q1178" s="5"/>
      <c r="AL1178" s="7" t="str">
        <f>HYPERLINK("http://dx.doi.org/10.3354/meps334179","http://dx.doi.org/10.3354/meps334179")</f>
        <v>http://dx.doi.org/10.3354/meps334179</v>
      </c>
      <c r="AM1178" s="5">
        <v>63</v>
      </c>
      <c r="AN1178" s="5">
        <v>63</v>
      </c>
      <c r="AO1178" s="5">
        <v>334</v>
      </c>
      <c r="AP1178" s="5" t="s">
        <v>16</v>
      </c>
      <c r="AQ1178" s="5">
        <v>179</v>
      </c>
      <c r="AR1178" s="5">
        <v>192</v>
      </c>
      <c r="AS1178" s="5" t="s">
        <v>16</v>
      </c>
      <c r="AT1178" s="5" t="s">
        <v>7069</v>
      </c>
      <c r="AU1178" s="5" t="s">
        <v>7070</v>
      </c>
      <c r="AV1178" s="5" t="s">
        <v>7072</v>
      </c>
    </row>
    <row r="1179" spans="1:48" ht="45" customHeight="1" x14ac:dyDescent="0.15">
      <c r="A1179" s="5" t="s">
        <v>7073</v>
      </c>
      <c r="B1179" s="5">
        <v>2017</v>
      </c>
      <c r="C1179" s="5" t="s">
        <v>7074</v>
      </c>
      <c r="D1179" s="5" t="s">
        <v>296</v>
      </c>
      <c r="E1179" s="5" t="s">
        <v>18453</v>
      </c>
      <c r="F1179" s="5" t="s">
        <v>7077</v>
      </c>
      <c r="G1179" s="5"/>
      <c r="H1179" s="5"/>
      <c r="I1179" s="5"/>
      <c r="J1179" s="5"/>
      <c r="K1179" s="5"/>
      <c r="L1179" s="5"/>
      <c r="M1179" s="5"/>
      <c r="N1179" s="5"/>
      <c r="O1179" s="5"/>
      <c r="P1179" s="5"/>
      <c r="Q1179" s="5"/>
      <c r="AL1179" s="7" t="str">
        <f>HYPERLINK("http://dx.doi.org/10.1098/rspb.2017.1000","http://dx.doi.org/10.1098/rspb.2017.1000")</f>
        <v>http://dx.doi.org/10.1098/rspb.2017.1000</v>
      </c>
      <c r="AM1179" s="5">
        <v>111</v>
      </c>
      <c r="AN1179" s="5">
        <v>117</v>
      </c>
      <c r="AO1179" s="5">
        <v>284</v>
      </c>
      <c r="AP1179" s="5">
        <v>1860</v>
      </c>
      <c r="AQ1179" s="5" t="s">
        <v>16</v>
      </c>
      <c r="AR1179" s="5" t="s">
        <v>16</v>
      </c>
      <c r="AS1179" s="5">
        <v>20171000</v>
      </c>
      <c r="AT1179" s="5" t="s">
        <v>7075</v>
      </c>
      <c r="AU1179" s="5" t="s">
        <v>7076</v>
      </c>
      <c r="AV1179" s="5" t="s">
        <v>7078</v>
      </c>
    </row>
    <row r="1180" spans="1:48" ht="45" customHeight="1" x14ac:dyDescent="0.15">
      <c r="A1180" s="5" t="s">
        <v>7079</v>
      </c>
      <c r="B1180" s="5">
        <v>2023</v>
      </c>
      <c r="C1180" s="5" t="s">
        <v>7080</v>
      </c>
      <c r="D1180" s="5" t="s">
        <v>189</v>
      </c>
      <c r="E1180" s="5" t="s">
        <v>18453</v>
      </c>
      <c r="F1180" s="5" t="s">
        <v>7083</v>
      </c>
      <c r="G1180" s="5"/>
      <c r="H1180" s="5"/>
      <c r="I1180" s="5"/>
      <c r="J1180" s="5"/>
      <c r="K1180" s="5"/>
      <c r="L1180" s="5"/>
      <c r="M1180" s="5"/>
      <c r="N1180" s="5"/>
      <c r="O1180" s="5"/>
      <c r="P1180" s="5"/>
      <c r="Q1180" s="5"/>
      <c r="AL1180" s="7" t="str">
        <f>HYPERLINK("http://dx.doi.org/10.1111/ecog.06465","http://dx.doi.org/10.1111/ecog.06465")</f>
        <v>http://dx.doi.org/10.1111/ecog.06465</v>
      </c>
      <c r="AM1180" s="5">
        <v>1</v>
      </c>
      <c r="AN1180" s="5">
        <v>1</v>
      </c>
      <c r="AO1180" s="5">
        <v>2023</v>
      </c>
      <c r="AP1180" s="5">
        <v>2</v>
      </c>
      <c r="AQ1180" s="5" t="s">
        <v>16</v>
      </c>
      <c r="AR1180" s="5" t="s">
        <v>16</v>
      </c>
      <c r="AS1180" s="5" t="s">
        <v>16</v>
      </c>
      <c r="AT1180" s="5" t="s">
        <v>7081</v>
      </c>
      <c r="AU1180" s="5" t="s">
        <v>7082</v>
      </c>
      <c r="AV1180" s="5" t="s">
        <v>7084</v>
      </c>
    </row>
    <row r="1181" spans="1:48" ht="45" customHeight="1" x14ac:dyDescent="0.15">
      <c r="A1181" s="5" t="s">
        <v>7085</v>
      </c>
      <c r="B1181" s="5">
        <v>2013</v>
      </c>
      <c r="C1181" s="5" t="s">
        <v>7086</v>
      </c>
      <c r="D1181" s="5" t="s">
        <v>49</v>
      </c>
      <c r="E1181" s="5" t="s">
        <v>18453</v>
      </c>
      <c r="F1181" s="5" t="s">
        <v>7089</v>
      </c>
      <c r="G1181" s="5"/>
      <c r="H1181" s="5"/>
      <c r="I1181" s="5"/>
      <c r="J1181" s="5"/>
      <c r="K1181" s="5"/>
      <c r="L1181" s="5"/>
      <c r="M1181" s="5"/>
      <c r="N1181" s="5"/>
      <c r="O1181" s="5"/>
      <c r="P1181" s="5"/>
      <c r="Q1181" s="5"/>
      <c r="AL1181" s="7" t="str">
        <f>HYPERLINK("http://dx.doi.org/10.3354/meps10161","http://dx.doi.org/10.3354/meps10161")</f>
        <v>http://dx.doi.org/10.3354/meps10161</v>
      </c>
      <c r="AM1181" s="5">
        <v>63</v>
      </c>
      <c r="AN1181" s="5">
        <v>63</v>
      </c>
      <c r="AO1181" s="5">
        <v>477</v>
      </c>
      <c r="AP1181" s="5" t="s">
        <v>16</v>
      </c>
      <c r="AQ1181" s="5">
        <v>271</v>
      </c>
      <c r="AR1181" s="5" t="s">
        <v>260</v>
      </c>
      <c r="AS1181" s="5" t="s">
        <v>16</v>
      </c>
      <c r="AT1181" s="5" t="s">
        <v>7087</v>
      </c>
      <c r="AU1181" s="5" t="s">
        <v>7088</v>
      </c>
      <c r="AV1181" s="5" t="s">
        <v>7090</v>
      </c>
    </row>
    <row r="1182" spans="1:48" ht="45" customHeight="1" x14ac:dyDescent="0.15">
      <c r="A1182" s="5" t="s">
        <v>5864</v>
      </c>
      <c r="B1182" s="5">
        <v>2002</v>
      </c>
      <c r="C1182" s="5" t="s">
        <v>7091</v>
      </c>
      <c r="D1182" s="5" t="s">
        <v>49</v>
      </c>
      <c r="E1182" s="5" t="s">
        <v>18453</v>
      </c>
      <c r="F1182" s="5" t="s">
        <v>7094</v>
      </c>
      <c r="G1182" s="5"/>
      <c r="H1182" s="5"/>
      <c r="I1182" s="5"/>
      <c r="J1182" s="5"/>
      <c r="K1182" s="5"/>
      <c r="L1182" s="5"/>
      <c r="M1182" s="5"/>
      <c r="N1182" s="5"/>
      <c r="O1182" s="5"/>
      <c r="P1182" s="5"/>
      <c r="Q1182" s="5"/>
      <c r="AL1182" s="7" t="str">
        <f>HYPERLINK("http://dx.doi.org/10.3354/meps236289","http://dx.doi.org/10.3354/meps236289")</f>
        <v>http://dx.doi.org/10.3354/meps236289</v>
      </c>
      <c r="AM1182" s="5">
        <v>110</v>
      </c>
      <c r="AN1182" s="5">
        <v>115</v>
      </c>
      <c r="AO1182" s="5">
        <v>236</v>
      </c>
      <c r="AP1182" s="5" t="s">
        <v>16</v>
      </c>
      <c r="AQ1182" s="5">
        <v>289</v>
      </c>
      <c r="AR1182" s="5">
        <v>300</v>
      </c>
      <c r="AS1182" s="5" t="s">
        <v>16</v>
      </c>
      <c r="AT1182" s="5" t="s">
        <v>7092</v>
      </c>
      <c r="AU1182" s="5" t="s">
        <v>7093</v>
      </c>
      <c r="AV1182" s="5" t="s">
        <v>7095</v>
      </c>
    </row>
    <row r="1183" spans="1:48" ht="45" customHeight="1" x14ac:dyDescent="0.15">
      <c r="A1183" s="5" t="s">
        <v>7096</v>
      </c>
      <c r="B1183" s="5">
        <v>2005</v>
      </c>
      <c r="C1183" s="5" t="s">
        <v>7097</v>
      </c>
      <c r="D1183" s="5" t="s">
        <v>138</v>
      </c>
      <c r="E1183" s="5" t="s">
        <v>18453</v>
      </c>
      <c r="F1183" s="5" t="s">
        <v>7100</v>
      </c>
      <c r="G1183" s="5"/>
      <c r="H1183" s="5"/>
      <c r="I1183" s="5"/>
      <c r="J1183" s="5"/>
      <c r="K1183" s="5"/>
      <c r="L1183" s="5"/>
      <c r="M1183" s="5"/>
      <c r="N1183" s="5"/>
      <c r="O1183" s="5"/>
      <c r="P1183" s="5"/>
      <c r="Q1183" s="5"/>
      <c r="AL1183" s="7" t="str">
        <f>HYPERLINK("http://dx.doi.org/10.1111/j.1442-9993.2005.01437.x","http://dx.doi.org/10.1111/j.1442-9993.2005.01437.x")</f>
        <v>http://dx.doi.org/10.1111/j.1442-9993.2005.01437.x</v>
      </c>
      <c r="AM1183" s="5">
        <v>35</v>
      </c>
      <c r="AN1183" s="5">
        <v>38</v>
      </c>
      <c r="AO1183" s="5">
        <v>30</v>
      </c>
      <c r="AP1183" s="5">
        <v>2</v>
      </c>
      <c r="AQ1183" s="5">
        <v>201</v>
      </c>
      <c r="AR1183" s="5">
        <v>209</v>
      </c>
      <c r="AS1183" s="5" t="s">
        <v>16</v>
      </c>
      <c r="AT1183" s="5" t="s">
        <v>7098</v>
      </c>
      <c r="AU1183" s="5" t="s">
        <v>7099</v>
      </c>
      <c r="AV1183" s="5" t="s">
        <v>7101</v>
      </c>
    </row>
    <row r="1184" spans="1:48" ht="45" customHeight="1" x14ac:dyDescent="0.15">
      <c r="A1184" s="5" t="s">
        <v>7102</v>
      </c>
      <c r="B1184" s="5">
        <v>2010</v>
      </c>
      <c r="C1184" s="5" t="s">
        <v>7103</v>
      </c>
      <c r="D1184" s="5" t="s">
        <v>7104</v>
      </c>
      <c r="E1184" s="5" t="s">
        <v>18453</v>
      </c>
      <c r="F1184" s="5" t="s">
        <v>7107</v>
      </c>
      <c r="G1184" s="5"/>
      <c r="H1184" s="5"/>
      <c r="I1184" s="5"/>
      <c r="J1184" s="5"/>
      <c r="K1184" s="5"/>
      <c r="L1184" s="5"/>
      <c r="M1184" s="5"/>
      <c r="N1184" s="5"/>
      <c r="O1184" s="5"/>
      <c r="P1184" s="5"/>
      <c r="Q1184" s="5"/>
      <c r="AL1184" s="7" t="str">
        <f>HYPERLINK("http://dx.doi.org/10.1016/j.ecocom.2009.05.013","http://dx.doi.org/10.1016/j.ecocom.2009.05.013")</f>
        <v>http://dx.doi.org/10.1016/j.ecocom.2009.05.013</v>
      </c>
      <c r="AM1184" s="5">
        <v>3</v>
      </c>
      <c r="AN1184" s="5">
        <v>3</v>
      </c>
      <c r="AO1184" s="5">
        <v>7</v>
      </c>
      <c r="AP1184" s="5">
        <v>1</v>
      </c>
      <c r="AQ1184" s="5">
        <v>60</v>
      </c>
      <c r="AR1184" s="5">
        <v>68</v>
      </c>
      <c r="AS1184" s="5" t="s">
        <v>16</v>
      </c>
      <c r="AT1184" s="5" t="s">
        <v>7105</v>
      </c>
      <c r="AU1184" s="5" t="s">
        <v>7106</v>
      </c>
      <c r="AV1184" s="5" t="s">
        <v>7108</v>
      </c>
    </row>
    <row r="1185" spans="1:48" ht="45" customHeight="1" x14ac:dyDescent="0.15">
      <c r="A1185" s="5" t="s">
        <v>7109</v>
      </c>
      <c r="B1185" s="5">
        <v>2017</v>
      </c>
      <c r="C1185" s="5" t="s">
        <v>7110</v>
      </c>
      <c r="D1185" s="5" t="s">
        <v>1765</v>
      </c>
      <c r="E1185" s="5" t="s">
        <v>18453</v>
      </c>
      <c r="F1185" s="5" t="s">
        <v>7113</v>
      </c>
      <c r="G1185" s="5"/>
      <c r="H1185" s="5"/>
      <c r="I1185" s="5"/>
      <c r="J1185" s="5"/>
      <c r="K1185" s="5"/>
      <c r="L1185" s="5"/>
      <c r="M1185" s="5"/>
      <c r="N1185" s="5"/>
      <c r="O1185" s="5"/>
      <c r="P1185" s="5"/>
      <c r="Q1185" s="5"/>
      <c r="AL1185" s="7" t="str">
        <f>HYPERLINK("http://dx.doi.org/10.1016/j.agee.2017.07.011","http://dx.doi.org/10.1016/j.agee.2017.07.011")</f>
        <v>http://dx.doi.org/10.1016/j.agee.2017.07.011</v>
      </c>
      <c r="AM1185" s="5">
        <v>30</v>
      </c>
      <c r="AN1185" s="5">
        <v>31</v>
      </c>
      <c r="AO1185" s="5">
        <v>247</v>
      </c>
      <c r="AP1185" s="5" t="s">
        <v>16</v>
      </c>
      <c r="AQ1185" s="5">
        <v>290</v>
      </c>
      <c r="AR1185" s="5">
        <v>297</v>
      </c>
      <c r="AS1185" s="5" t="s">
        <v>16</v>
      </c>
      <c r="AT1185" s="5" t="s">
        <v>7111</v>
      </c>
      <c r="AU1185" s="5" t="s">
        <v>7112</v>
      </c>
      <c r="AV1185" s="5" t="s">
        <v>7114</v>
      </c>
    </row>
    <row r="1186" spans="1:48" ht="45" customHeight="1" x14ac:dyDescent="0.15">
      <c r="A1186" s="5" t="s">
        <v>7115</v>
      </c>
      <c r="B1186" s="5">
        <v>2010</v>
      </c>
      <c r="C1186" s="5" t="s">
        <v>7116</v>
      </c>
      <c r="D1186" s="5" t="s">
        <v>27</v>
      </c>
      <c r="E1186" s="5" t="s">
        <v>18453</v>
      </c>
      <c r="F1186" s="5" t="s">
        <v>7119</v>
      </c>
      <c r="G1186" s="5"/>
      <c r="H1186" s="5"/>
      <c r="I1186" s="5"/>
      <c r="J1186" s="5"/>
      <c r="K1186" s="5"/>
      <c r="L1186" s="5"/>
      <c r="M1186" s="5"/>
      <c r="N1186" s="5"/>
      <c r="O1186" s="5"/>
      <c r="P1186" s="5"/>
      <c r="Q1186" s="5"/>
      <c r="AL1186" s="7" t="str">
        <f>HYPERLINK("http://dx.doi.org/10.1890/09-0715.1","http://dx.doi.org/10.1890/09-0715.1")</f>
        <v>http://dx.doi.org/10.1890/09-0715.1</v>
      </c>
      <c r="AM1186" s="5">
        <v>162</v>
      </c>
      <c r="AN1186" s="5">
        <v>163</v>
      </c>
      <c r="AO1186" s="5">
        <v>91</v>
      </c>
      <c r="AP1186" s="5">
        <v>5</v>
      </c>
      <c r="AQ1186" s="5">
        <v>1424</v>
      </c>
      <c r="AR1186" s="5">
        <v>1434</v>
      </c>
      <c r="AS1186" s="5" t="s">
        <v>16</v>
      </c>
      <c r="AT1186" s="5" t="s">
        <v>7117</v>
      </c>
      <c r="AU1186" s="5" t="s">
        <v>7118</v>
      </c>
      <c r="AV1186" s="5" t="s">
        <v>7120</v>
      </c>
    </row>
    <row r="1187" spans="1:48" ht="45" customHeight="1" x14ac:dyDescent="0.15">
      <c r="A1187" s="5" t="s">
        <v>7121</v>
      </c>
      <c r="B1187" s="5">
        <v>2019</v>
      </c>
      <c r="C1187" s="5" t="s">
        <v>7122</v>
      </c>
      <c r="D1187" s="5" t="s">
        <v>3722</v>
      </c>
      <c r="E1187" s="5" t="s">
        <v>18453</v>
      </c>
      <c r="F1187" s="5" t="s">
        <v>7125</v>
      </c>
      <c r="G1187" s="5"/>
      <c r="H1187" s="5"/>
      <c r="I1187" s="5"/>
      <c r="J1187" s="5"/>
      <c r="K1187" s="5"/>
      <c r="L1187" s="5"/>
      <c r="M1187" s="5"/>
      <c r="N1187" s="5"/>
      <c r="O1187" s="5"/>
      <c r="P1187" s="5"/>
      <c r="Q1187" s="5"/>
      <c r="AL1187" s="7" t="str">
        <f>HYPERLINK("http://dx.doi.org/10.1007/s11355-019-00373-y","http://dx.doi.org/10.1007/s11355-019-00373-y")</f>
        <v>http://dx.doi.org/10.1007/s11355-019-00373-y</v>
      </c>
      <c r="AM1187" s="5">
        <v>14</v>
      </c>
      <c r="AN1187" s="5">
        <v>15</v>
      </c>
      <c r="AO1187" s="5">
        <v>15</v>
      </c>
      <c r="AP1187" s="5">
        <v>2</v>
      </c>
      <c r="AQ1187" s="5">
        <v>143</v>
      </c>
      <c r="AR1187" s="5">
        <v>154</v>
      </c>
      <c r="AS1187" s="5" t="s">
        <v>16</v>
      </c>
      <c r="AT1187" s="5" t="s">
        <v>7123</v>
      </c>
      <c r="AU1187" s="5" t="s">
        <v>7124</v>
      </c>
      <c r="AV1187" s="5" t="s">
        <v>7126</v>
      </c>
    </row>
    <row r="1188" spans="1:48" ht="45" customHeight="1" x14ac:dyDescent="0.15">
      <c r="A1188" s="5" t="s">
        <v>7127</v>
      </c>
      <c r="B1188" s="5">
        <v>2022</v>
      </c>
      <c r="C1188" s="5" t="s">
        <v>7128</v>
      </c>
      <c r="D1188" s="5" t="s">
        <v>249</v>
      </c>
      <c r="E1188" s="5" t="s">
        <v>18453</v>
      </c>
      <c r="F1188" s="5" t="s">
        <v>7131</v>
      </c>
      <c r="G1188" s="5"/>
      <c r="H1188" s="5"/>
      <c r="I1188" s="5"/>
      <c r="J1188" s="5"/>
      <c r="K1188" s="5"/>
      <c r="L1188" s="5"/>
      <c r="M1188" s="5"/>
      <c r="N1188" s="5"/>
      <c r="O1188" s="5"/>
      <c r="P1188" s="5"/>
      <c r="Q1188" s="5"/>
      <c r="AL1188" s="7" t="str">
        <f>HYPERLINK("http://dx.doi.org/10.1016/j.jaridenv.2022.104833","http://dx.doi.org/10.1016/j.jaridenv.2022.104833")</f>
        <v>http://dx.doi.org/10.1016/j.jaridenv.2022.104833</v>
      </c>
      <c r="AM1188" s="5">
        <v>1</v>
      </c>
      <c r="AN1188" s="5">
        <v>1</v>
      </c>
      <c r="AO1188" s="5">
        <v>206</v>
      </c>
      <c r="AP1188" s="5" t="s">
        <v>16</v>
      </c>
      <c r="AQ1188" s="5" t="s">
        <v>16</v>
      </c>
      <c r="AR1188" s="5" t="s">
        <v>16</v>
      </c>
      <c r="AS1188" s="5">
        <v>104833</v>
      </c>
      <c r="AT1188" s="5" t="s">
        <v>7129</v>
      </c>
      <c r="AU1188" s="5" t="s">
        <v>7130</v>
      </c>
      <c r="AV1188" s="5" t="s">
        <v>7132</v>
      </c>
    </row>
    <row r="1189" spans="1:48" ht="45" customHeight="1" x14ac:dyDescent="0.15">
      <c r="A1189" s="5" t="s">
        <v>7133</v>
      </c>
      <c r="B1189" s="5">
        <v>2021</v>
      </c>
      <c r="C1189" s="5" t="s">
        <v>7134</v>
      </c>
      <c r="D1189" s="5" t="s">
        <v>77</v>
      </c>
      <c r="E1189" s="5" t="s">
        <v>18453</v>
      </c>
      <c r="F1189" s="5" t="s">
        <v>7137</v>
      </c>
      <c r="G1189" s="5"/>
      <c r="H1189" s="5"/>
      <c r="I1189" s="5"/>
      <c r="J1189" s="5"/>
      <c r="K1189" s="5"/>
      <c r="L1189" s="5"/>
      <c r="M1189" s="5"/>
      <c r="N1189" s="5"/>
      <c r="O1189" s="5"/>
      <c r="P1189" s="5"/>
      <c r="Q1189" s="5"/>
      <c r="AL1189" s="7" t="str">
        <f>HYPERLINK("http://dx.doi.org/10.1111/1365-2656.13505","http://dx.doi.org/10.1111/1365-2656.13505")</f>
        <v>http://dx.doi.org/10.1111/1365-2656.13505</v>
      </c>
      <c r="AM1189" s="5">
        <v>7</v>
      </c>
      <c r="AN1189" s="5">
        <v>7</v>
      </c>
      <c r="AO1189" s="5">
        <v>90</v>
      </c>
      <c r="AP1189" s="5">
        <v>7</v>
      </c>
      <c r="AQ1189" s="5">
        <v>1623</v>
      </c>
      <c r="AR1189" s="5">
        <v>1634</v>
      </c>
      <c r="AS1189" s="5" t="s">
        <v>16</v>
      </c>
      <c r="AT1189" s="5" t="s">
        <v>7135</v>
      </c>
      <c r="AU1189" s="5" t="s">
        <v>7136</v>
      </c>
      <c r="AV1189" s="5" t="s">
        <v>7138</v>
      </c>
    </row>
    <row r="1190" spans="1:48" ht="45" customHeight="1" x14ac:dyDescent="0.15">
      <c r="A1190" s="5" t="s">
        <v>7139</v>
      </c>
      <c r="B1190" s="5">
        <v>2018</v>
      </c>
      <c r="C1190" s="5" t="s">
        <v>7140</v>
      </c>
      <c r="D1190" s="5" t="s">
        <v>15</v>
      </c>
      <c r="E1190" s="5" t="s">
        <v>18453</v>
      </c>
      <c r="F1190" s="5" t="s">
        <v>7143</v>
      </c>
      <c r="G1190" s="5"/>
      <c r="H1190" s="5"/>
      <c r="I1190" s="5"/>
      <c r="J1190" s="5"/>
      <c r="K1190" s="5"/>
      <c r="L1190" s="5"/>
      <c r="M1190" s="5"/>
      <c r="N1190" s="5"/>
      <c r="O1190" s="5"/>
      <c r="P1190" s="5"/>
      <c r="Q1190" s="5"/>
      <c r="AL1190" s="7" t="str">
        <f>HYPERLINK("http://dx.doi.org/10.1002/ece3.4456","http://dx.doi.org/10.1002/ece3.4456")</f>
        <v>http://dx.doi.org/10.1002/ece3.4456</v>
      </c>
      <c r="AM1190" s="5">
        <v>33</v>
      </c>
      <c r="AN1190" s="5">
        <v>33</v>
      </c>
      <c r="AO1190" s="5">
        <v>8</v>
      </c>
      <c r="AP1190" s="5">
        <v>18</v>
      </c>
      <c r="AQ1190" s="5">
        <v>9503</v>
      </c>
      <c r="AR1190" s="5">
        <v>9515</v>
      </c>
      <c r="AS1190" s="5" t="s">
        <v>16</v>
      </c>
      <c r="AT1190" s="5" t="s">
        <v>7141</v>
      </c>
      <c r="AU1190" s="5" t="s">
        <v>7142</v>
      </c>
      <c r="AV1190" s="5" t="s">
        <v>7144</v>
      </c>
    </row>
    <row r="1191" spans="1:48" ht="45" customHeight="1" x14ac:dyDescent="0.15">
      <c r="A1191" s="5" t="s">
        <v>7145</v>
      </c>
      <c r="B1191" s="5">
        <v>2022</v>
      </c>
      <c r="C1191" s="5" t="s">
        <v>7146</v>
      </c>
      <c r="D1191" s="5" t="s">
        <v>296</v>
      </c>
      <c r="E1191" s="5" t="s">
        <v>18453</v>
      </c>
      <c r="F1191" s="5" t="s">
        <v>7149</v>
      </c>
      <c r="G1191" s="5"/>
      <c r="H1191" s="5"/>
      <c r="I1191" s="5"/>
      <c r="J1191" s="5"/>
      <c r="K1191" s="5"/>
      <c r="L1191" s="5"/>
      <c r="M1191" s="5"/>
      <c r="N1191" s="5"/>
      <c r="O1191" s="5"/>
      <c r="P1191" s="5"/>
      <c r="Q1191" s="5"/>
      <c r="AL1191" s="7" t="str">
        <f>HYPERLINK("http://dx.doi.org/10.1098/rspb.2022.0504","http://dx.doi.org/10.1098/rspb.2022.0504")</f>
        <v>http://dx.doi.org/10.1098/rspb.2022.0504</v>
      </c>
      <c r="AM1191" s="5">
        <v>0</v>
      </c>
      <c r="AN1191" s="5">
        <v>0</v>
      </c>
      <c r="AO1191" s="5">
        <v>289</v>
      </c>
      <c r="AP1191" s="5">
        <v>1977</v>
      </c>
      <c r="AQ1191" s="5" t="s">
        <v>16</v>
      </c>
      <c r="AR1191" s="5" t="s">
        <v>16</v>
      </c>
      <c r="AS1191" s="5">
        <v>20220504</v>
      </c>
      <c r="AT1191" s="5" t="s">
        <v>7147</v>
      </c>
      <c r="AU1191" s="5" t="s">
        <v>7148</v>
      </c>
      <c r="AV1191" s="5" t="s">
        <v>7150</v>
      </c>
    </row>
    <row r="1192" spans="1:48" ht="45" customHeight="1" x14ac:dyDescent="0.15">
      <c r="A1192" s="5" t="s">
        <v>7151</v>
      </c>
      <c r="B1192" s="5">
        <v>2023</v>
      </c>
      <c r="C1192" s="5" t="s">
        <v>7152</v>
      </c>
      <c r="D1192" s="5" t="s">
        <v>190</v>
      </c>
      <c r="E1192" s="5" t="s">
        <v>18453</v>
      </c>
      <c r="F1192" s="5" t="s">
        <v>7155</v>
      </c>
      <c r="G1192" s="5"/>
      <c r="H1192" s="5"/>
      <c r="I1192" s="5"/>
      <c r="J1192" s="5"/>
      <c r="K1192" s="5"/>
      <c r="L1192" s="5"/>
      <c r="M1192" s="5"/>
      <c r="N1192" s="5"/>
      <c r="O1192" s="5"/>
      <c r="P1192" s="5"/>
      <c r="Q1192" s="5"/>
      <c r="AL1192" s="7" t="str">
        <f>HYPERLINK("http://dx.doi.org/10.1007/s10530-023-03038-y","http://dx.doi.org/10.1007/s10530-023-03038-y")</f>
        <v>http://dx.doi.org/10.1007/s10530-023-03038-y</v>
      </c>
      <c r="AM1192" s="5">
        <v>0</v>
      </c>
      <c r="AN1192" s="5">
        <v>0</v>
      </c>
      <c r="AO1192" s="5">
        <v>25</v>
      </c>
      <c r="AP1192" s="5">
        <v>7</v>
      </c>
      <c r="AQ1192" s="5">
        <v>2249</v>
      </c>
      <c r="AR1192" s="5">
        <v>2260</v>
      </c>
      <c r="AS1192" s="5" t="s">
        <v>16</v>
      </c>
      <c r="AT1192" s="5" t="s">
        <v>7153</v>
      </c>
      <c r="AU1192" s="5" t="s">
        <v>7154</v>
      </c>
      <c r="AV1192" s="5" t="s">
        <v>7156</v>
      </c>
    </row>
    <row r="1193" spans="1:48" ht="45" customHeight="1" x14ac:dyDescent="0.15">
      <c r="A1193" s="5" t="s">
        <v>7157</v>
      </c>
      <c r="B1193" s="5">
        <v>2015</v>
      </c>
      <c r="C1193" s="5" t="s">
        <v>7158</v>
      </c>
      <c r="D1193" s="5" t="s">
        <v>44</v>
      </c>
      <c r="E1193" s="5" t="s">
        <v>18453</v>
      </c>
      <c r="F1193" s="5" t="s">
        <v>7161</v>
      </c>
      <c r="G1193" s="5"/>
      <c r="H1193" s="5"/>
      <c r="I1193" s="5"/>
      <c r="J1193" s="5"/>
      <c r="K1193" s="5"/>
      <c r="L1193" s="5"/>
      <c r="M1193" s="5"/>
      <c r="N1193" s="5"/>
      <c r="O1193" s="5"/>
      <c r="P1193" s="5"/>
      <c r="Q1193" s="5"/>
      <c r="AL1193" s="7" t="str">
        <f>HYPERLINK("http://dx.doi.org/10.3389/fevo.2014.00083","http://dx.doi.org/10.3389/fevo.2014.00083")</f>
        <v>http://dx.doi.org/10.3389/fevo.2014.00083</v>
      </c>
      <c r="AM1193" s="5">
        <v>26</v>
      </c>
      <c r="AN1193" s="5">
        <v>28</v>
      </c>
      <c r="AO1193" s="5">
        <v>2</v>
      </c>
      <c r="AP1193" s="5" t="s">
        <v>16</v>
      </c>
      <c r="AQ1193" s="5" t="s">
        <v>16</v>
      </c>
      <c r="AR1193" s="5" t="s">
        <v>16</v>
      </c>
      <c r="AS1193" s="5">
        <v>83</v>
      </c>
      <c r="AT1193" s="5" t="s">
        <v>7159</v>
      </c>
      <c r="AU1193" s="5" t="s">
        <v>7160</v>
      </c>
      <c r="AV1193" s="5" t="s">
        <v>7162</v>
      </c>
    </row>
    <row r="1194" spans="1:48" ht="45" customHeight="1" x14ac:dyDescent="0.15">
      <c r="A1194" s="5" t="s">
        <v>7163</v>
      </c>
      <c r="B1194" s="5">
        <v>2016</v>
      </c>
      <c r="C1194" s="5" t="s">
        <v>7164</v>
      </c>
      <c r="D1194" s="5" t="s">
        <v>7165</v>
      </c>
      <c r="E1194" s="5" t="s">
        <v>18453</v>
      </c>
      <c r="F1194" s="5" t="s">
        <v>7168</v>
      </c>
      <c r="G1194" s="5"/>
      <c r="H1194" s="5"/>
      <c r="I1194" s="5"/>
      <c r="J1194" s="5"/>
      <c r="K1194" s="5"/>
      <c r="L1194" s="5"/>
      <c r="M1194" s="5"/>
      <c r="N1194" s="5"/>
      <c r="O1194" s="5"/>
      <c r="P1194" s="5"/>
      <c r="Q1194" s="5"/>
      <c r="AL1194" s="7" t="str">
        <f>HYPERLINK("http://dx.doi.org/10.1071/RJ16009","http://dx.doi.org/10.1071/RJ16009")</f>
        <v>http://dx.doi.org/10.1071/RJ16009</v>
      </c>
      <c r="AM1194" s="5">
        <v>8</v>
      </c>
      <c r="AN1194" s="5">
        <v>8</v>
      </c>
      <c r="AO1194" s="5">
        <v>38</v>
      </c>
      <c r="AP1194" s="5">
        <v>5</v>
      </c>
      <c r="AQ1194" s="5">
        <v>443</v>
      </c>
      <c r="AR1194" s="5">
        <v>452</v>
      </c>
      <c r="AS1194" s="5" t="s">
        <v>16</v>
      </c>
      <c r="AT1194" s="5" t="s">
        <v>7166</v>
      </c>
      <c r="AU1194" s="5" t="s">
        <v>7167</v>
      </c>
      <c r="AV1194" s="5" t="s">
        <v>7169</v>
      </c>
    </row>
    <row r="1195" spans="1:48" ht="45" customHeight="1" x14ac:dyDescent="0.15">
      <c r="A1195" s="5" t="s">
        <v>7170</v>
      </c>
      <c r="B1195" s="5">
        <v>2011</v>
      </c>
      <c r="C1195" s="5" t="s">
        <v>7171</v>
      </c>
      <c r="D1195" s="5" t="s">
        <v>212</v>
      </c>
      <c r="E1195" s="5" t="s">
        <v>18453</v>
      </c>
      <c r="F1195" s="5" t="s">
        <v>7174</v>
      </c>
      <c r="G1195" s="5"/>
      <c r="H1195" s="5"/>
      <c r="I1195" s="5"/>
      <c r="J1195" s="5"/>
      <c r="K1195" s="5"/>
      <c r="L1195" s="5"/>
      <c r="M1195" s="5"/>
      <c r="N1195" s="5"/>
      <c r="O1195" s="5"/>
      <c r="P1195" s="5"/>
      <c r="Q1195" s="5"/>
      <c r="AL1195" s="7" t="str">
        <f>HYPERLINK("http://dx.doi.org/10.1007/s00300-010-0906-9","http://dx.doi.org/10.1007/s00300-010-0906-9")</f>
        <v>http://dx.doi.org/10.1007/s00300-010-0906-9</v>
      </c>
      <c r="AM1195" s="5">
        <v>38</v>
      </c>
      <c r="AN1195" s="5">
        <v>38</v>
      </c>
      <c r="AO1195" s="5">
        <v>34</v>
      </c>
      <c r="AP1195" s="5">
        <v>4</v>
      </c>
      <c r="AQ1195" s="5">
        <v>521</v>
      </c>
      <c r="AR1195" s="5">
        <v>532</v>
      </c>
      <c r="AS1195" s="5" t="s">
        <v>16</v>
      </c>
      <c r="AT1195" s="5" t="s">
        <v>7172</v>
      </c>
      <c r="AU1195" s="5" t="s">
        <v>7173</v>
      </c>
      <c r="AV1195" s="5" t="s">
        <v>7175</v>
      </c>
    </row>
    <row r="1196" spans="1:48" ht="45" customHeight="1" x14ac:dyDescent="0.15">
      <c r="A1196" s="5" t="s">
        <v>7176</v>
      </c>
      <c r="B1196" s="5">
        <v>2015</v>
      </c>
      <c r="C1196" s="5" t="s">
        <v>7177</v>
      </c>
      <c r="D1196" s="5" t="s">
        <v>973</v>
      </c>
      <c r="E1196" s="5" t="s">
        <v>18453</v>
      </c>
      <c r="F1196" s="5" t="s">
        <v>7179</v>
      </c>
      <c r="G1196" s="5"/>
      <c r="H1196" s="5"/>
      <c r="I1196" s="5"/>
      <c r="J1196" s="5"/>
      <c r="K1196" s="5"/>
      <c r="L1196" s="5"/>
      <c r="M1196" s="5"/>
      <c r="N1196" s="5"/>
      <c r="O1196" s="5"/>
      <c r="P1196" s="5"/>
      <c r="Q1196" s="5"/>
      <c r="AL1196" s="7" t="str">
        <f>HYPERLINK("http://dx.doi.org/10.5194/bg-12-7081-2015","http://dx.doi.org/10.5194/bg-12-7081-2015")</f>
        <v>http://dx.doi.org/10.5194/bg-12-7081-2015</v>
      </c>
      <c r="AM1196" s="5">
        <v>13</v>
      </c>
      <c r="AN1196" s="5">
        <v>14</v>
      </c>
      <c r="AO1196" s="5">
        <v>12</v>
      </c>
      <c r="AP1196" s="5">
        <v>23</v>
      </c>
      <c r="AQ1196" s="5">
        <v>7081</v>
      </c>
      <c r="AR1196" s="5">
        <v>7086</v>
      </c>
      <c r="AS1196" s="5" t="s">
        <v>16</v>
      </c>
      <c r="AT1196" s="5" t="s">
        <v>16</v>
      </c>
      <c r="AU1196" s="5" t="s">
        <v>7178</v>
      </c>
      <c r="AV1196" s="5" t="s">
        <v>7180</v>
      </c>
    </row>
    <row r="1197" spans="1:48" ht="45" customHeight="1" x14ac:dyDescent="0.15">
      <c r="A1197" s="5" t="s">
        <v>7181</v>
      </c>
      <c r="B1197" s="5">
        <v>2020</v>
      </c>
      <c r="C1197" s="5" t="s">
        <v>7182</v>
      </c>
      <c r="D1197" s="5" t="s">
        <v>2761</v>
      </c>
      <c r="E1197" s="5" t="s">
        <v>18453</v>
      </c>
      <c r="F1197" s="5" t="s">
        <v>7185</v>
      </c>
      <c r="G1197" s="5"/>
      <c r="H1197" s="5"/>
      <c r="I1197" s="5"/>
      <c r="J1197" s="5"/>
      <c r="K1197" s="5"/>
      <c r="L1197" s="5"/>
      <c r="M1197" s="5"/>
      <c r="N1197" s="5"/>
      <c r="O1197" s="5"/>
      <c r="P1197" s="5"/>
      <c r="Q1197" s="5"/>
      <c r="AL1197" s="7" t="str">
        <f>HYPERLINK("http://dx.doi.org/10.1186/s12898-020-00321-7","http://dx.doi.org/10.1186/s12898-020-00321-7")</f>
        <v>http://dx.doi.org/10.1186/s12898-020-00321-7</v>
      </c>
      <c r="AM1197" s="5">
        <v>6</v>
      </c>
      <c r="AN1197" s="5">
        <v>6</v>
      </c>
      <c r="AO1197" s="5">
        <v>20</v>
      </c>
      <c r="AP1197" s="5">
        <v>1</v>
      </c>
      <c r="AQ1197" s="5" t="s">
        <v>16</v>
      </c>
      <c r="AR1197" s="5" t="s">
        <v>16</v>
      </c>
      <c r="AS1197" s="5">
        <v>52</v>
      </c>
      <c r="AT1197" s="5" t="s">
        <v>7183</v>
      </c>
      <c r="AU1197" s="5" t="s">
        <v>7184</v>
      </c>
      <c r="AV1197" s="5" t="s">
        <v>7186</v>
      </c>
    </row>
    <row r="1198" spans="1:48" ht="45" customHeight="1" x14ac:dyDescent="0.15">
      <c r="A1198" s="5" t="s">
        <v>7187</v>
      </c>
      <c r="B1198" s="5">
        <v>2010</v>
      </c>
      <c r="C1198" s="5" t="s">
        <v>7188</v>
      </c>
      <c r="D1198" s="5" t="s">
        <v>82</v>
      </c>
      <c r="E1198" s="5" t="s">
        <v>18453</v>
      </c>
      <c r="F1198" s="5" t="s">
        <v>7191</v>
      </c>
      <c r="G1198" s="5"/>
      <c r="H1198" s="5"/>
      <c r="I1198" s="5"/>
      <c r="J1198" s="5"/>
      <c r="K1198" s="5"/>
      <c r="L1198" s="5"/>
      <c r="M1198" s="5"/>
      <c r="N1198" s="5"/>
      <c r="O1198" s="5"/>
      <c r="P1198" s="5"/>
      <c r="Q1198" s="5"/>
      <c r="AL1198" s="7" t="str">
        <f>HYPERLINK("http://dx.doi.org/10.1890/08-2324.1","http://dx.doi.org/10.1890/08-2324.1")</f>
        <v>http://dx.doi.org/10.1890/08-2324.1</v>
      </c>
      <c r="AM1198" s="5">
        <v>167</v>
      </c>
      <c r="AN1198" s="5">
        <v>169</v>
      </c>
      <c r="AO1198" s="5">
        <v>20</v>
      </c>
      <c r="AP1198" s="5">
        <v>2</v>
      </c>
      <c r="AQ1198" s="5">
        <v>362</v>
      </c>
      <c r="AR1198" s="5">
        <v>380</v>
      </c>
      <c r="AS1198" s="5" t="s">
        <v>16</v>
      </c>
      <c r="AT1198" s="5" t="s">
        <v>7189</v>
      </c>
      <c r="AU1198" s="5" t="s">
        <v>7190</v>
      </c>
      <c r="AV1198" s="5" t="s">
        <v>7192</v>
      </c>
    </row>
    <row r="1199" spans="1:48" ht="45" customHeight="1" x14ac:dyDescent="0.15">
      <c r="A1199" s="5" t="s">
        <v>7193</v>
      </c>
      <c r="B1199" s="5">
        <v>2010</v>
      </c>
      <c r="C1199" s="5" t="s">
        <v>7194</v>
      </c>
      <c r="D1199" s="5" t="s">
        <v>2437</v>
      </c>
      <c r="E1199" s="5" t="s">
        <v>18453</v>
      </c>
      <c r="F1199" s="5" t="s">
        <v>7197</v>
      </c>
      <c r="G1199" s="5"/>
      <c r="H1199" s="5"/>
      <c r="I1199" s="5"/>
      <c r="J1199" s="5"/>
      <c r="K1199" s="5"/>
      <c r="L1199" s="5"/>
      <c r="M1199" s="5"/>
      <c r="N1199" s="5"/>
      <c r="O1199" s="5"/>
      <c r="P1199" s="5"/>
      <c r="Q1199" s="5"/>
      <c r="AL1199" s="7" t="str">
        <f>HYPERLINK("http://dx.doi.org/10.1890/09-1249.1","http://dx.doi.org/10.1890/09-1249.1")</f>
        <v>http://dx.doi.org/10.1890/09-1249.1</v>
      </c>
      <c r="AM1199" s="5">
        <v>405</v>
      </c>
      <c r="AN1199" s="5">
        <v>410</v>
      </c>
      <c r="AO1199" s="5">
        <v>80</v>
      </c>
      <c r="AP1199" s="5">
        <v>2</v>
      </c>
      <c r="AQ1199" s="5">
        <v>179</v>
      </c>
      <c r="AR1199" s="5">
        <v>196</v>
      </c>
      <c r="AS1199" s="5" t="s">
        <v>16</v>
      </c>
      <c r="AT1199" s="5" t="s">
        <v>7195</v>
      </c>
      <c r="AU1199" s="5" t="s">
        <v>7196</v>
      </c>
      <c r="AV1199" s="5" t="s">
        <v>7198</v>
      </c>
    </row>
    <row r="1200" spans="1:48" ht="45" customHeight="1" x14ac:dyDescent="0.15">
      <c r="A1200" s="5" t="s">
        <v>7199</v>
      </c>
      <c r="B1200" s="5">
        <v>2018</v>
      </c>
      <c r="C1200" s="5" t="s">
        <v>7200</v>
      </c>
      <c r="D1200" s="5" t="s">
        <v>1765</v>
      </c>
      <c r="E1200" s="5" t="s">
        <v>18453</v>
      </c>
      <c r="F1200" s="5" t="s">
        <v>7203</v>
      </c>
      <c r="G1200" s="5"/>
      <c r="H1200" s="5"/>
      <c r="I1200" s="5"/>
      <c r="J1200" s="5"/>
      <c r="K1200" s="5"/>
      <c r="L1200" s="5"/>
      <c r="M1200" s="5"/>
      <c r="N1200" s="5"/>
      <c r="O1200" s="5"/>
      <c r="P1200" s="5"/>
      <c r="Q1200" s="5"/>
      <c r="AL1200" s="7" t="str">
        <f>HYPERLINK("http://dx.doi.org/10.1016/j.agee.2018.01.010","http://dx.doi.org/10.1016/j.agee.2018.01.010")</f>
        <v>http://dx.doi.org/10.1016/j.agee.2018.01.010</v>
      </c>
      <c r="AM1200" s="5">
        <v>4</v>
      </c>
      <c r="AN1200" s="5">
        <v>4</v>
      </c>
      <c r="AO1200" s="5">
        <v>256</v>
      </c>
      <c r="AP1200" s="5" t="s">
        <v>16</v>
      </c>
      <c r="AQ1200" s="5">
        <v>114</v>
      </c>
      <c r="AR1200" s="5">
        <v>122</v>
      </c>
      <c r="AS1200" s="5" t="s">
        <v>16</v>
      </c>
      <c r="AT1200" s="5" t="s">
        <v>7201</v>
      </c>
      <c r="AU1200" s="5" t="s">
        <v>7202</v>
      </c>
      <c r="AV1200" s="5" t="s">
        <v>7204</v>
      </c>
    </row>
    <row r="1201" spans="1:48" ht="45" customHeight="1" x14ac:dyDescent="0.15">
      <c r="A1201" s="5" t="s">
        <v>7205</v>
      </c>
      <c r="B1201" s="5">
        <v>2005</v>
      </c>
      <c r="C1201" s="5" t="s">
        <v>7206</v>
      </c>
      <c r="D1201" s="5" t="s">
        <v>33</v>
      </c>
      <c r="E1201" s="5" t="s">
        <v>18453</v>
      </c>
      <c r="F1201" s="5" t="s">
        <v>7209</v>
      </c>
      <c r="G1201" s="5"/>
      <c r="H1201" s="5"/>
      <c r="I1201" s="5"/>
      <c r="J1201" s="5"/>
      <c r="K1201" s="5"/>
      <c r="L1201" s="5"/>
      <c r="M1201" s="5"/>
      <c r="N1201" s="5"/>
      <c r="O1201" s="5"/>
      <c r="P1201" s="5"/>
      <c r="Q1201" s="5"/>
      <c r="AL1201" s="7" t="str">
        <f>HYPERLINK("http://dx.doi.org/10.1111/j.1365-2486.2005.00944.x","http://dx.doi.org/10.1111/j.1365-2486.2005.00944.x")</f>
        <v>http://dx.doi.org/10.1111/j.1365-2486.2005.00944.x</v>
      </c>
      <c r="AM1201" s="5">
        <v>119</v>
      </c>
      <c r="AN1201" s="5">
        <v>125</v>
      </c>
      <c r="AO1201" s="5">
        <v>11</v>
      </c>
      <c r="AP1201" s="5">
        <v>6</v>
      </c>
      <c r="AQ1201" s="5">
        <v>856</v>
      </c>
      <c r="AR1201" s="5">
        <v>868</v>
      </c>
      <c r="AS1201" s="5" t="s">
        <v>16</v>
      </c>
      <c r="AT1201" s="5" t="s">
        <v>7207</v>
      </c>
      <c r="AU1201" s="5" t="s">
        <v>7208</v>
      </c>
      <c r="AV1201" s="5" t="s">
        <v>7210</v>
      </c>
    </row>
    <row r="1202" spans="1:48" ht="45" customHeight="1" x14ac:dyDescent="0.15">
      <c r="A1202" s="5" t="s">
        <v>7211</v>
      </c>
      <c r="B1202" s="5">
        <v>2007</v>
      </c>
      <c r="C1202" s="5" t="s">
        <v>7212</v>
      </c>
      <c r="D1202" s="5" t="s">
        <v>49</v>
      </c>
      <c r="E1202" s="5" t="s">
        <v>18453</v>
      </c>
      <c r="F1202" s="5" t="s">
        <v>7215</v>
      </c>
      <c r="G1202" s="5"/>
      <c r="H1202" s="5"/>
      <c r="I1202" s="5"/>
      <c r="J1202" s="5"/>
      <c r="K1202" s="5"/>
      <c r="L1202" s="5"/>
      <c r="M1202" s="5"/>
      <c r="N1202" s="5"/>
      <c r="O1202" s="5"/>
      <c r="P1202" s="5"/>
      <c r="Q1202" s="5"/>
      <c r="AL1202" s="7" t="str">
        <f>HYPERLINK("http://dx.doi.org/10.3354/meps07160","http://dx.doi.org/10.3354/meps07160")</f>
        <v>http://dx.doi.org/10.3354/meps07160</v>
      </c>
      <c r="AM1202" s="5">
        <v>36</v>
      </c>
      <c r="AN1202" s="5">
        <v>44</v>
      </c>
      <c r="AO1202" s="5">
        <v>352</v>
      </c>
      <c r="AP1202" s="5" t="s">
        <v>16</v>
      </c>
      <c r="AQ1202" s="5">
        <v>89</v>
      </c>
      <c r="AR1202" s="5">
        <v>99</v>
      </c>
      <c r="AS1202" s="5" t="s">
        <v>16</v>
      </c>
      <c r="AT1202" s="5" t="s">
        <v>7213</v>
      </c>
      <c r="AU1202" s="5" t="s">
        <v>7214</v>
      </c>
      <c r="AV1202" s="5" t="s">
        <v>7216</v>
      </c>
    </row>
    <row r="1203" spans="1:48" ht="45" customHeight="1" x14ac:dyDescent="0.15">
      <c r="A1203" s="5" t="s">
        <v>7217</v>
      </c>
      <c r="B1203" s="5">
        <v>2019</v>
      </c>
      <c r="C1203" s="5" t="s">
        <v>7218</v>
      </c>
      <c r="D1203" s="5" t="s">
        <v>2087</v>
      </c>
      <c r="E1203" s="5" t="s">
        <v>18453</v>
      </c>
      <c r="F1203" s="5" t="s">
        <v>7220</v>
      </c>
      <c r="G1203" s="5"/>
      <c r="H1203" s="5"/>
      <c r="I1203" s="5"/>
      <c r="J1203" s="5"/>
      <c r="K1203" s="5"/>
      <c r="L1203" s="5"/>
      <c r="M1203" s="5"/>
      <c r="N1203" s="5"/>
      <c r="O1203" s="5"/>
      <c r="P1203" s="5"/>
      <c r="Q1203" s="5"/>
      <c r="AL1203" s="7" t="str">
        <f>HYPERLINK("http://dx.doi.org/10.1002/eco.2143","http://dx.doi.org/10.1002/eco.2143")</f>
        <v>http://dx.doi.org/10.1002/eco.2143</v>
      </c>
      <c r="AM1203" s="5">
        <v>10</v>
      </c>
      <c r="AN1203" s="5">
        <v>10</v>
      </c>
      <c r="AO1203" s="5">
        <v>12</v>
      </c>
      <c r="AP1203" s="5">
        <v>8</v>
      </c>
      <c r="AQ1203" s="5" t="s">
        <v>16</v>
      </c>
      <c r="AR1203" s="5" t="s">
        <v>16</v>
      </c>
      <c r="AS1203" s="5" t="s">
        <v>7221</v>
      </c>
      <c r="AT1203" s="5" t="s">
        <v>16</v>
      </c>
      <c r="AU1203" s="5" t="s">
        <v>7219</v>
      </c>
      <c r="AV1203" s="5" t="s">
        <v>7222</v>
      </c>
    </row>
    <row r="1204" spans="1:48" ht="45" customHeight="1" x14ac:dyDescent="0.15">
      <c r="A1204" s="5" t="s">
        <v>7223</v>
      </c>
      <c r="B1204" s="5">
        <v>1998</v>
      </c>
      <c r="C1204" s="5" t="s">
        <v>7224</v>
      </c>
      <c r="D1204" s="5" t="s">
        <v>1758</v>
      </c>
      <c r="E1204" s="5" t="s">
        <v>18453</v>
      </c>
      <c r="F1204" s="5" t="s">
        <v>7227</v>
      </c>
      <c r="G1204" s="5"/>
      <c r="H1204" s="5"/>
      <c r="I1204" s="5"/>
      <c r="J1204" s="5"/>
      <c r="K1204" s="5"/>
      <c r="L1204" s="5"/>
      <c r="M1204" s="5"/>
      <c r="N1204" s="5"/>
      <c r="O1204" s="5"/>
      <c r="P1204" s="5"/>
      <c r="Q1204" s="5"/>
      <c r="AL1204" s="7" t="str">
        <f>HYPERLINK("http://dx.doi.org/10.1007/BF03161683","http://dx.doi.org/10.1007/BF03161683")</f>
        <v>http://dx.doi.org/10.1007/BF03161683</v>
      </c>
      <c r="AM1204" s="5">
        <v>161</v>
      </c>
      <c r="AN1204" s="5">
        <v>171</v>
      </c>
      <c r="AO1204" s="5">
        <v>18</v>
      </c>
      <c r="AP1204" s="5">
        <v>4</v>
      </c>
      <c r="AQ1204" s="5">
        <v>687</v>
      </c>
      <c r="AR1204" s="5">
        <v>696</v>
      </c>
      <c r="AS1204" s="5" t="s">
        <v>16</v>
      </c>
      <c r="AT1204" s="5" t="s">
        <v>7225</v>
      </c>
      <c r="AU1204" s="5" t="s">
        <v>7226</v>
      </c>
      <c r="AV1204" s="5" t="s">
        <v>7228</v>
      </c>
    </row>
    <row r="1205" spans="1:48" ht="45" customHeight="1" x14ac:dyDescent="0.15">
      <c r="A1205" s="5" t="s">
        <v>7229</v>
      </c>
      <c r="B1205" s="5">
        <v>2017</v>
      </c>
      <c r="C1205" s="5" t="s">
        <v>7230</v>
      </c>
      <c r="D1205" s="5" t="s">
        <v>6683</v>
      </c>
      <c r="E1205" s="5" t="s">
        <v>18453</v>
      </c>
      <c r="F1205" s="5" t="s">
        <v>7232</v>
      </c>
      <c r="G1205" s="5"/>
      <c r="H1205" s="5"/>
      <c r="I1205" s="5"/>
      <c r="J1205" s="5"/>
      <c r="K1205" s="5"/>
      <c r="L1205" s="5"/>
      <c r="M1205" s="5"/>
      <c r="N1205" s="5"/>
      <c r="O1205" s="5"/>
      <c r="P1205" s="5"/>
      <c r="Q1205" s="5"/>
      <c r="AL1205" s="7" t="str">
        <f>HYPERLINK("http://dx.doi.org/10.1038/s41559-017-0159","http://dx.doi.org/10.1038/s41559-017-0159")</f>
        <v>http://dx.doi.org/10.1038/s41559-017-0159</v>
      </c>
      <c r="AM1205" s="5">
        <v>34</v>
      </c>
      <c r="AN1205" s="5">
        <v>36</v>
      </c>
      <c r="AO1205" s="5">
        <v>1</v>
      </c>
      <c r="AP1205" s="5">
        <v>6</v>
      </c>
      <c r="AQ1205" s="5" t="s">
        <v>16</v>
      </c>
      <c r="AR1205" s="5" t="s">
        <v>16</v>
      </c>
      <c r="AS1205" s="5">
        <v>159</v>
      </c>
      <c r="AT1205" s="5" t="s">
        <v>16</v>
      </c>
      <c r="AU1205" s="5" t="s">
        <v>7231</v>
      </c>
      <c r="AV1205" s="5" t="s">
        <v>7233</v>
      </c>
    </row>
    <row r="1206" spans="1:48" ht="45" customHeight="1" x14ac:dyDescent="0.15">
      <c r="A1206" s="5" t="s">
        <v>7234</v>
      </c>
      <c r="B1206" s="5">
        <v>2022</v>
      </c>
      <c r="C1206" s="5" t="s">
        <v>7235</v>
      </c>
      <c r="D1206" s="5" t="s">
        <v>33</v>
      </c>
      <c r="E1206" s="5" t="s">
        <v>18453</v>
      </c>
      <c r="F1206" s="5" t="s">
        <v>7238</v>
      </c>
      <c r="G1206" s="5"/>
      <c r="H1206" s="5"/>
      <c r="I1206" s="5"/>
      <c r="J1206" s="5"/>
      <c r="K1206" s="5"/>
      <c r="L1206" s="5"/>
      <c r="M1206" s="5"/>
      <c r="N1206" s="5"/>
      <c r="O1206" s="5"/>
      <c r="P1206" s="5"/>
      <c r="Q1206" s="5"/>
      <c r="AL1206" s="7" t="str">
        <f>HYPERLINK("http://dx.doi.org/10.1111/gcb.16285","http://dx.doi.org/10.1111/gcb.16285")</f>
        <v>http://dx.doi.org/10.1111/gcb.16285</v>
      </c>
      <c r="AM1206" s="5">
        <v>2</v>
      </c>
      <c r="AN1206" s="5">
        <v>2</v>
      </c>
      <c r="AO1206" s="5">
        <v>28</v>
      </c>
      <c r="AP1206" s="5">
        <v>18</v>
      </c>
      <c r="AQ1206" s="5">
        <v>5441</v>
      </c>
      <c r="AR1206" s="5">
        <v>5452</v>
      </c>
      <c r="AS1206" s="5" t="s">
        <v>16</v>
      </c>
      <c r="AT1206" s="5" t="s">
        <v>7236</v>
      </c>
      <c r="AU1206" s="5" t="s">
        <v>7237</v>
      </c>
      <c r="AV1206" s="5" t="s">
        <v>7239</v>
      </c>
    </row>
    <row r="1207" spans="1:48" ht="45" customHeight="1" x14ac:dyDescent="0.15">
      <c r="A1207" s="5" t="s">
        <v>7240</v>
      </c>
      <c r="B1207" s="5">
        <v>2020</v>
      </c>
      <c r="C1207" s="5" t="s">
        <v>7241</v>
      </c>
      <c r="D1207" s="5" t="s">
        <v>270</v>
      </c>
      <c r="E1207" s="5" t="s">
        <v>18453</v>
      </c>
      <c r="F1207" s="5" t="s">
        <v>7244</v>
      </c>
      <c r="G1207" s="5"/>
      <c r="H1207" s="5"/>
      <c r="I1207" s="5"/>
      <c r="J1207" s="5"/>
      <c r="K1207" s="5"/>
      <c r="L1207" s="5"/>
      <c r="M1207" s="5"/>
      <c r="N1207" s="5"/>
      <c r="O1207" s="5"/>
      <c r="P1207" s="5"/>
      <c r="Q1207" s="5"/>
      <c r="AL1207" s="7" t="str">
        <f>HYPERLINK("http://dx.doi.org/10.3391/ai.2020.15.4.08","http://dx.doi.org/10.3391/ai.2020.15.4.08")</f>
        <v>http://dx.doi.org/10.3391/ai.2020.15.4.08</v>
      </c>
      <c r="AM1207" s="5">
        <v>0</v>
      </c>
      <c r="AN1207" s="5">
        <v>0</v>
      </c>
      <c r="AO1207" s="5">
        <v>15</v>
      </c>
      <c r="AP1207" s="5">
        <v>4</v>
      </c>
      <c r="AQ1207" s="5">
        <v>671</v>
      </c>
      <c r="AR1207" s="5">
        <v>682</v>
      </c>
      <c r="AS1207" s="5" t="s">
        <v>16</v>
      </c>
      <c r="AT1207" s="5" t="s">
        <v>7242</v>
      </c>
      <c r="AU1207" s="5" t="s">
        <v>7243</v>
      </c>
      <c r="AV1207" s="5" t="s">
        <v>7245</v>
      </c>
    </row>
    <row r="1208" spans="1:48" ht="45" customHeight="1" x14ac:dyDescent="0.15">
      <c r="A1208" s="5" t="s">
        <v>7246</v>
      </c>
      <c r="B1208" s="5">
        <v>2015</v>
      </c>
      <c r="C1208" s="5" t="s">
        <v>7247</v>
      </c>
      <c r="D1208" s="5" t="s">
        <v>2976</v>
      </c>
      <c r="E1208" s="5" t="s">
        <v>18453</v>
      </c>
      <c r="F1208" s="5" t="s">
        <v>7249</v>
      </c>
      <c r="G1208" s="5"/>
      <c r="H1208" s="5"/>
      <c r="I1208" s="5"/>
      <c r="J1208" s="5"/>
      <c r="K1208" s="5"/>
      <c r="L1208" s="5"/>
      <c r="M1208" s="5"/>
      <c r="N1208" s="5"/>
      <c r="O1208" s="5"/>
      <c r="P1208" s="5"/>
      <c r="Q1208" s="5"/>
      <c r="AL1208" s="7" t="str">
        <f>HYPERLINK("http://dx.doi.org/10.1016/j.gecco.2015.06.007","http://dx.doi.org/10.1016/j.gecco.2015.06.007")</f>
        <v>http://dx.doi.org/10.1016/j.gecco.2015.06.007</v>
      </c>
      <c r="AM1208" s="5">
        <v>11</v>
      </c>
      <c r="AN1208" s="5">
        <v>11</v>
      </c>
      <c r="AO1208" s="5">
        <v>4</v>
      </c>
      <c r="AP1208" s="5" t="s">
        <v>16</v>
      </c>
      <c r="AQ1208" s="5">
        <v>207</v>
      </c>
      <c r="AR1208" s="5">
        <v>220</v>
      </c>
      <c r="AS1208" s="5" t="s">
        <v>16</v>
      </c>
      <c r="AT1208" s="5" t="s">
        <v>7248</v>
      </c>
      <c r="AU1208" s="5" t="s">
        <v>16</v>
      </c>
      <c r="AV1208" s="5" t="s">
        <v>7250</v>
      </c>
    </row>
    <row r="1209" spans="1:48" ht="45" customHeight="1" x14ac:dyDescent="0.15">
      <c r="A1209" s="5" t="s">
        <v>7251</v>
      </c>
      <c r="B1209" s="5">
        <v>2007</v>
      </c>
      <c r="C1209" s="5" t="s">
        <v>7252</v>
      </c>
      <c r="D1209" s="5" t="s">
        <v>116</v>
      </c>
      <c r="E1209" s="5" t="s">
        <v>18453</v>
      </c>
      <c r="F1209" s="5" t="s">
        <v>7255</v>
      </c>
      <c r="G1209" s="5"/>
      <c r="H1209" s="5"/>
      <c r="I1209" s="5"/>
      <c r="J1209" s="5"/>
      <c r="K1209" s="5"/>
      <c r="L1209" s="5"/>
      <c r="M1209" s="5"/>
      <c r="N1209" s="5"/>
      <c r="O1209" s="5"/>
      <c r="P1209" s="5"/>
      <c r="Q1209" s="5"/>
      <c r="AL1209" s="7" t="str">
        <f>HYPERLINK("http://dx.doi.org/10.1007/s10641-007-9187-8","http://dx.doi.org/10.1007/s10641-007-9187-8")</f>
        <v>http://dx.doi.org/10.1007/s10641-007-9187-8</v>
      </c>
      <c r="AM1209" s="5">
        <v>15</v>
      </c>
      <c r="AN1209" s="5">
        <v>15</v>
      </c>
      <c r="AO1209" s="5">
        <v>79</v>
      </c>
      <c r="AP1209" s="5" t="s">
        <v>778</v>
      </c>
      <c r="AQ1209" s="5">
        <v>49</v>
      </c>
      <c r="AR1209" s="5">
        <v>60</v>
      </c>
      <c r="AS1209" s="5" t="s">
        <v>16</v>
      </c>
      <c r="AT1209" s="5" t="s">
        <v>7253</v>
      </c>
      <c r="AU1209" s="5" t="s">
        <v>7254</v>
      </c>
      <c r="AV1209" s="5" t="s">
        <v>7256</v>
      </c>
    </row>
    <row r="1210" spans="1:48" ht="45" customHeight="1" x14ac:dyDescent="0.15">
      <c r="A1210" s="5" t="s">
        <v>7257</v>
      </c>
      <c r="B1210" s="5">
        <v>2017</v>
      </c>
      <c r="C1210" s="5" t="s">
        <v>7258</v>
      </c>
      <c r="D1210" s="5" t="s">
        <v>189</v>
      </c>
      <c r="E1210" s="5" t="s">
        <v>18453</v>
      </c>
      <c r="F1210" s="5" t="s">
        <v>7260</v>
      </c>
      <c r="G1210" s="5"/>
      <c r="H1210" s="5"/>
      <c r="I1210" s="5"/>
      <c r="J1210" s="5"/>
      <c r="K1210" s="5"/>
      <c r="L1210" s="5"/>
      <c r="M1210" s="5"/>
      <c r="N1210" s="5"/>
      <c r="O1210" s="5"/>
      <c r="P1210" s="5"/>
      <c r="Q1210" s="5"/>
      <c r="AL1210" s="7" t="str">
        <f>HYPERLINK("http://dx.doi.org/10.1111/ecog.02380","http://dx.doi.org/10.1111/ecog.02380")</f>
        <v>http://dx.doi.org/10.1111/ecog.02380</v>
      </c>
      <c r="AM1210" s="5">
        <v>18</v>
      </c>
      <c r="AN1210" s="5">
        <v>18</v>
      </c>
      <c r="AO1210" s="5">
        <v>40</v>
      </c>
      <c r="AP1210" s="5">
        <v>9</v>
      </c>
      <c r="AQ1210" s="5">
        <v>1029</v>
      </c>
      <c r="AR1210" s="5">
        <v>1039</v>
      </c>
      <c r="AS1210" s="5" t="s">
        <v>16</v>
      </c>
      <c r="AT1210" s="5" t="s">
        <v>16</v>
      </c>
      <c r="AU1210" s="5" t="s">
        <v>7259</v>
      </c>
      <c r="AV1210" s="5" t="s">
        <v>7261</v>
      </c>
    </row>
    <row r="1211" spans="1:48" ht="45" customHeight="1" x14ac:dyDescent="0.15">
      <c r="A1211" s="5" t="s">
        <v>7262</v>
      </c>
      <c r="B1211" s="5">
        <v>2019</v>
      </c>
      <c r="C1211" s="5" t="s">
        <v>7263</v>
      </c>
      <c r="D1211" s="5" t="s">
        <v>162</v>
      </c>
      <c r="E1211" s="5" t="s">
        <v>18453</v>
      </c>
      <c r="F1211" s="5" t="s">
        <v>7266</v>
      </c>
      <c r="G1211" s="5"/>
      <c r="H1211" s="5"/>
      <c r="I1211" s="5"/>
      <c r="J1211" s="5"/>
      <c r="K1211" s="5"/>
      <c r="L1211" s="5"/>
      <c r="M1211" s="5"/>
      <c r="N1211" s="5"/>
      <c r="O1211" s="5"/>
      <c r="P1211" s="5"/>
      <c r="Q1211" s="5"/>
      <c r="AL1211" s="7" t="str">
        <f>HYPERLINK("http://dx.doi.org/10.1111/1365-2435.13401","http://dx.doi.org/10.1111/1365-2435.13401")</f>
        <v>http://dx.doi.org/10.1111/1365-2435.13401</v>
      </c>
      <c r="AM1211" s="5">
        <v>49</v>
      </c>
      <c r="AN1211" s="5">
        <v>49</v>
      </c>
      <c r="AO1211" s="5">
        <v>33</v>
      </c>
      <c r="AP1211" s="5">
        <v>10</v>
      </c>
      <c r="AQ1211" s="5">
        <v>2042</v>
      </c>
      <c r="AR1211" s="5">
        <v>2052</v>
      </c>
      <c r="AS1211" s="5" t="s">
        <v>16</v>
      </c>
      <c r="AT1211" s="5" t="s">
        <v>7264</v>
      </c>
      <c r="AU1211" s="5" t="s">
        <v>7265</v>
      </c>
      <c r="AV1211" s="5" t="s">
        <v>7267</v>
      </c>
    </row>
    <row r="1212" spans="1:48" ht="45" customHeight="1" x14ac:dyDescent="0.15">
      <c r="A1212" s="5" t="s">
        <v>7268</v>
      </c>
      <c r="B1212" s="5">
        <v>2017</v>
      </c>
      <c r="C1212" s="5" t="s">
        <v>7269</v>
      </c>
      <c r="D1212" s="5" t="s">
        <v>92</v>
      </c>
      <c r="E1212" s="5" t="s">
        <v>18453</v>
      </c>
      <c r="F1212" s="5" t="s">
        <v>7272</v>
      </c>
      <c r="G1212" s="5"/>
      <c r="H1212" s="5"/>
      <c r="I1212" s="5"/>
      <c r="J1212" s="5"/>
      <c r="K1212" s="5"/>
      <c r="L1212" s="5"/>
      <c r="M1212" s="5"/>
      <c r="N1212" s="5"/>
      <c r="O1212" s="5"/>
      <c r="P1212" s="5"/>
      <c r="Q1212" s="5"/>
      <c r="AL1212" s="7" t="str">
        <f>HYPERLINK("http://dx.doi.org/10.1086/690233","http://dx.doi.org/10.1086/690233")</f>
        <v>http://dx.doi.org/10.1086/690233</v>
      </c>
      <c r="AM1212" s="5">
        <v>24</v>
      </c>
      <c r="AN1212" s="5">
        <v>24</v>
      </c>
      <c r="AO1212" s="5">
        <v>36</v>
      </c>
      <c r="AP1212" s="5">
        <v>1</v>
      </c>
      <c r="AQ1212" s="5">
        <v>178</v>
      </c>
      <c r="AR1212" s="5">
        <v>194</v>
      </c>
      <c r="AS1212" s="5" t="s">
        <v>16</v>
      </c>
      <c r="AT1212" s="5" t="s">
        <v>7270</v>
      </c>
      <c r="AU1212" s="5" t="s">
        <v>7271</v>
      </c>
      <c r="AV1212" s="5" t="s">
        <v>7273</v>
      </c>
    </row>
    <row r="1213" spans="1:48" ht="45" customHeight="1" x14ac:dyDescent="0.15">
      <c r="A1213" s="5" t="s">
        <v>7274</v>
      </c>
      <c r="B1213" s="5">
        <v>2012</v>
      </c>
      <c r="C1213" s="5" t="s">
        <v>7275</v>
      </c>
      <c r="D1213" s="5" t="s">
        <v>18</v>
      </c>
      <c r="E1213" s="5" t="s">
        <v>18453</v>
      </c>
      <c r="F1213" s="5" t="s">
        <v>7278</v>
      </c>
      <c r="G1213" s="5"/>
      <c r="H1213" s="5"/>
      <c r="I1213" s="5"/>
      <c r="J1213" s="5"/>
      <c r="K1213" s="5"/>
      <c r="L1213" s="5"/>
      <c r="M1213" s="5"/>
      <c r="N1213" s="5"/>
      <c r="O1213" s="5"/>
      <c r="P1213" s="5"/>
      <c r="Q1213" s="5"/>
      <c r="AL1213" s="7" t="str">
        <f>HYPERLINK("http://dx.doi.org/10.1890/ES11-00194.1","http://dx.doi.org/10.1890/ES11-00194.1")</f>
        <v>http://dx.doi.org/10.1890/ES11-00194.1</v>
      </c>
      <c r="AM1213" s="5">
        <v>10</v>
      </c>
      <c r="AN1213" s="5">
        <v>10</v>
      </c>
      <c r="AO1213" s="5">
        <v>3</v>
      </c>
      <c r="AP1213" s="5">
        <v>3</v>
      </c>
      <c r="AQ1213" s="5" t="s">
        <v>16</v>
      </c>
      <c r="AR1213" s="5" t="s">
        <v>16</v>
      </c>
      <c r="AS1213" s="5">
        <v>21</v>
      </c>
      <c r="AT1213" s="5" t="s">
        <v>7276</v>
      </c>
      <c r="AU1213" s="5" t="s">
        <v>7277</v>
      </c>
      <c r="AV1213" s="5" t="s">
        <v>7279</v>
      </c>
    </row>
    <row r="1214" spans="1:48" ht="45" customHeight="1" x14ac:dyDescent="0.15">
      <c r="A1214" s="5" t="s">
        <v>7280</v>
      </c>
      <c r="B1214" s="5">
        <v>2016</v>
      </c>
      <c r="C1214" s="5" t="s">
        <v>7281</v>
      </c>
      <c r="D1214" s="5" t="s">
        <v>33</v>
      </c>
      <c r="E1214" s="5" t="s">
        <v>18453</v>
      </c>
      <c r="F1214" s="5" t="s">
        <v>7284</v>
      </c>
      <c r="G1214" s="5"/>
      <c r="H1214" s="5"/>
      <c r="I1214" s="5"/>
      <c r="J1214" s="5"/>
      <c r="K1214" s="5"/>
      <c r="L1214" s="5"/>
      <c r="M1214" s="5"/>
      <c r="N1214" s="5"/>
      <c r="O1214" s="5"/>
      <c r="P1214" s="5"/>
      <c r="Q1214" s="5"/>
      <c r="AL1214" s="7" t="str">
        <f>HYPERLINK("http://dx.doi.org/10.1111/gcb.13233","http://dx.doi.org/10.1111/gcb.13233")</f>
        <v>http://dx.doi.org/10.1111/gcb.13233</v>
      </c>
      <c r="AM1214" s="5">
        <v>70</v>
      </c>
      <c r="AN1214" s="5">
        <v>73</v>
      </c>
      <c r="AO1214" s="5">
        <v>22</v>
      </c>
      <c r="AP1214" s="5">
        <v>9</v>
      </c>
      <c r="AQ1214" s="5">
        <v>3206</v>
      </c>
      <c r="AR1214" s="5">
        <v>3220</v>
      </c>
      <c r="AS1214" s="5" t="s">
        <v>16</v>
      </c>
      <c r="AT1214" s="5" t="s">
        <v>7282</v>
      </c>
      <c r="AU1214" s="5" t="s">
        <v>7283</v>
      </c>
      <c r="AV1214" s="5" t="s">
        <v>7285</v>
      </c>
    </row>
    <row r="1215" spans="1:48" ht="45" customHeight="1" x14ac:dyDescent="0.15">
      <c r="A1215" s="5" t="s">
        <v>7286</v>
      </c>
      <c r="B1215" s="5">
        <v>2017</v>
      </c>
      <c r="C1215" s="5" t="s">
        <v>7287</v>
      </c>
      <c r="D1215" s="5" t="s">
        <v>15</v>
      </c>
      <c r="E1215" s="5" t="s">
        <v>18453</v>
      </c>
      <c r="F1215" s="5" t="s">
        <v>7290</v>
      </c>
      <c r="G1215" s="5"/>
      <c r="H1215" s="5"/>
      <c r="I1215" s="5"/>
      <c r="J1215" s="5"/>
      <c r="K1215" s="5"/>
      <c r="L1215" s="5"/>
      <c r="M1215" s="5"/>
      <c r="N1215" s="5"/>
      <c r="O1215" s="5"/>
      <c r="P1215" s="5"/>
      <c r="Q1215" s="5"/>
      <c r="AL1215" s="7" t="str">
        <f>HYPERLINK("http://dx.doi.org/10.1002/ece3.2928","http://dx.doi.org/10.1002/ece3.2928")</f>
        <v>http://dx.doi.org/10.1002/ece3.2928</v>
      </c>
      <c r="AM1215" s="5">
        <v>0</v>
      </c>
      <c r="AN1215" s="5">
        <v>0</v>
      </c>
      <c r="AO1215" s="5">
        <v>7</v>
      </c>
      <c r="AP1215" s="5">
        <v>12</v>
      </c>
      <c r="AQ1215" s="5">
        <v>4173</v>
      </c>
      <c r="AR1215" s="5">
        <v>4178</v>
      </c>
      <c r="AS1215" s="5" t="s">
        <v>16</v>
      </c>
      <c r="AT1215" s="5" t="s">
        <v>7288</v>
      </c>
      <c r="AU1215" s="5" t="s">
        <v>7289</v>
      </c>
      <c r="AV1215" s="5" t="s">
        <v>7291</v>
      </c>
    </row>
    <row r="1216" spans="1:48" ht="45" customHeight="1" x14ac:dyDescent="0.15">
      <c r="A1216" s="5" t="s">
        <v>7292</v>
      </c>
      <c r="B1216" s="5">
        <v>2012</v>
      </c>
      <c r="C1216" s="5" t="s">
        <v>7293</v>
      </c>
      <c r="D1216" s="5" t="s">
        <v>1765</v>
      </c>
      <c r="E1216" s="5" t="s">
        <v>18453</v>
      </c>
      <c r="F1216" s="5" t="s">
        <v>7296</v>
      </c>
      <c r="G1216" s="5"/>
      <c r="H1216" s="5"/>
      <c r="I1216" s="5"/>
      <c r="J1216" s="5"/>
      <c r="K1216" s="5"/>
      <c r="L1216" s="5"/>
      <c r="M1216" s="5"/>
      <c r="N1216" s="5"/>
      <c r="O1216" s="5"/>
      <c r="P1216" s="5"/>
      <c r="Q1216" s="5"/>
      <c r="AL1216" s="7" t="str">
        <f>HYPERLINK("http://dx.doi.org/10.1016/j.agee.2012.03.017","http://dx.doi.org/10.1016/j.agee.2012.03.017")</f>
        <v>http://dx.doi.org/10.1016/j.agee.2012.03.017</v>
      </c>
      <c r="AM1216" s="5">
        <v>39</v>
      </c>
      <c r="AN1216" s="5">
        <v>44</v>
      </c>
      <c r="AO1216" s="5">
        <v>155</v>
      </c>
      <c r="AP1216" s="5" t="s">
        <v>16</v>
      </c>
      <c r="AQ1216" s="5">
        <v>78</v>
      </c>
      <c r="AR1216" s="5">
        <v>86</v>
      </c>
      <c r="AS1216" s="5" t="s">
        <v>16</v>
      </c>
      <c r="AT1216" s="5" t="s">
        <v>7294</v>
      </c>
      <c r="AU1216" s="5" t="s">
        <v>7295</v>
      </c>
      <c r="AV1216" s="5" t="s">
        <v>7297</v>
      </c>
    </row>
    <row r="1217" spans="1:48" ht="45" customHeight="1" x14ac:dyDescent="0.15">
      <c r="A1217" s="5" t="s">
        <v>7298</v>
      </c>
      <c r="B1217" s="5">
        <v>2017</v>
      </c>
      <c r="C1217" s="5" t="s">
        <v>7299</v>
      </c>
      <c r="D1217" s="5" t="s">
        <v>160</v>
      </c>
      <c r="E1217" s="5" t="s">
        <v>18453</v>
      </c>
      <c r="F1217" s="5" t="s">
        <v>7302</v>
      </c>
      <c r="G1217" s="5"/>
      <c r="H1217" s="5"/>
      <c r="I1217" s="5"/>
      <c r="J1217" s="5"/>
      <c r="K1217" s="5"/>
      <c r="L1217" s="5"/>
      <c r="M1217" s="5"/>
      <c r="N1217" s="5"/>
      <c r="O1217" s="5"/>
      <c r="P1217" s="5"/>
      <c r="Q1217" s="5"/>
      <c r="AL1217" s="7" t="str">
        <f>HYPERLINK("http://dx.doi.org/10.1111/1365-2664.12723","http://dx.doi.org/10.1111/1365-2664.12723")</f>
        <v>http://dx.doi.org/10.1111/1365-2664.12723</v>
      </c>
      <c r="AM1217" s="5">
        <v>26</v>
      </c>
      <c r="AN1217" s="5">
        <v>27</v>
      </c>
      <c r="AO1217" s="5">
        <v>54</v>
      </c>
      <c r="AP1217" s="5">
        <v>2</v>
      </c>
      <c r="AQ1217" s="5">
        <v>618</v>
      </c>
      <c r="AR1217" s="5">
        <v>627</v>
      </c>
      <c r="AS1217" s="5" t="s">
        <v>16</v>
      </c>
      <c r="AT1217" s="5" t="s">
        <v>7300</v>
      </c>
      <c r="AU1217" s="5" t="s">
        <v>7301</v>
      </c>
      <c r="AV1217" s="5" t="s">
        <v>7303</v>
      </c>
    </row>
    <row r="1218" spans="1:48" ht="45" customHeight="1" x14ac:dyDescent="0.15">
      <c r="A1218" s="5" t="s">
        <v>7304</v>
      </c>
      <c r="B1218" s="5">
        <v>2017</v>
      </c>
      <c r="C1218" s="5" t="s">
        <v>7305</v>
      </c>
      <c r="D1218" s="5" t="s">
        <v>1134</v>
      </c>
      <c r="E1218" s="5" t="s">
        <v>18453</v>
      </c>
      <c r="F1218" s="5" t="s">
        <v>7308</v>
      </c>
      <c r="G1218" s="5"/>
      <c r="H1218" s="5"/>
      <c r="I1218" s="5"/>
      <c r="J1218" s="5"/>
      <c r="K1218" s="5"/>
      <c r="L1218" s="5"/>
      <c r="M1218" s="5"/>
      <c r="N1218" s="5"/>
      <c r="O1218" s="5"/>
      <c r="P1218" s="5"/>
      <c r="Q1218" s="5"/>
      <c r="AL1218" s="7" t="str">
        <f>HYPERLINK("http://dx.doi.org/10.1080/17451000.2017.1313988","http://dx.doi.org/10.1080/17451000.2017.1313988")</f>
        <v>http://dx.doi.org/10.1080/17451000.2017.1313988</v>
      </c>
      <c r="AM1218" s="5">
        <v>14</v>
      </c>
      <c r="AN1218" s="5">
        <v>14</v>
      </c>
      <c r="AO1218" s="5">
        <v>13</v>
      </c>
      <c r="AP1218" s="5">
        <v>9</v>
      </c>
      <c r="AQ1218" s="5">
        <v>919</v>
      </c>
      <c r="AR1218" s="5">
        <v>932</v>
      </c>
      <c r="AS1218" s="5" t="s">
        <v>16</v>
      </c>
      <c r="AT1218" s="5" t="s">
        <v>7306</v>
      </c>
      <c r="AU1218" s="5" t="s">
        <v>7307</v>
      </c>
      <c r="AV1218" s="5" t="s">
        <v>7309</v>
      </c>
    </row>
    <row r="1219" spans="1:48" ht="45" customHeight="1" x14ac:dyDescent="0.15">
      <c r="A1219" s="5" t="s">
        <v>7310</v>
      </c>
      <c r="B1219" s="5">
        <v>2017</v>
      </c>
      <c r="C1219" s="5" t="s">
        <v>7311</v>
      </c>
      <c r="D1219" s="5" t="s">
        <v>92</v>
      </c>
      <c r="E1219" s="5" t="s">
        <v>18453</v>
      </c>
      <c r="F1219" s="5" t="s">
        <v>7314</v>
      </c>
      <c r="G1219" s="5"/>
      <c r="H1219" s="5"/>
      <c r="I1219" s="5"/>
      <c r="J1219" s="5"/>
      <c r="K1219" s="5"/>
      <c r="L1219" s="5"/>
      <c r="M1219" s="5"/>
      <c r="N1219" s="5"/>
      <c r="O1219" s="5"/>
      <c r="P1219" s="5"/>
      <c r="Q1219" s="5"/>
      <c r="AL1219" s="7" t="str">
        <f>HYPERLINK("http://dx.doi.org/10.1086/692028","http://dx.doi.org/10.1086/692028")</f>
        <v>http://dx.doi.org/10.1086/692028</v>
      </c>
      <c r="AM1219" s="5">
        <v>6</v>
      </c>
      <c r="AN1219" s="5">
        <v>6</v>
      </c>
      <c r="AO1219" s="5">
        <v>36</v>
      </c>
      <c r="AP1219" s="5">
        <v>2</v>
      </c>
      <c r="AQ1219" s="5">
        <v>387</v>
      </c>
      <c r="AR1219" s="5">
        <v>401</v>
      </c>
      <c r="AS1219" s="5" t="s">
        <v>16</v>
      </c>
      <c r="AT1219" s="5" t="s">
        <v>7312</v>
      </c>
      <c r="AU1219" s="5" t="s">
        <v>7313</v>
      </c>
      <c r="AV1219" s="5" t="s">
        <v>7315</v>
      </c>
    </row>
    <row r="1220" spans="1:48" ht="45" customHeight="1" x14ac:dyDescent="0.15">
      <c r="A1220" s="5" t="s">
        <v>7316</v>
      </c>
      <c r="B1220" s="5">
        <v>2020</v>
      </c>
      <c r="C1220" s="5" t="s">
        <v>7317</v>
      </c>
      <c r="D1220" s="5" t="s">
        <v>2761</v>
      </c>
      <c r="E1220" s="5" t="s">
        <v>18453</v>
      </c>
      <c r="F1220" s="5" t="s">
        <v>7320</v>
      </c>
      <c r="G1220" s="5"/>
      <c r="H1220" s="5"/>
      <c r="I1220" s="5"/>
      <c r="J1220" s="5"/>
      <c r="K1220" s="5"/>
      <c r="L1220" s="5"/>
      <c r="M1220" s="5"/>
      <c r="N1220" s="5"/>
      <c r="O1220" s="5"/>
      <c r="P1220" s="5"/>
      <c r="Q1220" s="5"/>
      <c r="AL1220" s="7" t="str">
        <f>HYPERLINK("http://dx.doi.org/10.1186/s12898-020-00300-y","http://dx.doi.org/10.1186/s12898-020-00300-y")</f>
        <v>http://dx.doi.org/10.1186/s12898-020-00300-y</v>
      </c>
      <c r="AM1220" s="5">
        <v>11</v>
      </c>
      <c r="AN1220" s="5">
        <v>11</v>
      </c>
      <c r="AO1220" s="5">
        <v>20</v>
      </c>
      <c r="AP1220" s="5">
        <v>1</v>
      </c>
      <c r="AQ1220" s="5" t="s">
        <v>16</v>
      </c>
      <c r="AR1220" s="5" t="s">
        <v>16</v>
      </c>
      <c r="AS1220" s="5">
        <v>32</v>
      </c>
      <c r="AT1220" s="5" t="s">
        <v>7318</v>
      </c>
      <c r="AU1220" s="5" t="s">
        <v>7319</v>
      </c>
      <c r="AV1220" s="5" t="s">
        <v>7321</v>
      </c>
    </row>
    <row r="1221" spans="1:48" ht="45" customHeight="1" x14ac:dyDescent="0.15">
      <c r="A1221" s="5" t="s">
        <v>7322</v>
      </c>
      <c r="B1221" s="5">
        <v>2020</v>
      </c>
      <c r="C1221" s="5" t="s">
        <v>7323</v>
      </c>
      <c r="D1221" s="5" t="s">
        <v>249</v>
      </c>
      <c r="E1221" s="5" t="s">
        <v>18453</v>
      </c>
      <c r="F1221" s="5" t="s">
        <v>7326</v>
      </c>
      <c r="G1221" s="5"/>
      <c r="H1221" s="5"/>
      <c r="I1221" s="5"/>
      <c r="J1221" s="5"/>
      <c r="K1221" s="5"/>
      <c r="L1221" s="5"/>
      <c r="M1221" s="5"/>
      <c r="N1221" s="5"/>
      <c r="O1221" s="5"/>
      <c r="P1221" s="5"/>
      <c r="Q1221" s="5"/>
      <c r="AL1221" s="7" t="str">
        <f>HYPERLINK("http://dx.doi.org/10.1016/j.jaridenv.2020.104149","http://dx.doi.org/10.1016/j.jaridenv.2020.104149")</f>
        <v>http://dx.doi.org/10.1016/j.jaridenv.2020.104149</v>
      </c>
      <c r="AM1221" s="5">
        <v>7</v>
      </c>
      <c r="AN1221" s="5">
        <v>7</v>
      </c>
      <c r="AO1221" s="5">
        <v>178</v>
      </c>
      <c r="AP1221" s="5" t="s">
        <v>16</v>
      </c>
      <c r="AQ1221" s="5" t="s">
        <v>16</v>
      </c>
      <c r="AR1221" s="5" t="s">
        <v>16</v>
      </c>
      <c r="AS1221" s="5">
        <v>104149</v>
      </c>
      <c r="AT1221" s="5" t="s">
        <v>7324</v>
      </c>
      <c r="AU1221" s="5" t="s">
        <v>7325</v>
      </c>
      <c r="AV1221" s="5" t="s">
        <v>7327</v>
      </c>
    </row>
    <row r="1222" spans="1:48" ht="45" customHeight="1" x14ac:dyDescent="0.15">
      <c r="A1222" s="5" t="s">
        <v>7328</v>
      </c>
      <c r="B1222" s="5">
        <v>2019</v>
      </c>
      <c r="C1222" s="5" t="s">
        <v>7329</v>
      </c>
      <c r="D1222" s="5" t="s">
        <v>2020</v>
      </c>
      <c r="E1222" s="5" t="s">
        <v>18453</v>
      </c>
      <c r="F1222" s="5" t="s">
        <v>7332</v>
      </c>
      <c r="G1222" s="5"/>
      <c r="H1222" s="5"/>
      <c r="I1222" s="5"/>
      <c r="J1222" s="5"/>
      <c r="K1222" s="5"/>
      <c r="L1222" s="5"/>
      <c r="M1222" s="5"/>
      <c r="N1222" s="5"/>
      <c r="O1222" s="5"/>
      <c r="P1222" s="5"/>
      <c r="Q1222" s="5"/>
      <c r="AL1222" s="7" t="str">
        <f>HYPERLINK("http://dx.doi.org/10.5751/ES-10961-240217","http://dx.doi.org/10.5751/ES-10961-240217")</f>
        <v>http://dx.doi.org/10.5751/ES-10961-240217</v>
      </c>
      <c r="AM1222" s="5">
        <v>12</v>
      </c>
      <c r="AN1222" s="5">
        <v>12</v>
      </c>
      <c r="AO1222" s="5">
        <v>24</v>
      </c>
      <c r="AP1222" s="5">
        <v>2</v>
      </c>
      <c r="AQ1222" s="5" t="s">
        <v>16</v>
      </c>
      <c r="AR1222" s="5" t="s">
        <v>16</v>
      </c>
      <c r="AS1222" s="5">
        <v>17</v>
      </c>
      <c r="AT1222" s="5" t="s">
        <v>7330</v>
      </c>
      <c r="AU1222" s="5" t="s">
        <v>7331</v>
      </c>
      <c r="AV1222" s="5" t="s">
        <v>7333</v>
      </c>
    </row>
    <row r="1223" spans="1:48" ht="45" customHeight="1" x14ac:dyDescent="0.15">
      <c r="A1223" s="5" t="s">
        <v>7334</v>
      </c>
      <c r="B1223" s="5">
        <v>2014</v>
      </c>
      <c r="C1223" s="5" t="s">
        <v>7335</v>
      </c>
      <c r="D1223" s="5" t="s">
        <v>190</v>
      </c>
      <c r="E1223" s="5" t="s">
        <v>18453</v>
      </c>
      <c r="F1223" s="5" t="s">
        <v>7338</v>
      </c>
      <c r="G1223" s="5"/>
      <c r="H1223" s="5"/>
      <c r="I1223" s="5"/>
      <c r="J1223" s="5"/>
      <c r="K1223" s="5"/>
      <c r="L1223" s="5"/>
      <c r="M1223" s="5"/>
      <c r="N1223" s="5"/>
      <c r="O1223" s="5"/>
      <c r="P1223" s="5"/>
      <c r="Q1223" s="5"/>
      <c r="AL1223" s="7" t="str">
        <f>HYPERLINK("http://dx.doi.org/10.1007/s10530-014-0645-x","http://dx.doi.org/10.1007/s10530-014-0645-x")</f>
        <v>http://dx.doi.org/10.1007/s10530-014-0645-x</v>
      </c>
      <c r="AM1223" s="5">
        <v>26</v>
      </c>
      <c r="AN1223" s="5">
        <v>26</v>
      </c>
      <c r="AO1223" s="5">
        <v>16</v>
      </c>
      <c r="AP1223" s="5">
        <v>10</v>
      </c>
      <c r="AQ1223" s="5">
        <v>2025</v>
      </c>
      <c r="AR1223" s="5">
        <v>2036</v>
      </c>
      <c r="AS1223" s="5" t="s">
        <v>16</v>
      </c>
      <c r="AT1223" s="5" t="s">
        <v>7336</v>
      </c>
      <c r="AU1223" s="5" t="s">
        <v>7337</v>
      </c>
      <c r="AV1223" s="5" t="s">
        <v>7339</v>
      </c>
    </row>
    <row r="1224" spans="1:48" ht="45" customHeight="1" x14ac:dyDescent="0.15">
      <c r="A1224" s="5" t="s">
        <v>7340</v>
      </c>
      <c r="B1224" s="5">
        <v>2019</v>
      </c>
      <c r="C1224" s="5" t="s">
        <v>7341</v>
      </c>
      <c r="D1224" s="5" t="s">
        <v>973</v>
      </c>
      <c r="E1224" s="5" t="s">
        <v>18453</v>
      </c>
      <c r="F1224" s="5" t="s">
        <v>7343</v>
      </c>
      <c r="G1224" s="5"/>
      <c r="H1224" s="5"/>
      <c r="I1224" s="5"/>
      <c r="J1224" s="5"/>
      <c r="K1224" s="5"/>
      <c r="L1224" s="5"/>
      <c r="M1224" s="5"/>
      <c r="N1224" s="5"/>
      <c r="O1224" s="5"/>
      <c r="P1224" s="5"/>
      <c r="Q1224" s="5"/>
      <c r="AL1224" s="7" t="str">
        <f>HYPERLINK("http://dx.doi.org/10.5194/bg-16-3997-2019","http://dx.doi.org/10.5194/bg-16-3997-2019")</f>
        <v>http://dx.doi.org/10.5194/bg-16-3997-2019</v>
      </c>
      <c r="AM1224" s="5">
        <v>10</v>
      </c>
      <c r="AN1224" s="5">
        <v>10</v>
      </c>
      <c r="AO1224" s="5">
        <v>16</v>
      </c>
      <c r="AP1224" s="5">
        <v>20</v>
      </c>
      <c r="AQ1224" s="5">
        <v>3997</v>
      </c>
      <c r="AR1224" s="5">
        <v>4021</v>
      </c>
      <c r="AS1224" s="5" t="s">
        <v>16</v>
      </c>
      <c r="AT1224" s="5" t="s">
        <v>16</v>
      </c>
      <c r="AU1224" s="5" t="s">
        <v>7342</v>
      </c>
      <c r="AV1224" s="5" t="s">
        <v>7344</v>
      </c>
    </row>
    <row r="1225" spans="1:48" ht="45" customHeight="1" x14ac:dyDescent="0.15">
      <c r="A1225" s="5" t="s">
        <v>7345</v>
      </c>
      <c r="B1225" s="5">
        <v>2019</v>
      </c>
      <c r="C1225" s="5" t="s">
        <v>7346</v>
      </c>
      <c r="D1225" s="5" t="s">
        <v>7347</v>
      </c>
      <c r="E1225" s="5" t="s">
        <v>18453</v>
      </c>
      <c r="F1225" s="5" t="s">
        <v>7349</v>
      </c>
      <c r="G1225" s="5"/>
      <c r="H1225" s="5"/>
      <c r="I1225" s="5"/>
      <c r="J1225" s="5"/>
      <c r="K1225" s="5"/>
      <c r="L1225" s="5"/>
      <c r="M1225" s="5"/>
      <c r="N1225" s="5"/>
      <c r="O1225" s="5"/>
      <c r="P1225" s="5"/>
      <c r="Q1225" s="5"/>
      <c r="AL1225" s="7" t="str">
        <f>HYPERLINK("http://dx.doi.org/10.3759/tropics.MS18-04","http://dx.doi.org/10.3759/tropics.MS18-04")</f>
        <v>http://dx.doi.org/10.3759/tropics.MS18-04</v>
      </c>
      <c r="AM1225" s="5">
        <v>1</v>
      </c>
      <c r="AN1225" s="5">
        <v>1</v>
      </c>
      <c r="AO1225" s="5">
        <v>28</v>
      </c>
      <c r="AP1225" s="5">
        <v>1</v>
      </c>
      <c r="AQ1225" s="5">
        <v>13</v>
      </c>
      <c r="AR1225" s="5">
        <v>21</v>
      </c>
      <c r="AS1225" s="5" t="s">
        <v>16</v>
      </c>
      <c r="AT1225" s="5" t="s">
        <v>7348</v>
      </c>
      <c r="AU1225" s="5" t="s">
        <v>16</v>
      </c>
      <c r="AV1225" s="5" t="s">
        <v>7350</v>
      </c>
    </row>
    <row r="1226" spans="1:48" ht="45" customHeight="1" x14ac:dyDescent="0.15">
      <c r="A1226" s="5" t="s">
        <v>7351</v>
      </c>
      <c r="B1226" s="5">
        <v>2023</v>
      </c>
      <c r="C1226" s="5" t="s">
        <v>7352</v>
      </c>
      <c r="D1226" s="5" t="s">
        <v>111</v>
      </c>
      <c r="E1226" s="5" t="s">
        <v>18453</v>
      </c>
      <c r="F1226" s="5" t="s">
        <v>7355</v>
      </c>
      <c r="G1226" s="5"/>
      <c r="H1226" s="5"/>
      <c r="I1226" s="5"/>
      <c r="J1226" s="5"/>
      <c r="K1226" s="5"/>
      <c r="L1226" s="5"/>
      <c r="M1226" s="5"/>
      <c r="N1226" s="5"/>
      <c r="O1226" s="5"/>
      <c r="P1226" s="5"/>
      <c r="Q1226" s="5"/>
      <c r="AL1226" s="7" t="str">
        <f>HYPERLINK("http://dx.doi.org/10.1007/s10452-023-10035-9","http://dx.doi.org/10.1007/s10452-023-10035-9")</f>
        <v>http://dx.doi.org/10.1007/s10452-023-10035-9</v>
      </c>
      <c r="AM1226" s="5">
        <v>0</v>
      </c>
      <c r="AN1226" s="5">
        <v>0</v>
      </c>
      <c r="AO1226" s="5" t="s">
        <v>16</v>
      </c>
      <c r="AP1226" s="5" t="s">
        <v>16</v>
      </c>
      <c r="AQ1226" s="5" t="s">
        <v>16</v>
      </c>
      <c r="AR1226" s="5" t="s">
        <v>16</v>
      </c>
      <c r="AS1226" s="5" t="s">
        <v>16</v>
      </c>
      <c r="AT1226" s="5" t="s">
        <v>7353</v>
      </c>
      <c r="AU1226" s="5" t="s">
        <v>7354</v>
      </c>
      <c r="AV1226" s="5" t="s">
        <v>7356</v>
      </c>
    </row>
    <row r="1227" spans="1:48" ht="45" customHeight="1" x14ac:dyDescent="0.15">
      <c r="A1227" s="5" t="s">
        <v>7357</v>
      </c>
      <c r="B1227" s="5">
        <v>2015</v>
      </c>
      <c r="C1227" s="5" t="s">
        <v>7358</v>
      </c>
      <c r="D1227" s="5" t="s">
        <v>49</v>
      </c>
      <c r="E1227" s="5" t="s">
        <v>18453</v>
      </c>
      <c r="F1227" s="5" t="s">
        <v>7361</v>
      </c>
      <c r="G1227" s="5"/>
      <c r="H1227" s="5"/>
      <c r="I1227" s="5"/>
      <c r="J1227" s="5"/>
      <c r="K1227" s="5"/>
      <c r="L1227" s="5"/>
      <c r="M1227" s="5"/>
      <c r="N1227" s="5"/>
      <c r="O1227" s="5"/>
      <c r="P1227" s="5"/>
      <c r="Q1227" s="5"/>
      <c r="AL1227" s="7" t="str">
        <f>HYPERLINK("http://dx.doi.org/10.3354/meps11248","http://dx.doi.org/10.3354/meps11248")</f>
        <v>http://dx.doi.org/10.3354/meps11248</v>
      </c>
      <c r="AM1227" s="5">
        <v>10</v>
      </c>
      <c r="AN1227" s="5">
        <v>10</v>
      </c>
      <c r="AO1227" s="5">
        <v>527</v>
      </c>
      <c r="AP1227" s="5" t="s">
        <v>16</v>
      </c>
      <c r="AQ1227" s="5">
        <v>87</v>
      </c>
      <c r="AR1227" s="5">
        <v>103</v>
      </c>
      <c r="AS1227" s="5" t="s">
        <v>16</v>
      </c>
      <c r="AT1227" s="5" t="s">
        <v>7359</v>
      </c>
      <c r="AU1227" s="5" t="s">
        <v>7360</v>
      </c>
      <c r="AV1227" s="5" t="s">
        <v>7362</v>
      </c>
    </row>
    <row r="1228" spans="1:48" ht="45" customHeight="1" x14ac:dyDescent="0.15">
      <c r="A1228" s="5" t="s">
        <v>7363</v>
      </c>
      <c r="B1228" s="5">
        <v>2010</v>
      </c>
      <c r="C1228" s="5" t="s">
        <v>7364</v>
      </c>
      <c r="D1228" s="5" t="s">
        <v>296</v>
      </c>
      <c r="E1228" s="5" t="s">
        <v>18453</v>
      </c>
      <c r="F1228" s="5" t="s">
        <v>7367</v>
      </c>
      <c r="G1228" s="5"/>
      <c r="H1228" s="5"/>
      <c r="I1228" s="5"/>
      <c r="J1228" s="5"/>
      <c r="K1228" s="5"/>
      <c r="L1228" s="5"/>
      <c r="M1228" s="5"/>
      <c r="N1228" s="5"/>
      <c r="O1228" s="5"/>
      <c r="P1228" s="5"/>
      <c r="Q1228" s="5"/>
      <c r="AL1228" s="7" t="str">
        <f>HYPERLINK("http://dx.doi.org/10.1098/rspb.2009.1966","http://dx.doi.org/10.1098/rspb.2009.1966")</f>
        <v>http://dx.doi.org/10.1098/rspb.2009.1966</v>
      </c>
      <c r="AM1228" s="5">
        <v>69</v>
      </c>
      <c r="AN1228" s="5">
        <v>73</v>
      </c>
      <c r="AO1228" s="5">
        <v>277</v>
      </c>
      <c r="AP1228" s="5">
        <v>1686</v>
      </c>
      <c r="AQ1228" s="5">
        <v>1333</v>
      </c>
      <c r="AR1228" s="5">
        <v>1336</v>
      </c>
      <c r="AS1228" s="5" t="s">
        <v>16</v>
      </c>
      <c r="AT1228" s="5" t="s">
        <v>7365</v>
      </c>
      <c r="AU1228" s="5" t="s">
        <v>7366</v>
      </c>
      <c r="AV1228" s="5" t="s">
        <v>7368</v>
      </c>
    </row>
    <row r="1229" spans="1:48" ht="45" customHeight="1" x14ac:dyDescent="0.15">
      <c r="A1229" s="5" t="s">
        <v>7369</v>
      </c>
      <c r="B1229" s="5">
        <v>2014</v>
      </c>
      <c r="C1229" s="5" t="s">
        <v>7370</v>
      </c>
      <c r="D1229" s="5" t="s">
        <v>212</v>
      </c>
      <c r="E1229" s="5" t="s">
        <v>18453</v>
      </c>
      <c r="F1229" s="5" t="s">
        <v>7373</v>
      </c>
      <c r="G1229" s="5"/>
      <c r="H1229" s="5"/>
      <c r="I1229" s="5"/>
      <c r="J1229" s="5"/>
      <c r="K1229" s="5"/>
      <c r="L1229" s="5"/>
      <c r="M1229" s="5"/>
      <c r="N1229" s="5"/>
      <c r="O1229" s="5"/>
      <c r="P1229" s="5"/>
      <c r="Q1229" s="5"/>
      <c r="AL1229" s="7" t="str">
        <f>HYPERLINK("http://dx.doi.org/10.1007/s00300-014-1492-z","http://dx.doi.org/10.1007/s00300-014-1492-z")</f>
        <v>http://dx.doi.org/10.1007/s00300-014-1492-z</v>
      </c>
      <c r="AM1229" s="5">
        <v>15</v>
      </c>
      <c r="AN1229" s="5">
        <v>15</v>
      </c>
      <c r="AO1229" s="5">
        <v>37</v>
      </c>
      <c r="AP1229" s="5">
        <v>7</v>
      </c>
      <c r="AQ1229" s="5">
        <v>941</v>
      </c>
      <c r="AR1229" s="5">
        <v>952</v>
      </c>
      <c r="AS1229" s="5" t="s">
        <v>16</v>
      </c>
      <c r="AT1229" s="5" t="s">
        <v>7371</v>
      </c>
      <c r="AU1229" s="5" t="s">
        <v>7372</v>
      </c>
      <c r="AV1229" s="5" t="s">
        <v>7374</v>
      </c>
    </row>
    <row r="1230" spans="1:48" ht="45" customHeight="1" x14ac:dyDescent="0.15">
      <c r="A1230" s="5" t="s">
        <v>7375</v>
      </c>
      <c r="B1230" s="5">
        <v>2017</v>
      </c>
      <c r="C1230" s="5" t="s">
        <v>7376</v>
      </c>
      <c r="D1230" s="5" t="s">
        <v>217</v>
      </c>
      <c r="E1230" s="5" t="s">
        <v>18453</v>
      </c>
      <c r="F1230" s="5" t="s">
        <v>7379</v>
      </c>
      <c r="G1230" s="5"/>
      <c r="H1230" s="5"/>
      <c r="I1230" s="5"/>
      <c r="J1230" s="5"/>
      <c r="K1230" s="5"/>
      <c r="L1230" s="5"/>
      <c r="M1230" s="5"/>
      <c r="N1230" s="5"/>
      <c r="O1230" s="5"/>
      <c r="P1230" s="5"/>
      <c r="Q1230" s="5"/>
      <c r="AL1230" s="7" t="str">
        <f>HYPERLINK("http://dx.doi.org/10.1111/2041-210X.12800","http://dx.doi.org/10.1111/2041-210X.12800")</f>
        <v>http://dx.doi.org/10.1111/2041-210X.12800</v>
      </c>
      <c r="AM1230" s="5">
        <v>21</v>
      </c>
      <c r="AN1230" s="5">
        <v>21</v>
      </c>
      <c r="AO1230" s="5">
        <v>8</v>
      </c>
      <c r="AP1230" s="5">
        <v>10</v>
      </c>
      <c r="AQ1230" s="5">
        <v>1241</v>
      </c>
      <c r="AR1230" s="5">
        <v>1252</v>
      </c>
      <c r="AS1230" s="5" t="s">
        <v>16</v>
      </c>
      <c r="AT1230" s="5" t="s">
        <v>7377</v>
      </c>
      <c r="AU1230" s="5" t="s">
        <v>7378</v>
      </c>
      <c r="AV1230" s="5" t="s">
        <v>7380</v>
      </c>
    </row>
    <row r="1231" spans="1:48" ht="45" customHeight="1" x14ac:dyDescent="0.15">
      <c r="A1231" s="5" t="s">
        <v>7381</v>
      </c>
      <c r="B1231" s="5">
        <v>2000</v>
      </c>
      <c r="C1231" s="5" t="s">
        <v>7382</v>
      </c>
      <c r="D1231" s="5" t="s">
        <v>82</v>
      </c>
      <c r="E1231" s="5" t="s">
        <v>18453</v>
      </c>
      <c r="F1231" s="5" t="s">
        <v>7385</v>
      </c>
      <c r="G1231" s="5"/>
      <c r="H1231" s="5"/>
      <c r="I1231" s="5"/>
      <c r="J1231" s="5"/>
      <c r="K1231" s="5"/>
      <c r="L1231" s="5"/>
      <c r="M1231" s="5"/>
      <c r="N1231" s="5"/>
      <c r="O1231" s="5"/>
      <c r="P1231" s="5"/>
      <c r="Q1231" s="5"/>
      <c r="AL1231" s="7" t="str">
        <f>HYPERLINK("http://dx.doi.org/10.2307/2641109","http://dx.doi.org/10.2307/2641109")</f>
        <v>http://dx.doi.org/10.2307/2641109</v>
      </c>
      <c r="AM1231" s="5">
        <v>117</v>
      </c>
      <c r="AN1231" s="5">
        <v>127</v>
      </c>
      <c r="AO1231" s="5">
        <v>10</v>
      </c>
      <c r="AP1231" s="5">
        <v>2</v>
      </c>
      <c r="AQ1231" s="5">
        <v>497</v>
      </c>
      <c r="AR1231" s="5">
        <v>505</v>
      </c>
      <c r="AS1231" s="5" t="s">
        <v>16</v>
      </c>
      <c r="AT1231" s="5" t="s">
        <v>7383</v>
      </c>
      <c r="AU1231" s="5" t="s">
        <v>7384</v>
      </c>
      <c r="AV1231" s="5" t="s">
        <v>7386</v>
      </c>
    </row>
    <row r="1232" spans="1:48" ht="45" customHeight="1" x14ac:dyDescent="0.15">
      <c r="A1232" s="5" t="s">
        <v>7387</v>
      </c>
      <c r="B1232" s="5">
        <v>2009</v>
      </c>
      <c r="C1232" s="5" t="s">
        <v>7388</v>
      </c>
      <c r="D1232" s="5" t="s">
        <v>2677</v>
      </c>
      <c r="E1232" s="5" t="s">
        <v>18453</v>
      </c>
      <c r="F1232" s="5" t="s">
        <v>7391</v>
      </c>
      <c r="G1232" s="5"/>
      <c r="H1232" s="5"/>
      <c r="I1232" s="5"/>
      <c r="J1232" s="5"/>
      <c r="K1232" s="5"/>
      <c r="L1232" s="5"/>
      <c r="M1232" s="5"/>
      <c r="N1232" s="5"/>
      <c r="O1232" s="5"/>
      <c r="P1232" s="5"/>
      <c r="Q1232" s="5"/>
      <c r="AL1232" s="5" t="s">
        <v>16</v>
      </c>
      <c r="AM1232" s="5">
        <v>9</v>
      </c>
      <c r="AN1232" s="5">
        <v>9</v>
      </c>
      <c r="AO1232" s="5">
        <v>59</v>
      </c>
      <c r="AP1232" s="5">
        <v>2</v>
      </c>
      <c r="AQ1232" s="5">
        <v>215</v>
      </c>
      <c r="AR1232" s="5">
        <v>221</v>
      </c>
      <c r="AS1232" s="5" t="s">
        <v>16</v>
      </c>
      <c r="AT1232" s="5" t="s">
        <v>7389</v>
      </c>
      <c r="AU1232" s="5" t="s">
        <v>7390</v>
      </c>
      <c r="AV1232" s="5" t="s">
        <v>16</v>
      </c>
    </row>
    <row r="1233" spans="1:48" ht="45" customHeight="1" x14ac:dyDescent="0.15">
      <c r="A1233" s="5" t="s">
        <v>7392</v>
      </c>
      <c r="B1233" s="5">
        <v>2019</v>
      </c>
      <c r="C1233" s="5" t="s">
        <v>7393</v>
      </c>
      <c r="D1233" s="5" t="s">
        <v>27</v>
      </c>
      <c r="E1233" s="5" t="s">
        <v>18453</v>
      </c>
      <c r="F1233" s="5" t="s">
        <v>7396</v>
      </c>
      <c r="G1233" s="5"/>
      <c r="H1233" s="5"/>
      <c r="I1233" s="5"/>
      <c r="J1233" s="5"/>
      <c r="K1233" s="5"/>
      <c r="L1233" s="5"/>
      <c r="M1233" s="5"/>
      <c r="N1233" s="5"/>
      <c r="O1233" s="5"/>
      <c r="P1233" s="5"/>
      <c r="Q1233" s="5"/>
      <c r="AL1233" s="7" t="str">
        <f>HYPERLINK("http://dx.doi.org/10.1002/ecy.2633","http://dx.doi.org/10.1002/ecy.2633")</f>
        <v>http://dx.doi.org/10.1002/ecy.2633</v>
      </c>
      <c r="AM1233" s="5">
        <v>18</v>
      </c>
      <c r="AN1233" s="5">
        <v>19</v>
      </c>
      <c r="AO1233" s="5">
        <v>100</v>
      </c>
      <c r="AP1233" s="5">
        <v>4</v>
      </c>
      <c r="AQ1233" s="5" t="s">
        <v>16</v>
      </c>
      <c r="AR1233" s="5" t="s">
        <v>16</v>
      </c>
      <c r="AS1233" s="5" t="s">
        <v>7397</v>
      </c>
      <c r="AT1233" s="5" t="s">
        <v>7394</v>
      </c>
      <c r="AU1233" s="5" t="s">
        <v>7395</v>
      </c>
      <c r="AV1233" s="5" t="s">
        <v>7398</v>
      </c>
    </row>
    <row r="1234" spans="1:48" ht="45" customHeight="1" x14ac:dyDescent="0.15">
      <c r="A1234" s="5" t="s">
        <v>7399</v>
      </c>
      <c r="B1234" s="5">
        <v>2007</v>
      </c>
      <c r="C1234" s="5" t="s">
        <v>7400</v>
      </c>
      <c r="D1234" s="5" t="s">
        <v>49</v>
      </c>
      <c r="E1234" s="5" t="s">
        <v>18453</v>
      </c>
      <c r="F1234" s="5" t="s">
        <v>7403</v>
      </c>
      <c r="G1234" s="5"/>
      <c r="H1234" s="5"/>
      <c r="I1234" s="5"/>
      <c r="J1234" s="5"/>
      <c r="K1234" s="5"/>
      <c r="L1234" s="5"/>
      <c r="M1234" s="5"/>
      <c r="N1234" s="5"/>
      <c r="O1234" s="5"/>
      <c r="P1234" s="5"/>
      <c r="Q1234" s="5"/>
      <c r="AL1234" s="7" t="str">
        <f>HYPERLINK("http://dx.doi.org/10.3354/meps329211","http://dx.doi.org/10.3354/meps329211")</f>
        <v>http://dx.doi.org/10.3354/meps329211</v>
      </c>
      <c r="AM1234" s="5">
        <v>17</v>
      </c>
      <c r="AN1234" s="5">
        <v>18</v>
      </c>
      <c r="AO1234" s="5">
        <v>329</v>
      </c>
      <c r="AP1234" s="5" t="s">
        <v>16</v>
      </c>
      <c r="AQ1234" s="5">
        <v>211</v>
      </c>
      <c r="AR1234" s="5">
        <v>223</v>
      </c>
      <c r="AS1234" s="5" t="s">
        <v>16</v>
      </c>
      <c r="AT1234" s="5" t="s">
        <v>7401</v>
      </c>
      <c r="AU1234" s="5" t="s">
        <v>7402</v>
      </c>
      <c r="AV1234" s="5" t="s">
        <v>7404</v>
      </c>
    </row>
    <row r="1235" spans="1:48" ht="45" customHeight="1" x14ac:dyDescent="0.15">
      <c r="A1235" s="5" t="s">
        <v>7405</v>
      </c>
      <c r="B1235" s="5">
        <v>2018</v>
      </c>
      <c r="C1235" s="5" t="s">
        <v>7406</v>
      </c>
      <c r="D1235" s="5" t="s">
        <v>49</v>
      </c>
      <c r="E1235" s="5" t="s">
        <v>18453</v>
      </c>
      <c r="F1235" s="5" t="s">
        <v>7409</v>
      </c>
      <c r="G1235" s="5"/>
      <c r="H1235" s="5"/>
      <c r="I1235" s="5"/>
      <c r="J1235" s="5"/>
      <c r="K1235" s="5"/>
      <c r="L1235" s="5"/>
      <c r="M1235" s="5"/>
      <c r="N1235" s="5"/>
      <c r="O1235" s="5"/>
      <c r="P1235" s="5"/>
      <c r="Q1235" s="5"/>
      <c r="AL1235" s="7" t="str">
        <f>HYPERLINK("http://dx.doi.org/10.3354/meps12676","http://dx.doi.org/10.3354/meps12676")</f>
        <v>http://dx.doi.org/10.3354/meps12676</v>
      </c>
      <c r="AM1235" s="5">
        <v>16</v>
      </c>
      <c r="AN1235" s="5">
        <v>16</v>
      </c>
      <c r="AO1235" s="5">
        <v>603</v>
      </c>
      <c r="AP1235" s="5" t="s">
        <v>16</v>
      </c>
      <c r="AQ1235" s="5">
        <v>201</v>
      </c>
      <c r="AR1235" s="5">
        <v>213</v>
      </c>
      <c r="AS1235" s="5" t="s">
        <v>16</v>
      </c>
      <c r="AT1235" s="5" t="s">
        <v>7407</v>
      </c>
      <c r="AU1235" s="5" t="s">
        <v>7408</v>
      </c>
      <c r="AV1235" s="5" t="s">
        <v>7410</v>
      </c>
    </row>
    <row r="1236" spans="1:48" ht="45" customHeight="1" x14ac:dyDescent="0.15">
      <c r="A1236" s="5" t="s">
        <v>7411</v>
      </c>
      <c r="B1236" s="5">
        <v>2020</v>
      </c>
      <c r="C1236" s="5" t="s">
        <v>7412</v>
      </c>
      <c r="D1236" s="5" t="s">
        <v>942</v>
      </c>
      <c r="E1236" s="5" t="s">
        <v>18453</v>
      </c>
      <c r="F1236" s="5" t="s">
        <v>7415</v>
      </c>
      <c r="G1236" s="5"/>
      <c r="H1236" s="5"/>
      <c r="I1236" s="5"/>
      <c r="J1236" s="5"/>
      <c r="K1236" s="5"/>
      <c r="L1236" s="5"/>
      <c r="M1236" s="5"/>
      <c r="N1236" s="5"/>
      <c r="O1236" s="5"/>
      <c r="P1236" s="5"/>
      <c r="Q1236" s="5"/>
      <c r="AL1236" s="7" t="str">
        <f>HYPERLINK("http://dx.doi.org/10.1016/j.rsma.2020.101071","http://dx.doi.org/10.1016/j.rsma.2020.101071")</f>
        <v>http://dx.doi.org/10.1016/j.rsma.2020.101071</v>
      </c>
      <c r="AM1236" s="5">
        <v>4</v>
      </c>
      <c r="AN1236" s="5">
        <v>4</v>
      </c>
      <c r="AO1236" s="5">
        <v>34</v>
      </c>
      <c r="AP1236" s="5" t="s">
        <v>16</v>
      </c>
      <c r="AQ1236" s="5" t="s">
        <v>16</v>
      </c>
      <c r="AR1236" s="5" t="s">
        <v>16</v>
      </c>
      <c r="AS1236" s="5">
        <v>101071</v>
      </c>
      <c r="AT1236" s="5" t="s">
        <v>7413</v>
      </c>
      <c r="AU1236" s="5" t="s">
        <v>7414</v>
      </c>
      <c r="AV1236" s="5" t="s">
        <v>7416</v>
      </c>
    </row>
    <row r="1237" spans="1:48" ht="45" customHeight="1" x14ac:dyDescent="0.15">
      <c r="A1237" s="5" t="s">
        <v>7417</v>
      </c>
      <c r="B1237" s="5">
        <v>1992</v>
      </c>
      <c r="C1237" s="5" t="s">
        <v>7418</v>
      </c>
      <c r="D1237" s="5" t="s">
        <v>3980</v>
      </c>
      <c r="E1237" s="5" t="s">
        <v>18453</v>
      </c>
      <c r="F1237" s="5" t="s">
        <v>7421</v>
      </c>
      <c r="G1237" s="5"/>
      <c r="H1237" s="5"/>
      <c r="I1237" s="5"/>
      <c r="J1237" s="5"/>
      <c r="K1237" s="5"/>
      <c r="L1237" s="5"/>
      <c r="M1237" s="5"/>
      <c r="N1237" s="5"/>
      <c r="O1237" s="5"/>
      <c r="P1237" s="5"/>
      <c r="Q1237" s="5"/>
      <c r="AL1237" s="7" t="str">
        <f>HYPERLINK("http://dx.doi.org/10.2307/2388518","http://dx.doi.org/10.2307/2388518")</f>
        <v>http://dx.doi.org/10.2307/2388518</v>
      </c>
      <c r="AM1237" s="5">
        <v>17</v>
      </c>
      <c r="AN1237" s="5">
        <v>18</v>
      </c>
      <c r="AO1237" s="5">
        <v>24</v>
      </c>
      <c r="AP1237" s="5">
        <v>2</v>
      </c>
      <c r="AQ1237" s="5">
        <v>240</v>
      </c>
      <c r="AR1237" s="5">
        <v>249</v>
      </c>
      <c r="AS1237" s="5" t="s">
        <v>16</v>
      </c>
      <c r="AT1237" s="5" t="s">
        <v>7419</v>
      </c>
      <c r="AU1237" s="5" t="s">
        <v>7420</v>
      </c>
      <c r="AV1237" s="5" t="s">
        <v>7422</v>
      </c>
    </row>
    <row r="1238" spans="1:48" ht="45" customHeight="1" x14ac:dyDescent="0.15">
      <c r="A1238" s="5" t="s">
        <v>7423</v>
      </c>
      <c r="B1238" s="5">
        <v>2016</v>
      </c>
      <c r="C1238" s="5" t="s">
        <v>7424</v>
      </c>
      <c r="D1238" s="5" t="s">
        <v>190</v>
      </c>
      <c r="E1238" s="5" t="s">
        <v>18453</v>
      </c>
      <c r="F1238" s="5" t="s">
        <v>7427</v>
      </c>
      <c r="G1238" s="5"/>
      <c r="H1238" s="5"/>
      <c r="I1238" s="5"/>
      <c r="J1238" s="5"/>
      <c r="K1238" s="5"/>
      <c r="L1238" s="5"/>
      <c r="M1238" s="5"/>
      <c r="N1238" s="5"/>
      <c r="O1238" s="5"/>
      <c r="P1238" s="5"/>
      <c r="Q1238" s="5"/>
      <c r="AL1238" s="7" t="str">
        <f>HYPERLINK("http://dx.doi.org/10.1007/s10530-016-1248-5","http://dx.doi.org/10.1007/s10530-016-1248-5")</f>
        <v>http://dx.doi.org/10.1007/s10530-016-1248-5</v>
      </c>
      <c r="AM1238" s="5">
        <v>16</v>
      </c>
      <c r="AN1238" s="5">
        <v>16</v>
      </c>
      <c r="AO1238" s="5">
        <v>18</v>
      </c>
      <c r="AP1238" s="5">
        <v>12</v>
      </c>
      <c r="AQ1238" s="5">
        <v>3561</v>
      </c>
      <c r="AR1238" s="5">
        <v>3573</v>
      </c>
      <c r="AS1238" s="5" t="s">
        <v>16</v>
      </c>
      <c r="AT1238" s="5" t="s">
        <v>7425</v>
      </c>
      <c r="AU1238" s="5" t="s">
        <v>7426</v>
      </c>
      <c r="AV1238" s="5" t="s">
        <v>7428</v>
      </c>
    </row>
    <row r="1239" spans="1:48" ht="45" customHeight="1" x14ac:dyDescent="0.15">
      <c r="A1239" s="5" t="s">
        <v>7429</v>
      </c>
      <c r="B1239" s="5">
        <v>2015</v>
      </c>
      <c r="C1239" s="5" t="s">
        <v>7430</v>
      </c>
      <c r="D1239" s="5" t="s">
        <v>49</v>
      </c>
      <c r="E1239" s="5" t="s">
        <v>18453</v>
      </c>
      <c r="F1239" s="5" t="s">
        <v>7433</v>
      </c>
      <c r="G1239" s="5"/>
      <c r="H1239" s="5"/>
      <c r="I1239" s="5"/>
      <c r="J1239" s="5"/>
      <c r="K1239" s="5"/>
      <c r="L1239" s="5"/>
      <c r="M1239" s="5"/>
      <c r="N1239" s="5"/>
      <c r="O1239" s="5"/>
      <c r="P1239" s="5"/>
      <c r="Q1239" s="5"/>
      <c r="AL1239" s="7" t="str">
        <f>HYPERLINK("http://dx.doi.org/10.3354/meps11255","http://dx.doi.org/10.3354/meps11255")</f>
        <v>http://dx.doi.org/10.3354/meps11255</v>
      </c>
      <c r="AM1239" s="5">
        <v>19</v>
      </c>
      <c r="AN1239" s="5">
        <v>19</v>
      </c>
      <c r="AO1239" s="5">
        <v>527</v>
      </c>
      <c r="AP1239" s="5" t="s">
        <v>16</v>
      </c>
      <c r="AQ1239" s="5">
        <v>261</v>
      </c>
      <c r="AR1239" s="5">
        <v>274</v>
      </c>
      <c r="AS1239" s="5" t="s">
        <v>16</v>
      </c>
      <c r="AT1239" s="5" t="s">
        <v>7431</v>
      </c>
      <c r="AU1239" s="5" t="s">
        <v>7432</v>
      </c>
      <c r="AV1239" s="5" t="s">
        <v>7434</v>
      </c>
    </row>
    <row r="1240" spans="1:48" ht="45" customHeight="1" x14ac:dyDescent="0.15">
      <c r="A1240" s="5" t="s">
        <v>7435</v>
      </c>
      <c r="B1240" s="5">
        <v>2013</v>
      </c>
      <c r="C1240" s="5" t="s">
        <v>7436</v>
      </c>
      <c r="D1240" s="5" t="s">
        <v>49</v>
      </c>
      <c r="E1240" s="5" t="s">
        <v>18453</v>
      </c>
      <c r="F1240" s="5" t="s">
        <v>7439</v>
      </c>
      <c r="G1240" s="5"/>
      <c r="H1240" s="5"/>
      <c r="I1240" s="5"/>
      <c r="J1240" s="5"/>
      <c r="K1240" s="5"/>
      <c r="L1240" s="5"/>
      <c r="M1240" s="5"/>
      <c r="N1240" s="5"/>
      <c r="O1240" s="5"/>
      <c r="P1240" s="5"/>
      <c r="Q1240" s="5"/>
      <c r="AL1240" s="7" t="str">
        <f>HYPERLINK("http://dx.doi.org/10.3354/meps10445","http://dx.doi.org/10.3354/meps10445")</f>
        <v>http://dx.doi.org/10.3354/meps10445</v>
      </c>
      <c r="AM1240" s="5">
        <v>6</v>
      </c>
      <c r="AN1240" s="5">
        <v>6</v>
      </c>
      <c r="AO1240" s="5">
        <v>491</v>
      </c>
      <c r="AP1240" s="5" t="s">
        <v>16</v>
      </c>
      <c r="AQ1240" s="5">
        <v>221</v>
      </c>
      <c r="AR1240" s="5">
        <v>234</v>
      </c>
      <c r="AS1240" s="5" t="s">
        <v>16</v>
      </c>
      <c r="AT1240" s="5" t="s">
        <v>7437</v>
      </c>
      <c r="AU1240" s="5" t="s">
        <v>7438</v>
      </c>
      <c r="AV1240" s="5" t="s">
        <v>7440</v>
      </c>
    </row>
    <row r="1241" spans="1:48" ht="45" customHeight="1" x14ac:dyDescent="0.15">
      <c r="A1241" s="5" t="s">
        <v>7441</v>
      </c>
      <c r="B1241" s="5">
        <v>2022</v>
      </c>
      <c r="C1241" s="5" t="s">
        <v>7442</v>
      </c>
      <c r="D1241" s="5" t="s">
        <v>44</v>
      </c>
      <c r="E1241" s="5" t="s">
        <v>18453</v>
      </c>
      <c r="F1241" s="5" t="s">
        <v>7445</v>
      </c>
      <c r="G1241" s="5"/>
      <c r="H1241" s="5"/>
      <c r="I1241" s="5"/>
      <c r="J1241" s="5"/>
      <c r="K1241" s="5"/>
      <c r="L1241" s="5"/>
      <c r="M1241" s="5"/>
      <c r="N1241" s="5"/>
      <c r="O1241" s="5"/>
      <c r="P1241" s="5"/>
      <c r="Q1241" s="5"/>
      <c r="AL1241" s="7" t="str">
        <f>HYPERLINK("http://dx.doi.org/10.3389/fevo.2022.993849","http://dx.doi.org/10.3389/fevo.2022.993849")</f>
        <v>http://dx.doi.org/10.3389/fevo.2022.993849</v>
      </c>
      <c r="AM1241" s="5">
        <v>0</v>
      </c>
      <c r="AN1241" s="5">
        <v>0</v>
      </c>
      <c r="AO1241" s="5">
        <v>10</v>
      </c>
      <c r="AP1241" s="5" t="s">
        <v>16</v>
      </c>
      <c r="AQ1241" s="5" t="s">
        <v>16</v>
      </c>
      <c r="AR1241" s="5" t="s">
        <v>16</v>
      </c>
      <c r="AS1241" s="5">
        <v>993849</v>
      </c>
      <c r="AT1241" s="5" t="s">
        <v>7443</v>
      </c>
      <c r="AU1241" s="5" t="s">
        <v>7444</v>
      </c>
      <c r="AV1241" s="5" t="s">
        <v>7446</v>
      </c>
    </row>
    <row r="1242" spans="1:48" ht="45" customHeight="1" x14ac:dyDescent="0.15">
      <c r="A1242" s="5" t="s">
        <v>7447</v>
      </c>
      <c r="B1242" s="5">
        <v>2022</v>
      </c>
      <c r="C1242" s="5" t="s">
        <v>7448</v>
      </c>
      <c r="D1242" s="5" t="s">
        <v>33</v>
      </c>
      <c r="E1242" s="5" t="s">
        <v>18453</v>
      </c>
      <c r="F1242" s="5" t="s">
        <v>7451</v>
      </c>
      <c r="G1242" s="5"/>
      <c r="H1242" s="5"/>
      <c r="I1242" s="5"/>
      <c r="J1242" s="5"/>
      <c r="K1242" s="5"/>
      <c r="L1242" s="5"/>
      <c r="M1242" s="5"/>
      <c r="N1242" s="5"/>
      <c r="O1242" s="5"/>
      <c r="P1242" s="5"/>
      <c r="Q1242" s="5"/>
      <c r="AL1242" s="7" t="str">
        <f>HYPERLINK("http://dx.doi.org/10.1111/gcb.16144","http://dx.doi.org/10.1111/gcb.16144")</f>
        <v>http://dx.doi.org/10.1111/gcb.16144</v>
      </c>
      <c r="AM1242" s="5">
        <v>7</v>
      </c>
      <c r="AN1242" s="5">
        <v>7</v>
      </c>
      <c r="AO1242" s="5">
        <v>28</v>
      </c>
      <c r="AP1242" s="5">
        <v>10</v>
      </c>
      <c r="AQ1242" s="5">
        <v>3349</v>
      </c>
      <c r="AR1242" s="5">
        <v>3364</v>
      </c>
      <c r="AS1242" s="5" t="s">
        <v>16</v>
      </c>
      <c r="AT1242" s="5" t="s">
        <v>7449</v>
      </c>
      <c r="AU1242" s="5" t="s">
        <v>7450</v>
      </c>
      <c r="AV1242" s="5" t="s">
        <v>7452</v>
      </c>
    </row>
    <row r="1243" spans="1:48" ht="45" customHeight="1" x14ac:dyDescent="0.15">
      <c r="A1243" s="5" t="s">
        <v>7453</v>
      </c>
      <c r="B1243" s="5">
        <v>2021</v>
      </c>
      <c r="C1243" s="5" t="s">
        <v>7454</v>
      </c>
      <c r="D1243" s="5" t="s">
        <v>468</v>
      </c>
      <c r="E1243" s="5" t="s">
        <v>18453</v>
      </c>
      <c r="F1243" s="5" t="s">
        <v>7457</v>
      </c>
      <c r="G1243" s="5"/>
      <c r="H1243" s="5"/>
      <c r="I1243" s="5"/>
      <c r="J1243" s="5"/>
      <c r="K1243" s="5"/>
      <c r="L1243" s="5"/>
      <c r="M1243" s="5"/>
      <c r="N1243" s="5"/>
      <c r="O1243" s="5"/>
      <c r="P1243" s="5"/>
      <c r="Q1243" s="5"/>
      <c r="AL1243" s="7" t="str">
        <f>HYPERLINK("http://dx.doi.org/10.1016/j.ecoinf.2021.101230","http://dx.doi.org/10.1016/j.ecoinf.2021.101230")</f>
        <v>http://dx.doi.org/10.1016/j.ecoinf.2021.101230</v>
      </c>
      <c r="AM1243" s="5">
        <v>12</v>
      </c>
      <c r="AN1243" s="5">
        <v>12</v>
      </c>
      <c r="AO1243" s="5">
        <v>61</v>
      </c>
      <c r="AP1243" s="5" t="s">
        <v>16</v>
      </c>
      <c r="AQ1243" s="5" t="s">
        <v>16</v>
      </c>
      <c r="AR1243" s="5" t="s">
        <v>16</v>
      </c>
      <c r="AS1243" s="5">
        <v>101230</v>
      </c>
      <c r="AT1243" s="5" t="s">
        <v>7455</v>
      </c>
      <c r="AU1243" s="5" t="s">
        <v>7456</v>
      </c>
      <c r="AV1243" s="5" t="s">
        <v>7458</v>
      </c>
    </row>
    <row r="1244" spans="1:48" ht="45" customHeight="1" x14ac:dyDescent="0.15">
      <c r="A1244" s="5" t="s">
        <v>7459</v>
      </c>
      <c r="B1244" s="5">
        <v>2016</v>
      </c>
      <c r="C1244" s="5" t="s">
        <v>7460</v>
      </c>
      <c r="D1244" s="5" t="s">
        <v>488</v>
      </c>
      <c r="E1244" s="5" t="s">
        <v>18453</v>
      </c>
      <c r="F1244" s="5" t="s">
        <v>7463</v>
      </c>
      <c r="G1244" s="5"/>
      <c r="H1244" s="5"/>
      <c r="I1244" s="5"/>
      <c r="J1244" s="5"/>
      <c r="K1244" s="5"/>
      <c r="L1244" s="5"/>
      <c r="M1244" s="5"/>
      <c r="N1244" s="5"/>
      <c r="O1244" s="5"/>
      <c r="P1244" s="5"/>
      <c r="Q1244" s="5"/>
      <c r="AL1244" s="7" t="str">
        <f>HYPERLINK("http://dx.doi.org/10.1007/s10344-016-1048-3","http://dx.doi.org/10.1007/s10344-016-1048-3")</f>
        <v>http://dx.doi.org/10.1007/s10344-016-1048-3</v>
      </c>
      <c r="AM1244" s="5">
        <v>7</v>
      </c>
      <c r="AN1244" s="5">
        <v>7</v>
      </c>
      <c r="AO1244" s="5">
        <v>62</v>
      </c>
      <c r="AP1244" s="5">
        <v>6</v>
      </c>
      <c r="AQ1244" s="5">
        <v>701</v>
      </c>
      <c r="AR1244" s="5">
        <v>711</v>
      </c>
      <c r="AS1244" s="5" t="s">
        <v>16</v>
      </c>
      <c r="AT1244" s="5" t="s">
        <v>7461</v>
      </c>
      <c r="AU1244" s="5" t="s">
        <v>7462</v>
      </c>
      <c r="AV1244" s="5" t="s">
        <v>7464</v>
      </c>
    </row>
    <row r="1245" spans="1:48" ht="45" customHeight="1" x14ac:dyDescent="0.15">
      <c r="A1245" s="5" t="s">
        <v>7465</v>
      </c>
      <c r="B1245" s="5">
        <v>2020</v>
      </c>
      <c r="C1245" s="5" t="s">
        <v>7466</v>
      </c>
      <c r="D1245" s="5" t="s">
        <v>212</v>
      </c>
      <c r="E1245" s="5" t="s">
        <v>18453</v>
      </c>
      <c r="F1245" s="5" t="s">
        <v>7469</v>
      </c>
      <c r="G1245" s="5"/>
      <c r="H1245" s="5"/>
      <c r="I1245" s="5"/>
      <c r="J1245" s="5"/>
      <c r="K1245" s="5"/>
      <c r="L1245" s="5"/>
      <c r="M1245" s="5"/>
      <c r="N1245" s="5"/>
      <c r="O1245" s="5"/>
      <c r="P1245" s="5"/>
      <c r="Q1245" s="5"/>
      <c r="AL1245" s="7" t="str">
        <f>HYPERLINK("http://dx.doi.org/10.1007/s00300-020-02646-x","http://dx.doi.org/10.1007/s00300-020-02646-x")</f>
        <v>http://dx.doi.org/10.1007/s00300-020-02646-x</v>
      </c>
      <c r="AM1245" s="5">
        <v>1</v>
      </c>
      <c r="AN1245" s="5">
        <v>1</v>
      </c>
      <c r="AO1245" s="5">
        <v>43</v>
      </c>
      <c r="AP1245" s="5">
        <v>5</v>
      </c>
      <c r="AQ1245" s="5">
        <v>443</v>
      </c>
      <c r="AR1245" s="5">
        <v>456</v>
      </c>
      <c r="AS1245" s="5" t="s">
        <v>16</v>
      </c>
      <c r="AT1245" s="5" t="s">
        <v>7467</v>
      </c>
      <c r="AU1245" s="5" t="s">
        <v>7468</v>
      </c>
      <c r="AV1245" s="5" t="s">
        <v>7470</v>
      </c>
    </row>
    <row r="1246" spans="1:48" ht="45" customHeight="1" x14ac:dyDescent="0.15">
      <c r="A1246" s="5" t="s">
        <v>7471</v>
      </c>
      <c r="B1246" s="5">
        <v>2005</v>
      </c>
      <c r="C1246" s="5" t="s">
        <v>7472</v>
      </c>
      <c r="D1246" s="5" t="s">
        <v>2517</v>
      </c>
      <c r="E1246" s="5" t="s">
        <v>18453</v>
      </c>
      <c r="F1246" s="5" t="s">
        <v>7475</v>
      </c>
      <c r="G1246" s="5"/>
      <c r="H1246" s="5"/>
      <c r="I1246" s="5"/>
      <c r="J1246" s="5"/>
      <c r="K1246" s="5"/>
      <c r="L1246" s="5"/>
      <c r="M1246" s="5"/>
      <c r="N1246" s="5"/>
      <c r="O1246" s="5"/>
      <c r="P1246" s="5"/>
      <c r="Q1246" s="5"/>
      <c r="AL1246" s="7" t="str">
        <f>HYPERLINK("http://dx.doi.org/10.1016/j.ecolecon.2004.12.002","http://dx.doi.org/10.1016/j.ecolecon.2004.12.002")</f>
        <v>http://dx.doi.org/10.1016/j.ecolecon.2004.12.002</v>
      </c>
      <c r="AM1246" s="5">
        <v>126</v>
      </c>
      <c r="AN1246" s="5">
        <v>130</v>
      </c>
      <c r="AO1246" s="5">
        <v>55</v>
      </c>
      <c r="AP1246" s="5">
        <v>2</v>
      </c>
      <c r="AQ1246" s="5">
        <v>187</v>
      </c>
      <c r="AR1246" s="5">
        <v>202</v>
      </c>
      <c r="AS1246" s="5" t="s">
        <v>16</v>
      </c>
      <c r="AT1246" s="5" t="s">
        <v>7473</v>
      </c>
      <c r="AU1246" s="5" t="s">
        <v>7474</v>
      </c>
      <c r="AV1246" s="5" t="s">
        <v>7476</v>
      </c>
    </row>
    <row r="1247" spans="1:48" ht="45" customHeight="1" x14ac:dyDescent="0.15">
      <c r="A1247" s="5" t="s">
        <v>7477</v>
      </c>
      <c r="B1247" s="5">
        <v>2008</v>
      </c>
      <c r="C1247" s="5" t="s">
        <v>7478</v>
      </c>
      <c r="D1247" s="5" t="s">
        <v>2437</v>
      </c>
      <c r="E1247" s="5" t="s">
        <v>18453</v>
      </c>
      <c r="F1247" s="5" t="s">
        <v>7481</v>
      </c>
      <c r="G1247" s="5"/>
      <c r="H1247" s="5"/>
      <c r="I1247" s="5"/>
      <c r="J1247" s="5"/>
      <c r="K1247" s="5"/>
      <c r="L1247" s="5"/>
      <c r="M1247" s="5"/>
      <c r="N1247" s="5"/>
      <c r="O1247" s="5"/>
      <c r="P1247" s="5"/>
      <c r="Q1247" s="5"/>
      <c r="AL1247" s="7" t="str">
        <f>HYPERLINK("http://dx.doi.org/10.1890/06-0902.1","http://dx.doi.org/10.1890/06-0902.1")</f>
        <v>http://dx.doi.org/10.1890/06-0902.1</v>
      </c>
      <c r="AM1247" s="5">
        <v>220</v>
      </c>
      <c r="AN1247" s="5">
        <v>223</v>
      </c>
      <c r="AO1247" s="5">
        <v>78</v>
      </c>
      <c r="AP1247" s="5">
        <v>2</v>
      </c>
      <c r="AQ1247" s="5">
        <v>263</v>
      </c>
      <c r="AR1247" s="5">
        <v>282</v>
      </c>
      <c r="AS1247" s="5" t="s">
        <v>16</v>
      </c>
      <c r="AT1247" s="5" t="s">
        <v>7479</v>
      </c>
      <c r="AU1247" s="5" t="s">
        <v>7480</v>
      </c>
      <c r="AV1247" s="5" t="s">
        <v>7482</v>
      </c>
    </row>
    <row r="1248" spans="1:48" ht="45" customHeight="1" x14ac:dyDescent="0.15">
      <c r="A1248" s="5" t="s">
        <v>7483</v>
      </c>
      <c r="B1248" s="5">
        <v>2015</v>
      </c>
      <c r="C1248" s="5" t="s">
        <v>7484</v>
      </c>
      <c r="D1248" s="5" t="s">
        <v>17</v>
      </c>
      <c r="E1248" s="5" t="s">
        <v>18453</v>
      </c>
      <c r="F1248" s="5" t="s">
        <v>7487</v>
      </c>
      <c r="G1248" s="5"/>
      <c r="H1248" s="5"/>
      <c r="I1248" s="5"/>
      <c r="J1248" s="5"/>
      <c r="K1248" s="5"/>
      <c r="L1248" s="5"/>
      <c r="M1248" s="5"/>
      <c r="N1248" s="5"/>
      <c r="O1248" s="5"/>
      <c r="P1248" s="5"/>
      <c r="Q1248" s="5"/>
      <c r="AL1248" s="7" t="str">
        <f>HYPERLINK("http://dx.doi.org/10.1111/fwb.12564","http://dx.doi.org/10.1111/fwb.12564")</f>
        <v>http://dx.doi.org/10.1111/fwb.12564</v>
      </c>
      <c r="AM1248" s="5">
        <v>21</v>
      </c>
      <c r="AN1248" s="5">
        <v>21</v>
      </c>
      <c r="AO1248" s="5">
        <v>60</v>
      </c>
      <c r="AP1248" s="5">
        <v>5</v>
      </c>
      <c r="AQ1248" s="5">
        <v>1000</v>
      </c>
      <c r="AR1248" s="5">
        <v>1015</v>
      </c>
      <c r="AS1248" s="5" t="s">
        <v>16</v>
      </c>
      <c r="AT1248" s="5" t="s">
        <v>7485</v>
      </c>
      <c r="AU1248" s="5" t="s">
        <v>7486</v>
      </c>
      <c r="AV1248" s="5" t="s">
        <v>7488</v>
      </c>
    </row>
    <row r="1249" spans="1:48" ht="45" customHeight="1" x14ac:dyDescent="0.15">
      <c r="A1249" s="5" t="s">
        <v>7489</v>
      </c>
      <c r="B1249" s="5">
        <v>2005</v>
      </c>
      <c r="C1249" s="5" t="s">
        <v>7490</v>
      </c>
      <c r="D1249" s="5" t="s">
        <v>27</v>
      </c>
      <c r="E1249" s="5" t="s">
        <v>18453</v>
      </c>
      <c r="F1249" s="5" t="s">
        <v>7493</v>
      </c>
      <c r="G1249" s="5"/>
      <c r="H1249" s="5"/>
      <c r="I1249" s="5"/>
      <c r="J1249" s="5"/>
      <c r="K1249" s="5"/>
      <c r="L1249" s="5"/>
      <c r="M1249" s="5"/>
      <c r="N1249" s="5"/>
      <c r="O1249" s="5"/>
      <c r="P1249" s="5"/>
      <c r="Q1249" s="5"/>
      <c r="AL1249" s="7" t="str">
        <f>HYPERLINK("http://dx.doi.org/10.1890/04-1537","http://dx.doi.org/10.1890/04-1537")</f>
        <v>http://dx.doi.org/10.1890/04-1537</v>
      </c>
      <c r="AM1249" s="5">
        <v>72</v>
      </c>
      <c r="AN1249" s="5">
        <v>76</v>
      </c>
      <c r="AO1249" s="5">
        <v>86</v>
      </c>
      <c r="AP1249" s="5">
        <v>10</v>
      </c>
      <c r="AQ1249" s="5">
        <v>2726</v>
      </c>
      <c r="AR1249" s="5">
        <v>2736</v>
      </c>
      <c r="AS1249" s="5" t="s">
        <v>16</v>
      </c>
      <c r="AT1249" s="5" t="s">
        <v>7491</v>
      </c>
      <c r="AU1249" s="5" t="s">
        <v>7492</v>
      </c>
      <c r="AV1249" s="5" t="s">
        <v>7494</v>
      </c>
    </row>
    <row r="1250" spans="1:48" ht="45" customHeight="1" x14ac:dyDescent="0.15">
      <c r="A1250" s="5" t="s">
        <v>7495</v>
      </c>
      <c r="B1250" s="5">
        <v>2011</v>
      </c>
      <c r="C1250" s="5" t="s">
        <v>7496</v>
      </c>
      <c r="D1250" s="5" t="s">
        <v>262</v>
      </c>
      <c r="E1250" s="5" t="s">
        <v>18453</v>
      </c>
      <c r="F1250" s="5" t="s">
        <v>7498</v>
      </c>
      <c r="G1250" s="5"/>
      <c r="H1250" s="5"/>
      <c r="I1250" s="5"/>
      <c r="J1250" s="5"/>
      <c r="K1250" s="5"/>
      <c r="L1250" s="5"/>
      <c r="M1250" s="5"/>
      <c r="N1250" s="5"/>
      <c r="O1250" s="5"/>
      <c r="P1250" s="5"/>
      <c r="Q1250" s="5"/>
      <c r="AL1250" s="7" t="str">
        <f>HYPERLINK("http://dx.doi.org/10.1111/j.1600-0706.2011.19215.x","http://dx.doi.org/10.1111/j.1600-0706.2011.19215.x")</f>
        <v>http://dx.doi.org/10.1111/j.1600-0706.2011.19215.x</v>
      </c>
      <c r="AM1250" s="5">
        <v>12</v>
      </c>
      <c r="AN1250" s="5">
        <v>14</v>
      </c>
      <c r="AO1250" s="5">
        <v>120</v>
      </c>
      <c r="AP1250" s="5">
        <v>10</v>
      </c>
      <c r="AQ1250" s="5">
        <v>1546</v>
      </c>
      <c r="AR1250" s="5">
        <v>1556</v>
      </c>
      <c r="AS1250" s="5" t="s">
        <v>16</v>
      </c>
      <c r="AT1250" s="5" t="s">
        <v>16</v>
      </c>
      <c r="AU1250" s="5" t="s">
        <v>7497</v>
      </c>
      <c r="AV1250" s="5" t="s">
        <v>7499</v>
      </c>
    </row>
    <row r="1251" spans="1:48" ht="45" customHeight="1" x14ac:dyDescent="0.15">
      <c r="A1251" s="5" t="s">
        <v>7500</v>
      </c>
      <c r="B1251" s="5">
        <v>2023</v>
      </c>
      <c r="C1251" s="5" t="s">
        <v>7501</v>
      </c>
      <c r="D1251" s="5" t="s">
        <v>44</v>
      </c>
      <c r="E1251" s="5" t="s">
        <v>18453</v>
      </c>
      <c r="F1251" s="5" t="s">
        <v>7504</v>
      </c>
      <c r="G1251" s="5"/>
      <c r="H1251" s="5"/>
      <c r="I1251" s="5"/>
      <c r="J1251" s="5"/>
      <c r="K1251" s="5"/>
      <c r="L1251" s="5"/>
      <c r="M1251" s="5"/>
      <c r="N1251" s="5"/>
      <c r="O1251" s="5"/>
      <c r="P1251" s="5"/>
      <c r="Q1251" s="5"/>
      <c r="AL1251" s="7" t="str">
        <f>HYPERLINK("http://dx.doi.org/10.3389/fevo.2023.1082226","http://dx.doi.org/10.3389/fevo.2023.1082226")</f>
        <v>http://dx.doi.org/10.3389/fevo.2023.1082226</v>
      </c>
      <c r="AM1251" s="5">
        <v>0</v>
      </c>
      <c r="AN1251" s="5">
        <v>0</v>
      </c>
      <c r="AO1251" s="5">
        <v>11</v>
      </c>
      <c r="AP1251" s="5" t="s">
        <v>16</v>
      </c>
      <c r="AQ1251" s="5" t="s">
        <v>16</v>
      </c>
      <c r="AR1251" s="5" t="s">
        <v>16</v>
      </c>
      <c r="AS1251" s="5">
        <v>1082226</v>
      </c>
      <c r="AT1251" s="5" t="s">
        <v>7502</v>
      </c>
      <c r="AU1251" s="5" t="s">
        <v>7503</v>
      </c>
      <c r="AV1251" s="5" t="s">
        <v>7505</v>
      </c>
    </row>
    <row r="1252" spans="1:48" ht="45" customHeight="1" x14ac:dyDescent="0.15">
      <c r="A1252" s="5" t="s">
        <v>7506</v>
      </c>
      <c r="B1252" s="5">
        <v>2015</v>
      </c>
      <c r="C1252" s="5" t="s">
        <v>7507</v>
      </c>
      <c r="D1252" s="5" t="s">
        <v>488</v>
      </c>
      <c r="E1252" s="5" t="s">
        <v>18453</v>
      </c>
      <c r="F1252" s="5" t="s">
        <v>7510</v>
      </c>
      <c r="G1252" s="5"/>
      <c r="H1252" s="5"/>
      <c r="I1252" s="5"/>
      <c r="J1252" s="5"/>
      <c r="K1252" s="5"/>
      <c r="L1252" s="5"/>
      <c r="M1252" s="5"/>
      <c r="N1252" s="5"/>
      <c r="O1252" s="5"/>
      <c r="P1252" s="5"/>
      <c r="Q1252" s="5"/>
      <c r="AL1252" s="7" t="str">
        <f>HYPERLINK("http://dx.doi.org/10.1007/s10344-015-0966-9","http://dx.doi.org/10.1007/s10344-015-0966-9")</f>
        <v>http://dx.doi.org/10.1007/s10344-015-0966-9</v>
      </c>
      <c r="AM1252" s="5">
        <v>32</v>
      </c>
      <c r="AN1252" s="5">
        <v>32</v>
      </c>
      <c r="AO1252" s="5">
        <v>61</v>
      </c>
      <c r="AP1252" s="5">
        <v>6</v>
      </c>
      <c r="AQ1252" s="5">
        <v>895</v>
      </c>
      <c r="AR1252" s="5">
        <v>902</v>
      </c>
      <c r="AS1252" s="5" t="s">
        <v>16</v>
      </c>
      <c r="AT1252" s="5" t="s">
        <v>7508</v>
      </c>
      <c r="AU1252" s="5" t="s">
        <v>7509</v>
      </c>
      <c r="AV1252" s="5" t="s">
        <v>7511</v>
      </c>
    </row>
    <row r="1253" spans="1:48" ht="45" customHeight="1" x14ac:dyDescent="0.15">
      <c r="A1253" s="5" t="s">
        <v>7512</v>
      </c>
      <c r="B1253" s="5">
        <v>1998</v>
      </c>
      <c r="C1253" s="5" t="s">
        <v>7513</v>
      </c>
      <c r="D1253" s="5" t="s">
        <v>172</v>
      </c>
      <c r="E1253" s="5" t="s">
        <v>18453</v>
      </c>
      <c r="F1253" s="5" t="s">
        <v>7516</v>
      </c>
      <c r="G1253" s="5"/>
      <c r="H1253" s="5"/>
      <c r="I1253" s="5"/>
      <c r="J1253" s="5"/>
      <c r="K1253" s="5"/>
      <c r="L1253" s="5"/>
      <c r="M1253" s="5"/>
      <c r="N1253" s="5"/>
      <c r="O1253" s="5"/>
      <c r="P1253" s="5"/>
      <c r="Q1253" s="5"/>
      <c r="AL1253" s="7" t="str">
        <f>HYPERLINK("http://dx.doi.org/10.1007/s004420050372","http://dx.doi.org/10.1007/s004420050372")</f>
        <v>http://dx.doi.org/10.1007/s004420050372</v>
      </c>
      <c r="AM1253" s="5">
        <v>73</v>
      </c>
      <c r="AN1253" s="5">
        <v>75</v>
      </c>
      <c r="AO1253" s="5">
        <v>113</v>
      </c>
      <c r="AP1253" s="5">
        <v>2</v>
      </c>
      <c r="AQ1253" s="5">
        <v>222</v>
      </c>
      <c r="AR1253" s="5">
        <v>230</v>
      </c>
      <c r="AS1253" s="5" t="s">
        <v>16</v>
      </c>
      <c r="AT1253" s="5" t="s">
        <v>7514</v>
      </c>
      <c r="AU1253" s="5" t="s">
        <v>7515</v>
      </c>
      <c r="AV1253" s="5" t="s">
        <v>7517</v>
      </c>
    </row>
    <row r="1254" spans="1:48" ht="45" customHeight="1" x14ac:dyDescent="0.15">
      <c r="A1254" s="5" t="s">
        <v>7518</v>
      </c>
      <c r="B1254" s="5">
        <v>2020</v>
      </c>
      <c r="C1254" s="5" t="s">
        <v>7519</v>
      </c>
      <c r="D1254" s="5" t="s">
        <v>44</v>
      </c>
      <c r="E1254" s="5" t="s">
        <v>18453</v>
      </c>
      <c r="F1254" s="5" t="s">
        <v>7522</v>
      </c>
      <c r="G1254" s="5"/>
      <c r="H1254" s="5"/>
      <c r="I1254" s="5"/>
      <c r="J1254" s="5"/>
      <c r="K1254" s="5"/>
      <c r="L1254" s="5"/>
      <c r="M1254" s="5"/>
      <c r="N1254" s="5"/>
      <c r="O1254" s="5"/>
      <c r="P1254" s="5"/>
      <c r="Q1254" s="5"/>
      <c r="AL1254" s="7" t="str">
        <f>HYPERLINK("http://dx.doi.org/10.3389/fevo.2020.00067","http://dx.doi.org/10.3389/fevo.2020.00067")</f>
        <v>http://dx.doi.org/10.3389/fevo.2020.00067</v>
      </c>
      <c r="AM1254" s="5">
        <v>8</v>
      </c>
      <c r="AN1254" s="5">
        <v>8</v>
      </c>
      <c r="AO1254" s="5">
        <v>8</v>
      </c>
      <c r="AP1254" s="5" t="s">
        <v>16</v>
      </c>
      <c r="AQ1254" s="5" t="s">
        <v>16</v>
      </c>
      <c r="AR1254" s="5" t="s">
        <v>16</v>
      </c>
      <c r="AS1254" s="5">
        <v>67</v>
      </c>
      <c r="AT1254" s="5" t="s">
        <v>7520</v>
      </c>
      <c r="AU1254" s="5" t="s">
        <v>7521</v>
      </c>
      <c r="AV1254" s="5" t="s">
        <v>7523</v>
      </c>
    </row>
    <row r="1255" spans="1:48" ht="45" customHeight="1" x14ac:dyDescent="0.15">
      <c r="A1255" s="5" t="s">
        <v>7524</v>
      </c>
      <c r="B1255" s="5">
        <v>2022</v>
      </c>
      <c r="C1255" s="5" t="s">
        <v>7525</v>
      </c>
      <c r="D1255" s="5" t="s">
        <v>973</v>
      </c>
      <c r="E1255" s="5" t="s">
        <v>18453</v>
      </c>
      <c r="F1255" s="5" t="s">
        <v>7527</v>
      </c>
      <c r="G1255" s="5"/>
      <c r="H1255" s="5"/>
      <c r="I1255" s="5"/>
      <c r="J1255" s="5"/>
      <c r="K1255" s="5"/>
      <c r="L1255" s="5"/>
      <c r="M1255" s="5"/>
      <c r="N1255" s="5"/>
      <c r="O1255" s="5"/>
      <c r="P1255" s="5"/>
      <c r="Q1255" s="5"/>
      <c r="AL1255" s="7" t="str">
        <f>HYPERLINK("http://dx.doi.org/10.5194/bg-19-2007-2022","http://dx.doi.org/10.5194/bg-19-2007-2022")</f>
        <v>http://dx.doi.org/10.5194/bg-19-2007-2022</v>
      </c>
      <c r="AM1255" s="5">
        <v>1</v>
      </c>
      <c r="AN1255" s="5">
        <v>1</v>
      </c>
      <c r="AO1255" s="5">
        <v>19</v>
      </c>
      <c r="AP1255" s="5">
        <v>7</v>
      </c>
      <c r="AQ1255" s="5">
        <v>2007</v>
      </c>
      <c r="AR1255" s="5">
        <v>2024</v>
      </c>
      <c r="AS1255" s="5" t="s">
        <v>16</v>
      </c>
      <c r="AT1255" s="5" t="s">
        <v>16</v>
      </c>
      <c r="AU1255" s="5" t="s">
        <v>7526</v>
      </c>
      <c r="AV1255" s="5" t="s">
        <v>7528</v>
      </c>
    </row>
    <row r="1256" spans="1:48" ht="45" customHeight="1" x14ac:dyDescent="0.15">
      <c r="A1256" s="5" t="s">
        <v>7529</v>
      </c>
      <c r="B1256" s="5">
        <v>2013</v>
      </c>
      <c r="C1256" s="5" t="s">
        <v>7530</v>
      </c>
      <c r="D1256" s="5" t="s">
        <v>1141</v>
      </c>
      <c r="E1256" s="5" t="s">
        <v>18453</v>
      </c>
      <c r="F1256" s="5" t="s">
        <v>7533</v>
      </c>
      <c r="G1256" s="5"/>
      <c r="H1256" s="5"/>
      <c r="I1256" s="5"/>
      <c r="J1256" s="5"/>
      <c r="K1256" s="5"/>
      <c r="L1256" s="5"/>
      <c r="M1256" s="5"/>
      <c r="N1256" s="5"/>
      <c r="O1256" s="5"/>
      <c r="P1256" s="5"/>
      <c r="Q1256" s="5"/>
      <c r="AL1256" s="7" t="str">
        <f>HYPERLINK("http://dx.doi.org/10.2980/20-2-3575","http://dx.doi.org/10.2980/20-2-3575")</f>
        <v>http://dx.doi.org/10.2980/20-2-3575</v>
      </c>
      <c r="AM1256" s="5">
        <v>5</v>
      </c>
      <c r="AN1256" s="5">
        <v>5</v>
      </c>
      <c r="AO1256" s="5">
        <v>20</v>
      </c>
      <c r="AP1256" s="5">
        <v>2</v>
      </c>
      <c r="AQ1256" s="5">
        <v>148</v>
      </c>
      <c r="AR1256" s="5">
        <v>160</v>
      </c>
      <c r="AS1256" s="5" t="s">
        <v>16</v>
      </c>
      <c r="AT1256" s="5" t="s">
        <v>7531</v>
      </c>
      <c r="AU1256" s="5" t="s">
        <v>7532</v>
      </c>
      <c r="AV1256" s="5" t="s">
        <v>7534</v>
      </c>
    </row>
    <row r="1257" spans="1:48" ht="45" customHeight="1" x14ac:dyDescent="0.15">
      <c r="A1257" s="5" t="s">
        <v>7535</v>
      </c>
      <c r="B1257" s="5">
        <v>2021</v>
      </c>
      <c r="C1257" s="5" t="s">
        <v>7536</v>
      </c>
      <c r="D1257" s="5" t="s">
        <v>77</v>
      </c>
      <c r="E1257" s="5" t="s">
        <v>18453</v>
      </c>
      <c r="F1257" s="5" t="s">
        <v>7539</v>
      </c>
      <c r="G1257" s="5"/>
      <c r="H1257" s="5"/>
      <c r="I1257" s="5"/>
      <c r="J1257" s="5"/>
      <c r="K1257" s="5"/>
      <c r="L1257" s="5"/>
      <c r="M1257" s="5"/>
      <c r="N1257" s="5"/>
      <c r="O1257" s="5"/>
      <c r="P1257" s="5"/>
      <c r="Q1257" s="5"/>
      <c r="AL1257" s="7" t="str">
        <f>HYPERLINK("http://dx.doi.org/10.1111/1365-2656.13376","http://dx.doi.org/10.1111/1365-2656.13376")</f>
        <v>http://dx.doi.org/10.1111/1365-2656.13376</v>
      </c>
      <c r="AM1257" s="5">
        <v>2</v>
      </c>
      <c r="AN1257" s="5">
        <v>2</v>
      </c>
      <c r="AO1257" s="5">
        <v>90</v>
      </c>
      <c r="AP1257" s="5">
        <v>2</v>
      </c>
      <c r="AQ1257" s="5">
        <v>432</v>
      </c>
      <c r="AR1257" s="5">
        <v>446</v>
      </c>
      <c r="AS1257" s="5" t="s">
        <v>16</v>
      </c>
      <c r="AT1257" s="5" t="s">
        <v>7537</v>
      </c>
      <c r="AU1257" s="5" t="s">
        <v>7538</v>
      </c>
      <c r="AV1257" s="5" t="s">
        <v>7540</v>
      </c>
    </row>
    <row r="1258" spans="1:48" ht="45" customHeight="1" x14ac:dyDescent="0.15">
      <c r="A1258" s="5" t="s">
        <v>7541</v>
      </c>
      <c r="B1258" s="5">
        <v>2012</v>
      </c>
      <c r="C1258" s="5" t="s">
        <v>7542</v>
      </c>
      <c r="D1258" s="5" t="s">
        <v>312</v>
      </c>
      <c r="E1258" s="5" t="s">
        <v>18453</v>
      </c>
      <c r="F1258" s="5" t="s">
        <v>7545</v>
      </c>
      <c r="G1258" s="5"/>
      <c r="H1258" s="5"/>
      <c r="I1258" s="5"/>
      <c r="J1258" s="5"/>
      <c r="K1258" s="5"/>
      <c r="L1258" s="5"/>
      <c r="M1258" s="5"/>
      <c r="N1258" s="5"/>
      <c r="O1258" s="5"/>
      <c r="P1258" s="5"/>
      <c r="Q1258" s="5"/>
      <c r="AL1258" s="7" t="str">
        <f>HYPERLINK("http://dx.doi.org/10.1016/j.ecolmodel.2012.08.024","http://dx.doi.org/10.1016/j.ecolmodel.2012.08.024")</f>
        <v>http://dx.doi.org/10.1016/j.ecolmodel.2012.08.024</v>
      </c>
      <c r="AM1258" s="5">
        <v>27</v>
      </c>
      <c r="AN1258" s="5">
        <v>27</v>
      </c>
      <c r="AO1258" s="5">
        <v>247</v>
      </c>
      <c r="AP1258" s="5" t="s">
        <v>16</v>
      </c>
      <c r="AQ1258" s="5">
        <v>210</v>
      </c>
      <c r="AR1258" s="5">
        <v>220</v>
      </c>
      <c r="AS1258" s="5" t="s">
        <v>16</v>
      </c>
      <c r="AT1258" s="5" t="s">
        <v>7543</v>
      </c>
      <c r="AU1258" s="5" t="s">
        <v>7544</v>
      </c>
      <c r="AV1258" s="5" t="s">
        <v>7546</v>
      </c>
    </row>
    <row r="1259" spans="1:48" ht="45" customHeight="1" x14ac:dyDescent="0.15">
      <c r="A1259" s="5" t="s">
        <v>7547</v>
      </c>
      <c r="B1259" s="5">
        <v>2015</v>
      </c>
      <c r="C1259" s="5" t="s">
        <v>7548</v>
      </c>
      <c r="D1259" s="5" t="s">
        <v>160</v>
      </c>
      <c r="E1259" s="5" t="s">
        <v>18453</v>
      </c>
      <c r="F1259" s="5" t="s">
        <v>7551</v>
      </c>
      <c r="G1259" s="5"/>
      <c r="H1259" s="5"/>
      <c r="I1259" s="5"/>
      <c r="J1259" s="5"/>
      <c r="K1259" s="5"/>
      <c r="L1259" s="5"/>
      <c r="M1259" s="5"/>
      <c r="N1259" s="5"/>
      <c r="O1259" s="5"/>
      <c r="P1259" s="5"/>
      <c r="Q1259" s="5"/>
      <c r="AL1259" s="7" t="str">
        <f>HYPERLINK("http://dx.doi.org/10.1111/1365-2664.12473","http://dx.doi.org/10.1111/1365-2664.12473")</f>
        <v>http://dx.doi.org/10.1111/1365-2664.12473</v>
      </c>
      <c r="AM1259" s="5">
        <v>22</v>
      </c>
      <c r="AN1259" s="5">
        <v>22</v>
      </c>
      <c r="AO1259" s="5">
        <v>52</v>
      </c>
      <c r="AP1259" s="5">
        <v>5</v>
      </c>
      <c r="AQ1259" s="5">
        <v>1343</v>
      </c>
      <c r="AR1259" s="5">
        <v>1354</v>
      </c>
      <c r="AS1259" s="5" t="s">
        <v>16</v>
      </c>
      <c r="AT1259" s="5" t="s">
        <v>7549</v>
      </c>
      <c r="AU1259" s="5" t="s">
        <v>7550</v>
      </c>
      <c r="AV1259" s="5" t="s">
        <v>7552</v>
      </c>
    </row>
    <row r="1260" spans="1:48" ht="45" customHeight="1" x14ac:dyDescent="0.15">
      <c r="A1260" s="5" t="s">
        <v>7553</v>
      </c>
      <c r="B1260" s="5">
        <v>2011</v>
      </c>
      <c r="C1260" s="5" t="s">
        <v>7554</v>
      </c>
      <c r="D1260" s="5" t="s">
        <v>295</v>
      </c>
      <c r="E1260" s="5" t="s">
        <v>18453</v>
      </c>
      <c r="F1260" s="5" t="s">
        <v>7557</v>
      </c>
      <c r="G1260" s="5"/>
      <c r="H1260" s="5"/>
      <c r="I1260" s="5"/>
      <c r="J1260" s="5"/>
      <c r="K1260" s="5"/>
      <c r="L1260" s="5"/>
      <c r="M1260" s="5"/>
      <c r="N1260" s="5"/>
      <c r="O1260" s="5"/>
      <c r="P1260" s="5"/>
      <c r="Q1260" s="5"/>
      <c r="AL1260" s="7" t="str">
        <f>HYPERLINK("http://dx.doi.org/10.1016/j.jembe.2011.07.002","http://dx.doi.org/10.1016/j.jembe.2011.07.002")</f>
        <v>http://dx.doi.org/10.1016/j.jembe.2011.07.002</v>
      </c>
      <c r="AM1260" s="5">
        <v>56</v>
      </c>
      <c r="AN1260" s="5">
        <v>60</v>
      </c>
      <c r="AO1260" s="5">
        <v>407</v>
      </c>
      <c r="AP1260" s="5">
        <v>1</v>
      </c>
      <c r="AQ1260" s="5">
        <v>101</v>
      </c>
      <c r="AR1260" s="5">
        <v>107</v>
      </c>
      <c r="AS1260" s="5" t="s">
        <v>16</v>
      </c>
      <c r="AT1260" s="5" t="s">
        <v>7555</v>
      </c>
      <c r="AU1260" s="5" t="s">
        <v>7556</v>
      </c>
      <c r="AV1260" s="5" t="s">
        <v>7558</v>
      </c>
    </row>
    <row r="1261" spans="1:48" ht="45" customHeight="1" x14ac:dyDescent="0.15">
      <c r="A1261" s="5" t="s">
        <v>7559</v>
      </c>
      <c r="B1261" s="5">
        <v>2019</v>
      </c>
      <c r="C1261" s="5" t="s">
        <v>7560</v>
      </c>
      <c r="D1261" s="5" t="s">
        <v>62</v>
      </c>
      <c r="E1261" s="5" t="s">
        <v>18453</v>
      </c>
      <c r="F1261" s="5" t="s">
        <v>7563</v>
      </c>
      <c r="G1261" s="5"/>
      <c r="H1261" s="5"/>
      <c r="I1261" s="5"/>
      <c r="J1261" s="5"/>
      <c r="K1261" s="5"/>
      <c r="L1261" s="5"/>
      <c r="M1261" s="5"/>
      <c r="N1261" s="5"/>
      <c r="O1261" s="5"/>
      <c r="P1261" s="5"/>
      <c r="Q1261" s="5"/>
      <c r="AL1261" s="7" t="str">
        <f>HYPERLINK("http://dx.doi.org/10.1007/s10021-019-00374-w","http://dx.doi.org/10.1007/s10021-019-00374-w")</f>
        <v>http://dx.doi.org/10.1007/s10021-019-00374-w</v>
      </c>
      <c r="AM1261" s="5">
        <v>10</v>
      </c>
      <c r="AN1261" s="5">
        <v>10</v>
      </c>
      <c r="AO1261" s="5">
        <v>22</v>
      </c>
      <c r="AP1261" s="5">
        <v>8</v>
      </c>
      <c r="AQ1261" s="5">
        <v>1823</v>
      </c>
      <c r="AR1261" s="5">
        <v>1837</v>
      </c>
      <c r="AS1261" s="5" t="s">
        <v>16</v>
      </c>
      <c r="AT1261" s="5" t="s">
        <v>7561</v>
      </c>
      <c r="AU1261" s="5" t="s">
        <v>7562</v>
      </c>
      <c r="AV1261" s="5" t="s">
        <v>7564</v>
      </c>
    </row>
    <row r="1262" spans="1:48" ht="45" customHeight="1" x14ac:dyDescent="0.15">
      <c r="A1262" s="5" t="s">
        <v>7565</v>
      </c>
      <c r="B1262" s="5">
        <v>2019</v>
      </c>
      <c r="C1262" s="5" t="s">
        <v>7566</v>
      </c>
      <c r="D1262" s="5" t="s">
        <v>159</v>
      </c>
      <c r="E1262" s="5" t="s">
        <v>18453</v>
      </c>
      <c r="F1262" s="5" t="s">
        <v>7569</v>
      </c>
      <c r="G1262" s="5"/>
      <c r="H1262" s="5"/>
      <c r="I1262" s="5"/>
      <c r="J1262" s="5"/>
      <c r="K1262" s="5"/>
      <c r="L1262" s="5"/>
      <c r="M1262" s="5"/>
      <c r="N1262" s="5"/>
      <c r="O1262" s="5"/>
      <c r="P1262" s="5"/>
      <c r="Q1262" s="5"/>
      <c r="AL1262" s="7" t="str">
        <f>HYPERLINK("http://dx.doi.org/10.3390/d11060092","http://dx.doi.org/10.3390/d11060092")</f>
        <v>http://dx.doi.org/10.3390/d11060092</v>
      </c>
      <c r="AM1262" s="5">
        <v>0</v>
      </c>
      <c r="AN1262" s="5">
        <v>0</v>
      </c>
      <c r="AO1262" s="5">
        <v>11</v>
      </c>
      <c r="AP1262" s="5">
        <v>6</v>
      </c>
      <c r="AQ1262" s="5" t="s">
        <v>16</v>
      </c>
      <c r="AR1262" s="5" t="s">
        <v>16</v>
      </c>
      <c r="AS1262" s="5">
        <v>92</v>
      </c>
      <c r="AT1262" s="5" t="s">
        <v>7567</v>
      </c>
      <c r="AU1262" s="5" t="s">
        <v>7568</v>
      </c>
      <c r="AV1262" s="5" t="s">
        <v>7570</v>
      </c>
    </row>
    <row r="1263" spans="1:48" ht="45" customHeight="1" x14ac:dyDescent="0.15">
      <c r="A1263" s="5" t="s">
        <v>7571</v>
      </c>
      <c r="B1263" s="5">
        <v>2013</v>
      </c>
      <c r="C1263" s="5" t="s">
        <v>7572</v>
      </c>
      <c r="D1263" s="5" t="s">
        <v>212</v>
      </c>
      <c r="E1263" s="5" t="s">
        <v>18453</v>
      </c>
      <c r="F1263" s="5" t="s">
        <v>7575</v>
      </c>
      <c r="G1263" s="5"/>
      <c r="H1263" s="5"/>
      <c r="I1263" s="5"/>
      <c r="J1263" s="5"/>
      <c r="K1263" s="5"/>
      <c r="L1263" s="5"/>
      <c r="M1263" s="5"/>
      <c r="N1263" s="5"/>
      <c r="O1263" s="5"/>
      <c r="P1263" s="5"/>
      <c r="Q1263" s="5"/>
      <c r="AL1263" s="7" t="str">
        <f>HYPERLINK("http://dx.doi.org/10.1007/s00300-013-1393-6","http://dx.doi.org/10.1007/s00300-013-1393-6")</f>
        <v>http://dx.doi.org/10.1007/s00300-013-1393-6</v>
      </c>
      <c r="AM1263" s="5">
        <v>15</v>
      </c>
      <c r="AN1263" s="5">
        <v>15</v>
      </c>
      <c r="AO1263" s="5">
        <v>36</v>
      </c>
      <c r="AP1263" s="5">
        <v>12</v>
      </c>
      <c r="AQ1263" s="5">
        <v>1735</v>
      </c>
      <c r="AR1263" s="5">
        <v>1748</v>
      </c>
      <c r="AS1263" s="5" t="s">
        <v>16</v>
      </c>
      <c r="AT1263" s="5" t="s">
        <v>7573</v>
      </c>
      <c r="AU1263" s="5" t="s">
        <v>7574</v>
      </c>
      <c r="AV1263" s="5" t="s">
        <v>7576</v>
      </c>
    </row>
    <row r="1264" spans="1:48" ht="45" customHeight="1" x14ac:dyDescent="0.15">
      <c r="A1264" s="5" t="s">
        <v>7577</v>
      </c>
      <c r="B1264" s="5">
        <v>2021</v>
      </c>
      <c r="C1264" s="5" t="s">
        <v>7578</v>
      </c>
      <c r="D1264" s="5" t="s">
        <v>3860</v>
      </c>
      <c r="E1264" s="5" t="s">
        <v>18453</v>
      </c>
      <c r="F1264" s="5" t="s">
        <v>7581</v>
      </c>
      <c r="G1264" s="5"/>
      <c r="H1264" s="5"/>
      <c r="I1264" s="5"/>
      <c r="J1264" s="5"/>
      <c r="K1264" s="5"/>
      <c r="L1264" s="5"/>
      <c r="M1264" s="5"/>
      <c r="N1264" s="5"/>
      <c r="O1264" s="5"/>
      <c r="P1264" s="5"/>
      <c r="Q1264" s="5"/>
      <c r="AL1264" s="7" t="str">
        <f>HYPERLINK("http://dx.doi.org/10.1007/s42974-021-00049-4","http://dx.doi.org/10.1007/s42974-021-00049-4")</f>
        <v>http://dx.doi.org/10.1007/s42974-021-00049-4</v>
      </c>
      <c r="AM1264" s="5">
        <v>2</v>
      </c>
      <c r="AN1264" s="5">
        <v>2</v>
      </c>
      <c r="AO1264" s="5">
        <v>22</v>
      </c>
      <c r="AP1264" s="5">
        <v>2</v>
      </c>
      <c r="AQ1264" s="5">
        <v>203</v>
      </c>
      <c r="AR1264" s="5">
        <v>215</v>
      </c>
      <c r="AS1264" s="5" t="s">
        <v>16</v>
      </c>
      <c r="AT1264" s="5" t="s">
        <v>7579</v>
      </c>
      <c r="AU1264" s="5" t="s">
        <v>7580</v>
      </c>
      <c r="AV1264" s="5" t="s">
        <v>7582</v>
      </c>
    </row>
    <row r="1265" spans="1:48" ht="45" customHeight="1" x14ac:dyDescent="0.15">
      <c r="A1265" s="5" t="s">
        <v>7583</v>
      </c>
      <c r="B1265" s="5">
        <v>1996</v>
      </c>
      <c r="C1265" s="5" t="s">
        <v>7584</v>
      </c>
      <c r="D1265" s="5" t="s">
        <v>249</v>
      </c>
      <c r="E1265" s="5" t="s">
        <v>18453</v>
      </c>
      <c r="F1265" s="5" t="s">
        <v>7587</v>
      </c>
      <c r="G1265" s="5"/>
      <c r="H1265" s="5"/>
      <c r="I1265" s="5"/>
      <c r="J1265" s="5"/>
      <c r="K1265" s="5"/>
      <c r="L1265" s="5"/>
      <c r="M1265" s="5"/>
      <c r="N1265" s="5"/>
      <c r="O1265" s="5"/>
      <c r="P1265" s="5"/>
      <c r="Q1265" s="5"/>
      <c r="AL1265" s="7" t="str">
        <f>HYPERLINK("http://dx.doi.org/10.1006/jare.1996.0113","http://dx.doi.org/10.1006/jare.1996.0113")</f>
        <v>http://dx.doi.org/10.1006/jare.1996.0113</v>
      </c>
      <c r="AM1265" s="5">
        <v>6</v>
      </c>
      <c r="AN1265" s="5">
        <v>6</v>
      </c>
      <c r="AO1265" s="5">
        <v>34</v>
      </c>
      <c r="AP1265" s="5">
        <v>3</v>
      </c>
      <c r="AQ1265" s="5">
        <v>325</v>
      </c>
      <c r="AR1265" s="5">
        <v>330</v>
      </c>
      <c r="AS1265" s="5" t="s">
        <v>16</v>
      </c>
      <c r="AT1265" s="5" t="s">
        <v>7585</v>
      </c>
      <c r="AU1265" s="5" t="s">
        <v>7586</v>
      </c>
      <c r="AV1265" s="5" t="s">
        <v>7588</v>
      </c>
    </row>
    <row r="1266" spans="1:48" ht="45" customHeight="1" x14ac:dyDescent="0.15">
      <c r="A1266" s="5" t="s">
        <v>7589</v>
      </c>
      <c r="B1266" s="5">
        <v>2022</v>
      </c>
      <c r="C1266" s="5" t="s">
        <v>7590</v>
      </c>
      <c r="D1266" s="5" t="s">
        <v>44</v>
      </c>
      <c r="E1266" s="5" t="s">
        <v>18453</v>
      </c>
      <c r="F1266" s="5" t="s">
        <v>7593</v>
      </c>
      <c r="G1266" s="5"/>
      <c r="H1266" s="5"/>
      <c r="I1266" s="5"/>
      <c r="J1266" s="5"/>
      <c r="K1266" s="5"/>
      <c r="L1266" s="5"/>
      <c r="M1266" s="5"/>
      <c r="N1266" s="5"/>
      <c r="O1266" s="5"/>
      <c r="P1266" s="5"/>
      <c r="Q1266" s="5"/>
      <c r="AL1266" s="7" t="str">
        <f>HYPERLINK("http://dx.doi.org/10.3389/fevo.2022.986459","http://dx.doi.org/10.3389/fevo.2022.986459")</f>
        <v>http://dx.doi.org/10.3389/fevo.2022.986459</v>
      </c>
      <c r="AM1266" s="5">
        <v>0</v>
      </c>
      <c r="AN1266" s="5">
        <v>0</v>
      </c>
      <c r="AO1266" s="5">
        <v>10</v>
      </c>
      <c r="AP1266" s="5" t="s">
        <v>16</v>
      </c>
      <c r="AQ1266" s="5" t="s">
        <v>16</v>
      </c>
      <c r="AR1266" s="5" t="s">
        <v>16</v>
      </c>
      <c r="AS1266" s="5">
        <v>986459</v>
      </c>
      <c r="AT1266" s="5" t="s">
        <v>7591</v>
      </c>
      <c r="AU1266" s="5" t="s">
        <v>7592</v>
      </c>
      <c r="AV1266" s="5" t="s">
        <v>7594</v>
      </c>
    </row>
    <row r="1267" spans="1:48" ht="45" customHeight="1" x14ac:dyDescent="0.15">
      <c r="A1267" s="5" t="s">
        <v>7595</v>
      </c>
      <c r="B1267" s="5">
        <v>2016</v>
      </c>
      <c r="C1267" s="5" t="s">
        <v>7596</v>
      </c>
      <c r="D1267" s="5" t="s">
        <v>49</v>
      </c>
      <c r="E1267" s="5" t="s">
        <v>18453</v>
      </c>
      <c r="F1267" s="5" t="s">
        <v>7599</v>
      </c>
      <c r="G1267" s="5"/>
      <c r="H1267" s="5"/>
      <c r="I1267" s="5"/>
      <c r="J1267" s="5"/>
      <c r="K1267" s="5"/>
      <c r="L1267" s="5"/>
      <c r="M1267" s="5"/>
      <c r="N1267" s="5"/>
      <c r="O1267" s="5"/>
      <c r="P1267" s="5"/>
      <c r="Q1267" s="5"/>
      <c r="AL1267" s="7" t="str">
        <f>HYPERLINK("http://dx.doi.org/10.3354/meps11636","http://dx.doi.org/10.3354/meps11636")</f>
        <v>http://dx.doi.org/10.3354/meps11636</v>
      </c>
      <c r="AM1267" s="5">
        <v>13</v>
      </c>
      <c r="AN1267" s="5">
        <v>13</v>
      </c>
      <c r="AO1267" s="5">
        <v>546</v>
      </c>
      <c r="AP1267" s="5" t="s">
        <v>16</v>
      </c>
      <c r="AQ1267" s="5">
        <v>213</v>
      </c>
      <c r="AR1267" s="5">
        <v>223</v>
      </c>
      <c r="AS1267" s="5" t="s">
        <v>16</v>
      </c>
      <c r="AT1267" s="5" t="s">
        <v>7597</v>
      </c>
      <c r="AU1267" s="5" t="s">
        <v>7598</v>
      </c>
      <c r="AV1267" s="5" t="s">
        <v>7600</v>
      </c>
    </row>
    <row r="1268" spans="1:48" ht="45" customHeight="1" x14ac:dyDescent="0.15">
      <c r="A1268" s="5" t="s">
        <v>7601</v>
      </c>
      <c r="B1268" s="5">
        <v>2012</v>
      </c>
      <c r="C1268" s="5" t="s">
        <v>7602</v>
      </c>
      <c r="D1268" s="5" t="s">
        <v>295</v>
      </c>
      <c r="E1268" s="5" t="s">
        <v>18453</v>
      </c>
      <c r="F1268" s="5" t="s">
        <v>7605</v>
      </c>
      <c r="G1268" s="5"/>
      <c r="H1268" s="5"/>
      <c r="I1268" s="5"/>
      <c r="J1268" s="5"/>
      <c r="K1268" s="5"/>
      <c r="L1268" s="5"/>
      <c r="M1268" s="5"/>
      <c r="N1268" s="5"/>
      <c r="O1268" s="5"/>
      <c r="P1268" s="5"/>
      <c r="Q1268" s="5"/>
      <c r="AL1268" s="7" t="str">
        <f>HYPERLINK("http://dx.doi.org/10.1016/j.jembe.2012.06.007","http://dx.doi.org/10.1016/j.jembe.2012.06.007")</f>
        <v>http://dx.doi.org/10.1016/j.jembe.2012.06.007</v>
      </c>
      <c r="AM1268" s="5">
        <v>67</v>
      </c>
      <c r="AN1268" s="5">
        <v>70</v>
      </c>
      <c r="AO1268" s="5">
        <v>429</v>
      </c>
      <c r="AP1268" s="5" t="s">
        <v>16</v>
      </c>
      <c r="AQ1268" s="5">
        <v>64</v>
      </c>
      <c r="AR1268" s="5">
        <v>72</v>
      </c>
      <c r="AS1268" s="5" t="s">
        <v>16</v>
      </c>
      <c r="AT1268" s="5" t="s">
        <v>7603</v>
      </c>
      <c r="AU1268" s="5" t="s">
        <v>7604</v>
      </c>
      <c r="AV1268" s="5" t="s">
        <v>7606</v>
      </c>
    </row>
    <row r="1269" spans="1:48" ht="45" customHeight="1" x14ac:dyDescent="0.15">
      <c r="A1269" s="5" t="s">
        <v>7607</v>
      </c>
      <c r="B1269" s="5">
        <v>2022</v>
      </c>
      <c r="C1269" s="5" t="s">
        <v>7608</v>
      </c>
      <c r="D1269" s="5" t="s">
        <v>116</v>
      </c>
      <c r="E1269" s="5" t="s">
        <v>18453</v>
      </c>
      <c r="F1269" s="5" t="s">
        <v>7611</v>
      </c>
      <c r="G1269" s="5"/>
      <c r="H1269" s="5"/>
      <c r="I1269" s="5"/>
      <c r="J1269" s="5"/>
      <c r="K1269" s="5"/>
      <c r="L1269" s="5"/>
      <c r="M1269" s="5"/>
      <c r="N1269" s="5"/>
      <c r="O1269" s="5"/>
      <c r="P1269" s="5"/>
      <c r="Q1269" s="5"/>
      <c r="AL1269" s="7" t="str">
        <f>HYPERLINK("http://dx.doi.org/10.1007/s10641-022-01254-4","http://dx.doi.org/10.1007/s10641-022-01254-4")</f>
        <v>http://dx.doi.org/10.1007/s10641-022-01254-4</v>
      </c>
      <c r="AM1269" s="5">
        <v>0</v>
      </c>
      <c r="AN1269" s="5">
        <v>0</v>
      </c>
      <c r="AO1269" s="5">
        <v>105</v>
      </c>
      <c r="AP1269" s="5">
        <v>4</v>
      </c>
      <c r="AQ1269" s="5">
        <v>509</v>
      </c>
      <c r="AR1269" s="5">
        <v>518</v>
      </c>
      <c r="AS1269" s="5" t="s">
        <v>16</v>
      </c>
      <c r="AT1269" s="5" t="s">
        <v>7609</v>
      </c>
      <c r="AU1269" s="5" t="s">
        <v>7610</v>
      </c>
      <c r="AV1269" s="5" t="s">
        <v>7612</v>
      </c>
    </row>
    <row r="1270" spans="1:48" ht="45" customHeight="1" x14ac:dyDescent="0.15">
      <c r="A1270" s="5" t="s">
        <v>7613</v>
      </c>
      <c r="B1270" s="5">
        <v>2008</v>
      </c>
      <c r="C1270" s="5" t="s">
        <v>7614</v>
      </c>
      <c r="D1270" s="5" t="s">
        <v>62</v>
      </c>
      <c r="E1270" s="5" t="s">
        <v>18453</v>
      </c>
      <c r="F1270" s="5" t="s">
        <v>7617</v>
      </c>
      <c r="G1270" s="5"/>
      <c r="H1270" s="5"/>
      <c r="I1270" s="5"/>
      <c r="J1270" s="5"/>
      <c r="K1270" s="5"/>
      <c r="L1270" s="5"/>
      <c r="M1270" s="5"/>
      <c r="N1270" s="5"/>
      <c r="O1270" s="5"/>
      <c r="P1270" s="5"/>
      <c r="Q1270" s="5"/>
      <c r="AL1270" s="7" t="str">
        <f>HYPERLINK("http://dx.doi.org/10.1007/s10021-008-9174-8","http://dx.doi.org/10.1007/s10021-008-9174-8")</f>
        <v>http://dx.doi.org/10.1007/s10021-008-9174-8</v>
      </c>
      <c r="AM1270" s="5">
        <v>28</v>
      </c>
      <c r="AN1270" s="5">
        <v>29</v>
      </c>
      <c r="AO1270" s="5">
        <v>11</v>
      </c>
      <c r="AP1270" s="5">
        <v>6</v>
      </c>
      <c r="AQ1270" s="5">
        <v>980</v>
      </c>
      <c r="AR1270" s="5">
        <v>990</v>
      </c>
      <c r="AS1270" s="5" t="s">
        <v>16</v>
      </c>
      <c r="AT1270" s="5" t="s">
        <v>7615</v>
      </c>
      <c r="AU1270" s="5" t="s">
        <v>7616</v>
      </c>
      <c r="AV1270" s="5" t="s">
        <v>7618</v>
      </c>
    </row>
    <row r="1271" spans="1:48" ht="45" customHeight="1" x14ac:dyDescent="0.15">
      <c r="A1271" s="5" t="s">
        <v>7619</v>
      </c>
      <c r="B1271" s="5">
        <v>2022</v>
      </c>
      <c r="C1271" s="5" t="s">
        <v>7620</v>
      </c>
      <c r="D1271" s="5" t="s">
        <v>2057</v>
      </c>
      <c r="E1271" s="5" t="s">
        <v>18453</v>
      </c>
      <c r="F1271" s="5" t="s">
        <v>7623</v>
      </c>
      <c r="G1271" s="5"/>
      <c r="H1271" s="5"/>
      <c r="I1271" s="5"/>
      <c r="J1271" s="5"/>
      <c r="K1271" s="5"/>
      <c r="L1271" s="5"/>
      <c r="M1271" s="5"/>
      <c r="N1271" s="5"/>
      <c r="O1271" s="5"/>
      <c r="P1271" s="5"/>
      <c r="Q1271" s="5"/>
      <c r="AL1271" s="7" t="str">
        <f>HYPERLINK("http://dx.doi.org/10.1139/AS-2020-0022","http://dx.doi.org/10.1139/AS-2020-0022")</f>
        <v>http://dx.doi.org/10.1139/AS-2020-0022</v>
      </c>
      <c r="AM1271" s="5">
        <v>2</v>
      </c>
      <c r="AN1271" s="5">
        <v>2</v>
      </c>
      <c r="AO1271" s="5">
        <v>8</v>
      </c>
      <c r="AP1271" s="5">
        <v>4</v>
      </c>
      <c r="AQ1271" s="5">
        <v>1094</v>
      </c>
      <c r="AR1271" s="5">
        <v>1115</v>
      </c>
      <c r="AS1271" s="5" t="s">
        <v>16</v>
      </c>
      <c r="AT1271" s="5" t="s">
        <v>7621</v>
      </c>
      <c r="AU1271" s="5" t="s">
        <v>7622</v>
      </c>
      <c r="AV1271" s="5" t="s">
        <v>7624</v>
      </c>
    </row>
    <row r="1272" spans="1:48" ht="45" customHeight="1" x14ac:dyDescent="0.15">
      <c r="A1272" s="5" t="s">
        <v>7625</v>
      </c>
      <c r="B1272" s="5">
        <v>2015</v>
      </c>
      <c r="C1272" s="5" t="s">
        <v>7626</v>
      </c>
      <c r="D1272" s="5" t="s">
        <v>295</v>
      </c>
      <c r="E1272" s="5" t="s">
        <v>18453</v>
      </c>
      <c r="F1272" s="5" t="s">
        <v>7629</v>
      </c>
      <c r="G1272" s="5"/>
      <c r="H1272" s="5"/>
      <c r="I1272" s="5"/>
      <c r="J1272" s="5"/>
      <c r="K1272" s="5"/>
      <c r="L1272" s="5"/>
      <c r="M1272" s="5"/>
      <c r="N1272" s="5"/>
      <c r="O1272" s="5"/>
      <c r="P1272" s="5"/>
      <c r="Q1272" s="5"/>
      <c r="AL1272" s="7" t="str">
        <f>HYPERLINK("http://dx.doi.org/10.1016/j.jembe.2015.01.007","http://dx.doi.org/10.1016/j.jembe.2015.01.007")</f>
        <v>http://dx.doi.org/10.1016/j.jembe.2015.01.007</v>
      </c>
      <c r="AM1272" s="5">
        <v>16</v>
      </c>
      <c r="AN1272" s="5">
        <v>16</v>
      </c>
      <c r="AO1272" s="5">
        <v>465</v>
      </c>
      <c r="AP1272" s="5" t="s">
        <v>16</v>
      </c>
      <c r="AQ1272" s="5">
        <v>56</v>
      </c>
      <c r="AR1272" s="5">
        <v>63</v>
      </c>
      <c r="AS1272" s="5" t="s">
        <v>16</v>
      </c>
      <c r="AT1272" s="5" t="s">
        <v>7627</v>
      </c>
      <c r="AU1272" s="5" t="s">
        <v>7628</v>
      </c>
      <c r="AV1272" s="5" t="s">
        <v>7630</v>
      </c>
    </row>
    <row r="1273" spans="1:48" ht="45" customHeight="1" x14ac:dyDescent="0.15">
      <c r="A1273" s="5" t="s">
        <v>7631</v>
      </c>
      <c r="B1273" s="5">
        <v>2022</v>
      </c>
      <c r="C1273" s="5" t="s">
        <v>7632</v>
      </c>
      <c r="D1273" s="5" t="s">
        <v>1765</v>
      </c>
      <c r="E1273" s="5" t="s">
        <v>18453</v>
      </c>
      <c r="F1273" s="5" t="s">
        <v>7635</v>
      </c>
      <c r="G1273" s="5"/>
      <c r="H1273" s="5"/>
      <c r="I1273" s="5"/>
      <c r="J1273" s="5"/>
      <c r="K1273" s="5"/>
      <c r="L1273" s="5"/>
      <c r="M1273" s="5"/>
      <c r="N1273" s="5"/>
      <c r="O1273" s="5"/>
      <c r="P1273" s="5"/>
      <c r="Q1273" s="5"/>
      <c r="AL1273" s="7" t="str">
        <f>HYPERLINK("http://dx.doi.org/10.1016/j.agee.2022.107868","http://dx.doi.org/10.1016/j.agee.2022.107868")</f>
        <v>http://dx.doi.org/10.1016/j.agee.2022.107868</v>
      </c>
      <c r="AM1273" s="5">
        <v>1</v>
      </c>
      <c r="AN1273" s="5">
        <v>1</v>
      </c>
      <c r="AO1273" s="5">
        <v>329</v>
      </c>
      <c r="AP1273" s="5" t="s">
        <v>16</v>
      </c>
      <c r="AQ1273" s="5" t="s">
        <v>16</v>
      </c>
      <c r="AR1273" s="5" t="s">
        <v>16</v>
      </c>
      <c r="AS1273" s="5">
        <v>107868</v>
      </c>
      <c r="AT1273" s="5" t="s">
        <v>7633</v>
      </c>
      <c r="AU1273" s="5" t="s">
        <v>7634</v>
      </c>
      <c r="AV1273" s="5" t="s">
        <v>7636</v>
      </c>
    </row>
    <row r="1274" spans="1:48" ht="45" customHeight="1" x14ac:dyDescent="0.15">
      <c r="A1274" s="5" t="s">
        <v>7637</v>
      </c>
      <c r="B1274" s="5">
        <v>2022</v>
      </c>
      <c r="C1274" s="5" t="s">
        <v>7638</v>
      </c>
      <c r="D1274" s="5" t="s">
        <v>116</v>
      </c>
      <c r="E1274" s="5" t="s">
        <v>18453</v>
      </c>
      <c r="F1274" s="5" t="s">
        <v>7641</v>
      </c>
      <c r="G1274" s="5"/>
      <c r="H1274" s="5"/>
      <c r="I1274" s="5"/>
      <c r="J1274" s="5"/>
      <c r="K1274" s="5"/>
      <c r="L1274" s="5"/>
      <c r="M1274" s="5"/>
      <c r="N1274" s="5"/>
      <c r="O1274" s="5"/>
      <c r="P1274" s="5"/>
      <c r="Q1274" s="5"/>
      <c r="AL1274" s="7" t="str">
        <f>HYPERLINK("http://dx.doi.org/10.1007/s10641-022-01215-x","http://dx.doi.org/10.1007/s10641-022-01215-x")</f>
        <v>http://dx.doi.org/10.1007/s10641-022-01215-x</v>
      </c>
      <c r="AM1274" s="5">
        <v>3</v>
      </c>
      <c r="AN1274" s="5">
        <v>3</v>
      </c>
      <c r="AO1274" s="5">
        <v>105</v>
      </c>
      <c r="AP1274" s="5">
        <v>12</v>
      </c>
      <c r="AQ1274" s="5">
        <v>1909</v>
      </c>
      <c r="AR1274" s="5">
        <v>1918</v>
      </c>
      <c r="AS1274" s="5" t="s">
        <v>16</v>
      </c>
      <c r="AT1274" s="5" t="s">
        <v>7639</v>
      </c>
      <c r="AU1274" s="5" t="s">
        <v>7640</v>
      </c>
      <c r="AV1274" s="5" t="s">
        <v>7642</v>
      </c>
    </row>
    <row r="1275" spans="1:48" ht="45" customHeight="1" x14ac:dyDescent="0.15">
      <c r="A1275" s="5" t="s">
        <v>7643</v>
      </c>
      <c r="B1275" s="5">
        <v>2022</v>
      </c>
      <c r="C1275" s="5" t="s">
        <v>7644</v>
      </c>
      <c r="D1275" s="5" t="s">
        <v>82</v>
      </c>
      <c r="E1275" s="5" t="s">
        <v>18453</v>
      </c>
      <c r="F1275" s="5" t="s">
        <v>7647</v>
      </c>
      <c r="G1275" s="5"/>
      <c r="H1275" s="5"/>
      <c r="I1275" s="5"/>
      <c r="J1275" s="5"/>
      <c r="K1275" s="5"/>
      <c r="L1275" s="5"/>
      <c r="M1275" s="5"/>
      <c r="N1275" s="5"/>
      <c r="O1275" s="5"/>
      <c r="P1275" s="5"/>
      <c r="Q1275" s="5"/>
      <c r="AL1275" s="7" t="str">
        <f>HYPERLINK("http://dx.doi.org/10.1002/eap.2488","http://dx.doi.org/10.1002/eap.2488")</f>
        <v>http://dx.doi.org/10.1002/eap.2488</v>
      </c>
      <c r="AM1275" s="5">
        <v>2</v>
      </c>
      <c r="AN1275" s="5">
        <v>2</v>
      </c>
      <c r="AO1275" s="5">
        <v>32</v>
      </c>
      <c r="AP1275" s="5">
        <v>1</v>
      </c>
      <c r="AQ1275" s="5" t="s">
        <v>16</v>
      </c>
      <c r="AR1275" s="5" t="s">
        <v>16</v>
      </c>
      <c r="AS1275" s="5" t="s">
        <v>7648</v>
      </c>
      <c r="AT1275" s="5" t="s">
        <v>7645</v>
      </c>
      <c r="AU1275" s="5" t="s">
        <v>7646</v>
      </c>
      <c r="AV1275" s="5" t="s">
        <v>7649</v>
      </c>
    </row>
    <row r="1276" spans="1:48" ht="45" customHeight="1" x14ac:dyDescent="0.15">
      <c r="A1276" s="5" t="s">
        <v>7650</v>
      </c>
      <c r="B1276" s="5">
        <v>2016</v>
      </c>
      <c r="C1276" s="5" t="s">
        <v>7651</v>
      </c>
      <c r="D1276" s="5" t="s">
        <v>27</v>
      </c>
      <c r="E1276" s="5" t="s">
        <v>18453</v>
      </c>
      <c r="F1276" s="5" t="s">
        <v>7654</v>
      </c>
      <c r="G1276" s="5"/>
      <c r="H1276" s="5"/>
      <c r="I1276" s="5"/>
      <c r="J1276" s="5"/>
      <c r="K1276" s="5"/>
      <c r="L1276" s="5"/>
      <c r="M1276" s="5"/>
      <c r="N1276" s="5"/>
      <c r="O1276" s="5"/>
      <c r="P1276" s="5"/>
      <c r="Q1276" s="5"/>
      <c r="AL1276" s="7" t="str">
        <f>HYPERLINK("http://dx.doi.org/10.1002/ecy.1541","http://dx.doi.org/10.1002/ecy.1541")</f>
        <v>http://dx.doi.org/10.1002/ecy.1541</v>
      </c>
      <c r="AM1276" s="5">
        <v>36</v>
      </c>
      <c r="AN1276" s="5">
        <v>40</v>
      </c>
      <c r="AO1276" s="5">
        <v>97</v>
      </c>
      <c r="AP1276" s="5">
        <v>11</v>
      </c>
      <c r="AQ1276" s="5">
        <v>2964</v>
      </c>
      <c r="AR1276" s="5">
        <v>2974</v>
      </c>
      <c r="AS1276" s="5" t="s">
        <v>16</v>
      </c>
      <c r="AT1276" s="5" t="s">
        <v>7652</v>
      </c>
      <c r="AU1276" s="5" t="s">
        <v>7653</v>
      </c>
      <c r="AV1276" s="5" t="s">
        <v>7655</v>
      </c>
    </row>
    <row r="1277" spans="1:48" ht="45" customHeight="1" x14ac:dyDescent="0.15">
      <c r="A1277" s="5" t="s">
        <v>7656</v>
      </c>
      <c r="B1277" s="5">
        <v>2013</v>
      </c>
      <c r="C1277" s="5" t="s">
        <v>7657</v>
      </c>
      <c r="D1277" s="5" t="s">
        <v>17</v>
      </c>
      <c r="E1277" s="5" t="s">
        <v>18453</v>
      </c>
      <c r="F1277" s="5" t="s">
        <v>7660</v>
      </c>
      <c r="G1277" s="5"/>
      <c r="H1277" s="5"/>
      <c r="I1277" s="5"/>
      <c r="J1277" s="5"/>
      <c r="K1277" s="5"/>
      <c r="L1277" s="5"/>
      <c r="M1277" s="5"/>
      <c r="N1277" s="5"/>
      <c r="O1277" s="5"/>
      <c r="P1277" s="5"/>
      <c r="Q1277" s="5"/>
      <c r="AL1277" s="7" t="str">
        <f>HYPERLINK("http://dx.doi.org/10.1111/fwb.12040","http://dx.doi.org/10.1111/fwb.12040")</f>
        <v>http://dx.doi.org/10.1111/fwb.12040</v>
      </c>
      <c r="AM1277" s="5">
        <v>11</v>
      </c>
      <c r="AN1277" s="5">
        <v>11</v>
      </c>
      <c r="AO1277" s="5">
        <v>58</v>
      </c>
      <c r="AP1277" s="5">
        <v>1</v>
      </c>
      <c r="AQ1277" s="5">
        <v>79</v>
      </c>
      <c r="AR1277" s="5">
        <v>87</v>
      </c>
      <c r="AS1277" s="5" t="s">
        <v>16</v>
      </c>
      <c r="AT1277" s="5" t="s">
        <v>7658</v>
      </c>
      <c r="AU1277" s="5" t="s">
        <v>7659</v>
      </c>
      <c r="AV1277" s="5" t="s">
        <v>7661</v>
      </c>
    </row>
    <row r="1278" spans="1:48" ht="45" customHeight="1" x14ac:dyDescent="0.15">
      <c r="A1278" s="5" t="s">
        <v>7662</v>
      </c>
      <c r="B1278" s="5">
        <v>2008</v>
      </c>
      <c r="C1278" s="5" t="s">
        <v>7663</v>
      </c>
      <c r="D1278" s="5" t="s">
        <v>124</v>
      </c>
      <c r="E1278" s="5" t="s">
        <v>18453</v>
      </c>
      <c r="F1278" s="5" t="s">
        <v>7666</v>
      </c>
      <c r="G1278" s="5"/>
      <c r="H1278" s="5"/>
      <c r="I1278" s="5"/>
      <c r="J1278" s="5"/>
      <c r="K1278" s="5"/>
      <c r="L1278" s="5"/>
      <c r="M1278" s="5"/>
      <c r="N1278" s="5"/>
      <c r="O1278" s="5"/>
      <c r="P1278" s="5"/>
      <c r="Q1278" s="5"/>
      <c r="AL1278" s="7" t="str">
        <f>HYPERLINK("http://dx.doi.org/10.1086/592868","http://dx.doi.org/10.1086/592868")</f>
        <v>http://dx.doi.org/10.1086/592868</v>
      </c>
      <c r="AM1278" s="5">
        <v>66</v>
      </c>
      <c r="AN1278" s="5">
        <v>67</v>
      </c>
      <c r="AO1278" s="5">
        <v>172</v>
      </c>
      <c r="AP1278" s="5">
        <v>6</v>
      </c>
      <c r="AQ1278" s="5">
        <v>761</v>
      </c>
      <c r="AR1278" s="5">
        <v>771</v>
      </c>
      <c r="AS1278" s="5" t="s">
        <v>16</v>
      </c>
      <c r="AT1278" s="5" t="s">
        <v>7664</v>
      </c>
      <c r="AU1278" s="5" t="s">
        <v>7665</v>
      </c>
      <c r="AV1278" s="5" t="s">
        <v>7667</v>
      </c>
    </row>
    <row r="1279" spans="1:48" ht="45" customHeight="1" x14ac:dyDescent="0.15">
      <c r="A1279" s="5" t="s">
        <v>7668</v>
      </c>
      <c r="B1279" s="5">
        <v>1994</v>
      </c>
      <c r="C1279" s="5" t="s">
        <v>7669</v>
      </c>
      <c r="D1279" s="5" t="s">
        <v>49</v>
      </c>
      <c r="E1279" s="5" t="s">
        <v>18453</v>
      </c>
      <c r="F1279" s="5" t="s">
        <v>7672</v>
      </c>
      <c r="G1279" s="5"/>
      <c r="H1279" s="5"/>
      <c r="I1279" s="5"/>
      <c r="J1279" s="5"/>
      <c r="K1279" s="5"/>
      <c r="L1279" s="5"/>
      <c r="M1279" s="5"/>
      <c r="N1279" s="5"/>
      <c r="O1279" s="5"/>
      <c r="P1279" s="5"/>
      <c r="Q1279" s="5"/>
      <c r="AL1279" s="7" t="str">
        <f>HYPERLINK("http://dx.doi.org/10.3354/meps103239","http://dx.doi.org/10.3354/meps103239")</f>
        <v>http://dx.doi.org/10.3354/meps103239</v>
      </c>
      <c r="AM1279" s="5">
        <v>12</v>
      </c>
      <c r="AN1279" s="5">
        <v>13</v>
      </c>
      <c r="AO1279" s="5">
        <v>103</v>
      </c>
      <c r="AP1279" s="5">
        <v>3</v>
      </c>
      <c r="AQ1279" s="5">
        <v>239</v>
      </c>
      <c r="AR1279" s="5">
        <v>250</v>
      </c>
      <c r="AS1279" s="5" t="s">
        <v>16</v>
      </c>
      <c r="AT1279" s="5" t="s">
        <v>7670</v>
      </c>
      <c r="AU1279" s="5" t="s">
        <v>7671</v>
      </c>
      <c r="AV1279" s="5" t="s">
        <v>7673</v>
      </c>
    </row>
    <row r="1280" spans="1:48" ht="45" customHeight="1" x14ac:dyDescent="0.15">
      <c r="A1280" s="5" t="s">
        <v>7674</v>
      </c>
      <c r="B1280" s="5">
        <v>2021</v>
      </c>
      <c r="C1280" s="5" t="s">
        <v>7675</v>
      </c>
      <c r="D1280" s="5" t="s">
        <v>62</v>
      </c>
      <c r="E1280" s="5" t="s">
        <v>18453</v>
      </c>
      <c r="F1280" s="5" t="s">
        <v>7678</v>
      </c>
      <c r="G1280" s="5"/>
      <c r="H1280" s="5"/>
      <c r="I1280" s="5"/>
      <c r="J1280" s="5"/>
      <c r="K1280" s="5"/>
      <c r="L1280" s="5"/>
      <c r="M1280" s="5"/>
      <c r="N1280" s="5"/>
      <c r="O1280" s="5"/>
      <c r="P1280" s="5"/>
      <c r="Q1280" s="5"/>
      <c r="AL1280" s="7" t="str">
        <f>HYPERLINK("http://dx.doi.org/10.1007/s10021-020-00578-5","http://dx.doi.org/10.1007/s10021-020-00578-5")</f>
        <v>http://dx.doi.org/10.1007/s10021-020-00578-5</v>
      </c>
      <c r="AM1280" s="5">
        <v>4</v>
      </c>
      <c r="AN1280" s="5">
        <v>4</v>
      </c>
      <c r="AO1280" s="5">
        <v>24</v>
      </c>
      <c r="AP1280" s="5">
        <v>5</v>
      </c>
      <c r="AQ1280" s="5">
        <v>1203</v>
      </c>
      <c r="AR1280" s="5">
        <v>1221</v>
      </c>
      <c r="AS1280" s="5" t="s">
        <v>16</v>
      </c>
      <c r="AT1280" s="5" t="s">
        <v>7676</v>
      </c>
      <c r="AU1280" s="5" t="s">
        <v>7677</v>
      </c>
      <c r="AV1280" s="5" t="s">
        <v>7679</v>
      </c>
    </row>
    <row r="1281" spans="1:48" ht="45" customHeight="1" x14ac:dyDescent="0.15">
      <c r="A1281" s="5" t="s">
        <v>7680</v>
      </c>
      <c r="B1281" s="5">
        <v>2015</v>
      </c>
      <c r="C1281" s="5" t="s">
        <v>7681</v>
      </c>
      <c r="D1281" s="5" t="s">
        <v>189</v>
      </c>
      <c r="E1281" s="5" t="s">
        <v>18453</v>
      </c>
      <c r="F1281" s="5" t="s">
        <v>7683</v>
      </c>
      <c r="G1281" s="5"/>
      <c r="H1281" s="5"/>
      <c r="I1281" s="5"/>
      <c r="J1281" s="5"/>
      <c r="K1281" s="5"/>
      <c r="L1281" s="5"/>
      <c r="M1281" s="5"/>
      <c r="N1281" s="5"/>
      <c r="O1281" s="5"/>
      <c r="P1281" s="5"/>
      <c r="Q1281" s="5"/>
      <c r="AL1281" s="7" t="str">
        <f>HYPERLINK("http://dx.doi.org/10.1111/ecog.01348","http://dx.doi.org/10.1111/ecog.01348")</f>
        <v>http://dx.doi.org/10.1111/ecog.01348</v>
      </c>
      <c r="AM1281" s="5">
        <v>45</v>
      </c>
      <c r="AN1281" s="5">
        <v>46</v>
      </c>
      <c r="AO1281" s="5">
        <v>38</v>
      </c>
      <c r="AP1281" s="5">
        <v>10</v>
      </c>
      <c r="AQ1281" s="5">
        <v>979</v>
      </c>
      <c r="AR1281" s="5">
        <v>985</v>
      </c>
      <c r="AS1281" s="5" t="s">
        <v>16</v>
      </c>
      <c r="AT1281" s="5" t="s">
        <v>16</v>
      </c>
      <c r="AU1281" s="5" t="s">
        <v>7682</v>
      </c>
      <c r="AV1281" s="5" t="s">
        <v>7684</v>
      </c>
    </row>
    <row r="1282" spans="1:48" ht="45" customHeight="1" x14ac:dyDescent="0.15">
      <c r="A1282" s="5" t="s">
        <v>7685</v>
      </c>
      <c r="B1282" s="5">
        <v>2017</v>
      </c>
      <c r="C1282" s="5" t="s">
        <v>7686</v>
      </c>
      <c r="D1282" s="5" t="s">
        <v>259</v>
      </c>
      <c r="E1282" s="5" t="s">
        <v>18453</v>
      </c>
      <c r="F1282" s="5" t="s">
        <v>7689</v>
      </c>
      <c r="G1282" s="5"/>
      <c r="H1282" s="5"/>
      <c r="I1282" s="5"/>
      <c r="J1282" s="5"/>
      <c r="K1282" s="5"/>
      <c r="L1282" s="5"/>
      <c r="M1282" s="5"/>
      <c r="N1282" s="5"/>
      <c r="O1282" s="5"/>
      <c r="P1282" s="5"/>
      <c r="Q1282" s="5"/>
      <c r="AL1282" s="7" t="str">
        <f>HYPERLINK("http://dx.doi.org/10.1002/jwmg.21304","http://dx.doi.org/10.1002/jwmg.21304")</f>
        <v>http://dx.doi.org/10.1002/jwmg.21304</v>
      </c>
      <c r="AM1282" s="5">
        <v>16</v>
      </c>
      <c r="AN1282" s="5">
        <v>16</v>
      </c>
      <c r="AO1282" s="5">
        <v>81</v>
      </c>
      <c r="AP1282" s="5">
        <v>7</v>
      </c>
      <c r="AQ1282" s="5">
        <v>1161</v>
      </c>
      <c r="AR1282" s="5">
        <v>1169</v>
      </c>
      <c r="AS1282" s="5" t="s">
        <v>16</v>
      </c>
      <c r="AT1282" s="5" t="s">
        <v>7687</v>
      </c>
      <c r="AU1282" s="5" t="s">
        <v>7688</v>
      </c>
      <c r="AV1282" s="5" t="s">
        <v>7690</v>
      </c>
    </row>
    <row r="1283" spans="1:48" ht="45" customHeight="1" x14ac:dyDescent="0.15">
      <c r="A1283" s="5" t="s">
        <v>7691</v>
      </c>
      <c r="B1283" s="5">
        <v>2006</v>
      </c>
      <c r="C1283" s="5" t="s">
        <v>7692</v>
      </c>
      <c r="D1283" s="5" t="s">
        <v>49</v>
      </c>
      <c r="E1283" s="5" t="s">
        <v>18453</v>
      </c>
      <c r="F1283" s="5" t="s">
        <v>7695</v>
      </c>
      <c r="G1283" s="5"/>
      <c r="H1283" s="5"/>
      <c r="I1283" s="5"/>
      <c r="J1283" s="5"/>
      <c r="K1283" s="5"/>
      <c r="L1283" s="5"/>
      <c r="M1283" s="5"/>
      <c r="N1283" s="5"/>
      <c r="O1283" s="5"/>
      <c r="P1283" s="5"/>
      <c r="Q1283" s="5"/>
      <c r="AL1283" s="5" t="s">
        <v>16</v>
      </c>
      <c r="AM1283" s="5">
        <v>5</v>
      </c>
      <c r="AN1283" s="5">
        <v>5</v>
      </c>
      <c r="AO1283" s="5">
        <v>313</v>
      </c>
      <c r="AP1283" s="5" t="s">
        <v>16</v>
      </c>
      <c r="AQ1283" s="5">
        <v>241</v>
      </c>
      <c r="AR1283" s="5">
        <v>247</v>
      </c>
      <c r="AS1283" s="5" t="s">
        <v>16</v>
      </c>
      <c r="AT1283" s="5" t="s">
        <v>7693</v>
      </c>
      <c r="AU1283" s="5" t="s">
        <v>7694</v>
      </c>
      <c r="AV1283" s="5" t="s">
        <v>16</v>
      </c>
    </row>
    <row r="1284" spans="1:48" ht="45" customHeight="1" x14ac:dyDescent="0.15">
      <c r="A1284" s="5" t="s">
        <v>7696</v>
      </c>
      <c r="B1284" s="5">
        <v>2009</v>
      </c>
      <c r="C1284" s="5" t="s">
        <v>7697</v>
      </c>
      <c r="D1284" s="5" t="s">
        <v>27</v>
      </c>
      <c r="E1284" s="5" t="s">
        <v>18453</v>
      </c>
      <c r="F1284" s="5" t="s">
        <v>7700</v>
      </c>
      <c r="G1284" s="5"/>
      <c r="H1284" s="5"/>
      <c r="I1284" s="5"/>
      <c r="J1284" s="5"/>
      <c r="K1284" s="5"/>
      <c r="L1284" s="5"/>
      <c r="M1284" s="5"/>
      <c r="N1284" s="5"/>
      <c r="O1284" s="5"/>
      <c r="P1284" s="5"/>
      <c r="Q1284" s="5"/>
      <c r="AL1284" s="7" t="str">
        <f>HYPERLINK("http://dx.doi.org/10.1890/08-2377.1","http://dx.doi.org/10.1890/08-2377.1")</f>
        <v>http://dx.doi.org/10.1890/08-2377.1</v>
      </c>
      <c r="AM1284" s="5">
        <v>16</v>
      </c>
      <c r="AN1284" s="5">
        <v>16</v>
      </c>
      <c r="AO1284" s="5">
        <v>90</v>
      </c>
      <c r="AP1284" s="5">
        <v>11</v>
      </c>
      <c r="AQ1284" s="5">
        <v>3099</v>
      </c>
      <c r="AR1284" s="5">
        <v>3107</v>
      </c>
      <c r="AS1284" s="5" t="s">
        <v>16</v>
      </c>
      <c r="AT1284" s="5" t="s">
        <v>7698</v>
      </c>
      <c r="AU1284" s="5" t="s">
        <v>7699</v>
      </c>
      <c r="AV1284" s="5" t="s">
        <v>7701</v>
      </c>
    </row>
    <row r="1285" spans="1:48" ht="45" customHeight="1" x14ac:dyDescent="0.15">
      <c r="A1285" s="5" t="s">
        <v>7702</v>
      </c>
      <c r="B1285" s="5">
        <v>2005</v>
      </c>
      <c r="C1285" s="5" t="s">
        <v>7703</v>
      </c>
      <c r="D1285" s="5" t="s">
        <v>17</v>
      </c>
      <c r="E1285" s="5" t="s">
        <v>18453</v>
      </c>
      <c r="F1285" s="5" t="s">
        <v>7706</v>
      </c>
      <c r="G1285" s="5"/>
      <c r="H1285" s="5"/>
      <c r="I1285" s="5"/>
      <c r="J1285" s="5"/>
      <c r="K1285" s="5"/>
      <c r="L1285" s="5"/>
      <c r="M1285" s="5"/>
      <c r="N1285" s="5"/>
      <c r="O1285" s="5"/>
      <c r="P1285" s="5"/>
      <c r="Q1285" s="5"/>
      <c r="AL1285" s="7" t="str">
        <f>HYPERLINK("http://dx.doi.org/10.1111/j.1365-2427.2005.01361.x","http://dx.doi.org/10.1111/j.1365-2427.2005.01361.x")</f>
        <v>http://dx.doi.org/10.1111/j.1365-2427.2005.01361.x</v>
      </c>
      <c r="AM1285" s="5">
        <v>27</v>
      </c>
      <c r="AN1285" s="5">
        <v>29</v>
      </c>
      <c r="AO1285" s="5">
        <v>50</v>
      </c>
      <c r="AP1285" s="5">
        <v>5</v>
      </c>
      <c r="AQ1285" s="5">
        <v>798</v>
      </c>
      <c r="AR1285" s="5">
        <v>812</v>
      </c>
      <c r="AS1285" s="5" t="s">
        <v>16</v>
      </c>
      <c r="AT1285" s="5" t="s">
        <v>7704</v>
      </c>
      <c r="AU1285" s="5" t="s">
        <v>7705</v>
      </c>
      <c r="AV1285" s="5" t="s">
        <v>7707</v>
      </c>
    </row>
    <row r="1286" spans="1:48" ht="45" customHeight="1" x14ac:dyDescent="0.15">
      <c r="A1286" s="5" t="s">
        <v>7708</v>
      </c>
      <c r="B1286" s="5">
        <v>2021</v>
      </c>
      <c r="C1286" s="5" t="s">
        <v>7709</v>
      </c>
      <c r="D1286" s="5" t="s">
        <v>123</v>
      </c>
      <c r="E1286" s="5" t="s">
        <v>18453</v>
      </c>
      <c r="F1286" s="5" t="s">
        <v>7712</v>
      </c>
      <c r="G1286" s="5"/>
      <c r="H1286" s="5"/>
      <c r="I1286" s="5"/>
      <c r="J1286" s="5"/>
      <c r="K1286" s="5"/>
      <c r="L1286" s="5"/>
      <c r="M1286" s="5"/>
      <c r="N1286" s="5"/>
      <c r="O1286" s="5"/>
      <c r="P1286" s="5"/>
      <c r="Q1286" s="5"/>
      <c r="AL1286" s="7" t="str">
        <f>HYPERLINK("http://dx.doi.org/10.1111/ddi.13373","http://dx.doi.org/10.1111/ddi.13373")</f>
        <v>http://dx.doi.org/10.1111/ddi.13373</v>
      </c>
      <c r="AM1286" s="5">
        <v>7</v>
      </c>
      <c r="AN1286" s="5">
        <v>7</v>
      </c>
      <c r="AO1286" s="5">
        <v>27</v>
      </c>
      <c r="AP1286" s="5">
        <v>9</v>
      </c>
      <c r="AQ1286" s="5">
        <v>1848</v>
      </c>
      <c r="AR1286" s="5">
        <v>1860</v>
      </c>
      <c r="AS1286" s="5" t="s">
        <v>16</v>
      </c>
      <c r="AT1286" s="5" t="s">
        <v>7710</v>
      </c>
      <c r="AU1286" s="5" t="s">
        <v>7711</v>
      </c>
      <c r="AV1286" s="5" t="s">
        <v>7713</v>
      </c>
    </row>
    <row r="1287" spans="1:48" ht="45" customHeight="1" x14ac:dyDescent="0.15">
      <c r="A1287" s="5" t="s">
        <v>7714</v>
      </c>
      <c r="B1287" s="5">
        <v>2015</v>
      </c>
      <c r="C1287" s="5" t="s">
        <v>7715</v>
      </c>
      <c r="D1287" s="5" t="s">
        <v>77</v>
      </c>
      <c r="E1287" s="5" t="s">
        <v>18453</v>
      </c>
      <c r="F1287" s="5" t="s">
        <v>7718</v>
      </c>
      <c r="G1287" s="5"/>
      <c r="H1287" s="5"/>
      <c r="I1287" s="5"/>
      <c r="J1287" s="5"/>
      <c r="K1287" s="5"/>
      <c r="L1287" s="5"/>
      <c r="M1287" s="5"/>
      <c r="N1287" s="5"/>
      <c r="O1287" s="5"/>
      <c r="P1287" s="5"/>
      <c r="Q1287" s="5"/>
      <c r="AL1287" s="7" t="str">
        <f>HYPERLINK("http://dx.doi.org/10.1111/1365-2656.12405","http://dx.doi.org/10.1111/1365-2656.12405")</f>
        <v>http://dx.doi.org/10.1111/1365-2656.12405</v>
      </c>
      <c r="AM1287" s="5">
        <v>21</v>
      </c>
      <c r="AN1287" s="5">
        <v>21</v>
      </c>
      <c r="AO1287" s="5">
        <v>84</v>
      </c>
      <c r="AP1287" s="5">
        <v>6</v>
      </c>
      <c r="AQ1287" s="5">
        <v>1618</v>
      </c>
      <c r="AR1287" s="5">
        <v>1627</v>
      </c>
      <c r="AS1287" s="5" t="s">
        <v>16</v>
      </c>
      <c r="AT1287" s="5" t="s">
        <v>7716</v>
      </c>
      <c r="AU1287" s="5" t="s">
        <v>7717</v>
      </c>
      <c r="AV1287" s="5" t="s">
        <v>7719</v>
      </c>
    </row>
    <row r="1288" spans="1:48" ht="45" customHeight="1" x14ac:dyDescent="0.15">
      <c r="A1288" s="5" t="s">
        <v>7720</v>
      </c>
      <c r="B1288" s="5">
        <v>2012</v>
      </c>
      <c r="C1288" s="5" t="s">
        <v>7721</v>
      </c>
      <c r="D1288" s="5" t="s">
        <v>163</v>
      </c>
      <c r="E1288" s="5" t="s">
        <v>18453</v>
      </c>
      <c r="F1288" s="5" t="s">
        <v>7724</v>
      </c>
      <c r="G1288" s="5"/>
      <c r="H1288" s="5"/>
      <c r="I1288" s="5"/>
      <c r="J1288" s="5"/>
      <c r="K1288" s="5"/>
      <c r="L1288" s="5"/>
      <c r="M1288" s="5"/>
      <c r="N1288" s="5"/>
      <c r="O1288" s="5"/>
      <c r="P1288" s="5"/>
      <c r="Q1288" s="5"/>
      <c r="AL1288" s="7" t="str">
        <f>HYPERLINK("http://dx.doi.org/10.1080/02757540.2011.619529","http://dx.doi.org/10.1080/02757540.2011.619529")</f>
        <v>http://dx.doi.org/10.1080/02757540.2011.619529</v>
      </c>
      <c r="AM1288" s="5">
        <v>13</v>
      </c>
      <c r="AN1288" s="5">
        <v>13</v>
      </c>
      <c r="AO1288" s="5">
        <v>28</v>
      </c>
      <c r="AP1288" s="5">
        <v>1</v>
      </c>
      <c r="AQ1288" s="5">
        <v>1</v>
      </c>
      <c r="AR1288" s="5">
        <v>15</v>
      </c>
      <c r="AS1288" s="5" t="s">
        <v>16</v>
      </c>
      <c r="AT1288" s="5" t="s">
        <v>7722</v>
      </c>
      <c r="AU1288" s="5" t="s">
        <v>7723</v>
      </c>
      <c r="AV1288" s="5" t="s">
        <v>7725</v>
      </c>
    </row>
    <row r="1289" spans="1:48" ht="45" customHeight="1" x14ac:dyDescent="0.15">
      <c r="A1289" s="5" t="s">
        <v>7726</v>
      </c>
      <c r="B1289" s="5">
        <v>2011</v>
      </c>
      <c r="C1289" s="5" t="s">
        <v>7727</v>
      </c>
      <c r="D1289" s="5" t="s">
        <v>33</v>
      </c>
      <c r="E1289" s="5" t="s">
        <v>18453</v>
      </c>
      <c r="F1289" s="5" t="s">
        <v>7730</v>
      </c>
      <c r="G1289" s="5"/>
      <c r="H1289" s="5"/>
      <c r="I1289" s="5"/>
      <c r="J1289" s="5"/>
      <c r="K1289" s="5"/>
      <c r="L1289" s="5"/>
      <c r="M1289" s="5"/>
      <c r="N1289" s="5"/>
      <c r="O1289" s="5"/>
      <c r="P1289" s="5"/>
      <c r="Q1289" s="5"/>
      <c r="AL1289" s="7" t="str">
        <f>HYPERLINK("http://dx.doi.org/10.1111/j.1365-2486.2011.02411.x","http://dx.doi.org/10.1111/j.1365-2486.2011.02411.x")</f>
        <v>http://dx.doi.org/10.1111/j.1365-2486.2011.02411.x</v>
      </c>
      <c r="AM1289" s="5">
        <v>202</v>
      </c>
      <c r="AN1289" s="5">
        <v>207</v>
      </c>
      <c r="AO1289" s="5">
        <v>17</v>
      </c>
      <c r="AP1289" s="5">
        <v>7</v>
      </c>
      <c r="AQ1289" s="5">
        <v>2488</v>
      </c>
      <c r="AR1289" s="5">
        <v>2497</v>
      </c>
      <c r="AS1289" s="5" t="s">
        <v>16</v>
      </c>
      <c r="AT1289" s="5" t="s">
        <v>7728</v>
      </c>
      <c r="AU1289" s="5" t="s">
        <v>7729</v>
      </c>
      <c r="AV1289" s="5" t="s">
        <v>7731</v>
      </c>
    </row>
    <row r="1290" spans="1:48" ht="45" customHeight="1" x14ac:dyDescent="0.15">
      <c r="A1290" s="5" t="s">
        <v>7732</v>
      </c>
      <c r="B1290" s="5">
        <v>2018</v>
      </c>
      <c r="C1290" s="5" t="s">
        <v>7733</v>
      </c>
      <c r="D1290" s="5" t="s">
        <v>262</v>
      </c>
      <c r="E1290" s="5" t="s">
        <v>18453</v>
      </c>
      <c r="F1290" s="5" t="s">
        <v>7736</v>
      </c>
      <c r="G1290" s="5"/>
      <c r="H1290" s="5"/>
      <c r="I1290" s="5"/>
      <c r="J1290" s="5"/>
      <c r="K1290" s="5"/>
      <c r="L1290" s="5"/>
      <c r="M1290" s="5"/>
      <c r="N1290" s="5"/>
      <c r="O1290" s="5"/>
      <c r="P1290" s="5"/>
      <c r="Q1290" s="5"/>
      <c r="AL1290" s="7" t="str">
        <f>HYPERLINK("http://dx.doi.org/10.1111/oik.04696","http://dx.doi.org/10.1111/oik.04696")</f>
        <v>http://dx.doi.org/10.1111/oik.04696</v>
      </c>
      <c r="AM1290" s="5">
        <v>33</v>
      </c>
      <c r="AN1290" s="5">
        <v>34</v>
      </c>
      <c r="AO1290" s="5">
        <v>127</v>
      </c>
      <c r="AP1290" s="5">
        <v>7</v>
      </c>
      <c r="AQ1290" s="5">
        <v>960</v>
      </c>
      <c r="AR1290" s="5">
        <v>969</v>
      </c>
      <c r="AS1290" s="5" t="s">
        <v>16</v>
      </c>
      <c r="AT1290" s="5" t="s">
        <v>7734</v>
      </c>
      <c r="AU1290" s="5" t="s">
        <v>7735</v>
      </c>
      <c r="AV1290" s="5" t="s">
        <v>7737</v>
      </c>
    </row>
    <row r="1291" spans="1:48" ht="45" customHeight="1" x14ac:dyDescent="0.15">
      <c r="A1291" s="5" t="s">
        <v>7738</v>
      </c>
      <c r="B1291" s="5">
        <v>2016</v>
      </c>
      <c r="C1291" s="5" t="s">
        <v>7739</v>
      </c>
      <c r="D1291" s="5" t="s">
        <v>18</v>
      </c>
      <c r="E1291" s="5" t="s">
        <v>18453</v>
      </c>
      <c r="F1291" s="5" t="s">
        <v>7742</v>
      </c>
      <c r="G1291" s="5"/>
      <c r="H1291" s="5"/>
      <c r="I1291" s="5"/>
      <c r="J1291" s="5"/>
      <c r="K1291" s="5"/>
      <c r="L1291" s="5"/>
      <c r="M1291" s="5"/>
      <c r="N1291" s="5"/>
      <c r="O1291" s="5"/>
      <c r="P1291" s="5"/>
      <c r="Q1291" s="5"/>
      <c r="AL1291" s="7" t="str">
        <f>HYPERLINK("http://dx.doi.org/10.1002/ecs2.1469","http://dx.doi.org/10.1002/ecs2.1469")</f>
        <v>http://dx.doi.org/10.1002/ecs2.1469</v>
      </c>
      <c r="AM1291" s="5">
        <v>32</v>
      </c>
      <c r="AN1291" s="5">
        <v>38</v>
      </c>
      <c r="AO1291" s="5">
        <v>7</v>
      </c>
      <c r="AP1291" s="5">
        <v>10</v>
      </c>
      <c r="AQ1291" s="5" t="s">
        <v>16</v>
      </c>
      <c r="AR1291" s="5" t="s">
        <v>16</v>
      </c>
      <c r="AS1291" s="5" t="s">
        <v>7743</v>
      </c>
      <c r="AT1291" s="5" t="s">
        <v>7740</v>
      </c>
      <c r="AU1291" s="5" t="s">
        <v>7741</v>
      </c>
      <c r="AV1291" s="5" t="s">
        <v>7744</v>
      </c>
    </row>
    <row r="1292" spans="1:48" ht="45" customHeight="1" x14ac:dyDescent="0.15">
      <c r="A1292" s="5" t="s">
        <v>7745</v>
      </c>
      <c r="B1292" s="5">
        <v>2001</v>
      </c>
      <c r="C1292" s="5" t="s">
        <v>7746</v>
      </c>
      <c r="D1292" s="5" t="s">
        <v>3183</v>
      </c>
      <c r="E1292" s="5" t="s">
        <v>18453</v>
      </c>
      <c r="F1292" s="5" t="s">
        <v>7749</v>
      </c>
      <c r="G1292" s="5"/>
      <c r="H1292" s="5"/>
      <c r="I1292" s="5"/>
      <c r="J1292" s="5"/>
      <c r="K1292" s="5"/>
      <c r="L1292" s="5"/>
      <c r="M1292" s="5"/>
      <c r="N1292" s="5"/>
      <c r="O1292" s="5"/>
      <c r="P1292" s="5"/>
      <c r="Q1292" s="5"/>
      <c r="AL1292" s="7" t="str">
        <f>HYPERLINK("http://dx.doi.org/10.1078/0031-4056-00087","http://dx.doi.org/10.1078/0031-4056-00087")</f>
        <v>http://dx.doi.org/10.1078/0031-4056-00087</v>
      </c>
      <c r="AM1292" s="5">
        <v>91</v>
      </c>
      <c r="AN1292" s="5">
        <v>97</v>
      </c>
      <c r="AO1292" s="5">
        <v>45</v>
      </c>
      <c r="AP1292" s="5">
        <v>4</v>
      </c>
      <c r="AQ1292" s="5">
        <v>289</v>
      </c>
      <c r="AR1292" s="5">
        <v>297</v>
      </c>
      <c r="AS1292" s="5" t="s">
        <v>16</v>
      </c>
      <c r="AT1292" s="5" t="s">
        <v>7747</v>
      </c>
      <c r="AU1292" s="5" t="s">
        <v>7748</v>
      </c>
      <c r="AV1292" s="5" t="s">
        <v>7750</v>
      </c>
    </row>
    <row r="1293" spans="1:48" ht="45" customHeight="1" x14ac:dyDescent="0.15">
      <c r="A1293" s="5" t="s">
        <v>7751</v>
      </c>
      <c r="B1293" s="5">
        <v>2004</v>
      </c>
      <c r="C1293" s="5" t="s">
        <v>7752</v>
      </c>
      <c r="D1293" s="5" t="s">
        <v>49</v>
      </c>
      <c r="E1293" s="5" t="s">
        <v>18453</v>
      </c>
      <c r="F1293" s="5" t="s">
        <v>7755</v>
      </c>
      <c r="G1293" s="5"/>
      <c r="H1293" s="5"/>
      <c r="I1293" s="5"/>
      <c r="J1293" s="5"/>
      <c r="K1293" s="5"/>
      <c r="L1293" s="5"/>
      <c r="M1293" s="5"/>
      <c r="N1293" s="5"/>
      <c r="O1293" s="5"/>
      <c r="P1293" s="5"/>
      <c r="Q1293" s="5"/>
      <c r="AL1293" s="7" t="str">
        <f>HYPERLINK("http://dx.doi.org/10.3354/meps281267","http://dx.doi.org/10.3354/meps281267")</f>
        <v>http://dx.doi.org/10.3354/meps281267</v>
      </c>
      <c r="AM1293" s="5">
        <v>46</v>
      </c>
      <c r="AN1293" s="5">
        <v>46</v>
      </c>
      <c r="AO1293" s="5">
        <v>281</v>
      </c>
      <c r="AP1293" s="5" t="s">
        <v>16</v>
      </c>
      <c r="AQ1293" s="5">
        <v>267</v>
      </c>
      <c r="AR1293" s="5">
        <v>273</v>
      </c>
      <c r="AS1293" s="5" t="s">
        <v>16</v>
      </c>
      <c r="AT1293" s="5" t="s">
        <v>7753</v>
      </c>
      <c r="AU1293" s="5" t="s">
        <v>7754</v>
      </c>
      <c r="AV1293" s="5" t="s">
        <v>7756</v>
      </c>
    </row>
    <row r="1294" spans="1:48" ht="45" customHeight="1" x14ac:dyDescent="0.15">
      <c r="A1294" s="5" t="s">
        <v>7757</v>
      </c>
      <c r="B1294" s="5">
        <v>2013</v>
      </c>
      <c r="C1294" s="5" t="s">
        <v>7758</v>
      </c>
      <c r="D1294" s="5" t="s">
        <v>7759</v>
      </c>
      <c r="E1294" s="5" t="s">
        <v>18453</v>
      </c>
      <c r="F1294" s="5" t="s">
        <v>7762</v>
      </c>
      <c r="G1294" s="5"/>
      <c r="H1294" s="5"/>
      <c r="I1294" s="5"/>
      <c r="J1294" s="5"/>
      <c r="K1294" s="5"/>
      <c r="L1294" s="5"/>
      <c r="M1294" s="5"/>
      <c r="N1294" s="5"/>
      <c r="O1294" s="5"/>
      <c r="P1294" s="5"/>
      <c r="Q1294" s="5"/>
      <c r="AL1294" s="7" t="str">
        <f>HYPERLINK("http://dx.doi.org/10.1007/s11258-013-0239-1","http://dx.doi.org/10.1007/s11258-013-0239-1")</f>
        <v>http://dx.doi.org/10.1007/s11258-013-0239-1</v>
      </c>
      <c r="AM1294" s="5">
        <v>20</v>
      </c>
      <c r="AN1294" s="5">
        <v>21</v>
      </c>
      <c r="AO1294" s="5">
        <v>214</v>
      </c>
      <c r="AP1294" s="5">
        <v>9</v>
      </c>
      <c r="AQ1294" s="5">
        <v>1147</v>
      </c>
      <c r="AR1294" s="5">
        <v>1156</v>
      </c>
      <c r="AS1294" s="5" t="s">
        <v>16</v>
      </c>
      <c r="AT1294" s="5" t="s">
        <v>7760</v>
      </c>
      <c r="AU1294" s="5" t="s">
        <v>7761</v>
      </c>
      <c r="AV1294" s="5" t="s">
        <v>7763</v>
      </c>
    </row>
    <row r="1295" spans="1:48" ht="45" customHeight="1" x14ac:dyDescent="0.15">
      <c r="A1295" s="5" t="s">
        <v>7764</v>
      </c>
      <c r="B1295" s="5">
        <v>2015</v>
      </c>
      <c r="C1295" s="5" t="s">
        <v>7765</v>
      </c>
      <c r="D1295" s="5" t="s">
        <v>2990</v>
      </c>
      <c r="E1295" s="5" t="s">
        <v>18453</v>
      </c>
      <c r="F1295" s="5" t="s">
        <v>7768</v>
      </c>
      <c r="G1295" s="5"/>
      <c r="H1295" s="5"/>
      <c r="I1295" s="5"/>
      <c r="J1295" s="5"/>
      <c r="K1295" s="5"/>
      <c r="L1295" s="5"/>
      <c r="M1295" s="5"/>
      <c r="N1295" s="5"/>
      <c r="O1295" s="5"/>
      <c r="P1295" s="5"/>
      <c r="Q1295" s="5"/>
      <c r="AL1295" s="7" t="str">
        <f>HYPERLINK("http://dx.doi.org/10.1111/rec.12259","http://dx.doi.org/10.1111/rec.12259")</f>
        <v>http://dx.doi.org/10.1111/rec.12259</v>
      </c>
      <c r="AM1295" s="5">
        <v>14</v>
      </c>
      <c r="AN1295" s="5">
        <v>14</v>
      </c>
      <c r="AO1295" s="5">
        <v>23</v>
      </c>
      <c r="AP1295" s="5">
        <v>6</v>
      </c>
      <c r="AQ1295" s="5">
        <v>936</v>
      </c>
      <c r="AR1295" s="5">
        <v>946</v>
      </c>
      <c r="AS1295" s="5" t="s">
        <v>16</v>
      </c>
      <c r="AT1295" s="5" t="s">
        <v>7766</v>
      </c>
      <c r="AU1295" s="5" t="s">
        <v>7767</v>
      </c>
      <c r="AV1295" s="5" t="s">
        <v>7769</v>
      </c>
    </row>
    <row r="1296" spans="1:48" ht="45" customHeight="1" x14ac:dyDescent="0.15">
      <c r="A1296" s="5" t="s">
        <v>7770</v>
      </c>
      <c r="B1296" s="5">
        <v>2014</v>
      </c>
      <c r="C1296" s="5" t="s">
        <v>7771</v>
      </c>
      <c r="D1296" s="5" t="s">
        <v>162</v>
      </c>
      <c r="E1296" s="5" t="s">
        <v>18453</v>
      </c>
      <c r="F1296" s="5" t="s">
        <v>7774</v>
      </c>
      <c r="G1296" s="5"/>
      <c r="H1296" s="5"/>
      <c r="I1296" s="5"/>
      <c r="J1296" s="5"/>
      <c r="K1296" s="5"/>
      <c r="L1296" s="5"/>
      <c r="M1296" s="5"/>
      <c r="N1296" s="5"/>
      <c r="O1296" s="5"/>
      <c r="P1296" s="5"/>
      <c r="Q1296" s="5"/>
      <c r="AL1296" s="7" t="str">
        <f>HYPERLINK("http://dx.doi.org/10.1111/1365-2435.12216","http://dx.doi.org/10.1111/1365-2435.12216")</f>
        <v>http://dx.doi.org/10.1111/1365-2435.12216</v>
      </c>
      <c r="AM1296" s="5">
        <v>48</v>
      </c>
      <c r="AN1296" s="5">
        <v>49</v>
      </c>
      <c r="AO1296" s="5">
        <v>28</v>
      </c>
      <c r="AP1296" s="5">
        <v>3</v>
      </c>
      <c r="AQ1296" s="5">
        <v>755</v>
      </c>
      <c r="AR1296" s="5">
        <v>765</v>
      </c>
      <c r="AS1296" s="5" t="s">
        <v>16</v>
      </c>
      <c r="AT1296" s="5" t="s">
        <v>7772</v>
      </c>
      <c r="AU1296" s="5" t="s">
        <v>7773</v>
      </c>
      <c r="AV1296" s="5" t="s">
        <v>7775</v>
      </c>
    </row>
    <row r="1297" spans="1:48" ht="45" customHeight="1" x14ac:dyDescent="0.15">
      <c r="A1297" s="5" t="s">
        <v>7776</v>
      </c>
      <c r="B1297" s="5">
        <v>2022</v>
      </c>
      <c r="C1297" s="5" t="s">
        <v>7777</v>
      </c>
      <c r="D1297" s="5" t="s">
        <v>124</v>
      </c>
      <c r="E1297" s="5" t="s">
        <v>18453</v>
      </c>
      <c r="F1297" s="5" t="s">
        <v>7780</v>
      </c>
      <c r="G1297" s="5"/>
      <c r="H1297" s="5"/>
      <c r="I1297" s="5"/>
      <c r="J1297" s="5"/>
      <c r="K1297" s="5"/>
      <c r="L1297" s="5"/>
      <c r="M1297" s="5"/>
      <c r="N1297" s="5"/>
      <c r="O1297" s="5"/>
      <c r="P1297" s="5"/>
      <c r="Q1297" s="5"/>
      <c r="AL1297" s="7" t="str">
        <f>HYPERLINK("http://dx.doi.org/10.1086/719669","http://dx.doi.org/10.1086/719669")</f>
        <v>http://dx.doi.org/10.1086/719669</v>
      </c>
      <c r="AM1297" s="5">
        <v>0</v>
      </c>
      <c r="AN1297" s="5">
        <v>0</v>
      </c>
      <c r="AO1297" s="5" t="s">
        <v>16</v>
      </c>
      <c r="AP1297" s="5" t="s">
        <v>16</v>
      </c>
      <c r="AQ1297" s="5" t="s">
        <v>16</v>
      </c>
      <c r="AR1297" s="5" t="s">
        <v>16</v>
      </c>
      <c r="AS1297" s="5" t="s">
        <v>16</v>
      </c>
      <c r="AT1297" s="5" t="s">
        <v>7778</v>
      </c>
      <c r="AU1297" s="5" t="s">
        <v>7779</v>
      </c>
      <c r="AV1297" s="5" t="s">
        <v>7781</v>
      </c>
    </row>
    <row r="1298" spans="1:48" ht="45" customHeight="1" x14ac:dyDescent="0.15">
      <c r="A1298" s="5" t="s">
        <v>7782</v>
      </c>
      <c r="B1298" s="5">
        <v>2013</v>
      </c>
      <c r="C1298" s="5" t="s">
        <v>7783</v>
      </c>
      <c r="D1298" s="5" t="s">
        <v>62</v>
      </c>
      <c r="E1298" s="5" t="s">
        <v>18453</v>
      </c>
      <c r="F1298" s="5" t="s">
        <v>7786</v>
      </c>
      <c r="G1298" s="5"/>
      <c r="H1298" s="5"/>
      <c r="I1298" s="5"/>
      <c r="J1298" s="5"/>
      <c r="K1298" s="5"/>
      <c r="L1298" s="5"/>
      <c r="M1298" s="5"/>
      <c r="N1298" s="5"/>
      <c r="O1298" s="5"/>
      <c r="P1298" s="5"/>
      <c r="Q1298" s="5"/>
      <c r="AL1298" s="7" t="str">
        <f>HYPERLINK("http://dx.doi.org/10.1007/s10021-013-9664-1","http://dx.doi.org/10.1007/s10021-013-9664-1")</f>
        <v>http://dx.doi.org/10.1007/s10021-013-9664-1</v>
      </c>
      <c r="AM1298" s="5">
        <v>28</v>
      </c>
      <c r="AN1298" s="5">
        <v>32</v>
      </c>
      <c r="AO1298" s="5">
        <v>16</v>
      </c>
      <c r="AP1298" s="5">
        <v>6</v>
      </c>
      <c r="AQ1298" s="5">
        <v>1013</v>
      </c>
      <c r="AR1298" s="5">
        <v>1024</v>
      </c>
      <c r="AS1298" s="5" t="s">
        <v>16</v>
      </c>
      <c r="AT1298" s="5" t="s">
        <v>7784</v>
      </c>
      <c r="AU1298" s="5" t="s">
        <v>7785</v>
      </c>
      <c r="AV1298" s="5" t="s">
        <v>7787</v>
      </c>
    </row>
    <row r="1299" spans="1:48" ht="45" customHeight="1" x14ac:dyDescent="0.15">
      <c r="A1299" s="5" t="s">
        <v>7788</v>
      </c>
      <c r="B1299" s="5">
        <v>2011</v>
      </c>
      <c r="C1299" s="5" t="s">
        <v>7789</v>
      </c>
      <c r="D1299" s="5" t="s">
        <v>82</v>
      </c>
      <c r="E1299" s="5" t="s">
        <v>18453</v>
      </c>
      <c r="F1299" s="5" t="s">
        <v>7792</v>
      </c>
      <c r="G1299" s="5"/>
      <c r="H1299" s="5"/>
      <c r="I1299" s="5"/>
      <c r="J1299" s="5"/>
      <c r="K1299" s="5"/>
      <c r="L1299" s="5"/>
      <c r="M1299" s="5"/>
      <c r="N1299" s="5"/>
      <c r="O1299" s="5"/>
      <c r="P1299" s="5"/>
      <c r="Q1299" s="5"/>
      <c r="AL1299" s="7" t="str">
        <f>HYPERLINK("http://dx.doi.org/10.1890/09-0906.1","http://dx.doi.org/10.1890/09-0906.1")</f>
        <v>http://dx.doi.org/10.1890/09-0906.1</v>
      </c>
      <c r="AM1299" s="5">
        <v>36</v>
      </c>
      <c r="AN1299" s="5">
        <v>36</v>
      </c>
      <c r="AO1299" s="5">
        <v>21</v>
      </c>
      <c r="AP1299" s="5">
        <v>3</v>
      </c>
      <c r="AQ1299" s="5">
        <v>888</v>
      </c>
      <c r="AR1299" s="5">
        <v>896</v>
      </c>
      <c r="AS1299" s="5" t="s">
        <v>16</v>
      </c>
      <c r="AT1299" s="5" t="s">
        <v>7790</v>
      </c>
      <c r="AU1299" s="5" t="s">
        <v>7791</v>
      </c>
      <c r="AV1299" s="5" t="s">
        <v>7793</v>
      </c>
    </row>
    <row r="1300" spans="1:48" ht="45" customHeight="1" x14ac:dyDescent="0.15">
      <c r="A1300" s="5" t="s">
        <v>7794</v>
      </c>
      <c r="B1300" s="5">
        <v>2015</v>
      </c>
      <c r="C1300" s="5" t="s">
        <v>7795</v>
      </c>
      <c r="D1300" s="5" t="s">
        <v>82</v>
      </c>
      <c r="E1300" s="5" t="s">
        <v>18453</v>
      </c>
      <c r="F1300" s="5" t="s">
        <v>7798</v>
      </c>
      <c r="G1300" s="5"/>
      <c r="H1300" s="5"/>
      <c r="I1300" s="5"/>
      <c r="J1300" s="5"/>
      <c r="K1300" s="5"/>
      <c r="L1300" s="5"/>
      <c r="M1300" s="5"/>
      <c r="N1300" s="5"/>
      <c r="O1300" s="5"/>
      <c r="P1300" s="5"/>
      <c r="Q1300" s="5"/>
      <c r="AL1300" s="7" t="str">
        <f>HYPERLINK("http://dx.doi.org/10.1890/13-2182.1","http://dx.doi.org/10.1890/13-2182.1")</f>
        <v>http://dx.doi.org/10.1890/13-2182.1</v>
      </c>
      <c r="AM1300" s="5">
        <v>19</v>
      </c>
      <c r="AN1300" s="5">
        <v>23</v>
      </c>
      <c r="AO1300" s="5">
        <v>25</v>
      </c>
      <c r="AP1300" s="5">
        <v>5</v>
      </c>
      <c r="AQ1300" s="5">
        <v>1420</v>
      </c>
      <c r="AR1300" s="5">
        <v>1432</v>
      </c>
      <c r="AS1300" s="5" t="s">
        <v>16</v>
      </c>
      <c r="AT1300" s="5" t="s">
        <v>7796</v>
      </c>
      <c r="AU1300" s="5" t="s">
        <v>7797</v>
      </c>
      <c r="AV1300" s="5" t="s">
        <v>7799</v>
      </c>
    </row>
    <row r="1301" spans="1:48" ht="45" customHeight="1" x14ac:dyDescent="0.15">
      <c r="A1301" s="5" t="s">
        <v>7800</v>
      </c>
      <c r="B1301" s="5">
        <v>2009</v>
      </c>
      <c r="C1301" s="5" t="s">
        <v>7801</v>
      </c>
      <c r="D1301" s="5" t="s">
        <v>49</v>
      </c>
      <c r="E1301" s="5" t="s">
        <v>18453</v>
      </c>
      <c r="F1301" s="5" t="s">
        <v>7804</v>
      </c>
      <c r="G1301" s="5"/>
      <c r="H1301" s="5"/>
      <c r="I1301" s="5"/>
      <c r="J1301" s="5"/>
      <c r="K1301" s="5"/>
      <c r="L1301" s="5"/>
      <c r="M1301" s="5"/>
      <c r="N1301" s="5"/>
      <c r="O1301" s="5"/>
      <c r="P1301" s="5"/>
      <c r="Q1301" s="5"/>
      <c r="AL1301" s="7" t="str">
        <f>HYPERLINK("http://dx.doi.org/10.3354/meps07900","http://dx.doi.org/10.3354/meps07900")</f>
        <v>http://dx.doi.org/10.3354/meps07900</v>
      </c>
      <c r="AM1301" s="5">
        <v>41</v>
      </c>
      <c r="AN1301" s="5">
        <v>43</v>
      </c>
      <c r="AO1301" s="5">
        <v>379</v>
      </c>
      <c r="AP1301" s="5" t="s">
        <v>16</v>
      </c>
      <c r="AQ1301" s="5">
        <v>299</v>
      </c>
      <c r="AR1301" s="5">
        <v>310</v>
      </c>
      <c r="AS1301" s="5" t="s">
        <v>16</v>
      </c>
      <c r="AT1301" s="5" t="s">
        <v>7802</v>
      </c>
      <c r="AU1301" s="5" t="s">
        <v>7803</v>
      </c>
      <c r="AV1301" s="5" t="s">
        <v>7805</v>
      </c>
    </row>
    <row r="1302" spans="1:48" ht="45" customHeight="1" x14ac:dyDescent="0.15">
      <c r="A1302" s="5" t="s">
        <v>7806</v>
      </c>
      <c r="B1302" s="5">
        <v>2010</v>
      </c>
      <c r="C1302" s="5" t="s">
        <v>7807</v>
      </c>
      <c r="D1302" s="5" t="s">
        <v>49</v>
      </c>
      <c r="E1302" s="5" t="s">
        <v>18453</v>
      </c>
      <c r="F1302" s="5" t="s">
        <v>7810</v>
      </c>
      <c r="G1302" s="5"/>
      <c r="H1302" s="5"/>
      <c r="I1302" s="5"/>
      <c r="J1302" s="5"/>
      <c r="K1302" s="5"/>
      <c r="L1302" s="5"/>
      <c r="M1302" s="5"/>
      <c r="N1302" s="5"/>
      <c r="O1302" s="5"/>
      <c r="P1302" s="5"/>
      <c r="Q1302" s="5"/>
      <c r="AL1302" s="7" t="str">
        <f>HYPERLINK("http://dx.doi.org/10.3354/meps08714","http://dx.doi.org/10.3354/meps08714")</f>
        <v>http://dx.doi.org/10.3354/meps08714</v>
      </c>
      <c r="AM1302" s="5">
        <v>48</v>
      </c>
      <c r="AN1302" s="5">
        <v>48</v>
      </c>
      <c r="AO1302" s="5">
        <v>415</v>
      </c>
      <c r="AP1302" s="5" t="s">
        <v>16</v>
      </c>
      <c r="AQ1302" s="5">
        <v>211</v>
      </c>
      <c r="AR1302" s="5">
        <v>220</v>
      </c>
      <c r="AS1302" s="5" t="s">
        <v>16</v>
      </c>
      <c r="AT1302" s="5" t="s">
        <v>7808</v>
      </c>
      <c r="AU1302" s="5" t="s">
        <v>7809</v>
      </c>
      <c r="AV1302" s="5" t="s">
        <v>7811</v>
      </c>
    </row>
    <row r="1303" spans="1:48" ht="45" customHeight="1" x14ac:dyDescent="0.15">
      <c r="A1303" s="5" t="s">
        <v>7812</v>
      </c>
      <c r="B1303" s="5">
        <v>2016</v>
      </c>
      <c r="C1303" s="5" t="s">
        <v>7813</v>
      </c>
      <c r="D1303" s="5" t="s">
        <v>973</v>
      </c>
      <c r="E1303" s="5" t="s">
        <v>18453</v>
      </c>
      <c r="F1303" s="5" t="s">
        <v>7815</v>
      </c>
      <c r="G1303" s="5"/>
      <c r="H1303" s="5"/>
      <c r="I1303" s="5"/>
      <c r="J1303" s="5"/>
      <c r="K1303" s="5"/>
      <c r="L1303" s="5"/>
      <c r="M1303" s="5"/>
      <c r="N1303" s="5"/>
      <c r="O1303" s="5"/>
      <c r="P1303" s="5"/>
      <c r="Q1303" s="5"/>
      <c r="AL1303" s="7" t="str">
        <f>HYPERLINK("http://dx.doi.org/10.5194/bg-13-3869-2016","http://dx.doi.org/10.5194/bg-13-3869-2016")</f>
        <v>http://dx.doi.org/10.5194/bg-13-3869-2016</v>
      </c>
      <c r="AM1303" s="5">
        <v>20</v>
      </c>
      <c r="AN1303" s="5">
        <v>20</v>
      </c>
      <c r="AO1303" s="5">
        <v>13</v>
      </c>
      <c r="AP1303" s="5">
        <v>13</v>
      </c>
      <c r="AQ1303" s="5">
        <v>3869</v>
      </c>
      <c r="AR1303" s="5">
        <v>3886</v>
      </c>
      <c r="AS1303" s="5" t="s">
        <v>16</v>
      </c>
      <c r="AT1303" s="5" t="s">
        <v>16</v>
      </c>
      <c r="AU1303" s="5" t="s">
        <v>7814</v>
      </c>
      <c r="AV1303" s="5" t="s">
        <v>7816</v>
      </c>
    </row>
    <row r="1304" spans="1:48" ht="45" customHeight="1" x14ac:dyDescent="0.15">
      <c r="A1304" s="5" t="s">
        <v>7817</v>
      </c>
      <c r="B1304" s="5">
        <v>2010</v>
      </c>
      <c r="C1304" s="5" t="s">
        <v>7818</v>
      </c>
      <c r="D1304" s="5" t="s">
        <v>116</v>
      </c>
      <c r="E1304" s="5" t="s">
        <v>18453</v>
      </c>
      <c r="F1304" s="5" t="s">
        <v>7821</v>
      </c>
      <c r="G1304" s="5"/>
      <c r="H1304" s="5"/>
      <c r="I1304" s="5"/>
      <c r="J1304" s="5"/>
      <c r="K1304" s="5"/>
      <c r="L1304" s="5"/>
      <c r="M1304" s="5"/>
      <c r="N1304" s="5"/>
      <c r="O1304" s="5"/>
      <c r="P1304" s="5"/>
      <c r="Q1304" s="5"/>
      <c r="AL1304" s="7" t="str">
        <f>HYPERLINK("http://dx.doi.org/10.1007/s10641-010-9695-9","http://dx.doi.org/10.1007/s10641-010-9695-9")</f>
        <v>http://dx.doi.org/10.1007/s10641-010-9695-9</v>
      </c>
      <c r="AM1304" s="5">
        <v>34</v>
      </c>
      <c r="AN1304" s="5">
        <v>35</v>
      </c>
      <c r="AO1304" s="5">
        <v>89</v>
      </c>
      <c r="AP1304" s="5" t="s">
        <v>639</v>
      </c>
      <c r="AQ1304" s="5">
        <v>399</v>
      </c>
      <c r="AR1304" s="5">
        <v>413</v>
      </c>
      <c r="AS1304" s="5" t="s">
        <v>16</v>
      </c>
      <c r="AT1304" s="5" t="s">
        <v>7819</v>
      </c>
      <c r="AU1304" s="5" t="s">
        <v>7820</v>
      </c>
      <c r="AV1304" s="5" t="s">
        <v>7822</v>
      </c>
    </row>
    <row r="1305" spans="1:48" ht="45" customHeight="1" x14ac:dyDescent="0.15">
      <c r="A1305" s="5" t="s">
        <v>7823</v>
      </c>
      <c r="B1305" s="5">
        <v>2019</v>
      </c>
      <c r="C1305" s="5" t="s">
        <v>7824</v>
      </c>
      <c r="D1305" s="5" t="s">
        <v>83</v>
      </c>
      <c r="E1305" s="5" t="s">
        <v>18453</v>
      </c>
      <c r="F1305" s="5" t="s">
        <v>7827</v>
      </c>
      <c r="G1305" s="5"/>
      <c r="H1305" s="5"/>
      <c r="I1305" s="5"/>
      <c r="J1305" s="5"/>
      <c r="K1305" s="5"/>
      <c r="L1305" s="5"/>
      <c r="M1305" s="5"/>
      <c r="N1305" s="5"/>
      <c r="O1305" s="5"/>
      <c r="P1305" s="5"/>
      <c r="Q1305" s="5"/>
      <c r="AL1305" s="7" t="str">
        <f>HYPERLINK("http://dx.doi.org/10.1007/s10646-019-02017-1","http://dx.doi.org/10.1007/s10646-019-02017-1")</f>
        <v>http://dx.doi.org/10.1007/s10646-019-02017-1</v>
      </c>
      <c r="AM1305" s="5">
        <v>9</v>
      </c>
      <c r="AN1305" s="5">
        <v>9</v>
      </c>
      <c r="AO1305" s="5">
        <v>28</v>
      </c>
      <c r="AP1305" s="5">
        <v>2</v>
      </c>
      <c r="AQ1305" s="5">
        <v>229</v>
      </c>
      <c r="AR1305" s="5">
        <v>241</v>
      </c>
      <c r="AS1305" s="5" t="s">
        <v>16</v>
      </c>
      <c r="AT1305" s="5" t="s">
        <v>7825</v>
      </c>
      <c r="AU1305" s="5" t="s">
        <v>7826</v>
      </c>
      <c r="AV1305" s="5" t="s">
        <v>7828</v>
      </c>
    </row>
    <row r="1306" spans="1:48" ht="45" customHeight="1" x14ac:dyDescent="0.15">
      <c r="A1306" s="5" t="s">
        <v>7829</v>
      </c>
      <c r="B1306" s="5">
        <v>2016</v>
      </c>
      <c r="C1306" s="5" t="s">
        <v>7830</v>
      </c>
      <c r="D1306" s="5" t="s">
        <v>62</v>
      </c>
      <c r="E1306" s="5" t="s">
        <v>18453</v>
      </c>
      <c r="F1306" s="5" t="s">
        <v>7833</v>
      </c>
      <c r="G1306" s="5"/>
      <c r="H1306" s="5"/>
      <c r="I1306" s="5"/>
      <c r="J1306" s="5"/>
      <c r="K1306" s="5"/>
      <c r="L1306" s="5"/>
      <c r="M1306" s="5"/>
      <c r="N1306" s="5"/>
      <c r="O1306" s="5"/>
      <c r="P1306" s="5"/>
      <c r="Q1306" s="5"/>
      <c r="AL1306" s="7" t="str">
        <f>HYPERLINK("http://dx.doi.org/10.1007/s10021-015-9933-2","http://dx.doi.org/10.1007/s10021-015-9933-2")</f>
        <v>http://dx.doi.org/10.1007/s10021-015-9933-2</v>
      </c>
      <c r="AM1306" s="5">
        <v>23</v>
      </c>
      <c r="AN1306" s="5">
        <v>24</v>
      </c>
      <c r="AO1306" s="5">
        <v>19</v>
      </c>
      <c r="AP1306" s="5">
        <v>2</v>
      </c>
      <c r="AQ1306" s="5">
        <v>311</v>
      </c>
      <c r="AR1306" s="5">
        <v>325</v>
      </c>
      <c r="AS1306" s="5" t="s">
        <v>16</v>
      </c>
      <c r="AT1306" s="5" t="s">
        <v>7831</v>
      </c>
      <c r="AU1306" s="5" t="s">
        <v>7832</v>
      </c>
      <c r="AV1306" s="5" t="s">
        <v>7834</v>
      </c>
    </row>
    <row r="1307" spans="1:48" ht="45" customHeight="1" x14ac:dyDescent="0.15">
      <c r="A1307" s="5" t="s">
        <v>7835</v>
      </c>
      <c r="B1307" s="5">
        <v>2015</v>
      </c>
      <c r="C1307" s="5" t="s">
        <v>7836</v>
      </c>
      <c r="D1307" s="5" t="s">
        <v>17</v>
      </c>
      <c r="E1307" s="5" t="s">
        <v>18453</v>
      </c>
      <c r="F1307" s="5" t="s">
        <v>7839</v>
      </c>
      <c r="G1307" s="5"/>
      <c r="H1307" s="5"/>
      <c r="I1307" s="5"/>
      <c r="J1307" s="5"/>
      <c r="K1307" s="5"/>
      <c r="L1307" s="5"/>
      <c r="M1307" s="5"/>
      <c r="N1307" s="5"/>
      <c r="O1307" s="5"/>
      <c r="P1307" s="5"/>
      <c r="Q1307" s="5"/>
      <c r="AL1307" s="7" t="str">
        <f>HYPERLINK("http://dx.doi.org/10.1111/fwb.12581","http://dx.doi.org/10.1111/fwb.12581")</f>
        <v>http://dx.doi.org/10.1111/fwb.12581</v>
      </c>
      <c r="AM1307" s="5">
        <v>21</v>
      </c>
      <c r="AN1307" s="5">
        <v>22</v>
      </c>
      <c r="AO1307" s="5">
        <v>60</v>
      </c>
      <c r="AP1307" s="5">
        <v>7</v>
      </c>
      <c r="AQ1307" s="5">
        <v>1459</v>
      </c>
      <c r="AR1307" s="5">
        <v>1474</v>
      </c>
      <c r="AS1307" s="5" t="s">
        <v>16</v>
      </c>
      <c r="AT1307" s="5" t="s">
        <v>7837</v>
      </c>
      <c r="AU1307" s="5" t="s">
        <v>7838</v>
      </c>
      <c r="AV1307" s="5" t="s">
        <v>7840</v>
      </c>
    </row>
    <row r="1308" spans="1:48" ht="45" customHeight="1" x14ac:dyDescent="0.15">
      <c r="A1308" s="5" t="s">
        <v>7841</v>
      </c>
      <c r="B1308" s="5">
        <v>2015</v>
      </c>
      <c r="C1308" s="5" t="s">
        <v>7842</v>
      </c>
      <c r="D1308" s="5" t="s">
        <v>1765</v>
      </c>
      <c r="E1308" s="5" t="s">
        <v>18453</v>
      </c>
      <c r="F1308" s="5" t="s">
        <v>7845</v>
      </c>
      <c r="G1308" s="5"/>
      <c r="H1308" s="5"/>
      <c r="I1308" s="5"/>
      <c r="J1308" s="5"/>
      <c r="K1308" s="5"/>
      <c r="L1308" s="5"/>
      <c r="M1308" s="5"/>
      <c r="N1308" s="5"/>
      <c r="O1308" s="5"/>
      <c r="P1308" s="5"/>
      <c r="Q1308" s="5"/>
      <c r="AL1308" s="7" t="str">
        <f>HYPERLINK("http://dx.doi.org/10.1016/j.agee.2014.11.017","http://dx.doi.org/10.1016/j.agee.2014.11.017")</f>
        <v>http://dx.doi.org/10.1016/j.agee.2014.11.017</v>
      </c>
      <c r="AM1308" s="5">
        <v>20</v>
      </c>
      <c r="AN1308" s="5">
        <v>22</v>
      </c>
      <c r="AO1308" s="5">
        <v>200</v>
      </c>
      <c r="AP1308" s="5" t="s">
        <v>16</v>
      </c>
      <c r="AQ1308" s="5">
        <v>161</v>
      </c>
      <c r="AR1308" s="5">
        <v>168</v>
      </c>
      <c r="AS1308" s="5" t="s">
        <v>16</v>
      </c>
      <c r="AT1308" s="5" t="s">
        <v>7843</v>
      </c>
      <c r="AU1308" s="5" t="s">
        <v>7844</v>
      </c>
      <c r="AV1308" s="5" t="s">
        <v>7846</v>
      </c>
    </row>
    <row r="1309" spans="1:48" ht="45" customHeight="1" x14ac:dyDescent="0.15">
      <c r="A1309" s="5" t="s">
        <v>7847</v>
      </c>
      <c r="B1309" s="5">
        <v>2020</v>
      </c>
      <c r="C1309" s="5" t="s">
        <v>7848</v>
      </c>
      <c r="D1309" s="5" t="s">
        <v>33</v>
      </c>
      <c r="E1309" s="5" t="s">
        <v>18453</v>
      </c>
      <c r="F1309" s="5" t="s">
        <v>7851</v>
      </c>
      <c r="G1309" s="5"/>
      <c r="H1309" s="5"/>
      <c r="I1309" s="5"/>
      <c r="J1309" s="5"/>
      <c r="K1309" s="5"/>
      <c r="L1309" s="5"/>
      <c r="M1309" s="5"/>
      <c r="N1309" s="5"/>
      <c r="O1309" s="5"/>
      <c r="P1309" s="5"/>
      <c r="Q1309" s="5"/>
      <c r="AL1309" s="7" t="str">
        <f>HYPERLINK("http://dx.doi.org/10.1111/gcb.15166","http://dx.doi.org/10.1111/gcb.15166")</f>
        <v>http://dx.doi.org/10.1111/gcb.15166</v>
      </c>
      <c r="AM1309" s="5">
        <v>35</v>
      </c>
      <c r="AN1309" s="5">
        <v>37</v>
      </c>
      <c r="AO1309" s="5">
        <v>26</v>
      </c>
      <c r="AP1309" s="5">
        <v>8</v>
      </c>
      <c r="AQ1309" s="5">
        <v>4538</v>
      </c>
      <c r="AR1309" s="5">
        <v>4558</v>
      </c>
      <c r="AS1309" s="5" t="s">
        <v>16</v>
      </c>
      <c r="AT1309" s="5" t="s">
        <v>7849</v>
      </c>
      <c r="AU1309" s="5" t="s">
        <v>7850</v>
      </c>
      <c r="AV1309" s="5" t="s">
        <v>7852</v>
      </c>
    </row>
    <row r="1310" spans="1:48" ht="45" customHeight="1" x14ac:dyDescent="0.15">
      <c r="A1310" s="5" t="s">
        <v>7853</v>
      </c>
      <c r="B1310" s="5">
        <v>2007</v>
      </c>
      <c r="C1310" s="5" t="s">
        <v>7854</v>
      </c>
      <c r="D1310" s="5" t="s">
        <v>251</v>
      </c>
      <c r="E1310" s="5" t="s">
        <v>18453</v>
      </c>
      <c r="F1310" s="5" t="s">
        <v>7857</v>
      </c>
      <c r="G1310" s="5"/>
      <c r="H1310" s="5"/>
      <c r="I1310" s="5"/>
      <c r="J1310" s="5"/>
      <c r="K1310" s="5"/>
      <c r="L1310" s="5"/>
      <c r="M1310" s="5"/>
      <c r="N1310" s="5"/>
      <c r="O1310" s="5"/>
      <c r="P1310" s="5"/>
      <c r="Q1310" s="5"/>
      <c r="AL1310" s="7" t="str">
        <f>HYPERLINK("http://dx.doi.org/10.1016/j.biocon.2007.04.002","http://dx.doi.org/10.1016/j.biocon.2007.04.002")</f>
        <v>http://dx.doi.org/10.1016/j.biocon.2007.04.002</v>
      </c>
      <c r="AM1310" s="5">
        <v>62</v>
      </c>
      <c r="AN1310" s="5">
        <v>64</v>
      </c>
      <c r="AO1310" s="5">
        <v>138</v>
      </c>
      <c r="AP1310" s="5" t="s">
        <v>778</v>
      </c>
      <c r="AQ1310" s="5">
        <v>60</v>
      </c>
      <c r="AR1310" s="5">
        <v>72</v>
      </c>
      <c r="AS1310" s="5" t="s">
        <v>16</v>
      </c>
      <c r="AT1310" s="5" t="s">
        <v>7855</v>
      </c>
      <c r="AU1310" s="5" t="s">
        <v>7856</v>
      </c>
      <c r="AV1310" s="5" t="s">
        <v>7858</v>
      </c>
    </row>
    <row r="1311" spans="1:48" ht="45" customHeight="1" x14ac:dyDescent="0.15">
      <c r="A1311" s="5" t="s">
        <v>7859</v>
      </c>
      <c r="B1311" s="5">
        <v>2018</v>
      </c>
      <c r="C1311" s="5" t="s">
        <v>7860</v>
      </c>
      <c r="D1311" s="5" t="s">
        <v>3183</v>
      </c>
      <c r="E1311" s="5" t="s">
        <v>18453</v>
      </c>
      <c r="F1311" s="5" t="s">
        <v>7863</v>
      </c>
      <c r="G1311" s="5"/>
      <c r="H1311" s="5"/>
      <c r="I1311" s="5"/>
      <c r="J1311" s="5"/>
      <c r="K1311" s="5"/>
      <c r="L1311" s="5"/>
      <c r="M1311" s="5"/>
      <c r="N1311" s="5"/>
      <c r="O1311" s="5"/>
      <c r="P1311" s="5"/>
      <c r="Q1311" s="5"/>
      <c r="AL1311" s="7" t="str">
        <f>HYPERLINK("http://dx.doi.org/10.1016/j.pedobi.2018.08.002","http://dx.doi.org/10.1016/j.pedobi.2018.08.002")</f>
        <v>http://dx.doi.org/10.1016/j.pedobi.2018.08.002</v>
      </c>
      <c r="AM1311" s="5">
        <v>5</v>
      </c>
      <c r="AN1311" s="5">
        <v>5</v>
      </c>
      <c r="AO1311" s="5">
        <v>70</v>
      </c>
      <c r="AP1311" s="5" t="s">
        <v>16</v>
      </c>
      <c r="AQ1311" s="5">
        <v>12</v>
      </c>
      <c r="AR1311" s="5">
        <v>21</v>
      </c>
      <c r="AS1311" s="5" t="s">
        <v>16</v>
      </c>
      <c r="AT1311" s="5" t="s">
        <v>7861</v>
      </c>
      <c r="AU1311" s="5" t="s">
        <v>7862</v>
      </c>
      <c r="AV1311" s="5" t="s">
        <v>7864</v>
      </c>
    </row>
    <row r="1312" spans="1:48" ht="45" customHeight="1" x14ac:dyDescent="0.15">
      <c r="A1312" s="5" t="s">
        <v>7865</v>
      </c>
      <c r="B1312" s="5">
        <v>2018</v>
      </c>
      <c r="C1312" s="5" t="s">
        <v>7866</v>
      </c>
      <c r="D1312" s="5" t="s">
        <v>18</v>
      </c>
      <c r="E1312" s="5" t="s">
        <v>18453</v>
      </c>
      <c r="F1312" s="5" t="s">
        <v>7869</v>
      </c>
      <c r="G1312" s="5"/>
      <c r="H1312" s="5"/>
      <c r="I1312" s="5"/>
      <c r="J1312" s="5"/>
      <c r="K1312" s="5"/>
      <c r="L1312" s="5"/>
      <c r="M1312" s="5"/>
      <c r="N1312" s="5"/>
      <c r="O1312" s="5"/>
      <c r="P1312" s="5"/>
      <c r="Q1312" s="5"/>
      <c r="AL1312" s="7" t="str">
        <f>HYPERLINK("http://dx.doi.org/10.1002/ecs2.2307","http://dx.doi.org/10.1002/ecs2.2307")</f>
        <v>http://dx.doi.org/10.1002/ecs2.2307</v>
      </c>
      <c r="AM1312" s="5">
        <v>15</v>
      </c>
      <c r="AN1312" s="5">
        <v>15</v>
      </c>
      <c r="AO1312" s="5">
        <v>9</v>
      </c>
      <c r="AP1312" s="5">
        <v>6</v>
      </c>
      <c r="AQ1312" s="5" t="s">
        <v>16</v>
      </c>
      <c r="AR1312" s="5" t="s">
        <v>16</v>
      </c>
      <c r="AS1312" s="5" t="s">
        <v>7870</v>
      </c>
      <c r="AT1312" s="5" t="s">
        <v>7867</v>
      </c>
      <c r="AU1312" s="5" t="s">
        <v>7868</v>
      </c>
      <c r="AV1312" s="5" t="s">
        <v>7871</v>
      </c>
    </row>
    <row r="1313" spans="1:48" ht="45" customHeight="1" x14ac:dyDescent="0.15">
      <c r="A1313" s="5" t="s">
        <v>7872</v>
      </c>
      <c r="B1313" s="5">
        <v>2013</v>
      </c>
      <c r="C1313" s="5" t="s">
        <v>7873</v>
      </c>
      <c r="D1313" s="5" t="s">
        <v>111</v>
      </c>
      <c r="E1313" s="5" t="s">
        <v>18453</v>
      </c>
      <c r="F1313" s="5" t="s">
        <v>7876</v>
      </c>
      <c r="G1313" s="5"/>
      <c r="H1313" s="5"/>
      <c r="I1313" s="5"/>
      <c r="J1313" s="5"/>
      <c r="K1313" s="5"/>
      <c r="L1313" s="5"/>
      <c r="M1313" s="5"/>
      <c r="N1313" s="5"/>
      <c r="O1313" s="5"/>
      <c r="P1313" s="5"/>
      <c r="Q1313" s="5"/>
      <c r="AL1313" s="7" t="str">
        <f>HYPERLINK("http://dx.doi.org/10.1007/s10452-013-9436-1","http://dx.doi.org/10.1007/s10452-013-9436-1")</f>
        <v>http://dx.doi.org/10.1007/s10452-013-9436-1</v>
      </c>
      <c r="AM1313" s="5">
        <v>30</v>
      </c>
      <c r="AN1313" s="5">
        <v>31</v>
      </c>
      <c r="AO1313" s="5">
        <v>47</v>
      </c>
      <c r="AP1313" s="5">
        <v>2</v>
      </c>
      <c r="AQ1313" s="5">
        <v>211</v>
      </c>
      <c r="AR1313" s="5">
        <v>224</v>
      </c>
      <c r="AS1313" s="5" t="s">
        <v>16</v>
      </c>
      <c r="AT1313" s="5" t="s">
        <v>7874</v>
      </c>
      <c r="AU1313" s="5" t="s">
        <v>7875</v>
      </c>
      <c r="AV1313" s="5" t="s">
        <v>7877</v>
      </c>
    </row>
    <row r="1314" spans="1:48" ht="45" customHeight="1" x14ac:dyDescent="0.15">
      <c r="A1314" s="5" t="s">
        <v>7878</v>
      </c>
      <c r="B1314" s="5">
        <v>2020</v>
      </c>
      <c r="C1314" s="5" t="s">
        <v>7879</v>
      </c>
      <c r="D1314" s="5" t="s">
        <v>3183</v>
      </c>
      <c r="E1314" s="5" t="s">
        <v>18453</v>
      </c>
      <c r="F1314" s="5" t="s">
        <v>7882</v>
      </c>
      <c r="G1314" s="5"/>
      <c r="H1314" s="5"/>
      <c r="I1314" s="5"/>
      <c r="J1314" s="5"/>
      <c r="K1314" s="5"/>
      <c r="L1314" s="5"/>
      <c r="M1314" s="5"/>
      <c r="N1314" s="5"/>
      <c r="O1314" s="5"/>
      <c r="P1314" s="5"/>
      <c r="Q1314" s="5"/>
      <c r="AL1314" s="7" t="str">
        <f>HYPERLINK("http://dx.doi.org/10.1016/j.pedobi.2019.150607","http://dx.doi.org/10.1016/j.pedobi.2019.150607")</f>
        <v>http://dx.doi.org/10.1016/j.pedobi.2019.150607</v>
      </c>
      <c r="AM1314" s="5">
        <v>10</v>
      </c>
      <c r="AN1314" s="5">
        <v>10</v>
      </c>
      <c r="AO1314" s="5">
        <v>78</v>
      </c>
      <c r="AP1314" s="5" t="s">
        <v>16</v>
      </c>
      <c r="AQ1314" s="5" t="s">
        <v>16</v>
      </c>
      <c r="AR1314" s="5" t="s">
        <v>16</v>
      </c>
      <c r="AS1314" s="5">
        <v>150607</v>
      </c>
      <c r="AT1314" s="5" t="s">
        <v>7880</v>
      </c>
      <c r="AU1314" s="5" t="s">
        <v>7881</v>
      </c>
      <c r="AV1314" s="5" t="s">
        <v>7883</v>
      </c>
    </row>
    <row r="1315" spans="1:48" ht="45" customHeight="1" x14ac:dyDescent="0.15">
      <c r="A1315" s="5" t="s">
        <v>7884</v>
      </c>
      <c r="B1315" s="5">
        <v>2017</v>
      </c>
      <c r="C1315" s="5" t="s">
        <v>7885</v>
      </c>
      <c r="D1315" s="5" t="s">
        <v>2087</v>
      </c>
      <c r="E1315" s="5" t="s">
        <v>18453</v>
      </c>
      <c r="F1315" s="5" t="s">
        <v>7888</v>
      </c>
      <c r="G1315" s="5"/>
      <c r="H1315" s="5"/>
      <c r="I1315" s="5"/>
      <c r="J1315" s="5"/>
      <c r="K1315" s="5"/>
      <c r="L1315" s="5"/>
      <c r="M1315" s="5"/>
      <c r="N1315" s="5"/>
      <c r="O1315" s="5"/>
      <c r="P1315" s="5"/>
      <c r="Q1315" s="5"/>
      <c r="AL1315" s="7" t="str">
        <f>HYPERLINK("http://dx.doi.org/10.1002/eco.1892","http://dx.doi.org/10.1002/eco.1892")</f>
        <v>http://dx.doi.org/10.1002/eco.1892</v>
      </c>
      <c r="AM1315" s="5">
        <v>55</v>
      </c>
      <c r="AN1315" s="5">
        <v>59</v>
      </c>
      <c r="AO1315" s="5">
        <v>10</v>
      </c>
      <c r="AP1315" s="5">
        <v>8</v>
      </c>
      <c r="AQ1315" s="5" t="s">
        <v>16</v>
      </c>
      <c r="AR1315" s="5" t="s">
        <v>16</v>
      </c>
      <c r="AS1315" s="5" t="s">
        <v>7889</v>
      </c>
      <c r="AT1315" s="5" t="s">
        <v>7886</v>
      </c>
      <c r="AU1315" s="5" t="s">
        <v>7887</v>
      </c>
      <c r="AV1315" s="5" t="s">
        <v>7890</v>
      </c>
    </row>
    <row r="1316" spans="1:48" ht="45" customHeight="1" x14ac:dyDescent="0.15">
      <c r="A1316" s="5" t="s">
        <v>7891</v>
      </c>
      <c r="B1316" s="5">
        <v>2006</v>
      </c>
      <c r="C1316" s="5" t="s">
        <v>7892</v>
      </c>
      <c r="D1316" s="5" t="s">
        <v>41</v>
      </c>
      <c r="E1316" s="5" t="s">
        <v>18453</v>
      </c>
      <c r="F1316" s="5" t="s">
        <v>7895</v>
      </c>
      <c r="G1316" s="5"/>
      <c r="H1316" s="5"/>
      <c r="I1316" s="5"/>
      <c r="J1316" s="5"/>
      <c r="K1316" s="5"/>
      <c r="L1316" s="5"/>
      <c r="M1316" s="5"/>
      <c r="N1316" s="5"/>
      <c r="O1316" s="5"/>
      <c r="P1316" s="5"/>
      <c r="Q1316" s="5"/>
      <c r="AL1316" s="7" t="str">
        <f>HYPERLINK("http://dx.doi.org/10.1016/j.actao.2006.01.007","http://dx.doi.org/10.1016/j.actao.2006.01.007")</f>
        <v>http://dx.doi.org/10.1016/j.actao.2006.01.007</v>
      </c>
      <c r="AM1316" s="5">
        <v>34</v>
      </c>
      <c r="AN1316" s="5">
        <v>35</v>
      </c>
      <c r="AO1316" s="5">
        <v>30</v>
      </c>
      <c r="AP1316" s="5">
        <v>1</v>
      </c>
      <c r="AQ1316" s="5">
        <v>69</v>
      </c>
      <c r="AR1316" s="5">
        <v>77</v>
      </c>
      <c r="AS1316" s="5" t="s">
        <v>16</v>
      </c>
      <c r="AT1316" s="5" t="s">
        <v>7893</v>
      </c>
      <c r="AU1316" s="5" t="s">
        <v>7894</v>
      </c>
      <c r="AV1316" s="5" t="s">
        <v>7896</v>
      </c>
    </row>
    <row r="1317" spans="1:48" ht="45" customHeight="1" x14ac:dyDescent="0.15">
      <c r="A1317" s="5" t="s">
        <v>7897</v>
      </c>
      <c r="B1317" s="5">
        <v>2011</v>
      </c>
      <c r="C1317" s="5" t="s">
        <v>7898</v>
      </c>
      <c r="D1317" s="5" t="s">
        <v>49</v>
      </c>
      <c r="E1317" s="5" t="s">
        <v>18453</v>
      </c>
      <c r="F1317" s="5" t="s">
        <v>7901</v>
      </c>
      <c r="G1317" s="5"/>
      <c r="H1317" s="5"/>
      <c r="I1317" s="5"/>
      <c r="J1317" s="5"/>
      <c r="K1317" s="5"/>
      <c r="L1317" s="5"/>
      <c r="M1317" s="5"/>
      <c r="N1317" s="5"/>
      <c r="O1317" s="5"/>
      <c r="P1317" s="5"/>
      <c r="Q1317" s="5"/>
      <c r="AL1317" s="7" t="str">
        <f>HYPERLINK("http://dx.doi.org/10.3354/meps09383","http://dx.doi.org/10.3354/meps09383")</f>
        <v>http://dx.doi.org/10.3354/meps09383</v>
      </c>
      <c r="AM1317" s="5">
        <v>47</v>
      </c>
      <c r="AN1317" s="5">
        <v>48</v>
      </c>
      <c r="AO1317" s="5">
        <v>441</v>
      </c>
      <c r="AP1317" s="5" t="s">
        <v>16</v>
      </c>
      <c r="AQ1317" s="5">
        <v>257</v>
      </c>
      <c r="AR1317" s="5">
        <v>272</v>
      </c>
      <c r="AS1317" s="5" t="s">
        <v>16</v>
      </c>
      <c r="AT1317" s="5" t="s">
        <v>7899</v>
      </c>
      <c r="AU1317" s="5" t="s">
        <v>7900</v>
      </c>
      <c r="AV1317" s="5" t="s">
        <v>7902</v>
      </c>
    </row>
    <row r="1318" spans="1:48" ht="45" customHeight="1" x14ac:dyDescent="0.15">
      <c r="A1318" s="5" t="s">
        <v>7903</v>
      </c>
      <c r="B1318" s="5">
        <v>2014</v>
      </c>
      <c r="C1318" s="5" t="s">
        <v>7904</v>
      </c>
      <c r="D1318" s="5" t="s">
        <v>189</v>
      </c>
      <c r="E1318" s="5" t="s">
        <v>18453</v>
      </c>
      <c r="F1318" s="5" t="s">
        <v>7906</v>
      </c>
      <c r="G1318" s="5"/>
      <c r="H1318" s="5"/>
      <c r="I1318" s="5"/>
      <c r="J1318" s="5"/>
      <c r="K1318" s="5"/>
      <c r="L1318" s="5"/>
      <c r="M1318" s="5"/>
      <c r="N1318" s="5"/>
      <c r="O1318" s="5"/>
      <c r="P1318" s="5"/>
      <c r="Q1318" s="5"/>
      <c r="AL1318" s="7" t="str">
        <f>HYPERLINK("http://dx.doi.org/10.1111/j.1600-0587.2013.00218.x","http://dx.doi.org/10.1111/j.1600-0587.2013.00218.x")</f>
        <v>http://dx.doi.org/10.1111/j.1600-0587.2013.00218.x</v>
      </c>
      <c r="AM1318" s="5">
        <v>39</v>
      </c>
      <c r="AN1318" s="5">
        <v>44</v>
      </c>
      <c r="AO1318" s="5">
        <v>37</v>
      </c>
      <c r="AP1318" s="5">
        <v>5</v>
      </c>
      <c r="AQ1318" s="5">
        <v>443</v>
      </c>
      <c r="AR1318" s="5">
        <v>453</v>
      </c>
      <c r="AS1318" s="5" t="s">
        <v>16</v>
      </c>
      <c r="AT1318" s="5" t="s">
        <v>16</v>
      </c>
      <c r="AU1318" s="5" t="s">
        <v>7905</v>
      </c>
      <c r="AV1318" s="5" t="s">
        <v>7907</v>
      </c>
    </row>
    <row r="1319" spans="1:48" ht="45" customHeight="1" x14ac:dyDescent="0.15">
      <c r="A1319" s="5" t="s">
        <v>7908</v>
      </c>
      <c r="B1319" s="5">
        <v>2021</v>
      </c>
      <c r="C1319" s="5" t="s">
        <v>7909</v>
      </c>
      <c r="D1319" s="5" t="s">
        <v>262</v>
      </c>
      <c r="E1319" s="5" t="s">
        <v>18453</v>
      </c>
      <c r="F1319" s="5" t="s">
        <v>7912</v>
      </c>
      <c r="G1319" s="5"/>
      <c r="H1319" s="5"/>
      <c r="I1319" s="5"/>
      <c r="J1319" s="5"/>
      <c r="K1319" s="5"/>
      <c r="L1319" s="5"/>
      <c r="M1319" s="5"/>
      <c r="N1319" s="5"/>
      <c r="O1319" s="5"/>
      <c r="P1319" s="5"/>
      <c r="Q1319" s="5"/>
      <c r="AL1319" s="7" t="str">
        <f>HYPERLINK("http://dx.doi.org/10.1111/oik.08386","http://dx.doi.org/10.1111/oik.08386")</f>
        <v>http://dx.doi.org/10.1111/oik.08386</v>
      </c>
      <c r="AM1319" s="5">
        <v>4</v>
      </c>
      <c r="AN1319" s="5">
        <v>4</v>
      </c>
      <c r="AO1319" s="5">
        <v>130</v>
      </c>
      <c r="AP1319" s="5">
        <v>11</v>
      </c>
      <c r="AQ1319" s="5">
        <v>1892</v>
      </c>
      <c r="AR1319" s="5">
        <v>1904</v>
      </c>
      <c r="AS1319" s="5" t="s">
        <v>7913</v>
      </c>
      <c r="AT1319" s="5" t="s">
        <v>7910</v>
      </c>
      <c r="AU1319" s="5" t="s">
        <v>7911</v>
      </c>
      <c r="AV1319" s="5" t="s">
        <v>7914</v>
      </c>
    </row>
    <row r="1320" spans="1:48" ht="45" customHeight="1" x14ac:dyDescent="0.15">
      <c r="A1320" s="5" t="s">
        <v>7915</v>
      </c>
      <c r="B1320" s="5">
        <v>2020</v>
      </c>
      <c r="C1320" s="5" t="s">
        <v>7916</v>
      </c>
      <c r="D1320" s="5" t="s">
        <v>190</v>
      </c>
      <c r="E1320" s="5" t="s">
        <v>18453</v>
      </c>
      <c r="F1320" s="5" t="s">
        <v>7919</v>
      </c>
      <c r="G1320" s="5"/>
      <c r="H1320" s="5"/>
      <c r="I1320" s="5"/>
      <c r="J1320" s="5"/>
      <c r="K1320" s="5"/>
      <c r="L1320" s="5"/>
      <c r="M1320" s="5"/>
      <c r="N1320" s="5"/>
      <c r="O1320" s="5"/>
      <c r="P1320" s="5"/>
      <c r="Q1320" s="5"/>
      <c r="AL1320" s="7" t="str">
        <f>HYPERLINK("http://dx.doi.org/10.1007/s10530-020-02265-x","http://dx.doi.org/10.1007/s10530-020-02265-x")</f>
        <v>http://dx.doi.org/10.1007/s10530-020-02265-x</v>
      </c>
      <c r="AM1320" s="5">
        <v>14</v>
      </c>
      <c r="AN1320" s="5">
        <v>16</v>
      </c>
      <c r="AO1320" s="5">
        <v>22</v>
      </c>
      <c r="AP1320" s="5">
        <v>8</v>
      </c>
      <c r="AQ1320" s="5">
        <v>2497</v>
      </c>
      <c r="AR1320" s="5">
        <v>2508</v>
      </c>
      <c r="AS1320" s="5" t="s">
        <v>16</v>
      </c>
      <c r="AT1320" s="5" t="s">
        <v>7917</v>
      </c>
      <c r="AU1320" s="5" t="s">
        <v>7918</v>
      </c>
      <c r="AV1320" s="5" t="s">
        <v>7920</v>
      </c>
    </row>
    <row r="1321" spans="1:48" ht="45" customHeight="1" x14ac:dyDescent="0.15">
      <c r="A1321" s="5" t="s">
        <v>7921</v>
      </c>
      <c r="B1321" s="5">
        <v>2013</v>
      </c>
      <c r="C1321" s="5" t="s">
        <v>7922</v>
      </c>
      <c r="D1321" s="5" t="s">
        <v>172</v>
      </c>
      <c r="E1321" s="5" t="s">
        <v>18453</v>
      </c>
      <c r="F1321" s="5" t="s">
        <v>7925</v>
      </c>
      <c r="G1321" s="5"/>
      <c r="H1321" s="5"/>
      <c r="I1321" s="5"/>
      <c r="J1321" s="5"/>
      <c r="K1321" s="5"/>
      <c r="L1321" s="5"/>
      <c r="M1321" s="5"/>
      <c r="N1321" s="5"/>
      <c r="O1321" s="5"/>
      <c r="P1321" s="5"/>
      <c r="Q1321" s="5"/>
      <c r="AL1321" s="7" t="str">
        <f>HYPERLINK("http://dx.doi.org/10.1007/s00442-012-2560-0","http://dx.doi.org/10.1007/s00442-012-2560-0")</f>
        <v>http://dx.doi.org/10.1007/s00442-012-2560-0</v>
      </c>
      <c r="AM1321" s="5">
        <v>17</v>
      </c>
      <c r="AN1321" s="5">
        <v>17</v>
      </c>
      <c r="AO1321" s="5">
        <v>172</v>
      </c>
      <c r="AP1321" s="5">
        <v>4</v>
      </c>
      <c r="AQ1321" s="5">
        <v>1129</v>
      </c>
      <c r="AR1321" s="5">
        <v>1135</v>
      </c>
      <c r="AS1321" s="5" t="s">
        <v>16</v>
      </c>
      <c r="AT1321" s="5" t="s">
        <v>7923</v>
      </c>
      <c r="AU1321" s="5" t="s">
        <v>7924</v>
      </c>
      <c r="AV1321" s="5" t="s">
        <v>7926</v>
      </c>
    </row>
    <row r="1322" spans="1:48" ht="45" customHeight="1" x14ac:dyDescent="0.15">
      <c r="A1322" s="5" t="s">
        <v>7927</v>
      </c>
      <c r="B1322" s="5">
        <v>2015</v>
      </c>
      <c r="C1322" s="5" t="s">
        <v>7928</v>
      </c>
      <c r="D1322" s="5" t="s">
        <v>41</v>
      </c>
      <c r="E1322" s="5" t="s">
        <v>18453</v>
      </c>
      <c r="F1322" s="5" t="s">
        <v>7931</v>
      </c>
      <c r="G1322" s="5"/>
      <c r="H1322" s="5"/>
      <c r="I1322" s="5"/>
      <c r="J1322" s="5"/>
      <c r="K1322" s="5"/>
      <c r="L1322" s="5"/>
      <c r="M1322" s="5"/>
      <c r="N1322" s="5"/>
      <c r="O1322" s="5"/>
      <c r="P1322" s="5"/>
      <c r="Q1322" s="5"/>
      <c r="AL1322" s="7" t="str">
        <f>HYPERLINK("http://dx.doi.org/10.1016/j.actao.2015.04.002","http://dx.doi.org/10.1016/j.actao.2015.04.002")</f>
        <v>http://dx.doi.org/10.1016/j.actao.2015.04.002</v>
      </c>
      <c r="AM1322" s="5">
        <v>14</v>
      </c>
      <c r="AN1322" s="5">
        <v>14</v>
      </c>
      <c r="AO1322" s="5">
        <v>67</v>
      </c>
      <c r="AP1322" s="5" t="s">
        <v>16</v>
      </c>
      <c r="AQ1322" s="5">
        <v>40</v>
      </c>
      <c r="AR1322" s="5">
        <v>48</v>
      </c>
      <c r="AS1322" s="5" t="s">
        <v>16</v>
      </c>
      <c r="AT1322" s="5" t="s">
        <v>7929</v>
      </c>
      <c r="AU1322" s="5" t="s">
        <v>7930</v>
      </c>
      <c r="AV1322" s="5" t="s">
        <v>7932</v>
      </c>
    </row>
    <row r="1323" spans="1:48" ht="45" customHeight="1" x14ac:dyDescent="0.15">
      <c r="A1323" s="5" t="s">
        <v>7933</v>
      </c>
      <c r="B1323" s="5">
        <v>2017</v>
      </c>
      <c r="C1323" s="5" t="s">
        <v>7934</v>
      </c>
      <c r="D1323" s="5" t="s">
        <v>7935</v>
      </c>
      <c r="E1323" s="5" t="s">
        <v>18453</v>
      </c>
      <c r="F1323" s="5" t="s">
        <v>7938</v>
      </c>
      <c r="G1323" s="5"/>
      <c r="H1323" s="5"/>
      <c r="I1323" s="5"/>
      <c r="J1323" s="5"/>
      <c r="K1323" s="5"/>
      <c r="L1323" s="5"/>
      <c r="M1323" s="5"/>
      <c r="N1323" s="5"/>
      <c r="O1323" s="5"/>
      <c r="P1323" s="5"/>
      <c r="Q1323" s="5"/>
      <c r="AL1323" s="7" t="str">
        <f>HYPERLINK("http://dx.doi.org/10.3996/092016-JFWM-073","http://dx.doi.org/10.3996/092016-JFWM-073")</f>
        <v>http://dx.doi.org/10.3996/092016-JFWM-073</v>
      </c>
      <c r="AM1323" s="5">
        <v>6</v>
      </c>
      <c r="AN1323" s="5">
        <v>6</v>
      </c>
      <c r="AO1323" s="5">
        <v>8</v>
      </c>
      <c r="AP1323" s="5">
        <v>2</v>
      </c>
      <c r="AQ1323" s="5">
        <v>449</v>
      </c>
      <c r="AR1323" s="5">
        <v>464</v>
      </c>
      <c r="AS1323" s="5" t="s">
        <v>16</v>
      </c>
      <c r="AT1323" s="5" t="s">
        <v>7936</v>
      </c>
      <c r="AU1323" s="5" t="s">
        <v>7937</v>
      </c>
      <c r="AV1323" s="5" t="s">
        <v>7939</v>
      </c>
    </row>
    <row r="1324" spans="1:48" ht="45" customHeight="1" x14ac:dyDescent="0.15">
      <c r="A1324" s="5" t="s">
        <v>7940</v>
      </c>
      <c r="B1324" s="5">
        <v>2023</v>
      </c>
      <c r="C1324" s="5" t="s">
        <v>7941</v>
      </c>
      <c r="D1324" s="5" t="s">
        <v>1419</v>
      </c>
      <c r="E1324" s="5" t="s">
        <v>18453</v>
      </c>
      <c r="F1324" s="5" t="s">
        <v>7944</v>
      </c>
      <c r="G1324" s="5"/>
      <c r="H1324" s="5"/>
      <c r="I1324" s="5"/>
      <c r="J1324" s="5"/>
      <c r="K1324" s="5"/>
      <c r="L1324" s="5"/>
      <c r="M1324" s="5"/>
      <c r="N1324" s="5"/>
      <c r="O1324" s="5"/>
      <c r="P1324" s="5"/>
      <c r="Q1324" s="5"/>
      <c r="AL1324" s="7" t="str">
        <f>HYPERLINK("http://dx.doi.org/10.1016/j.fooweb.2023.e00272","http://dx.doi.org/10.1016/j.fooweb.2023.e00272")</f>
        <v>http://dx.doi.org/10.1016/j.fooweb.2023.e00272</v>
      </c>
      <c r="AM1324" s="5">
        <v>0</v>
      </c>
      <c r="AN1324" s="5">
        <v>0</v>
      </c>
      <c r="AO1324" s="5">
        <v>35</v>
      </c>
      <c r="AP1324" s="5" t="s">
        <v>16</v>
      </c>
      <c r="AQ1324" s="5" t="s">
        <v>16</v>
      </c>
      <c r="AR1324" s="5" t="s">
        <v>16</v>
      </c>
      <c r="AS1324" s="5" t="s">
        <v>7945</v>
      </c>
      <c r="AT1324" s="5" t="s">
        <v>7942</v>
      </c>
      <c r="AU1324" s="5" t="s">
        <v>7943</v>
      </c>
      <c r="AV1324" s="5" t="s">
        <v>7946</v>
      </c>
    </row>
    <row r="1325" spans="1:48" ht="45" customHeight="1" x14ac:dyDescent="0.15">
      <c r="A1325" s="5" t="s">
        <v>7947</v>
      </c>
      <c r="B1325" s="5">
        <v>2014</v>
      </c>
      <c r="C1325" s="5" t="s">
        <v>7948</v>
      </c>
      <c r="D1325" s="5" t="s">
        <v>138</v>
      </c>
      <c r="E1325" s="5" t="s">
        <v>18453</v>
      </c>
      <c r="F1325" s="5" t="s">
        <v>7951</v>
      </c>
      <c r="G1325" s="5"/>
      <c r="H1325" s="5"/>
      <c r="I1325" s="5"/>
      <c r="J1325" s="5"/>
      <c r="K1325" s="5"/>
      <c r="L1325" s="5"/>
      <c r="M1325" s="5"/>
      <c r="N1325" s="5"/>
      <c r="O1325" s="5"/>
      <c r="P1325" s="5"/>
      <c r="Q1325" s="5"/>
      <c r="AL1325" s="7" t="str">
        <f>HYPERLINK("http://dx.doi.org/10.1111/aec.12117","http://dx.doi.org/10.1111/aec.12117")</f>
        <v>http://dx.doi.org/10.1111/aec.12117</v>
      </c>
      <c r="AM1325" s="5">
        <v>2</v>
      </c>
      <c r="AN1325" s="5">
        <v>2</v>
      </c>
      <c r="AO1325" s="5">
        <v>39</v>
      </c>
      <c r="AP1325" s="5">
        <v>5</v>
      </c>
      <c r="AQ1325" s="5">
        <v>567</v>
      </c>
      <c r="AR1325" s="5">
        <v>578</v>
      </c>
      <c r="AS1325" s="5" t="s">
        <v>16</v>
      </c>
      <c r="AT1325" s="5" t="s">
        <v>7949</v>
      </c>
      <c r="AU1325" s="5" t="s">
        <v>7950</v>
      </c>
      <c r="AV1325" s="5" t="s">
        <v>7952</v>
      </c>
    </row>
    <row r="1326" spans="1:48" ht="45" customHeight="1" x14ac:dyDescent="0.15">
      <c r="A1326" s="5" t="s">
        <v>7953</v>
      </c>
      <c r="B1326" s="5">
        <v>2014</v>
      </c>
      <c r="C1326" s="5" t="s">
        <v>7954</v>
      </c>
      <c r="D1326" s="5" t="s">
        <v>17</v>
      </c>
      <c r="E1326" s="5" t="s">
        <v>18453</v>
      </c>
      <c r="F1326" s="5" t="s">
        <v>7957</v>
      </c>
      <c r="G1326" s="5"/>
      <c r="H1326" s="5"/>
      <c r="I1326" s="5"/>
      <c r="J1326" s="5"/>
      <c r="K1326" s="5"/>
      <c r="L1326" s="5"/>
      <c r="M1326" s="5"/>
      <c r="N1326" s="5"/>
      <c r="O1326" s="5"/>
      <c r="P1326" s="5"/>
      <c r="Q1326" s="5"/>
      <c r="AL1326" s="7" t="str">
        <f>HYPERLINK("http://dx.doi.org/10.1111/fwb.12351","http://dx.doi.org/10.1111/fwb.12351")</f>
        <v>http://dx.doi.org/10.1111/fwb.12351</v>
      </c>
      <c r="AM1326" s="5">
        <v>16</v>
      </c>
      <c r="AN1326" s="5">
        <v>16</v>
      </c>
      <c r="AO1326" s="5">
        <v>59</v>
      </c>
      <c r="AP1326" s="5">
        <v>7</v>
      </c>
      <c r="AQ1326" s="5">
        <v>1361</v>
      </c>
      <c r="AR1326" s="5">
        <v>1377</v>
      </c>
      <c r="AS1326" s="5" t="s">
        <v>16</v>
      </c>
      <c r="AT1326" s="5" t="s">
        <v>7955</v>
      </c>
      <c r="AU1326" s="5" t="s">
        <v>7956</v>
      </c>
      <c r="AV1326" s="5" t="s">
        <v>7958</v>
      </c>
    </row>
    <row r="1327" spans="1:48" ht="45" customHeight="1" x14ac:dyDescent="0.15">
      <c r="A1327" s="5" t="s">
        <v>7959</v>
      </c>
      <c r="B1327" s="5">
        <v>2018</v>
      </c>
      <c r="C1327" s="5" t="s">
        <v>7960</v>
      </c>
      <c r="D1327" s="5" t="s">
        <v>162</v>
      </c>
      <c r="E1327" s="5" t="s">
        <v>18453</v>
      </c>
      <c r="F1327" s="5" t="s">
        <v>7963</v>
      </c>
      <c r="G1327" s="5"/>
      <c r="H1327" s="5"/>
      <c r="I1327" s="5"/>
      <c r="J1327" s="5"/>
      <c r="K1327" s="5"/>
      <c r="L1327" s="5"/>
      <c r="M1327" s="5"/>
      <c r="N1327" s="5"/>
      <c r="O1327" s="5"/>
      <c r="P1327" s="5"/>
      <c r="Q1327" s="5"/>
      <c r="AL1327" s="7" t="str">
        <f>HYPERLINK("http://dx.doi.org/10.1111/1365-2435.13078","http://dx.doi.org/10.1111/1365-2435.13078")</f>
        <v>http://dx.doi.org/10.1111/1365-2435.13078</v>
      </c>
      <c r="AM1327" s="5">
        <v>10</v>
      </c>
      <c r="AN1327" s="5">
        <v>11</v>
      </c>
      <c r="AO1327" s="5">
        <v>32</v>
      </c>
      <c r="AP1327" s="5">
        <v>5</v>
      </c>
      <c r="AQ1327" s="5">
        <v>1370</v>
      </c>
      <c r="AR1327" s="5">
        <v>1378</v>
      </c>
      <c r="AS1327" s="5" t="s">
        <v>16</v>
      </c>
      <c r="AT1327" s="5" t="s">
        <v>7961</v>
      </c>
      <c r="AU1327" s="5" t="s">
        <v>7962</v>
      </c>
      <c r="AV1327" s="5" t="s">
        <v>7964</v>
      </c>
    </row>
    <row r="1328" spans="1:48" ht="45" customHeight="1" x14ac:dyDescent="0.15">
      <c r="A1328" s="5" t="s">
        <v>7965</v>
      </c>
      <c r="B1328" s="5">
        <v>2000</v>
      </c>
      <c r="C1328" s="5" t="s">
        <v>7966</v>
      </c>
      <c r="D1328" s="5" t="s">
        <v>33</v>
      </c>
      <c r="E1328" s="5" t="s">
        <v>18453</v>
      </c>
      <c r="F1328" s="5" t="s">
        <v>7969</v>
      </c>
      <c r="G1328" s="5"/>
      <c r="H1328" s="5"/>
      <c r="I1328" s="5"/>
      <c r="J1328" s="5"/>
      <c r="K1328" s="5"/>
      <c r="L1328" s="5"/>
      <c r="M1328" s="5"/>
      <c r="N1328" s="5"/>
      <c r="O1328" s="5"/>
      <c r="P1328" s="5"/>
      <c r="Q1328" s="5"/>
      <c r="AL1328" s="7" t="str">
        <f>HYPERLINK("http://dx.doi.org/10.1046/j.1365-2486.2000.06014.x","http://dx.doi.org/10.1046/j.1365-2486.2000.06014.x")</f>
        <v>http://dx.doi.org/10.1046/j.1365-2486.2000.06014.x</v>
      </c>
      <c r="AM1328" s="5">
        <v>227</v>
      </c>
      <c r="AN1328" s="5">
        <v>239</v>
      </c>
      <c r="AO1328" s="5">
        <v>6</v>
      </c>
      <c r="AP1328" s="5" t="s">
        <v>16</v>
      </c>
      <c r="AQ1328" s="5">
        <v>69</v>
      </c>
      <c r="AR1328" s="5">
        <v>83</v>
      </c>
      <c r="AS1328" s="5" t="s">
        <v>16</v>
      </c>
      <c r="AT1328" s="5" t="s">
        <v>7967</v>
      </c>
      <c r="AU1328" s="5" t="s">
        <v>7968</v>
      </c>
      <c r="AV1328" s="5" t="s">
        <v>7970</v>
      </c>
    </row>
    <row r="1329" spans="1:48" ht="45" customHeight="1" x14ac:dyDescent="0.15">
      <c r="A1329" s="5" t="s">
        <v>7971</v>
      </c>
      <c r="B1329" s="5">
        <v>2021</v>
      </c>
      <c r="C1329" s="5" t="s">
        <v>7972</v>
      </c>
      <c r="D1329" s="5" t="s">
        <v>252</v>
      </c>
      <c r="E1329" s="5" t="s">
        <v>18453</v>
      </c>
      <c r="F1329" s="5" t="s">
        <v>7975</v>
      </c>
      <c r="G1329" s="5"/>
      <c r="H1329" s="5"/>
      <c r="I1329" s="5"/>
      <c r="J1329" s="5"/>
      <c r="K1329" s="5"/>
      <c r="L1329" s="5"/>
      <c r="M1329" s="5"/>
      <c r="N1329" s="5"/>
      <c r="O1329" s="5"/>
      <c r="P1329" s="5"/>
      <c r="Q1329" s="5"/>
      <c r="AL1329" s="7" t="str">
        <f>HYPERLINK("http://dx.doi.org/10.1111/cobi.13682","http://dx.doi.org/10.1111/cobi.13682")</f>
        <v>http://dx.doi.org/10.1111/cobi.13682</v>
      </c>
      <c r="AM1329" s="5">
        <v>11</v>
      </c>
      <c r="AN1329" s="5">
        <v>11</v>
      </c>
      <c r="AO1329" s="5">
        <v>35</v>
      </c>
      <c r="AP1329" s="5">
        <v>4</v>
      </c>
      <c r="AQ1329" s="5">
        <v>1140</v>
      </c>
      <c r="AR1329" s="5">
        <v>1150</v>
      </c>
      <c r="AS1329" s="5" t="s">
        <v>16</v>
      </c>
      <c r="AT1329" s="5" t="s">
        <v>7973</v>
      </c>
      <c r="AU1329" s="5" t="s">
        <v>7974</v>
      </c>
      <c r="AV1329" s="5" t="s">
        <v>7976</v>
      </c>
    </row>
    <row r="1330" spans="1:48" ht="45" customHeight="1" x14ac:dyDescent="0.15">
      <c r="A1330" s="5" t="s">
        <v>7977</v>
      </c>
      <c r="B1330" s="5">
        <v>2023</v>
      </c>
      <c r="C1330" s="5" t="s">
        <v>7978</v>
      </c>
      <c r="D1330" s="5" t="s">
        <v>67</v>
      </c>
      <c r="E1330" s="5" t="s">
        <v>18453</v>
      </c>
      <c r="F1330" s="5" t="s">
        <v>7981</v>
      </c>
      <c r="G1330" s="5"/>
      <c r="H1330" s="5"/>
      <c r="I1330" s="5"/>
      <c r="J1330" s="5"/>
      <c r="K1330" s="5"/>
      <c r="L1330" s="5"/>
      <c r="M1330" s="5"/>
      <c r="N1330" s="5"/>
      <c r="O1330" s="5"/>
      <c r="P1330" s="5"/>
      <c r="Q1330" s="5"/>
      <c r="AL1330" s="7" t="str">
        <f>HYPERLINK("http://dx.doi.org/10.1111/jbi.14592","http://dx.doi.org/10.1111/jbi.14592")</f>
        <v>http://dx.doi.org/10.1111/jbi.14592</v>
      </c>
      <c r="AM1330" s="5">
        <v>0</v>
      </c>
      <c r="AN1330" s="5">
        <v>0</v>
      </c>
      <c r="AO1330" s="5">
        <v>50</v>
      </c>
      <c r="AP1330" s="5">
        <v>6</v>
      </c>
      <c r="AQ1330" s="5">
        <v>1077</v>
      </c>
      <c r="AR1330" s="5">
        <v>1089</v>
      </c>
      <c r="AS1330" s="5" t="s">
        <v>16</v>
      </c>
      <c r="AT1330" s="5" t="s">
        <v>7979</v>
      </c>
      <c r="AU1330" s="5" t="s">
        <v>7980</v>
      </c>
      <c r="AV1330" s="5" t="s">
        <v>7982</v>
      </c>
    </row>
    <row r="1331" spans="1:48" ht="45" customHeight="1" x14ac:dyDescent="0.15">
      <c r="A1331" s="5" t="s">
        <v>7983</v>
      </c>
      <c r="B1331" s="5">
        <v>2023</v>
      </c>
      <c r="C1331" s="5" t="s">
        <v>7984</v>
      </c>
      <c r="D1331" s="5" t="s">
        <v>44</v>
      </c>
      <c r="E1331" s="5" t="s">
        <v>18453</v>
      </c>
      <c r="F1331" s="5" t="s">
        <v>7987</v>
      </c>
      <c r="G1331" s="5"/>
      <c r="H1331" s="5"/>
      <c r="I1331" s="5"/>
      <c r="J1331" s="5"/>
      <c r="K1331" s="5"/>
      <c r="L1331" s="5"/>
      <c r="M1331" s="5"/>
      <c r="N1331" s="5"/>
      <c r="O1331" s="5"/>
      <c r="P1331" s="5"/>
      <c r="Q1331" s="5"/>
      <c r="AL1331" s="7" t="str">
        <f>HYPERLINK("http://dx.doi.org/10.3389/fevo.2023.1011208","http://dx.doi.org/10.3389/fevo.2023.1011208")</f>
        <v>http://dx.doi.org/10.3389/fevo.2023.1011208</v>
      </c>
      <c r="AM1331" s="5">
        <v>0</v>
      </c>
      <c r="AN1331" s="5">
        <v>0</v>
      </c>
      <c r="AO1331" s="5">
        <v>11</v>
      </c>
      <c r="AP1331" s="5" t="s">
        <v>16</v>
      </c>
      <c r="AQ1331" s="5" t="s">
        <v>16</v>
      </c>
      <c r="AR1331" s="5" t="s">
        <v>16</v>
      </c>
      <c r="AS1331" s="5">
        <v>1011208</v>
      </c>
      <c r="AT1331" s="5" t="s">
        <v>7985</v>
      </c>
      <c r="AU1331" s="5" t="s">
        <v>7986</v>
      </c>
      <c r="AV1331" s="5" t="s">
        <v>7988</v>
      </c>
    </row>
    <row r="1332" spans="1:48" ht="45" customHeight="1" x14ac:dyDescent="0.15">
      <c r="A1332" s="5" t="s">
        <v>7989</v>
      </c>
      <c r="B1332" s="5">
        <v>2019</v>
      </c>
      <c r="C1332" s="5" t="s">
        <v>7990</v>
      </c>
      <c r="D1332" s="5" t="s">
        <v>270</v>
      </c>
      <c r="E1332" s="5" t="s">
        <v>18453</v>
      </c>
      <c r="F1332" s="5" t="s">
        <v>7993</v>
      </c>
      <c r="G1332" s="5"/>
      <c r="H1332" s="5"/>
      <c r="I1332" s="5"/>
      <c r="J1332" s="5"/>
      <c r="K1332" s="5"/>
      <c r="L1332" s="5"/>
      <c r="M1332" s="5"/>
      <c r="N1332" s="5"/>
      <c r="O1332" s="5"/>
      <c r="P1332" s="5"/>
      <c r="Q1332" s="5"/>
      <c r="AL1332" s="7" t="str">
        <f>HYPERLINK("http://dx.doi.org/10.3391/ai.2019.14.4.05","http://dx.doi.org/10.3391/ai.2019.14.4.05")</f>
        <v>http://dx.doi.org/10.3391/ai.2019.14.4.05</v>
      </c>
      <c r="AM1332" s="5">
        <v>8</v>
      </c>
      <c r="AN1332" s="5">
        <v>8</v>
      </c>
      <c r="AO1332" s="5">
        <v>14</v>
      </c>
      <c r="AP1332" s="5">
        <v>4</v>
      </c>
      <c r="AQ1332" s="5">
        <v>638</v>
      </c>
      <c r="AR1332" s="5">
        <v>655</v>
      </c>
      <c r="AS1332" s="5" t="s">
        <v>16</v>
      </c>
      <c r="AT1332" s="5" t="s">
        <v>7991</v>
      </c>
      <c r="AU1332" s="5" t="s">
        <v>7992</v>
      </c>
      <c r="AV1332" s="5" t="s">
        <v>7994</v>
      </c>
    </row>
    <row r="1333" spans="1:48" ht="45" customHeight="1" x14ac:dyDescent="0.15">
      <c r="A1333" s="5" t="s">
        <v>7995</v>
      </c>
      <c r="B1333" s="5">
        <v>2020</v>
      </c>
      <c r="C1333" s="5" t="s">
        <v>7996</v>
      </c>
      <c r="D1333" s="5" t="s">
        <v>1765</v>
      </c>
      <c r="E1333" s="5" t="s">
        <v>18453</v>
      </c>
      <c r="F1333" s="5" t="s">
        <v>7999</v>
      </c>
      <c r="G1333" s="5"/>
      <c r="H1333" s="5"/>
      <c r="I1333" s="5"/>
      <c r="J1333" s="5"/>
      <c r="K1333" s="5"/>
      <c r="L1333" s="5"/>
      <c r="M1333" s="5"/>
      <c r="N1333" s="5"/>
      <c r="O1333" s="5"/>
      <c r="P1333" s="5"/>
      <c r="Q1333" s="5"/>
      <c r="AL1333" s="7" t="str">
        <f>HYPERLINK("http://dx.doi.org/10.1016/j.agee.2020.106930","http://dx.doi.org/10.1016/j.agee.2020.106930")</f>
        <v>http://dx.doi.org/10.1016/j.agee.2020.106930</v>
      </c>
      <c r="AM1333" s="5">
        <v>5</v>
      </c>
      <c r="AN1333" s="5">
        <v>7</v>
      </c>
      <c r="AO1333" s="5">
        <v>296</v>
      </c>
      <c r="AP1333" s="5" t="s">
        <v>16</v>
      </c>
      <c r="AQ1333" s="5" t="s">
        <v>16</v>
      </c>
      <c r="AR1333" s="5" t="s">
        <v>16</v>
      </c>
      <c r="AS1333" s="5">
        <v>106930</v>
      </c>
      <c r="AT1333" s="5" t="s">
        <v>7997</v>
      </c>
      <c r="AU1333" s="5" t="s">
        <v>7998</v>
      </c>
      <c r="AV1333" s="5" t="s">
        <v>8000</v>
      </c>
    </row>
    <row r="1334" spans="1:48" ht="45" customHeight="1" x14ac:dyDescent="0.15">
      <c r="A1334" s="5" t="s">
        <v>8001</v>
      </c>
      <c r="B1334" s="5">
        <v>2014</v>
      </c>
      <c r="C1334" s="5" t="s">
        <v>8002</v>
      </c>
      <c r="D1334" s="5" t="s">
        <v>2450</v>
      </c>
      <c r="E1334" s="5" t="s">
        <v>18453</v>
      </c>
      <c r="F1334" s="5" t="s">
        <v>8005</v>
      </c>
      <c r="G1334" s="5"/>
      <c r="H1334" s="5"/>
      <c r="I1334" s="5"/>
      <c r="J1334" s="5"/>
      <c r="K1334" s="5"/>
      <c r="L1334" s="5"/>
      <c r="M1334" s="5"/>
      <c r="N1334" s="5"/>
      <c r="O1334" s="5"/>
      <c r="P1334" s="5"/>
      <c r="Q1334" s="5"/>
      <c r="AL1334" s="7" t="str">
        <f>HYPERLINK("http://dx.doi.org/10.1016/j.baae.2014.07.002","http://dx.doi.org/10.1016/j.baae.2014.07.002")</f>
        <v>http://dx.doi.org/10.1016/j.baae.2014.07.002</v>
      </c>
      <c r="AM1334" s="5">
        <v>13</v>
      </c>
      <c r="AN1334" s="5">
        <v>14</v>
      </c>
      <c r="AO1334" s="5">
        <v>15</v>
      </c>
      <c r="AP1334" s="5">
        <v>5</v>
      </c>
      <c r="AQ1334" s="5">
        <v>453</v>
      </c>
      <c r="AR1334" s="5">
        <v>463</v>
      </c>
      <c r="AS1334" s="5" t="s">
        <v>16</v>
      </c>
      <c r="AT1334" s="5" t="s">
        <v>8003</v>
      </c>
      <c r="AU1334" s="5" t="s">
        <v>8004</v>
      </c>
      <c r="AV1334" s="5" t="s">
        <v>8006</v>
      </c>
    </row>
    <row r="1335" spans="1:48" ht="45" customHeight="1" x14ac:dyDescent="0.15">
      <c r="A1335" s="5" t="s">
        <v>8007</v>
      </c>
      <c r="B1335" s="5">
        <v>2016</v>
      </c>
      <c r="C1335" s="5" t="s">
        <v>8008</v>
      </c>
      <c r="D1335" s="5" t="s">
        <v>259</v>
      </c>
      <c r="E1335" s="5" t="s">
        <v>18453</v>
      </c>
      <c r="F1335" s="5" t="s">
        <v>8011</v>
      </c>
      <c r="G1335" s="5"/>
      <c r="H1335" s="5"/>
      <c r="I1335" s="5"/>
      <c r="J1335" s="5"/>
      <c r="K1335" s="5"/>
      <c r="L1335" s="5"/>
      <c r="M1335" s="5"/>
      <c r="N1335" s="5"/>
      <c r="O1335" s="5"/>
      <c r="P1335" s="5"/>
      <c r="Q1335" s="5"/>
      <c r="AL1335" s="7" t="str">
        <f>HYPERLINK("http://dx.doi.org/10.1002/jwmg.984","http://dx.doi.org/10.1002/jwmg.984")</f>
        <v>http://dx.doi.org/10.1002/jwmg.984</v>
      </c>
      <c r="AM1335" s="5">
        <v>4</v>
      </c>
      <c r="AN1335" s="5">
        <v>4</v>
      </c>
      <c r="AO1335" s="5">
        <v>80</v>
      </c>
      <c r="AP1335" s="5">
        <v>1</v>
      </c>
      <c r="AQ1335" s="5">
        <v>91</v>
      </c>
      <c r="AR1335" s="5">
        <v>100</v>
      </c>
      <c r="AS1335" s="5" t="s">
        <v>16</v>
      </c>
      <c r="AT1335" s="5" t="s">
        <v>8009</v>
      </c>
      <c r="AU1335" s="5" t="s">
        <v>8010</v>
      </c>
      <c r="AV1335" s="5" t="s">
        <v>8012</v>
      </c>
    </row>
    <row r="1336" spans="1:48" ht="45" customHeight="1" x14ac:dyDescent="0.15">
      <c r="A1336" s="5" t="s">
        <v>8013</v>
      </c>
      <c r="B1336" s="5">
        <v>2008</v>
      </c>
      <c r="C1336" s="5" t="s">
        <v>8014</v>
      </c>
      <c r="D1336" s="5" t="s">
        <v>488</v>
      </c>
      <c r="E1336" s="5" t="s">
        <v>18453</v>
      </c>
      <c r="F1336" s="5" t="s">
        <v>8017</v>
      </c>
      <c r="G1336" s="5"/>
      <c r="H1336" s="5"/>
      <c r="I1336" s="5"/>
      <c r="J1336" s="5"/>
      <c r="K1336" s="5"/>
      <c r="L1336" s="5"/>
      <c r="M1336" s="5"/>
      <c r="N1336" s="5"/>
      <c r="O1336" s="5"/>
      <c r="P1336" s="5"/>
      <c r="Q1336" s="5"/>
      <c r="AL1336" s="7" t="str">
        <f>HYPERLINK("http://dx.doi.org/10.1007/s10344-007-0152-9","http://dx.doi.org/10.1007/s10344-007-0152-9")</f>
        <v>http://dx.doi.org/10.1007/s10344-007-0152-9</v>
      </c>
      <c r="AM1336" s="5">
        <v>4</v>
      </c>
      <c r="AN1336" s="5">
        <v>5</v>
      </c>
      <c r="AO1336" s="5">
        <v>54</v>
      </c>
      <c r="AP1336" s="5">
        <v>2</v>
      </c>
      <c r="AQ1336" s="5">
        <v>313</v>
      </c>
      <c r="AR1336" s="5">
        <v>319</v>
      </c>
      <c r="AS1336" s="5" t="s">
        <v>16</v>
      </c>
      <c r="AT1336" s="5" t="s">
        <v>8015</v>
      </c>
      <c r="AU1336" s="5" t="s">
        <v>8016</v>
      </c>
      <c r="AV1336" s="5" t="s">
        <v>8018</v>
      </c>
    </row>
    <row r="1337" spans="1:48" ht="45" customHeight="1" x14ac:dyDescent="0.15">
      <c r="A1337" s="5" t="s">
        <v>8019</v>
      </c>
      <c r="B1337" s="5">
        <v>2022</v>
      </c>
      <c r="C1337" s="5" t="s">
        <v>8020</v>
      </c>
      <c r="D1337" s="5" t="s">
        <v>172</v>
      </c>
      <c r="E1337" s="5" t="s">
        <v>18453</v>
      </c>
      <c r="F1337" s="5" t="s">
        <v>8023</v>
      </c>
      <c r="G1337" s="5"/>
      <c r="H1337" s="5"/>
      <c r="I1337" s="5"/>
      <c r="J1337" s="5"/>
      <c r="K1337" s="5"/>
      <c r="L1337" s="5"/>
      <c r="M1337" s="5"/>
      <c r="N1337" s="5"/>
      <c r="O1337" s="5"/>
      <c r="P1337" s="5"/>
      <c r="Q1337" s="5"/>
      <c r="AL1337" s="7" t="str">
        <f>HYPERLINK("http://dx.doi.org/10.1007/s00442-022-05121-y","http://dx.doi.org/10.1007/s00442-022-05121-y")</f>
        <v>http://dx.doi.org/10.1007/s00442-022-05121-y</v>
      </c>
      <c r="AM1337" s="5">
        <v>2</v>
      </c>
      <c r="AN1337" s="5">
        <v>2</v>
      </c>
      <c r="AO1337" s="5">
        <v>198</v>
      </c>
      <c r="AP1337" s="5">
        <v>2</v>
      </c>
      <c r="AQ1337" s="5">
        <v>357</v>
      </c>
      <c r="AR1337" s="5">
        <v>370</v>
      </c>
      <c r="AS1337" s="5" t="s">
        <v>16</v>
      </c>
      <c r="AT1337" s="5" t="s">
        <v>8021</v>
      </c>
      <c r="AU1337" s="5" t="s">
        <v>8022</v>
      </c>
      <c r="AV1337" s="5" t="s">
        <v>8024</v>
      </c>
    </row>
    <row r="1338" spans="1:48" ht="45" customHeight="1" x14ac:dyDescent="0.15">
      <c r="A1338" s="5" t="s">
        <v>8025</v>
      </c>
      <c r="B1338" s="5">
        <v>2014</v>
      </c>
      <c r="C1338" s="5" t="s">
        <v>8026</v>
      </c>
      <c r="D1338" s="5" t="s">
        <v>116</v>
      </c>
      <c r="E1338" s="5" t="s">
        <v>18453</v>
      </c>
      <c r="F1338" s="5" t="s">
        <v>8029</v>
      </c>
      <c r="G1338" s="5"/>
      <c r="H1338" s="5"/>
      <c r="I1338" s="5"/>
      <c r="J1338" s="5"/>
      <c r="K1338" s="5"/>
      <c r="L1338" s="5"/>
      <c r="M1338" s="5"/>
      <c r="N1338" s="5"/>
      <c r="O1338" s="5"/>
      <c r="P1338" s="5"/>
      <c r="Q1338" s="5"/>
      <c r="AL1338" s="7" t="str">
        <f>HYPERLINK("http://dx.doi.org/10.1007/s10641-013-0213-8","http://dx.doi.org/10.1007/s10641-013-0213-8")</f>
        <v>http://dx.doi.org/10.1007/s10641-013-0213-8</v>
      </c>
      <c r="AM1338" s="5">
        <v>6</v>
      </c>
      <c r="AN1338" s="5">
        <v>10</v>
      </c>
      <c r="AO1338" s="5">
        <v>97</v>
      </c>
      <c r="AP1338" s="5">
        <v>11</v>
      </c>
      <c r="AQ1338" s="5">
        <v>1279</v>
      </c>
      <c r="AR1338" s="5">
        <v>1293</v>
      </c>
      <c r="AS1338" s="5" t="s">
        <v>16</v>
      </c>
      <c r="AT1338" s="5" t="s">
        <v>8027</v>
      </c>
      <c r="AU1338" s="5" t="s">
        <v>8028</v>
      </c>
      <c r="AV1338" s="5" t="s">
        <v>8030</v>
      </c>
    </row>
    <row r="1339" spans="1:48" ht="45" customHeight="1" x14ac:dyDescent="0.15">
      <c r="A1339" s="5" t="s">
        <v>8031</v>
      </c>
      <c r="B1339" s="5">
        <v>2017</v>
      </c>
      <c r="C1339" s="5" t="s">
        <v>8032</v>
      </c>
      <c r="D1339" s="5" t="s">
        <v>123</v>
      </c>
      <c r="E1339" s="5" t="s">
        <v>18453</v>
      </c>
      <c r="F1339" s="5" t="s">
        <v>8035</v>
      </c>
      <c r="G1339" s="5"/>
      <c r="H1339" s="5"/>
      <c r="I1339" s="5"/>
      <c r="J1339" s="5"/>
      <c r="K1339" s="5"/>
      <c r="L1339" s="5"/>
      <c r="M1339" s="5"/>
      <c r="N1339" s="5"/>
      <c r="O1339" s="5"/>
      <c r="P1339" s="5"/>
      <c r="Q1339" s="5"/>
      <c r="AL1339" s="7" t="str">
        <f>HYPERLINK("http://dx.doi.org/10.1111/ddi.12515","http://dx.doi.org/10.1111/ddi.12515")</f>
        <v>http://dx.doi.org/10.1111/ddi.12515</v>
      </c>
      <c r="AM1339" s="5">
        <v>16</v>
      </c>
      <c r="AN1339" s="5">
        <v>16</v>
      </c>
      <c r="AO1339" s="5">
        <v>23</v>
      </c>
      <c r="AP1339" s="5">
        <v>2</v>
      </c>
      <c r="AQ1339" s="5">
        <v>118</v>
      </c>
      <c r="AR1339" s="5">
        <v>129</v>
      </c>
      <c r="AS1339" s="5" t="s">
        <v>16</v>
      </c>
      <c r="AT1339" s="5" t="s">
        <v>8033</v>
      </c>
      <c r="AU1339" s="5" t="s">
        <v>8034</v>
      </c>
      <c r="AV1339" s="5" t="s">
        <v>8036</v>
      </c>
    </row>
    <row r="1340" spans="1:48" ht="45" customHeight="1" x14ac:dyDescent="0.15">
      <c r="A1340" s="5" t="s">
        <v>8037</v>
      </c>
      <c r="B1340" s="5">
        <v>2017</v>
      </c>
      <c r="C1340" s="5" t="s">
        <v>8038</v>
      </c>
      <c r="D1340" s="5" t="s">
        <v>1445</v>
      </c>
      <c r="E1340" s="5" t="s">
        <v>18453</v>
      </c>
      <c r="F1340" s="5" t="s">
        <v>8041</v>
      </c>
      <c r="G1340" s="5"/>
      <c r="H1340" s="5"/>
      <c r="I1340" s="5"/>
      <c r="J1340" s="5"/>
      <c r="K1340" s="5"/>
      <c r="L1340" s="5"/>
      <c r="M1340" s="5"/>
      <c r="N1340" s="5"/>
      <c r="O1340" s="5"/>
      <c r="P1340" s="5"/>
      <c r="Q1340" s="5"/>
      <c r="AL1340" s="7" t="str">
        <f>HYPERLINK("http://dx.doi.org/10.1080/02705060.2017.1284696","http://dx.doi.org/10.1080/02705060.2017.1284696")</f>
        <v>http://dx.doi.org/10.1080/02705060.2017.1284696</v>
      </c>
      <c r="AM1340" s="5">
        <v>0</v>
      </c>
      <c r="AN1340" s="5">
        <v>0</v>
      </c>
      <c r="AO1340" s="5">
        <v>32</v>
      </c>
      <c r="AP1340" s="5">
        <v>1</v>
      </c>
      <c r="AQ1340" s="5">
        <v>288</v>
      </c>
      <c r="AR1340" s="5">
        <v>299</v>
      </c>
      <c r="AS1340" s="5" t="s">
        <v>16</v>
      </c>
      <c r="AT1340" s="5" t="s">
        <v>8039</v>
      </c>
      <c r="AU1340" s="5" t="s">
        <v>8040</v>
      </c>
      <c r="AV1340" s="5" t="s">
        <v>8042</v>
      </c>
    </row>
    <row r="1341" spans="1:48" ht="45" customHeight="1" x14ac:dyDescent="0.15">
      <c r="A1341" s="5" t="s">
        <v>8043</v>
      </c>
      <c r="B1341" s="5">
        <v>2018</v>
      </c>
      <c r="C1341" s="5" t="s">
        <v>8044</v>
      </c>
      <c r="D1341" s="5" t="s">
        <v>249</v>
      </c>
      <c r="E1341" s="5" t="s">
        <v>18453</v>
      </c>
      <c r="F1341" s="5" t="s">
        <v>8047</v>
      </c>
      <c r="G1341" s="5"/>
      <c r="H1341" s="5"/>
      <c r="I1341" s="5"/>
      <c r="J1341" s="5"/>
      <c r="K1341" s="5"/>
      <c r="L1341" s="5"/>
      <c r="M1341" s="5"/>
      <c r="N1341" s="5"/>
      <c r="O1341" s="5"/>
      <c r="P1341" s="5"/>
      <c r="Q1341" s="5"/>
      <c r="AL1341" s="7" t="str">
        <f>HYPERLINK("http://dx.doi.org/10.1016/j.jaridenv.2018.02.002","http://dx.doi.org/10.1016/j.jaridenv.2018.02.002")</f>
        <v>http://dx.doi.org/10.1016/j.jaridenv.2018.02.002</v>
      </c>
      <c r="AM1341" s="5">
        <v>14</v>
      </c>
      <c r="AN1341" s="5">
        <v>14</v>
      </c>
      <c r="AO1341" s="5">
        <v>152</v>
      </c>
      <c r="AP1341" s="5" t="s">
        <v>16</v>
      </c>
      <c r="AQ1341" s="5">
        <v>45</v>
      </c>
      <c r="AR1341" s="5">
        <v>54</v>
      </c>
      <c r="AS1341" s="5" t="s">
        <v>16</v>
      </c>
      <c r="AT1341" s="5" t="s">
        <v>8045</v>
      </c>
      <c r="AU1341" s="5" t="s">
        <v>8046</v>
      </c>
      <c r="AV1341" s="5" t="s">
        <v>8048</v>
      </c>
    </row>
    <row r="1342" spans="1:48" ht="45" customHeight="1" x14ac:dyDescent="0.15">
      <c r="A1342" s="5" t="s">
        <v>8049</v>
      </c>
      <c r="B1342" s="5">
        <v>2013</v>
      </c>
      <c r="C1342" s="5" t="s">
        <v>8050</v>
      </c>
      <c r="D1342" s="5" t="s">
        <v>3980</v>
      </c>
      <c r="E1342" s="5" t="s">
        <v>18453</v>
      </c>
      <c r="F1342" s="5" t="s">
        <v>8053</v>
      </c>
      <c r="G1342" s="5"/>
      <c r="H1342" s="5"/>
      <c r="I1342" s="5"/>
      <c r="J1342" s="5"/>
      <c r="K1342" s="5"/>
      <c r="L1342" s="5"/>
      <c r="M1342" s="5"/>
      <c r="N1342" s="5"/>
      <c r="O1342" s="5"/>
      <c r="P1342" s="5"/>
      <c r="Q1342" s="5"/>
      <c r="AL1342" s="7" t="str">
        <f>HYPERLINK("http://dx.doi.org/10.1111/btp.12018","http://dx.doi.org/10.1111/btp.12018")</f>
        <v>http://dx.doi.org/10.1111/btp.12018</v>
      </c>
      <c r="AM1342" s="5">
        <v>7</v>
      </c>
      <c r="AN1342" s="5">
        <v>8</v>
      </c>
      <c r="AO1342" s="5">
        <v>45</v>
      </c>
      <c r="AP1342" s="5">
        <v>3</v>
      </c>
      <c r="AQ1342" s="5">
        <v>357</v>
      </c>
      <c r="AR1342" s="5">
        <v>364</v>
      </c>
      <c r="AS1342" s="5" t="s">
        <v>16</v>
      </c>
      <c r="AT1342" s="5" t="s">
        <v>8051</v>
      </c>
      <c r="AU1342" s="5" t="s">
        <v>8052</v>
      </c>
      <c r="AV1342" s="5" t="s">
        <v>8054</v>
      </c>
    </row>
    <row r="1343" spans="1:48" ht="45" customHeight="1" x14ac:dyDescent="0.15">
      <c r="A1343" s="5" t="s">
        <v>8055</v>
      </c>
      <c r="B1343" s="5">
        <v>2019</v>
      </c>
      <c r="C1343" s="5" t="s">
        <v>8056</v>
      </c>
      <c r="D1343" s="5" t="s">
        <v>1445</v>
      </c>
      <c r="E1343" s="5" t="s">
        <v>18453</v>
      </c>
      <c r="F1343" s="5" t="s">
        <v>8059</v>
      </c>
      <c r="G1343" s="5"/>
      <c r="H1343" s="5"/>
      <c r="I1343" s="5"/>
      <c r="J1343" s="5"/>
      <c r="K1343" s="5"/>
      <c r="L1343" s="5"/>
      <c r="M1343" s="5"/>
      <c r="N1343" s="5"/>
      <c r="O1343" s="5"/>
      <c r="P1343" s="5"/>
      <c r="Q1343" s="5"/>
      <c r="AL1343" s="7" t="str">
        <f>HYPERLINK("http://dx.doi.org/10.1080/02705060.2018.1560368","http://dx.doi.org/10.1080/02705060.2018.1560368")</f>
        <v>http://dx.doi.org/10.1080/02705060.2018.1560368</v>
      </c>
      <c r="AM1343" s="5">
        <v>5</v>
      </c>
      <c r="AN1343" s="5">
        <v>6</v>
      </c>
      <c r="AO1343" s="5">
        <v>34</v>
      </c>
      <c r="AP1343" s="5">
        <v>1</v>
      </c>
      <c r="AQ1343" s="5">
        <v>199</v>
      </c>
      <c r="AR1343" s="5">
        <v>212</v>
      </c>
      <c r="AS1343" s="5" t="s">
        <v>16</v>
      </c>
      <c r="AT1343" s="5" t="s">
        <v>8057</v>
      </c>
      <c r="AU1343" s="5" t="s">
        <v>8058</v>
      </c>
      <c r="AV1343" s="5" t="s">
        <v>8060</v>
      </c>
    </row>
    <row r="1344" spans="1:48" ht="45" customHeight="1" x14ac:dyDescent="0.15">
      <c r="A1344" s="5" t="s">
        <v>8061</v>
      </c>
      <c r="B1344" s="5">
        <v>2023</v>
      </c>
      <c r="C1344" s="5" t="s">
        <v>8062</v>
      </c>
      <c r="D1344" s="5" t="s">
        <v>77</v>
      </c>
      <c r="E1344" s="5" t="s">
        <v>18453</v>
      </c>
      <c r="F1344" s="5" t="s">
        <v>8065</v>
      </c>
      <c r="G1344" s="5"/>
      <c r="H1344" s="5"/>
      <c r="I1344" s="5"/>
      <c r="J1344" s="5"/>
      <c r="K1344" s="5"/>
      <c r="L1344" s="5"/>
      <c r="M1344" s="5"/>
      <c r="N1344" s="5"/>
      <c r="O1344" s="5"/>
      <c r="P1344" s="5"/>
      <c r="Q1344" s="5"/>
      <c r="AL1344" s="7" t="str">
        <f>HYPERLINK("http://dx.doi.org/10.1111/1365-2656.13897","http://dx.doi.org/10.1111/1365-2656.13897")</f>
        <v>http://dx.doi.org/10.1111/1365-2656.13897</v>
      </c>
      <c r="AM1344" s="5">
        <v>0</v>
      </c>
      <c r="AN1344" s="5">
        <v>0</v>
      </c>
      <c r="AO1344" s="5">
        <v>92</v>
      </c>
      <c r="AP1344" s="5">
        <v>4</v>
      </c>
      <c r="AQ1344" s="5">
        <v>863</v>
      </c>
      <c r="AR1344" s="5">
        <v>874</v>
      </c>
      <c r="AS1344" s="5" t="s">
        <v>16</v>
      </c>
      <c r="AT1344" s="5" t="s">
        <v>8063</v>
      </c>
      <c r="AU1344" s="5" t="s">
        <v>8064</v>
      </c>
      <c r="AV1344" s="5" t="s">
        <v>8066</v>
      </c>
    </row>
    <row r="1345" spans="1:48" ht="45" customHeight="1" x14ac:dyDescent="0.15">
      <c r="A1345" s="5" t="s">
        <v>8067</v>
      </c>
      <c r="B1345" s="5">
        <v>2016</v>
      </c>
      <c r="C1345" s="5" t="s">
        <v>8068</v>
      </c>
      <c r="D1345" s="5" t="s">
        <v>942</v>
      </c>
      <c r="E1345" s="5" t="s">
        <v>18453</v>
      </c>
      <c r="F1345" s="5" t="s">
        <v>8071</v>
      </c>
      <c r="G1345" s="5"/>
      <c r="H1345" s="5"/>
      <c r="I1345" s="5"/>
      <c r="J1345" s="5"/>
      <c r="K1345" s="5"/>
      <c r="L1345" s="5"/>
      <c r="M1345" s="5"/>
      <c r="N1345" s="5"/>
      <c r="O1345" s="5"/>
      <c r="P1345" s="5"/>
      <c r="Q1345" s="5"/>
      <c r="AL1345" s="7" t="str">
        <f>HYPERLINK("http://dx.doi.org/10.1016/j.rsma.2015.12.004","http://dx.doi.org/10.1016/j.rsma.2015.12.004")</f>
        <v>http://dx.doi.org/10.1016/j.rsma.2015.12.004</v>
      </c>
      <c r="AM1345" s="5">
        <v>5</v>
      </c>
      <c r="AN1345" s="5">
        <v>6</v>
      </c>
      <c r="AO1345" s="5">
        <v>3</v>
      </c>
      <c r="AP1345" s="5" t="s">
        <v>16</v>
      </c>
      <c r="AQ1345" s="5">
        <v>8</v>
      </c>
      <c r="AR1345" s="5">
        <v>17</v>
      </c>
      <c r="AS1345" s="5" t="s">
        <v>16</v>
      </c>
      <c r="AT1345" s="5" t="s">
        <v>8069</v>
      </c>
      <c r="AU1345" s="5" t="s">
        <v>8070</v>
      </c>
      <c r="AV1345" s="5" t="s">
        <v>8072</v>
      </c>
    </row>
    <row r="1346" spans="1:48" ht="45" customHeight="1" x14ac:dyDescent="0.15">
      <c r="A1346" s="5" t="s">
        <v>8073</v>
      </c>
      <c r="B1346" s="5">
        <v>2010</v>
      </c>
      <c r="C1346" s="5" t="s">
        <v>8074</v>
      </c>
      <c r="D1346" s="5" t="s">
        <v>2990</v>
      </c>
      <c r="E1346" s="5" t="s">
        <v>18453</v>
      </c>
      <c r="F1346" s="5" t="s">
        <v>8077</v>
      </c>
      <c r="G1346" s="5"/>
      <c r="H1346" s="5"/>
      <c r="I1346" s="5"/>
      <c r="J1346" s="5"/>
      <c r="K1346" s="5"/>
      <c r="L1346" s="5"/>
      <c r="M1346" s="5"/>
      <c r="N1346" s="5"/>
      <c r="O1346" s="5"/>
      <c r="P1346" s="5"/>
      <c r="Q1346" s="5"/>
      <c r="AL1346" s="7" t="str">
        <f>HYPERLINK("http://dx.doi.org/10.1111/j.1526-100X.2009.00574.x","http://dx.doi.org/10.1111/j.1526-100X.2009.00574.x")</f>
        <v>http://dx.doi.org/10.1111/j.1526-100X.2009.00574.x</v>
      </c>
      <c r="AM1346" s="5">
        <v>46</v>
      </c>
      <c r="AN1346" s="5">
        <v>48</v>
      </c>
      <c r="AO1346" s="5">
        <v>18</v>
      </c>
      <c r="AP1346" s="5">
        <v>6</v>
      </c>
      <c r="AQ1346" s="5">
        <v>934</v>
      </c>
      <c r="AR1346" s="5">
        <v>943</v>
      </c>
      <c r="AS1346" s="5" t="s">
        <v>16</v>
      </c>
      <c r="AT1346" s="5" t="s">
        <v>8075</v>
      </c>
      <c r="AU1346" s="5" t="s">
        <v>8076</v>
      </c>
      <c r="AV1346" s="5" t="s">
        <v>8078</v>
      </c>
    </row>
    <row r="1347" spans="1:48" ht="45" customHeight="1" x14ac:dyDescent="0.15">
      <c r="A1347" s="5" t="s">
        <v>8079</v>
      </c>
      <c r="B1347" s="5">
        <v>2022</v>
      </c>
      <c r="C1347" s="5" t="s">
        <v>8080</v>
      </c>
      <c r="D1347" s="5" t="s">
        <v>82</v>
      </c>
      <c r="E1347" s="5" t="s">
        <v>18453</v>
      </c>
      <c r="F1347" s="5" t="s">
        <v>8083</v>
      </c>
      <c r="G1347" s="5"/>
      <c r="H1347" s="5"/>
      <c r="I1347" s="5"/>
      <c r="J1347" s="5"/>
      <c r="K1347" s="5"/>
      <c r="L1347" s="5"/>
      <c r="M1347" s="5"/>
      <c r="N1347" s="5"/>
      <c r="O1347" s="5"/>
      <c r="P1347" s="5"/>
      <c r="Q1347" s="5"/>
      <c r="AL1347" s="7" t="str">
        <f>HYPERLINK("http://dx.doi.org/10.1002/eap.2654","http://dx.doi.org/10.1002/eap.2654")</f>
        <v>http://dx.doi.org/10.1002/eap.2654</v>
      </c>
      <c r="AM1347" s="5">
        <v>7</v>
      </c>
      <c r="AN1347" s="5">
        <v>7</v>
      </c>
      <c r="AO1347" s="5">
        <v>32</v>
      </c>
      <c r="AP1347" s="5">
        <v>7</v>
      </c>
      <c r="AQ1347" s="5" t="s">
        <v>16</v>
      </c>
      <c r="AR1347" s="5" t="s">
        <v>16</v>
      </c>
      <c r="AS1347" s="5" t="s">
        <v>8084</v>
      </c>
      <c r="AT1347" s="5" t="s">
        <v>8081</v>
      </c>
      <c r="AU1347" s="5" t="s">
        <v>8082</v>
      </c>
      <c r="AV1347" s="5" t="s">
        <v>8085</v>
      </c>
    </row>
    <row r="1348" spans="1:48" ht="45" customHeight="1" x14ac:dyDescent="0.15">
      <c r="A1348" s="5" t="s">
        <v>8086</v>
      </c>
      <c r="B1348" s="5">
        <v>2014</v>
      </c>
      <c r="C1348" s="5" t="s">
        <v>8087</v>
      </c>
      <c r="D1348" s="5" t="s">
        <v>3722</v>
      </c>
      <c r="E1348" s="5" t="s">
        <v>18453</v>
      </c>
      <c r="F1348" s="5" t="s">
        <v>8090</v>
      </c>
      <c r="G1348" s="5"/>
      <c r="H1348" s="5"/>
      <c r="I1348" s="5"/>
      <c r="J1348" s="5"/>
      <c r="K1348" s="5"/>
      <c r="L1348" s="5"/>
      <c r="M1348" s="5"/>
      <c r="N1348" s="5"/>
      <c r="O1348" s="5"/>
      <c r="P1348" s="5"/>
      <c r="Q1348" s="5"/>
      <c r="AL1348" s="7" t="str">
        <f>HYPERLINK("http://dx.doi.org/10.1007/s11355-013-0219-6","http://dx.doi.org/10.1007/s11355-013-0219-6")</f>
        <v>http://dx.doi.org/10.1007/s11355-013-0219-6</v>
      </c>
      <c r="AM1348" s="5">
        <v>14</v>
      </c>
      <c r="AN1348" s="5">
        <v>15</v>
      </c>
      <c r="AO1348" s="5">
        <v>10</v>
      </c>
      <c r="AP1348" s="5">
        <v>1</v>
      </c>
      <c r="AQ1348" s="5">
        <v>65</v>
      </c>
      <c r="AR1348" s="5">
        <v>75</v>
      </c>
      <c r="AS1348" s="5" t="s">
        <v>16</v>
      </c>
      <c r="AT1348" s="5" t="s">
        <v>8088</v>
      </c>
      <c r="AU1348" s="5" t="s">
        <v>8089</v>
      </c>
      <c r="AV1348" s="5" t="s">
        <v>8091</v>
      </c>
    </row>
    <row r="1349" spans="1:48" ht="45" customHeight="1" x14ac:dyDescent="0.15">
      <c r="A1349" s="5" t="s">
        <v>8092</v>
      </c>
      <c r="B1349" s="5">
        <v>2012</v>
      </c>
      <c r="C1349" s="5" t="s">
        <v>8093</v>
      </c>
      <c r="D1349" s="5" t="s">
        <v>1445</v>
      </c>
      <c r="E1349" s="5" t="s">
        <v>18453</v>
      </c>
      <c r="F1349" s="5" t="s">
        <v>8096</v>
      </c>
      <c r="G1349" s="5"/>
      <c r="H1349" s="5"/>
      <c r="I1349" s="5"/>
      <c r="J1349" s="5"/>
      <c r="K1349" s="5"/>
      <c r="L1349" s="5"/>
      <c r="M1349" s="5"/>
      <c r="N1349" s="5"/>
      <c r="O1349" s="5"/>
      <c r="P1349" s="5"/>
      <c r="Q1349" s="5"/>
      <c r="AL1349" s="7" t="str">
        <f>HYPERLINK("http://dx.doi.org/10.1080/02705060.2011.604984","http://dx.doi.org/10.1080/02705060.2011.604984")</f>
        <v>http://dx.doi.org/10.1080/02705060.2011.604984</v>
      </c>
      <c r="AM1349" s="5">
        <v>2</v>
      </c>
      <c r="AN1349" s="5">
        <v>4</v>
      </c>
      <c r="AO1349" s="5">
        <v>27</v>
      </c>
      <c r="AP1349" s="5">
        <v>1</v>
      </c>
      <c r="AQ1349" s="5">
        <v>55</v>
      </c>
      <c r="AR1349" s="5">
        <v>62</v>
      </c>
      <c r="AS1349" s="5" t="s">
        <v>16</v>
      </c>
      <c r="AT1349" s="5" t="s">
        <v>8094</v>
      </c>
      <c r="AU1349" s="5" t="s">
        <v>8095</v>
      </c>
      <c r="AV1349" s="5" t="s">
        <v>8097</v>
      </c>
    </row>
    <row r="1350" spans="1:48" ht="45" customHeight="1" x14ac:dyDescent="0.15">
      <c r="A1350" s="5" t="s">
        <v>8098</v>
      </c>
      <c r="B1350" s="5">
        <v>2011</v>
      </c>
      <c r="C1350" s="5" t="s">
        <v>8099</v>
      </c>
      <c r="D1350" s="5" t="s">
        <v>49</v>
      </c>
      <c r="E1350" s="5" t="s">
        <v>18453</v>
      </c>
      <c r="F1350" s="5" t="s">
        <v>8102</v>
      </c>
      <c r="G1350" s="5"/>
      <c r="H1350" s="5"/>
      <c r="I1350" s="5"/>
      <c r="J1350" s="5"/>
      <c r="K1350" s="5"/>
      <c r="L1350" s="5"/>
      <c r="M1350" s="5"/>
      <c r="N1350" s="5"/>
      <c r="O1350" s="5"/>
      <c r="P1350" s="5"/>
      <c r="Q1350" s="5"/>
      <c r="AL1350" s="7" t="str">
        <f>HYPERLINK("http://dx.doi.org/10.3354/meps09159","http://dx.doi.org/10.3354/meps09159")</f>
        <v>http://dx.doi.org/10.3354/meps09159</v>
      </c>
      <c r="AM1350" s="5">
        <v>63</v>
      </c>
      <c r="AN1350" s="5">
        <v>63</v>
      </c>
      <c r="AO1350" s="5">
        <v>433</v>
      </c>
      <c r="AP1350" s="5" t="s">
        <v>16</v>
      </c>
      <c r="AQ1350" s="5">
        <v>107</v>
      </c>
      <c r="AR1350" s="5">
        <v>120</v>
      </c>
      <c r="AS1350" s="5" t="s">
        <v>16</v>
      </c>
      <c r="AT1350" s="5" t="s">
        <v>8100</v>
      </c>
      <c r="AU1350" s="5" t="s">
        <v>8101</v>
      </c>
      <c r="AV1350" s="5" t="s">
        <v>8103</v>
      </c>
    </row>
    <row r="1351" spans="1:48" ht="45" customHeight="1" x14ac:dyDescent="0.15">
      <c r="A1351" s="5" t="s">
        <v>8104</v>
      </c>
      <c r="B1351" s="5">
        <v>2021</v>
      </c>
      <c r="C1351" s="5" t="s">
        <v>8105</v>
      </c>
      <c r="D1351" s="5" t="s">
        <v>217</v>
      </c>
      <c r="E1351" s="5" t="s">
        <v>18453</v>
      </c>
      <c r="F1351" s="5" t="s">
        <v>8107</v>
      </c>
      <c r="G1351" s="5"/>
      <c r="H1351" s="5"/>
      <c r="I1351" s="5"/>
      <c r="J1351" s="5"/>
      <c r="K1351" s="5"/>
      <c r="L1351" s="5"/>
      <c r="M1351" s="5"/>
      <c r="N1351" s="5"/>
      <c r="O1351" s="5"/>
      <c r="P1351" s="5"/>
      <c r="Q1351" s="5"/>
      <c r="AL1351" s="7" t="str">
        <f>HYPERLINK("http://dx.doi.org/10.1111/2041-210X.13543","http://dx.doi.org/10.1111/2041-210X.13543")</f>
        <v>http://dx.doi.org/10.1111/2041-210X.13543</v>
      </c>
      <c r="AM1351" s="5">
        <v>16</v>
      </c>
      <c r="AN1351" s="5">
        <v>16</v>
      </c>
      <c r="AO1351" s="5">
        <v>12</v>
      </c>
      <c r="AP1351" s="5">
        <v>3</v>
      </c>
      <c r="AQ1351" s="5">
        <v>449</v>
      </c>
      <c r="AR1351" s="5">
        <v>457</v>
      </c>
      <c r="AS1351" s="5" t="s">
        <v>16</v>
      </c>
      <c r="AT1351" s="5" t="s">
        <v>8106</v>
      </c>
      <c r="AU1351" s="5" t="s">
        <v>16</v>
      </c>
      <c r="AV1351" s="5" t="s">
        <v>8108</v>
      </c>
    </row>
    <row r="1352" spans="1:48" ht="45" customHeight="1" x14ac:dyDescent="0.15">
      <c r="A1352" s="5" t="s">
        <v>8109</v>
      </c>
      <c r="B1352" s="5">
        <v>2021</v>
      </c>
      <c r="C1352" s="5" t="s">
        <v>8110</v>
      </c>
      <c r="D1352" s="5" t="s">
        <v>44</v>
      </c>
      <c r="E1352" s="5" t="s">
        <v>18453</v>
      </c>
      <c r="F1352" s="5" t="s">
        <v>8113</v>
      </c>
      <c r="G1352" s="5"/>
      <c r="H1352" s="5"/>
      <c r="I1352" s="5"/>
      <c r="J1352" s="5"/>
      <c r="K1352" s="5"/>
      <c r="L1352" s="5"/>
      <c r="M1352" s="5"/>
      <c r="N1352" s="5"/>
      <c r="O1352" s="5"/>
      <c r="P1352" s="5"/>
      <c r="Q1352" s="5"/>
      <c r="AL1352" s="7" t="str">
        <f>HYPERLINK("http://dx.doi.org/10.3389/fevo.2021.592149","http://dx.doi.org/10.3389/fevo.2021.592149")</f>
        <v>http://dx.doi.org/10.3389/fevo.2021.592149</v>
      </c>
      <c r="AM1352" s="5">
        <v>9</v>
      </c>
      <c r="AN1352" s="5">
        <v>9</v>
      </c>
      <c r="AO1352" s="5">
        <v>9</v>
      </c>
      <c r="AP1352" s="5" t="s">
        <v>16</v>
      </c>
      <c r="AQ1352" s="5" t="s">
        <v>16</v>
      </c>
      <c r="AR1352" s="5" t="s">
        <v>16</v>
      </c>
      <c r="AS1352" s="5">
        <v>592149</v>
      </c>
      <c r="AT1352" s="5" t="s">
        <v>8111</v>
      </c>
      <c r="AU1352" s="5" t="s">
        <v>8112</v>
      </c>
      <c r="AV1352" s="5" t="s">
        <v>8114</v>
      </c>
    </row>
    <row r="1353" spans="1:48" ht="45" customHeight="1" x14ac:dyDescent="0.15">
      <c r="A1353" s="5" t="s">
        <v>8115</v>
      </c>
      <c r="B1353" s="5">
        <v>2016</v>
      </c>
      <c r="C1353" s="5" t="s">
        <v>8116</v>
      </c>
      <c r="D1353" s="5" t="s">
        <v>18</v>
      </c>
      <c r="E1353" s="5" t="s">
        <v>18453</v>
      </c>
      <c r="F1353" s="5" t="s">
        <v>8119</v>
      </c>
      <c r="G1353" s="5"/>
      <c r="H1353" s="5"/>
      <c r="I1353" s="5"/>
      <c r="J1353" s="5"/>
      <c r="K1353" s="5"/>
      <c r="L1353" s="5"/>
      <c r="M1353" s="5"/>
      <c r="N1353" s="5"/>
      <c r="O1353" s="5"/>
      <c r="P1353" s="5"/>
      <c r="Q1353" s="5"/>
      <c r="AL1353" s="7" t="str">
        <f>HYPERLINK("http://dx.doi.org/10.1002/ecs2.1449","http://dx.doi.org/10.1002/ecs2.1449")</f>
        <v>http://dx.doi.org/10.1002/ecs2.1449</v>
      </c>
      <c r="AM1353" s="5">
        <v>14</v>
      </c>
      <c r="AN1353" s="5">
        <v>14</v>
      </c>
      <c r="AO1353" s="5">
        <v>7</v>
      </c>
      <c r="AP1353" s="5">
        <v>12</v>
      </c>
      <c r="AQ1353" s="5" t="s">
        <v>16</v>
      </c>
      <c r="AR1353" s="5" t="s">
        <v>16</v>
      </c>
      <c r="AS1353" s="5" t="s">
        <v>8120</v>
      </c>
      <c r="AT1353" s="5" t="s">
        <v>8117</v>
      </c>
      <c r="AU1353" s="5" t="s">
        <v>8118</v>
      </c>
      <c r="AV1353" s="5" t="s">
        <v>8121</v>
      </c>
    </row>
    <row r="1354" spans="1:48" ht="45" customHeight="1" x14ac:dyDescent="0.15">
      <c r="A1354" s="5" t="s">
        <v>8122</v>
      </c>
      <c r="B1354" s="5">
        <v>2019</v>
      </c>
      <c r="C1354" s="5" t="s">
        <v>8123</v>
      </c>
      <c r="D1354" s="5" t="s">
        <v>62</v>
      </c>
      <c r="E1354" s="5" t="s">
        <v>18453</v>
      </c>
      <c r="F1354" s="5" t="s">
        <v>8126</v>
      </c>
      <c r="G1354" s="5"/>
      <c r="H1354" s="5"/>
      <c r="I1354" s="5"/>
      <c r="J1354" s="5"/>
      <c r="K1354" s="5"/>
      <c r="L1354" s="5"/>
      <c r="M1354" s="5"/>
      <c r="N1354" s="5"/>
      <c r="O1354" s="5"/>
      <c r="P1354" s="5"/>
      <c r="Q1354" s="5"/>
      <c r="AL1354" s="7" t="str">
        <f>HYPERLINK("http://dx.doi.org/10.1007/s10021-018-0289-2","http://dx.doi.org/10.1007/s10021-018-0289-2")</f>
        <v>http://dx.doi.org/10.1007/s10021-018-0289-2</v>
      </c>
      <c r="AM1354" s="5">
        <v>14</v>
      </c>
      <c r="AN1354" s="5">
        <v>14</v>
      </c>
      <c r="AO1354" s="5">
        <v>22</v>
      </c>
      <c r="AP1354" s="5">
        <v>3</v>
      </c>
      <c r="AQ1354" s="5">
        <v>587</v>
      </c>
      <c r="AR1354" s="5">
        <v>601</v>
      </c>
      <c r="AS1354" s="5" t="s">
        <v>16</v>
      </c>
      <c r="AT1354" s="5" t="s">
        <v>8124</v>
      </c>
      <c r="AU1354" s="5" t="s">
        <v>8125</v>
      </c>
      <c r="AV1354" s="5" t="s">
        <v>8127</v>
      </c>
    </row>
    <row r="1355" spans="1:48" ht="45" customHeight="1" x14ac:dyDescent="0.15">
      <c r="A1355" s="5" t="s">
        <v>8128</v>
      </c>
      <c r="B1355" s="5">
        <v>2016</v>
      </c>
      <c r="C1355" s="5" t="s">
        <v>8129</v>
      </c>
      <c r="D1355" s="5" t="s">
        <v>33</v>
      </c>
      <c r="E1355" s="5" t="s">
        <v>18453</v>
      </c>
      <c r="F1355" s="5" t="s">
        <v>8132</v>
      </c>
      <c r="G1355" s="5"/>
      <c r="H1355" s="5"/>
      <c r="I1355" s="5"/>
      <c r="J1355" s="5"/>
      <c r="K1355" s="5"/>
      <c r="L1355" s="5"/>
      <c r="M1355" s="5"/>
      <c r="N1355" s="5"/>
      <c r="O1355" s="5"/>
      <c r="P1355" s="5"/>
      <c r="Q1355" s="5"/>
      <c r="AL1355" s="7" t="str">
        <f>HYPERLINK("http://dx.doi.org/10.1111/gcb.13266","http://dx.doi.org/10.1111/gcb.13266")</f>
        <v>http://dx.doi.org/10.1111/gcb.13266</v>
      </c>
      <c r="AM1355" s="5">
        <v>33</v>
      </c>
      <c r="AN1355" s="5">
        <v>34</v>
      </c>
      <c r="AO1355" s="5">
        <v>22</v>
      </c>
      <c r="AP1355" s="5">
        <v>10</v>
      </c>
      <c r="AQ1355" s="5">
        <v>3503</v>
      </c>
      <c r="AR1355" s="5">
        <v>3517</v>
      </c>
      <c r="AS1355" s="5" t="s">
        <v>16</v>
      </c>
      <c r="AT1355" s="5" t="s">
        <v>8130</v>
      </c>
      <c r="AU1355" s="5" t="s">
        <v>8131</v>
      </c>
      <c r="AV1355" s="5" t="s">
        <v>8133</v>
      </c>
    </row>
    <row r="1356" spans="1:48" ht="45" customHeight="1" x14ac:dyDescent="0.15">
      <c r="A1356" s="5" t="s">
        <v>8134</v>
      </c>
      <c r="B1356" s="5">
        <v>2016</v>
      </c>
      <c r="C1356" s="5" t="s">
        <v>8135</v>
      </c>
      <c r="D1356" s="5" t="s">
        <v>49</v>
      </c>
      <c r="E1356" s="5" t="s">
        <v>18453</v>
      </c>
      <c r="F1356" s="5" t="s">
        <v>8138</v>
      </c>
      <c r="G1356" s="5"/>
      <c r="H1356" s="5"/>
      <c r="I1356" s="5"/>
      <c r="J1356" s="5"/>
      <c r="K1356" s="5"/>
      <c r="L1356" s="5"/>
      <c r="M1356" s="5"/>
      <c r="N1356" s="5"/>
      <c r="O1356" s="5"/>
      <c r="P1356" s="5"/>
      <c r="Q1356" s="5"/>
      <c r="AL1356" s="7" t="str">
        <f>HYPERLINK("http://dx.doi.org/10.3354/meps11725","http://dx.doi.org/10.3354/meps11725")</f>
        <v>http://dx.doi.org/10.3354/meps11725</v>
      </c>
      <c r="AM1356" s="5">
        <v>52</v>
      </c>
      <c r="AN1356" s="5">
        <v>52</v>
      </c>
      <c r="AO1356" s="5">
        <v>550</v>
      </c>
      <c r="AP1356" s="5" t="s">
        <v>16</v>
      </c>
      <c r="AQ1356" s="5">
        <v>1</v>
      </c>
      <c r="AR1356" s="5">
        <v>24</v>
      </c>
      <c r="AS1356" s="5" t="s">
        <v>16</v>
      </c>
      <c r="AT1356" s="5" t="s">
        <v>8136</v>
      </c>
      <c r="AU1356" s="5" t="s">
        <v>8137</v>
      </c>
      <c r="AV1356" s="5" t="s">
        <v>8139</v>
      </c>
    </row>
    <row r="1357" spans="1:48" ht="45" customHeight="1" x14ac:dyDescent="0.15">
      <c r="A1357" s="5" t="s">
        <v>8140</v>
      </c>
      <c r="B1357" s="5">
        <v>2008</v>
      </c>
      <c r="C1357" s="5" t="s">
        <v>8141</v>
      </c>
      <c r="D1357" s="5" t="s">
        <v>212</v>
      </c>
      <c r="E1357" s="5" t="s">
        <v>18453</v>
      </c>
      <c r="F1357" s="5" t="s">
        <v>8144</v>
      </c>
      <c r="G1357" s="5"/>
      <c r="H1357" s="5"/>
      <c r="I1357" s="5"/>
      <c r="J1357" s="5"/>
      <c r="K1357" s="5"/>
      <c r="L1357" s="5"/>
      <c r="M1357" s="5"/>
      <c r="N1357" s="5"/>
      <c r="O1357" s="5"/>
      <c r="P1357" s="5"/>
      <c r="Q1357" s="5"/>
      <c r="AL1357" s="7" t="str">
        <f>HYPERLINK("http://dx.doi.org/10.1007/s00300-007-0363-2","http://dx.doi.org/10.1007/s00300-007-0363-2")</f>
        <v>http://dx.doi.org/10.1007/s00300-007-0363-2</v>
      </c>
      <c r="AM1357" s="5">
        <v>42</v>
      </c>
      <c r="AN1357" s="5">
        <v>43</v>
      </c>
      <c r="AO1357" s="5">
        <v>31</v>
      </c>
      <c r="AP1357" s="5">
        <v>3</v>
      </c>
      <c r="AQ1357" s="5">
        <v>333</v>
      </c>
      <c r="AR1357" s="5">
        <v>349</v>
      </c>
      <c r="AS1357" s="5" t="s">
        <v>16</v>
      </c>
      <c r="AT1357" s="5" t="s">
        <v>8142</v>
      </c>
      <c r="AU1357" s="5" t="s">
        <v>8143</v>
      </c>
      <c r="AV1357" s="5" t="s">
        <v>8145</v>
      </c>
    </row>
    <row r="1358" spans="1:48" ht="45" customHeight="1" x14ac:dyDescent="0.15">
      <c r="A1358" s="5" t="s">
        <v>8146</v>
      </c>
      <c r="B1358" s="5">
        <v>2008</v>
      </c>
      <c r="C1358" s="5" t="s">
        <v>8147</v>
      </c>
      <c r="D1358" s="5" t="s">
        <v>172</v>
      </c>
      <c r="E1358" s="5" t="s">
        <v>18453</v>
      </c>
      <c r="F1358" s="5" t="s">
        <v>8150</v>
      </c>
      <c r="G1358" s="5"/>
      <c r="H1358" s="5"/>
      <c r="I1358" s="5"/>
      <c r="J1358" s="5"/>
      <c r="K1358" s="5"/>
      <c r="L1358" s="5"/>
      <c r="M1358" s="5"/>
      <c r="N1358" s="5"/>
      <c r="O1358" s="5"/>
      <c r="P1358" s="5"/>
      <c r="Q1358" s="5"/>
      <c r="AL1358" s="7" t="str">
        <f>HYPERLINK("http://dx.doi.org/10.1007/s00442-008-1147-2","http://dx.doi.org/10.1007/s00442-008-1147-2")</f>
        <v>http://dx.doi.org/10.1007/s00442-008-1147-2</v>
      </c>
      <c r="AM1358" s="5">
        <v>79</v>
      </c>
      <c r="AN1358" s="5">
        <v>94</v>
      </c>
      <c r="AO1358" s="5">
        <v>158</v>
      </c>
      <c r="AP1358" s="5">
        <v>3</v>
      </c>
      <c r="AQ1358" s="5">
        <v>373</v>
      </c>
      <c r="AR1358" s="5">
        <v>383</v>
      </c>
      <c r="AS1358" s="5" t="s">
        <v>16</v>
      </c>
      <c r="AT1358" s="5" t="s">
        <v>8148</v>
      </c>
      <c r="AU1358" s="5" t="s">
        <v>8149</v>
      </c>
      <c r="AV1358" s="5" t="s">
        <v>8151</v>
      </c>
    </row>
    <row r="1359" spans="1:48" ht="45" customHeight="1" x14ac:dyDescent="0.15">
      <c r="A1359" s="5" t="s">
        <v>8152</v>
      </c>
      <c r="B1359" s="5">
        <v>2018</v>
      </c>
      <c r="C1359" s="5" t="s">
        <v>8153</v>
      </c>
      <c r="D1359" s="5" t="s">
        <v>17</v>
      </c>
      <c r="E1359" s="5" t="s">
        <v>18453</v>
      </c>
      <c r="F1359" s="5" t="s">
        <v>8156</v>
      </c>
      <c r="G1359" s="5"/>
      <c r="H1359" s="5"/>
      <c r="I1359" s="5"/>
      <c r="J1359" s="5"/>
      <c r="K1359" s="5"/>
      <c r="L1359" s="5"/>
      <c r="M1359" s="5"/>
      <c r="N1359" s="5"/>
      <c r="O1359" s="5"/>
      <c r="P1359" s="5"/>
      <c r="Q1359" s="5"/>
      <c r="AL1359" s="7" t="str">
        <f>HYPERLINK("http://dx.doi.org/10.1111/fwb.13177","http://dx.doi.org/10.1111/fwb.13177")</f>
        <v>http://dx.doi.org/10.1111/fwb.13177</v>
      </c>
      <c r="AM1359" s="5">
        <v>10</v>
      </c>
      <c r="AN1359" s="5">
        <v>10</v>
      </c>
      <c r="AO1359" s="5">
        <v>63</v>
      </c>
      <c r="AP1359" s="5">
        <v>12</v>
      </c>
      <c r="AQ1359" s="5">
        <v>1483</v>
      </c>
      <c r="AR1359" s="5">
        <v>1497</v>
      </c>
      <c r="AS1359" s="5" t="s">
        <v>16</v>
      </c>
      <c r="AT1359" s="5" t="s">
        <v>8154</v>
      </c>
      <c r="AU1359" s="5" t="s">
        <v>8155</v>
      </c>
      <c r="AV1359" s="5" t="s">
        <v>8157</v>
      </c>
    </row>
    <row r="1360" spans="1:48" ht="45" customHeight="1" x14ac:dyDescent="0.15">
      <c r="A1360" s="5" t="s">
        <v>8158</v>
      </c>
      <c r="B1360" s="5">
        <v>2014</v>
      </c>
      <c r="C1360" s="5" t="s">
        <v>8159</v>
      </c>
      <c r="D1360" s="5" t="s">
        <v>295</v>
      </c>
      <c r="E1360" s="5" t="s">
        <v>18453</v>
      </c>
      <c r="F1360" s="5" t="s">
        <v>8162</v>
      </c>
      <c r="G1360" s="5"/>
      <c r="H1360" s="5"/>
      <c r="I1360" s="5"/>
      <c r="J1360" s="5"/>
      <c r="K1360" s="5"/>
      <c r="L1360" s="5"/>
      <c r="M1360" s="5"/>
      <c r="N1360" s="5"/>
      <c r="O1360" s="5"/>
      <c r="P1360" s="5"/>
      <c r="Q1360" s="5"/>
      <c r="AL1360" s="7" t="str">
        <f>HYPERLINK("http://dx.doi.org/10.1016/j.jembe.2014.03.004","http://dx.doi.org/10.1016/j.jembe.2014.03.004")</f>
        <v>http://dx.doi.org/10.1016/j.jembe.2014.03.004</v>
      </c>
      <c r="AM1360" s="5">
        <v>9</v>
      </c>
      <c r="AN1360" s="5">
        <v>10</v>
      </c>
      <c r="AO1360" s="5">
        <v>456</v>
      </c>
      <c r="AP1360" s="5" t="s">
        <v>16</v>
      </c>
      <c r="AQ1360" s="5">
        <v>18</v>
      </c>
      <c r="AR1360" s="5">
        <v>25</v>
      </c>
      <c r="AS1360" s="5" t="s">
        <v>16</v>
      </c>
      <c r="AT1360" s="5" t="s">
        <v>8160</v>
      </c>
      <c r="AU1360" s="5" t="s">
        <v>8161</v>
      </c>
      <c r="AV1360" s="5" t="s">
        <v>8163</v>
      </c>
    </row>
    <row r="1361" spans="1:48" ht="45" customHeight="1" x14ac:dyDescent="0.15">
      <c r="A1361" s="5" t="s">
        <v>8164</v>
      </c>
      <c r="B1361" s="5">
        <v>2010</v>
      </c>
      <c r="C1361" s="5" t="s">
        <v>8165</v>
      </c>
      <c r="D1361" s="5" t="s">
        <v>49</v>
      </c>
      <c r="E1361" s="5" t="s">
        <v>18453</v>
      </c>
      <c r="F1361" s="5" t="s">
        <v>8168</v>
      </c>
      <c r="G1361" s="5"/>
      <c r="H1361" s="5"/>
      <c r="I1361" s="5"/>
      <c r="J1361" s="5"/>
      <c r="K1361" s="5"/>
      <c r="L1361" s="5"/>
      <c r="M1361" s="5"/>
      <c r="N1361" s="5"/>
      <c r="O1361" s="5"/>
      <c r="P1361" s="5"/>
      <c r="Q1361" s="5"/>
      <c r="AL1361" s="7" t="str">
        <f>HYPERLINK("http://dx.doi.org/10.3354/meps08791","http://dx.doi.org/10.3354/meps08791")</f>
        <v>http://dx.doi.org/10.3354/meps08791</v>
      </c>
      <c r="AM1361" s="5">
        <v>40</v>
      </c>
      <c r="AN1361" s="5">
        <v>41</v>
      </c>
      <c r="AO1361" s="5">
        <v>417</v>
      </c>
      <c r="AP1361" s="5" t="s">
        <v>16</v>
      </c>
      <c r="AQ1361" s="5">
        <v>287</v>
      </c>
      <c r="AR1361" s="5">
        <v>300</v>
      </c>
      <c r="AS1361" s="5" t="s">
        <v>16</v>
      </c>
      <c r="AT1361" s="5" t="s">
        <v>8166</v>
      </c>
      <c r="AU1361" s="5" t="s">
        <v>8167</v>
      </c>
      <c r="AV1361" s="5" t="s">
        <v>8169</v>
      </c>
    </row>
    <row r="1362" spans="1:48" ht="45" customHeight="1" x14ac:dyDescent="0.15">
      <c r="A1362" s="5" t="s">
        <v>8170</v>
      </c>
      <c r="B1362" s="5">
        <v>2008</v>
      </c>
      <c r="C1362" s="5" t="s">
        <v>8171</v>
      </c>
      <c r="D1362" s="5" t="s">
        <v>162</v>
      </c>
      <c r="E1362" s="5" t="s">
        <v>18453</v>
      </c>
      <c r="F1362" s="5" t="s">
        <v>8174</v>
      </c>
      <c r="G1362" s="5"/>
      <c r="H1362" s="5"/>
      <c r="I1362" s="5"/>
      <c r="J1362" s="5"/>
      <c r="K1362" s="5"/>
      <c r="L1362" s="5"/>
      <c r="M1362" s="5"/>
      <c r="N1362" s="5"/>
      <c r="O1362" s="5"/>
      <c r="P1362" s="5"/>
      <c r="Q1362" s="5"/>
      <c r="AL1362" s="7" t="str">
        <f>HYPERLINK("http://dx.doi.org/10.1111/j.1365-2435.2008.01471.x","http://dx.doi.org/10.1111/j.1365-2435.2008.01471.x")</f>
        <v>http://dx.doi.org/10.1111/j.1365-2435.2008.01471.x</v>
      </c>
      <c r="AM1362" s="5">
        <v>41</v>
      </c>
      <c r="AN1362" s="5">
        <v>44</v>
      </c>
      <c r="AO1362" s="5">
        <v>22</v>
      </c>
      <c r="AP1362" s="5">
        <v>6</v>
      </c>
      <c r="AQ1362" s="5">
        <v>1008</v>
      </c>
      <c r="AR1362" s="5">
        <v>1017</v>
      </c>
      <c r="AS1362" s="5" t="s">
        <v>16</v>
      </c>
      <c r="AT1362" s="5" t="s">
        <v>8172</v>
      </c>
      <c r="AU1362" s="5" t="s">
        <v>8173</v>
      </c>
      <c r="AV1362" s="5" t="s">
        <v>8175</v>
      </c>
    </row>
    <row r="1363" spans="1:48" ht="45" customHeight="1" x14ac:dyDescent="0.15">
      <c r="A1363" s="5" t="s">
        <v>8176</v>
      </c>
      <c r="B1363" s="5">
        <v>2014</v>
      </c>
      <c r="C1363" s="5" t="s">
        <v>8177</v>
      </c>
      <c r="D1363" s="5" t="s">
        <v>18</v>
      </c>
      <c r="E1363" s="5" t="s">
        <v>18453</v>
      </c>
      <c r="F1363" s="5" t="s">
        <v>8180</v>
      </c>
      <c r="G1363" s="5"/>
      <c r="H1363" s="5"/>
      <c r="I1363" s="5"/>
      <c r="J1363" s="5"/>
      <c r="K1363" s="5"/>
      <c r="L1363" s="5"/>
      <c r="M1363" s="5"/>
      <c r="N1363" s="5"/>
      <c r="O1363" s="5"/>
      <c r="P1363" s="5"/>
      <c r="Q1363" s="5"/>
      <c r="AL1363" s="7" t="str">
        <f>HYPERLINK("http://dx.doi.org/10.1890/ES14-00126.1","http://dx.doi.org/10.1890/ES14-00126.1")</f>
        <v>http://dx.doi.org/10.1890/ES14-00126.1</v>
      </c>
      <c r="AM1363" s="5">
        <v>34</v>
      </c>
      <c r="AN1363" s="5">
        <v>35</v>
      </c>
      <c r="AO1363" s="5">
        <v>5</v>
      </c>
      <c r="AP1363" s="5">
        <v>10</v>
      </c>
      <c r="AQ1363" s="5" t="s">
        <v>16</v>
      </c>
      <c r="AR1363" s="5" t="s">
        <v>16</v>
      </c>
      <c r="AS1363" s="5">
        <v>123</v>
      </c>
      <c r="AT1363" s="5" t="s">
        <v>8178</v>
      </c>
      <c r="AU1363" s="5" t="s">
        <v>8179</v>
      </c>
      <c r="AV1363" s="5" t="s">
        <v>8181</v>
      </c>
    </row>
    <row r="1364" spans="1:48" ht="45" customHeight="1" x14ac:dyDescent="0.15">
      <c r="A1364" s="5" t="s">
        <v>8182</v>
      </c>
      <c r="B1364" s="5">
        <v>2018</v>
      </c>
      <c r="C1364" s="5" t="s">
        <v>8183</v>
      </c>
      <c r="D1364" s="5" t="s">
        <v>1084</v>
      </c>
      <c r="E1364" s="5" t="s">
        <v>18453</v>
      </c>
      <c r="F1364" s="5" t="s">
        <v>8186</v>
      </c>
      <c r="G1364" s="5"/>
      <c r="H1364" s="5"/>
      <c r="I1364" s="5"/>
      <c r="J1364" s="5"/>
      <c r="K1364" s="5"/>
      <c r="L1364" s="5"/>
      <c r="M1364" s="5"/>
      <c r="N1364" s="5"/>
      <c r="O1364" s="5"/>
      <c r="P1364" s="5"/>
      <c r="Q1364" s="5"/>
      <c r="AL1364" s="7" t="str">
        <f>HYPERLINK("http://dx.doi.org/10.1016/j.jnc.2017.12.003","http://dx.doi.org/10.1016/j.jnc.2017.12.003")</f>
        <v>http://dx.doi.org/10.1016/j.jnc.2017.12.003</v>
      </c>
      <c r="AM1364" s="5">
        <v>16</v>
      </c>
      <c r="AN1364" s="5">
        <v>16</v>
      </c>
      <c r="AO1364" s="5">
        <v>41</v>
      </c>
      <c r="AP1364" s="5" t="s">
        <v>16</v>
      </c>
      <c r="AQ1364" s="5">
        <v>106</v>
      </c>
      <c r="AR1364" s="5">
        <v>115</v>
      </c>
      <c r="AS1364" s="5" t="s">
        <v>16</v>
      </c>
      <c r="AT1364" s="5" t="s">
        <v>8184</v>
      </c>
      <c r="AU1364" s="5" t="s">
        <v>8185</v>
      </c>
      <c r="AV1364" s="5" t="s">
        <v>8187</v>
      </c>
    </row>
    <row r="1365" spans="1:48" ht="45" customHeight="1" x14ac:dyDescent="0.15">
      <c r="A1365" s="5" t="s">
        <v>8188</v>
      </c>
      <c r="B1365" s="5">
        <v>2019</v>
      </c>
      <c r="C1365" s="5" t="s">
        <v>8189</v>
      </c>
      <c r="D1365" s="5" t="s">
        <v>1758</v>
      </c>
      <c r="E1365" s="5" t="s">
        <v>18453</v>
      </c>
      <c r="F1365" s="5" t="s">
        <v>8192</v>
      </c>
      <c r="G1365" s="5"/>
      <c r="H1365" s="5"/>
      <c r="I1365" s="5"/>
      <c r="J1365" s="5"/>
      <c r="K1365" s="5"/>
      <c r="L1365" s="5"/>
      <c r="M1365" s="5"/>
      <c r="N1365" s="5"/>
      <c r="O1365" s="5"/>
      <c r="P1365" s="5"/>
      <c r="Q1365" s="5"/>
      <c r="AL1365" s="7" t="str">
        <f>HYPERLINK("http://dx.doi.org/10.1007/s13157-017-0988-z","http://dx.doi.org/10.1007/s13157-017-0988-z")</f>
        <v>http://dx.doi.org/10.1007/s13157-017-0988-z</v>
      </c>
      <c r="AM1365" s="5">
        <v>1</v>
      </c>
      <c r="AN1365" s="5">
        <v>3</v>
      </c>
      <c r="AO1365" s="5">
        <v>39</v>
      </c>
      <c r="AP1365" s="5" t="s">
        <v>16</v>
      </c>
      <c r="AQ1365" s="5" t="s">
        <v>8193</v>
      </c>
      <c r="AR1365" s="5" t="s">
        <v>8194</v>
      </c>
      <c r="AS1365" s="5" t="s">
        <v>16</v>
      </c>
      <c r="AT1365" s="5" t="s">
        <v>8190</v>
      </c>
      <c r="AU1365" s="5" t="s">
        <v>8191</v>
      </c>
      <c r="AV1365" s="5" t="s">
        <v>8195</v>
      </c>
    </row>
    <row r="1366" spans="1:48" ht="45" customHeight="1" x14ac:dyDescent="0.15">
      <c r="A1366" s="5" t="s">
        <v>8196</v>
      </c>
      <c r="B1366" s="5">
        <v>2014</v>
      </c>
      <c r="C1366" s="5" t="s">
        <v>8197</v>
      </c>
      <c r="D1366" s="5" t="s">
        <v>312</v>
      </c>
      <c r="E1366" s="5" t="s">
        <v>18453</v>
      </c>
      <c r="F1366" s="5" t="s">
        <v>8200</v>
      </c>
      <c r="G1366" s="5"/>
      <c r="H1366" s="5"/>
      <c r="I1366" s="5"/>
      <c r="J1366" s="5"/>
      <c r="K1366" s="5"/>
      <c r="L1366" s="5"/>
      <c r="M1366" s="5"/>
      <c r="N1366" s="5"/>
      <c r="O1366" s="5"/>
      <c r="P1366" s="5"/>
      <c r="Q1366" s="5"/>
      <c r="AL1366" s="7" t="str">
        <f>HYPERLINK("http://dx.doi.org/10.1016/j.ecolmodel.2014.03.005","http://dx.doi.org/10.1016/j.ecolmodel.2014.03.005")</f>
        <v>http://dx.doi.org/10.1016/j.ecolmodel.2014.03.005</v>
      </c>
      <c r="AM1366" s="5">
        <v>36</v>
      </c>
      <c r="AN1366" s="5">
        <v>37</v>
      </c>
      <c r="AO1366" s="5">
        <v>282</v>
      </c>
      <c r="AP1366" s="5" t="s">
        <v>16</v>
      </c>
      <c r="AQ1366" s="5">
        <v>1</v>
      </c>
      <c r="AR1366" s="5">
        <v>17</v>
      </c>
      <c r="AS1366" s="5" t="s">
        <v>16</v>
      </c>
      <c r="AT1366" s="5" t="s">
        <v>8198</v>
      </c>
      <c r="AU1366" s="5" t="s">
        <v>8199</v>
      </c>
      <c r="AV1366" s="5" t="s">
        <v>8201</v>
      </c>
    </row>
    <row r="1367" spans="1:48" ht="45" customHeight="1" x14ac:dyDescent="0.15">
      <c r="A1367" s="5" t="s">
        <v>8202</v>
      </c>
      <c r="B1367" s="5">
        <v>2020</v>
      </c>
      <c r="C1367" s="5" t="s">
        <v>8203</v>
      </c>
      <c r="D1367" s="5" t="s">
        <v>942</v>
      </c>
      <c r="E1367" s="5" t="s">
        <v>18453</v>
      </c>
      <c r="F1367" s="5" t="s">
        <v>8206</v>
      </c>
      <c r="G1367" s="5"/>
      <c r="H1367" s="5"/>
      <c r="I1367" s="5"/>
      <c r="J1367" s="5"/>
      <c r="K1367" s="5"/>
      <c r="L1367" s="5"/>
      <c r="M1367" s="5"/>
      <c r="N1367" s="5"/>
      <c r="O1367" s="5"/>
      <c r="P1367" s="5"/>
      <c r="Q1367" s="5"/>
      <c r="AL1367" s="7" t="str">
        <f>HYPERLINK("http://dx.doi.org/10.1016/j.rsma.2020.101520","http://dx.doi.org/10.1016/j.rsma.2020.101520")</f>
        <v>http://dx.doi.org/10.1016/j.rsma.2020.101520</v>
      </c>
      <c r="AM1367" s="5">
        <v>3</v>
      </c>
      <c r="AN1367" s="5">
        <v>3</v>
      </c>
      <c r="AO1367" s="5">
        <v>40</v>
      </c>
      <c r="AP1367" s="5" t="s">
        <v>16</v>
      </c>
      <c r="AQ1367" s="5" t="s">
        <v>16</v>
      </c>
      <c r="AR1367" s="5" t="s">
        <v>16</v>
      </c>
      <c r="AS1367" s="5">
        <v>101520</v>
      </c>
      <c r="AT1367" s="5" t="s">
        <v>8204</v>
      </c>
      <c r="AU1367" s="5" t="s">
        <v>8205</v>
      </c>
      <c r="AV1367" s="5" t="s">
        <v>8207</v>
      </c>
    </row>
    <row r="1368" spans="1:48" ht="45" customHeight="1" x14ac:dyDescent="0.15">
      <c r="A1368" s="5" t="s">
        <v>8208</v>
      </c>
      <c r="B1368" s="5">
        <v>2017</v>
      </c>
      <c r="C1368" s="5" t="s">
        <v>8209</v>
      </c>
      <c r="D1368" s="5" t="s">
        <v>2087</v>
      </c>
      <c r="E1368" s="5" t="s">
        <v>18453</v>
      </c>
      <c r="F1368" s="5" t="s">
        <v>8212</v>
      </c>
      <c r="G1368" s="5"/>
      <c r="H1368" s="5"/>
      <c r="I1368" s="5"/>
      <c r="J1368" s="5"/>
      <c r="K1368" s="5"/>
      <c r="L1368" s="5"/>
      <c r="M1368" s="5"/>
      <c r="N1368" s="5"/>
      <c r="O1368" s="5"/>
      <c r="P1368" s="5"/>
      <c r="Q1368" s="5"/>
      <c r="AL1368" s="7" t="str">
        <f>HYPERLINK("http://dx.doi.org/10.1002/eco.1796","http://dx.doi.org/10.1002/eco.1796")</f>
        <v>http://dx.doi.org/10.1002/eco.1796</v>
      </c>
      <c r="AM1368" s="5">
        <v>11</v>
      </c>
      <c r="AN1368" s="5">
        <v>11</v>
      </c>
      <c r="AO1368" s="5">
        <v>10</v>
      </c>
      <c r="AP1368" s="5">
        <v>3</v>
      </c>
      <c r="AQ1368" s="5" t="s">
        <v>16</v>
      </c>
      <c r="AR1368" s="5" t="s">
        <v>16</v>
      </c>
      <c r="AS1368" s="5" t="s">
        <v>8213</v>
      </c>
      <c r="AT1368" s="5" t="s">
        <v>8210</v>
      </c>
      <c r="AU1368" s="5" t="s">
        <v>8211</v>
      </c>
      <c r="AV1368" s="5" t="s">
        <v>8214</v>
      </c>
    </row>
    <row r="1369" spans="1:48" ht="45" customHeight="1" x14ac:dyDescent="0.15">
      <c r="A1369" s="5" t="s">
        <v>2650</v>
      </c>
      <c r="B1369" s="5">
        <v>2017</v>
      </c>
      <c r="C1369" s="5" t="s">
        <v>8215</v>
      </c>
      <c r="D1369" s="5" t="s">
        <v>296</v>
      </c>
      <c r="E1369" s="5" t="s">
        <v>18453</v>
      </c>
      <c r="F1369" s="5" t="s">
        <v>8218</v>
      </c>
      <c r="G1369" s="5"/>
      <c r="H1369" s="5"/>
      <c r="I1369" s="5"/>
      <c r="J1369" s="5"/>
      <c r="K1369" s="5"/>
      <c r="L1369" s="5"/>
      <c r="M1369" s="5"/>
      <c r="N1369" s="5"/>
      <c r="O1369" s="5"/>
      <c r="P1369" s="5"/>
      <c r="Q1369" s="5"/>
      <c r="AL1369" s="7" t="str">
        <f>HYPERLINK("http://dx.doi.org/10.1098/rspb.2017.0350","http://dx.doi.org/10.1098/rspb.2017.0350")</f>
        <v>http://dx.doi.org/10.1098/rspb.2017.0350</v>
      </c>
      <c r="AM1369" s="5">
        <v>24</v>
      </c>
      <c r="AN1369" s="5">
        <v>26</v>
      </c>
      <c r="AO1369" s="5">
        <v>284</v>
      </c>
      <c r="AP1369" s="5">
        <v>1859</v>
      </c>
      <c r="AQ1369" s="5" t="s">
        <v>16</v>
      </c>
      <c r="AR1369" s="5" t="s">
        <v>16</v>
      </c>
      <c r="AS1369" s="5">
        <v>20170350</v>
      </c>
      <c r="AT1369" s="5" t="s">
        <v>8216</v>
      </c>
      <c r="AU1369" s="5" t="s">
        <v>8217</v>
      </c>
      <c r="AV1369" s="5" t="s">
        <v>8219</v>
      </c>
    </row>
    <row r="1370" spans="1:48" ht="45" customHeight="1" x14ac:dyDescent="0.15">
      <c r="A1370" s="5" t="s">
        <v>8220</v>
      </c>
      <c r="B1370" s="5">
        <v>2012</v>
      </c>
      <c r="C1370" s="5" t="s">
        <v>8221</v>
      </c>
      <c r="D1370" s="5" t="s">
        <v>49</v>
      </c>
      <c r="E1370" s="5" t="s">
        <v>18453</v>
      </c>
      <c r="F1370" s="5" t="s">
        <v>8224</v>
      </c>
      <c r="G1370" s="5"/>
      <c r="H1370" s="5"/>
      <c r="I1370" s="5"/>
      <c r="J1370" s="5"/>
      <c r="K1370" s="5"/>
      <c r="L1370" s="5"/>
      <c r="M1370" s="5"/>
      <c r="N1370" s="5"/>
      <c r="O1370" s="5"/>
      <c r="P1370" s="5"/>
      <c r="Q1370" s="5"/>
      <c r="AL1370" s="7" t="str">
        <f>HYPERLINK("http://dx.doi.org/10.3354/meps09762","http://dx.doi.org/10.3354/meps09762")</f>
        <v>http://dx.doi.org/10.3354/meps09762</v>
      </c>
      <c r="AM1370" s="5">
        <v>6</v>
      </c>
      <c r="AN1370" s="5">
        <v>6</v>
      </c>
      <c r="AO1370" s="5">
        <v>459</v>
      </c>
      <c r="AP1370" s="5" t="s">
        <v>16</v>
      </c>
      <c r="AQ1370" s="5">
        <v>63</v>
      </c>
      <c r="AR1370" s="5">
        <v>71</v>
      </c>
      <c r="AS1370" s="5" t="s">
        <v>16</v>
      </c>
      <c r="AT1370" s="5" t="s">
        <v>8222</v>
      </c>
      <c r="AU1370" s="5" t="s">
        <v>8223</v>
      </c>
      <c r="AV1370" s="5" t="s">
        <v>8225</v>
      </c>
    </row>
    <row r="1371" spans="1:48" ht="45" customHeight="1" x14ac:dyDescent="0.15">
      <c r="A1371" s="5" t="s">
        <v>8226</v>
      </c>
      <c r="B1371" s="5">
        <v>2014</v>
      </c>
      <c r="C1371" s="5" t="s">
        <v>8227</v>
      </c>
      <c r="D1371" s="5" t="s">
        <v>3183</v>
      </c>
      <c r="E1371" s="5" t="s">
        <v>18453</v>
      </c>
      <c r="F1371" s="5" t="s">
        <v>8230</v>
      </c>
      <c r="G1371" s="5"/>
      <c r="H1371" s="5"/>
      <c r="I1371" s="5"/>
      <c r="J1371" s="5"/>
      <c r="K1371" s="5"/>
      <c r="L1371" s="5"/>
      <c r="M1371" s="5"/>
      <c r="N1371" s="5"/>
      <c r="O1371" s="5"/>
      <c r="P1371" s="5"/>
      <c r="Q1371" s="5"/>
      <c r="AL1371" s="7" t="str">
        <f>HYPERLINK("http://dx.doi.org/10.1016/j.pedobi.2014.09.001","http://dx.doi.org/10.1016/j.pedobi.2014.09.001")</f>
        <v>http://dx.doi.org/10.1016/j.pedobi.2014.09.001</v>
      </c>
      <c r="AM1371" s="5">
        <v>12</v>
      </c>
      <c r="AN1371" s="5">
        <v>13</v>
      </c>
      <c r="AO1371" s="5">
        <v>57</v>
      </c>
      <c r="AP1371" s="5" t="s">
        <v>8231</v>
      </c>
      <c r="AQ1371" s="5">
        <v>251</v>
      </c>
      <c r="AR1371" s="5">
        <v>256</v>
      </c>
      <c r="AS1371" s="5" t="s">
        <v>16</v>
      </c>
      <c r="AT1371" s="5" t="s">
        <v>8228</v>
      </c>
      <c r="AU1371" s="5" t="s">
        <v>8229</v>
      </c>
      <c r="AV1371" s="5" t="s">
        <v>8232</v>
      </c>
    </row>
    <row r="1372" spans="1:48" ht="45" customHeight="1" x14ac:dyDescent="0.15">
      <c r="A1372" s="5" t="s">
        <v>8233</v>
      </c>
      <c r="B1372" s="5">
        <v>2018</v>
      </c>
      <c r="C1372" s="5" t="s">
        <v>8234</v>
      </c>
      <c r="D1372" s="5" t="s">
        <v>17</v>
      </c>
      <c r="E1372" s="5" t="s">
        <v>18453</v>
      </c>
      <c r="F1372" s="5" t="s">
        <v>8237</v>
      </c>
      <c r="G1372" s="5"/>
      <c r="H1372" s="5"/>
      <c r="I1372" s="5"/>
      <c r="J1372" s="5"/>
      <c r="K1372" s="5"/>
      <c r="L1372" s="5"/>
      <c r="M1372" s="5"/>
      <c r="N1372" s="5"/>
      <c r="O1372" s="5"/>
      <c r="P1372" s="5"/>
      <c r="Q1372" s="5"/>
      <c r="AL1372" s="7" t="str">
        <f>HYPERLINK("http://dx.doi.org/10.1111/fwb.13131","http://dx.doi.org/10.1111/fwb.13131")</f>
        <v>http://dx.doi.org/10.1111/fwb.13131</v>
      </c>
      <c r="AM1372" s="5">
        <v>17</v>
      </c>
      <c r="AN1372" s="5">
        <v>17</v>
      </c>
      <c r="AO1372" s="5">
        <v>63</v>
      </c>
      <c r="AP1372" s="5">
        <v>10</v>
      </c>
      <c r="AQ1372" s="5">
        <v>1260</v>
      </c>
      <c r="AR1372" s="5">
        <v>1272</v>
      </c>
      <c r="AS1372" s="5" t="s">
        <v>16</v>
      </c>
      <c r="AT1372" s="5" t="s">
        <v>8235</v>
      </c>
      <c r="AU1372" s="5" t="s">
        <v>8236</v>
      </c>
      <c r="AV1372" s="5" t="s">
        <v>8238</v>
      </c>
    </row>
    <row r="1373" spans="1:48" ht="45" customHeight="1" x14ac:dyDescent="0.15">
      <c r="A1373" s="5" t="s">
        <v>8239</v>
      </c>
      <c r="B1373" s="5">
        <v>2015</v>
      </c>
      <c r="C1373" s="5" t="s">
        <v>8240</v>
      </c>
      <c r="D1373" s="5" t="s">
        <v>172</v>
      </c>
      <c r="E1373" s="5" t="s">
        <v>18453</v>
      </c>
      <c r="F1373" s="5" t="s">
        <v>8243</v>
      </c>
      <c r="G1373" s="5"/>
      <c r="H1373" s="5"/>
      <c r="I1373" s="5"/>
      <c r="J1373" s="5"/>
      <c r="K1373" s="5"/>
      <c r="L1373" s="5"/>
      <c r="M1373" s="5"/>
      <c r="N1373" s="5"/>
      <c r="O1373" s="5"/>
      <c r="P1373" s="5"/>
      <c r="Q1373" s="5"/>
      <c r="AL1373" s="7" t="str">
        <f>HYPERLINK("http://dx.doi.org/10.1007/s00442-015-3225-6","http://dx.doi.org/10.1007/s00442-015-3225-6")</f>
        <v>http://dx.doi.org/10.1007/s00442-015-3225-6</v>
      </c>
      <c r="AM1373" s="5">
        <v>14</v>
      </c>
      <c r="AN1373" s="5">
        <v>15</v>
      </c>
      <c r="AO1373" s="5">
        <v>178</v>
      </c>
      <c r="AP1373" s="5">
        <v>2</v>
      </c>
      <c r="AQ1373" s="5">
        <v>603</v>
      </c>
      <c r="AR1373" s="5">
        <v>614</v>
      </c>
      <c r="AS1373" s="5" t="s">
        <v>16</v>
      </c>
      <c r="AT1373" s="5" t="s">
        <v>8241</v>
      </c>
      <c r="AU1373" s="5" t="s">
        <v>8242</v>
      </c>
      <c r="AV1373" s="5" t="s">
        <v>8244</v>
      </c>
    </row>
    <row r="1374" spans="1:48" ht="45" customHeight="1" x14ac:dyDescent="0.15">
      <c r="A1374" s="5" t="s">
        <v>8245</v>
      </c>
      <c r="B1374" s="5">
        <v>2015</v>
      </c>
      <c r="C1374" s="5" t="s">
        <v>8246</v>
      </c>
      <c r="D1374" s="5" t="s">
        <v>27</v>
      </c>
      <c r="E1374" s="5" t="s">
        <v>18453</v>
      </c>
      <c r="F1374" s="5" t="s">
        <v>8249</v>
      </c>
      <c r="G1374" s="5"/>
      <c r="H1374" s="5"/>
      <c r="I1374" s="5"/>
      <c r="J1374" s="5"/>
      <c r="K1374" s="5"/>
      <c r="L1374" s="5"/>
      <c r="M1374" s="5"/>
      <c r="N1374" s="5"/>
      <c r="O1374" s="5"/>
      <c r="P1374" s="5"/>
      <c r="Q1374" s="5"/>
      <c r="AL1374" s="7" t="str">
        <f>HYPERLINK("http://dx.doi.org/10.1890/14-1558.1","http://dx.doi.org/10.1890/14-1558.1")</f>
        <v>http://dx.doi.org/10.1890/14-1558.1</v>
      </c>
      <c r="AM1374" s="5">
        <v>29</v>
      </c>
      <c r="AN1374" s="5">
        <v>29</v>
      </c>
      <c r="AO1374" s="5">
        <v>96</v>
      </c>
      <c r="AP1374" s="5">
        <v>12</v>
      </c>
      <c r="AQ1374" s="5">
        <v>3281</v>
      </c>
      <c r="AR1374" s="5">
        <v>3291</v>
      </c>
      <c r="AS1374" s="5" t="s">
        <v>16</v>
      </c>
      <c r="AT1374" s="5" t="s">
        <v>8247</v>
      </c>
      <c r="AU1374" s="5" t="s">
        <v>8248</v>
      </c>
      <c r="AV1374" s="5" t="s">
        <v>8250</v>
      </c>
    </row>
    <row r="1375" spans="1:48" ht="45" customHeight="1" x14ac:dyDescent="0.15">
      <c r="A1375" s="5" t="s">
        <v>8251</v>
      </c>
      <c r="B1375" s="5">
        <v>2006</v>
      </c>
      <c r="C1375" s="5" t="s">
        <v>8252</v>
      </c>
      <c r="D1375" s="5" t="s">
        <v>296</v>
      </c>
      <c r="E1375" s="5" t="s">
        <v>18453</v>
      </c>
      <c r="F1375" s="5" t="s">
        <v>8255</v>
      </c>
      <c r="G1375" s="5"/>
      <c r="H1375" s="5"/>
      <c r="I1375" s="5"/>
      <c r="J1375" s="5"/>
      <c r="K1375" s="5"/>
      <c r="L1375" s="5"/>
      <c r="M1375" s="5"/>
      <c r="N1375" s="5"/>
      <c r="O1375" s="5"/>
      <c r="P1375" s="5"/>
      <c r="Q1375" s="5"/>
      <c r="AL1375" s="7" t="str">
        <f>HYPERLINK("http://dx.doi.org/10.1098/rspb.2005.3351","http://dx.doi.org/10.1098/rspb.2005.3351")</f>
        <v>http://dx.doi.org/10.1098/rspb.2005.3351</v>
      </c>
      <c r="AM1375" s="5">
        <v>134</v>
      </c>
      <c r="AN1375" s="5">
        <v>142</v>
      </c>
      <c r="AO1375" s="5">
        <v>273</v>
      </c>
      <c r="AP1375" s="5">
        <v>1585</v>
      </c>
      <c r="AQ1375" s="5">
        <v>445</v>
      </c>
      <c r="AR1375" s="5">
        <v>450</v>
      </c>
      <c r="AS1375" s="5" t="s">
        <v>16</v>
      </c>
      <c r="AT1375" s="5" t="s">
        <v>8253</v>
      </c>
      <c r="AU1375" s="5" t="s">
        <v>8254</v>
      </c>
      <c r="AV1375" s="5" t="s">
        <v>8256</v>
      </c>
    </row>
    <row r="1376" spans="1:48" ht="45" customHeight="1" x14ac:dyDescent="0.15">
      <c r="A1376" s="5" t="s">
        <v>8257</v>
      </c>
      <c r="B1376" s="5">
        <v>2020</v>
      </c>
      <c r="C1376" s="5" t="s">
        <v>8258</v>
      </c>
      <c r="D1376" s="5" t="s">
        <v>27</v>
      </c>
      <c r="E1376" s="5" t="s">
        <v>18453</v>
      </c>
      <c r="F1376" s="5" t="s">
        <v>8261</v>
      </c>
      <c r="G1376" s="5"/>
      <c r="H1376" s="5"/>
      <c r="I1376" s="5"/>
      <c r="J1376" s="5"/>
      <c r="K1376" s="5"/>
      <c r="L1376" s="5"/>
      <c r="M1376" s="5"/>
      <c r="N1376" s="5"/>
      <c r="O1376" s="5"/>
      <c r="P1376" s="5"/>
      <c r="Q1376" s="5"/>
      <c r="AL1376" s="7" t="str">
        <f>HYPERLINK("http://dx.doi.org/10.1002/ecy.2991","http://dx.doi.org/10.1002/ecy.2991")</f>
        <v>http://dx.doi.org/10.1002/ecy.2991</v>
      </c>
      <c r="AM1376" s="5">
        <v>22</v>
      </c>
      <c r="AN1376" s="5">
        <v>23</v>
      </c>
      <c r="AO1376" s="5">
        <v>101</v>
      </c>
      <c r="AP1376" s="5">
        <v>5</v>
      </c>
      <c r="AQ1376" s="5" t="s">
        <v>16</v>
      </c>
      <c r="AR1376" s="5" t="s">
        <v>16</v>
      </c>
      <c r="AS1376" s="5" t="s">
        <v>8262</v>
      </c>
      <c r="AT1376" s="5" t="s">
        <v>8259</v>
      </c>
      <c r="AU1376" s="5" t="s">
        <v>8260</v>
      </c>
      <c r="AV1376" s="5" t="s">
        <v>8263</v>
      </c>
    </row>
    <row r="1377" spans="1:48" ht="45" customHeight="1" x14ac:dyDescent="0.15">
      <c r="A1377" s="5" t="s">
        <v>8264</v>
      </c>
      <c r="B1377" s="5">
        <v>1994</v>
      </c>
      <c r="C1377" s="5" t="s">
        <v>8265</v>
      </c>
      <c r="D1377" s="5" t="s">
        <v>172</v>
      </c>
      <c r="E1377" s="5" t="s">
        <v>18453</v>
      </c>
      <c r="F1377" s="5" t="s">
        <v>8268</v>
      </c>
      <c r="G1377" s="5"/>
      <c r="H1377" s="5"/>
      <c r="I1377" s="5"/>
      <c r="J1377" s="5"/>
      <c r="K1377" s="5"/>
      <c r="L1377" s="5"/>
      <c r="M1377" s="5"/>
      <c r="N1377" s="5"/>
      <c r="O1377" s="5"/>
      <c r="P1377" s="5"/>
      <c r="Q1377" s="5"/>
      <c r="AL1377" s="7" t="str">
        <f>HYPERLINK("http://dx.doi.org/10.1007/BF00627735","http://dx.doi.org/10.1007/BF00627735")</f>
        <v>http://dx.doi.org/10.1007/BF00627735</v>
      </c>
      <c r="AM1377" s="5">
        <v>116</v>
      </c>
      <c r="AN1377" s="5">
        <v>124</v>
      </c>
      <c r="AO1377" s="5">
        <v>99</v>
      </c>
      <c r="AP1377" s="5" t="s">
        <v>639</v>
      </c>
      <c r="AQ1377" s="5">
        <v>233</v>
      </c>
      <c r="AR1377" s="5">
        <v>242</v>
      </c>
      <c r="AS1377" s="5" t="s">
        <v>16</v>
      </c>
      <c r="AT1377" s="5" t="s">
        <v>8266</v>
      </c>
      <c r="AU1377" s="5" t="s">
        <v>8267</v>
      </c>
      <c r="AV1377" s="5" t="s">
        <v>8269</v>
      </c>
    </row>
    <row r="1378" spans="1:48" ht="45" customHeight="1" x14ac:dyDescent="0.15">
      <c r="A1378" s="5" t="s">
        <v>8270</v>
      </c>
      <c r="B1378" s="5">
        <v>2022</v>
      </c>
      <c r="C1378" s="5" t="s">
        <v>8271</v>
      </c>
      <c r="D1378" s="5" t="s">
        <v>217</v>
      </c>
      <c r="E1378" s="5" t="s">
        <v>18453</v>
      </c>
      <c r="F1378" s="5" t="s">
        <v>8273</v>
      </c>
      <c r="G1378" s="5"/>
      <c r="H1378" s="5"/>
      <c r="I1378" s="5"/>
      <c r="J1378" s="5"/>
      <c r="K1378" s="5"/>
      <c r="L1378" s="5"/>
      <c r="M1378" s="5"/>
      <c r="N1378" s="5"/>
      <c r="O1378" s="5"/>
      <c r="P1378" s="5"/>
      <c r="Q1378" s="5"/>
      <c r="AL1378" s="7" t="str">
        <f>HYPERLINK("http://dx.doi.org/10.1111/2041-210X.13823","http://dx.doi.org/10.1111/2041-210X.13823")</f>
        <v>http://dx.doi.org/10.1111/2041-210X.13823</v>
      </c>
      <c r="AM1378" s="5">
        <v>1</v>
      </c>
      <c r="AN1378" s="5">
        <v>1</v>
      </c>
      <c r="AO1378" s="5">
        <v>13</v>
      </c>
      <c r="AP1378" s="5">
        <v>5</v>
      </c>
      <c r="AQ1378" s="5">
        <v>1135</v>
      </c>
      <c r="AR1378" s="5">
        <v>1147</v>
      </c>
      <c r="AS1378" s="5" t="s">
        <v>16</v>
      </c>
      <c r="AT1378" s="5" t="s">
        <v>16</v>
      </c>
      <c r="AU1378" s="5" t="s">
        <v>8272</v>
      </c>
      <c r="AV1378" s="5" t="s">
        <v>8274</v>
      </c>
    </row>
    <row r="1379" spans="1:48" ht="45" customHeight="1" x14ac:dyDescent="0.15">
      <c r="A1379" s="5" t="s">
        <v>8275</v>
      </c>
      <c r="B1379" s="5">
        <v>2014</v>
      </c>
      <c r="C1379" s="5" t="s">
        <v>8276</v>
      </c>
      <c r="D1379" s="5" t="s">
        <v>82</v>
      </c>
      <c r="E1379" s="5" t="s">
        <v>18453</v>
      </c>
      <c r="F1379" s="5" t="s">
        <v>8279</v>
      </c>
      <c r="G1379" s="5"/>
      <c r="H1379" s="5"/>
      <c r="I1379" s="5"/>
      <c r="J1379" s="5"/>
      <c r="K1379" s="5"/>
      <c r="L1379" s="5"/>
      <c r="M1379" s="5"/>
      <c r="N1379" s="5"/>
      <c r="O1379" s="5"/>
      <c r="P1379" s="5"/>
      <c r="Q1379" s="5"/>
      <c r="AL1379" s="7" t="str">
        <f>HYPERLINK("http://dx.doi.org/10.1890/1051-0761-24.1.181","http://dx.doi.org/10.1890/1051-0761-24.1.181")</f>
        <v>http://dx.doi.org/10.1890/1051-0761-24.1.181</v>
      </c>
      <c r="AM1379" s="5">
        <v>42</v>
      </c>
      <c r="AN1379" s="5">
        <v>42</v>
      </c>
      <c r="AO1379" s="5">
        <v>24</v>
      </c>
      <c r="AP1379" s="5">
        <v>1</v>
      </c>
      <c r="AQ1379" s="5">
        <v>181</v>
      </c>
      <c r="AR1379" s="5">
        <v>195</v>
      </c>
      <c r="AS1379" s="5" t="s">
        <v>16</v>
      </c>
      <c r="AT1379" s="5" t="s">
        <v>8277</v>
      </c>
      <c r="AU1379" s="5" t="s">
        <v>8278</v>
      </c>
      <c r="AV1379" s="5" t="s">
        <v>8280</v>
      </c>
    </row>
    <row r="1380" spans="1:48" ht="45" customHeight="1" x14ac:dyDescent="0.15">
      <c r="A1380" s="5" t="s">
        <v>8281</v>
      </c>
      <c r="B1380" s="5">
        <v>2012</v>
      </c>
      <c r="C1380" s="5" t="s">
        <v>8282</v>
      </c>
      <c r="D1380" s="5" t="s">
        <v>383</v>
      </c>
      <c r="E1380" s="5" t="s">
        <v>18453</v>
      </c>
      <c r="F1380" s="5" t="s">
        <v>8285</v>
      </c>
      <c r="G1380" s="5"/>
      <c r="H1380" s="5"/>
      <c r="I1380" s="5"/>
      <c r="J1380" s="5"/>
      <c r="K1380" s="5"/>
      <c r="L1380" s="5"/>
      <c r="M1380" s="5"/>
      <c r="N1380" s="5"/>
      <c r="O1380" s="5"/>
      <c r="P1380" s="5"/>
      <c r="Q1380" s="5"/>
      <c r="AL1380" s="7" t="str">
        <f>HYPERLINK("http://dx.doi.org/10.1007/s11284-011-0913-5","http://dx.doi.org/10.1007/s11284-011-0913-5")</f>
        <v>http://dx.doi.org/10.1007/s11284-011-0913-5</v>
      </c>
      <c r="AM1380" s="5">
        <v>8</v>
      </c>
      <c r="AN1380" s="5">
        <v>8</v>
      </c>
      <c r="AO1380" s="5">
        <v>27</v>
      </c>
      <c r="AP1380" s="5">
        <v>2</v>
      </c>
      <c r="AQ1380" s="5">
        <v>417</v>
      </c>
      <c r="AR1380" s="5">
        <v>426</v>
      </c>
      <c r="AS1380" s="5" t="s">
        <v>16</v>
      </c>
      <c r="AT1380" s="5" t="s">
        <v>8283</v>
      </c>
      <c r="AU1380" s="5" t="s">
        <v>8284</v>
      </c>
      <c r="AV1380" s="5" t="s">
        <v>8286</v>
      </c>
    </row>
    <row r="1381" spans="1:48" ht="45" customHeight="1" x14ac:dyDescent="0.15">
      <c r="A1381" s="5" t="s">
        <v>8287</v>
      </c>
      <c r="B1381" s="5">
        <v>2017</v>
      </c>
      <c r="C1381" s="5" t="s">
        <v>8288</v>
      </c>
      <c r="D1381" s="5" t="s">
        <v>190</v>
      </c>
      <c r="E1381" s="5" t="s">
        <v>18453</v>
      </c>
      <c r="F1381" s="5" t="s">
        <v>8291</v>
      </c>
      <c r="G1381" s="5"/>
      <c r="H1381" s="5"/>
      <c r="I1381" s="5"/>
      <c r="J1381" s="5"/>
      <c r="K1381" s="5"/>
      <c r="L1381" s="5"/>
      <c r="M1381" s="5"/>
      <c r="N1381" s="5"/>
      <c r="O1381" s="5"/>
      <c r="P1381" s="5"/>
      <c r="Q1381" s="5"/>
      <c r="AL1381" s="7" t="str">
        <f>HYPERLINK("http://dx.doi.org/10.1007/s10530-017-1473-6","http://dx.doi.org/10.1007/s10530-017-1473-6")</f>
        <v>http://dx.doi.org/10.1007/s10530-017-1473-6</v>
      </c>
      <c r="AM1381" s="5">
        <v>22</v>
      </c>
      <c r="AN1381" s="5">
        <v>22</v>
      </c>
      <c r="AO1381" s="5">
        <v>19</v>
      </c>
      <c r="AP1381" s="5">
        <v>9</v>
      </c>
      <c r="AQ1381" s="5">
        <v>2633</v>
      </c>
      <c r="AR1381" s="5">
        <v>2646</v>
      </c>
      <c r="AS1381" s="5" t="s">
        <v>16</v>
      </c>
      <c r="AT1381" s="5" t="s">
        <v>8289</v>
      </c>
      <c r="AU1381" s="5" t="s">
        <v>8290</v>
      </c>
      <c r="AV1381" s="5" t="s">
        <v>8292</v>
      </c>
    </row>
    <row r="1382" spans="1:48" ht="45" customHeight="1" x14ac:dyDescent="0.15">
      <c r="A1382" s="5" t="s">
        <v>8293</v>
      </c>
      <c r="B1382" s="5">
        <v>2015</v>
      </c>
      <c r="C1382" s="5" t="s">
        <v>8294</v>
      </c>
      <c r="D1382" s="5" t="s">
        <v>172</v>
      </c>
      <c r="E1382" s="5" t="s">
        <v>18453</v>
      </c>
      <c r="F1382" s="5" t="s">
        <v>8297</v>
      </c>
      <c r="G1382" s="5"/>
      <c r="H1382" s="5"/>
      <c r="I1382" s="5"/>
      <c r="J1382" s="5"/>
      <c r="K1382" s="5"/>
      <c r="L1382" s="5"/>
      <c r="M1382" s="5"/>
      <c r="N1382" s="5"/>
      <c r="O1382" s="5"/>
      <c r="P1382" s="5"/>
      <c r="Q1382" s="5"/>
      <c r="AL1382" s="7" t="str">
        <f>HYPERLINK("http://dx.doi.org/10.1007/s00442-014-3132-2","http://dx.doi.org/10.1007/s00442-014-3132-2")</f>
        <v>http://dx.doi.org/10.1007/s00442-014-3132-2</v>
      </c>
      <c r="AM1382" s="5">
        <v>15</v>
      </c>
      <c r="AN1382" s="5">
        <v>15</v>
      </c>
      <c r="AO1382" s="5">
        <v>177</v>
      </c>
      <c r="AP1382" s="5">
        <v>3</v>
      </c>
      <c r="AQ1382" s="5">
        <v>823</v>
      </c>
      <c r="AR1382" s="5">
        <v>835</v>
      </c>
      <c r="AS1382" s="5" t="s">
        <v>16</v>
      </c>
      <c r="AT1382" s="5" t="s">
        <v>8295</v>
      </c>
      <c r="AU1382" s="5" t="s">
        <v>8296</v>
      </c>
      <c r="AV1382" s="5" t="s">
        <v>8298</v>
      </c>
    </row>
    <row r="1383" spans="1:48" ht="45" customHeight="1" x14ac:dyDescent="0.15">
      <c r="A1383" s="5" t="s">
        <v>8299</v>
      </c>
      <c r="B1383" s="5">
        <v>2015</v>
      </c>
      <c r="C1383" s="5" t="s">
        <v>8300</v>
      </c>
      <c r="D1383" s="5" t="s">
        <v>17</v>
      </c>
      <c r="E1383" s="5" t="s">
        <v>18453</v>
      </c>
      <c r="F1383" s="5" t="s">
        <v>8303</v>
      </c>
      <c r="G1383" s="5"/>
      <c r="H1383" s="5"/>
      <c r="I1383" s="5"/>
      <c r="J1383" s="5"/>
      <c r="K1383" s="5"/>
      <c r="L1383" s="5"/>
      <c r="M1383" s="5"/>
      <c r="N1383" s="5"/>
      <c r="O1383" s="5"/>
      <c r="P1383" s="5"/>
      <c r="Q1383" s="5"/>
      <c r="AL1383" s="7" t="str">
        <f>HYPERLINK("http://dx.doi.org/10.1111/fwb.12521","http://dx.doi.org/10.1111/fwb.12521")</f>
        <v>http://dx.doi.org/10.1111/fwb.12521</v>
      </c>
      <c r="AM1383" s="5">
        <v>23</v>
      </c>
      <c r="AN1383" s="5">
        <v>24</v>
      </c>
      <c r="AO1383" s="5">
        <v>60</v>
      </c>
      <c r="AP1383" s="5">
        <v>4</v>
      </c>
      <c r="AQ1383" s="5">
        <v>711</v>
      </c>
      <c r="AR1383" s="5">
        <v>723</v>
      </c>
      <c r="AS1383" s="5" t="s">
        <v>16</v>
      </c>
      <c r="AT1383" s="5" t="s">
        <v>8301</v>
      </c>
      <c r="AU1383" s="5" t="s">
        <v>8302</v>
      </c>
      <c r="AV1383" s="5" t="s">
        <v>8304</v>
      </c>
    </row>
    <row r="1384" spans="1:48" ht="45" customHeight="1" x14ac:dyDescent="0.15">
      <c r="A1384" s="5" t="s">
        <v>8305</v>
      </c>
      <c r="B1384" s="5">
        <v>2020</v>
      </c>
      <c r="C1384" s="5" t="s">
        <v>8306</v>
      </c>
      <c r="D1384" s="5" t="s">
        <v>57</v>
      </c>
      <c r="E1384" s="5" t="s">
        <v>18453</v>
      </c>
      <c r="F1384" s="5" t="s">
        <v>8309</v>
      </c>
      <c r="G1384" s="5"/>
      <c r="H1384" s="5"/>
      <c r="I1384" s="5"/>
      <c r="J1384" s="5"/>
      <c r="K1384" s="5"/>
      <c r="L1384" s="5"/>
      <c r="M1384" s="5"/>
      <c r="N1384" s="5"/>
      <c r="O1384" s="5"/>
      <c r="P1384" s="5"/>
      <c r="Q1384" s="5"/>
      <c r="AL1384" s="7" t="str">
        <f>HYPERLINK("http://dx.doi.org/10.1098/rsbl.2020.0218","http://dx.doi.org/10.1098/rsbl.2020.0218")</f>
        <v>http://dx.doi.org/10.1098/rsbl.2020.0218</v>
      </c>
      <c r="AM1384" s="5">
        <v>8</v>
      </c>
      <c r="AN1384" s="5">
        <v>9</v>
      </c>
      <c r="AO1384" s="5">
        <v>16</v>
      </c>
      <c r="AP1384" s="5">
        <v>9</v>
      </c>
      <c r="AQ1384" s="5" t="s">
        <v>16</v>
      </c>
      <c r="AR1384" s="5" t="s">
        <v>16</v>
      </c>
      <c r="AS1384" s="5">
        <v>20200218</v>
      </c>
      <c r="AT1384" s="5" t="s">
        <v>8307</v>
      </c>
      <c r="AU1384" s="5" t="s">
        <v>8308</v>
      </c>
      <c r="AV1384" s="5" t="s">
        <v>8310</v>
      </c>
    </row>
    <row r="1385" spans="1:48" ht="45" customHeight="1" x14ac:dyDescent="0.15">
      <c r="A1385" s="5" t="s">
        <v>8311</v>
      </c>
      <c r="B1385" s="5">
        <v>2019</v>
      </c>
      <c r="C1385" s="5" t="s">
        <v>8312</v>
      </c>
      <c r="D1385" s="5" t="s">
        <v>18</v>
      </c>
      <c r="E1385" s="5" t="s">
        <v>18453</v>
      </c>
      <c r="F1385" s="5" t="s">
        <v>8315</v>
      </c>
      <c r="G1385" s="5"/>
      <c r="H1385" s="5"/>
      <c r="I1385" s="5"/>
      <c r="J1385" s="5"/>
      <c r="K1385" s="5"/>
      <c r="L1385" s="5"/>
      <c r="M1385" s="5"/>
      <c r="N1385" s="5"/>
      <c r="O1385" s="5"/>
      <c r="P1385" s="5"/>
      <c r="Q1385" s="5"/>
      <c r="AL1385" s="7" t="str">
        <f>HYPERLINK("http://dx.doi.org/10.1002/ecs2.2980","http://dx.doi.org/10.1002/ecs2.2980")</f>
        <v>http://dx.doi.org/10.1002/ecs2.2980</v>
      </c>
      <c r="AM1385" s="5">
        <v>19</v>
      </c>
      <c r="AN1385" s="5">
        <v>19</v>
      </c>
      <c r="AO1385" s="5">
        <v>10</v>
      </c>
      <c r="AP1385" s="5">
        <v>12</v>
      </c>
      <c r="AQ1385" s="5" t="s">
        <v>16</v>
      </c>
      <c r="AR1385" s="5" t="s">
        <v>16</v>
      </c>
      <c r="AS1385" s="5" t="s">
        <v>8316</v>
      </c>
      <c r="AT1385" s="5" t="s">
        <v>8313</v>
      </c>
      <c r="AU1385" s="5" t="s">
        <v>8314</v>
      </c>
      <c r="AV1385" s="5" t="s">
        <v>8317</v>
      </c>
    </row>
    <row r="1386" spans="1:48" ht="45" customHeight="1" x14ac:dyDescent="0.15">
      <c r="A1386" s="5" t="s">
        <v>8318</v>
      </c>
      <c r="B1386" s="5">
        <v>2009</v>
      </c>
      <c r="C1386" s="5" t="s">
        <v>8319</v>
      </c>
      <c r="D1386" s="5" t="s">
        <v>161</v>
      </c>
      <c r="E1386" s="5" t="s">
        <v>18453</v>
      </c>
      <c r="F1386" s="5" t="s">
        <v>8322</v>
      </c>
      <c r="G1386" s="5"/>
      <c r="H1386" s="5"/>
      <c r="I1386" s="5"/>
      <c r="J1386" s="5"/>
      <c r="K1386" s="5"/>
      <c r="L1386" s="5"/>
      <c r="M1386" s="5"/>
      <c r="N1386" s="5"/>
      <c r="O1386" s="5"/>
      <c r="P1386" s="5"/>
      <c r="Q1386" s="5"/>
      <c r="AL1386" s="7" t="str">
        <f>HYPERLINK("http://dx.doi.org/10.1111/j.1466-8238.2008.00426.x","http://dx.doi.org/10.1111/j.1466-8238.2008.00426.x")</f>
        <v>http://dx.doi.org/10.1111/j.1466-8238.2008.00426.x</v>
      </c>
      <c r="AM1386" s="5">
        <v>24</v>
      </c>
      <c r="AN1386" s="5">
        <v>25</v>
      </c>
      <c r="AO1386" s="5">
        <v>18</v>
      </c>
      <c r="AP1386" s="5">
        <v>1</v>
      </c>
      <c r="AQ1386" s="5">
        <v>30</v>
      </c>
      <c r="AR1386" s="5">
        <v>40</v>
      </c>
      <c r="AS1386" s="5" t="s">
        <v>16</v>
      </c>
      <c r="AT1386" s="5" t="s">
        <v>8320</v>
      </c>
      <c r="AU1386" s="5" t="s">
        <v>8321</v>
      </c>
      <c r="AV1386" s="5" t="s">
        <v>8323</v>
      </c>
    </row>
    <row r="1387" spans="1:48" ht="45" customHeight="1" x14ac:dyDescent="0.15">
      <c r="A1387" s="5" t="s">
        <v>8324</v>
      </c>
      <c r="B1387" s="5">
        <v>2007</v>
      </c>
      <c r="C1387" s="5" t="s">
        <v>8325</v>
      </c>
      <c r="D1387" s="5" t="s">
        <v>262</v>
      </c>
      <c r="E1387" s="5" t="s">
        <v>18453</v>
      </c>
      <c r="F1387" s="5" t="s">
        <v>8327</v>
      </c>
      <c r="G1387" s="5"/>
      <c r="H1387" s="5"/>
      <c r="I1387" s="5"/>
      <c r="J1387" s="5"/>
      <c r="K1387" s="5"/>
      <c r="L1387" s="5"/>
      <c r="M1387" s="5"/>
      <c r="N1387" s="5"/>
      <c r="O1387" s="5"/>
      <c r="P1387" s="5"/>
      <c r="Q1387" s="5"/>
      <c r="AL1387" s="7" t="str">
        <f>HYPERLINK("http://dx.doi.org/10.1111/j.2007.0030-1299.15547.x","http://dx.doi.org/10.1111/j.2007.0030-1299.15547.x")</f>
        <v>http://dx.doi.org/10.1111/j.2007.0030-1299.15547.x</v>
      </c>
      <c r="AM1387" s="5">
        <v>47</v>
      </c>
      <c r="AN1387" s="5">
        <v>48</v>
      </c>
      <c r="AO1387" s="5">
        <v>116</v>
      </c>
      <c r="AP1387" s="5">
        <v>4</v>
      </c>
      <c r="AQ1387" s="5">
        <v>690</v>
      </c>
      <c r="AR1387" s="5">
        <v>699</v>
      </c>
      <c r="AS1387" s="5" t="s">
        <v>16</v>
      </c>
      <c r="AT1387" s="5" t="s">
        <v>16</v>
      </c>
      <c r="AU1387" s="5" t="s">
        <v>8326</v>
      </c>
      <c r="AV1387" s="5" t="s">
        <v>8328</v>
      </c>
    </row>
    <row r="1388" spans="1:48" ht="45" customHeight="1" x14ac:dyDescent="0.15">
      <c r="A1388" s="5" t="s">
        <v>8329</v>
      </c>
      <c r="B1388" s="5">
        <v>2017</v>
      </c>
      <c r="C1388" s="5" t="s">
        <v>8330</v>
      </c>
      <c r="D1388" s="5" t="s">
        <v>6082</v>
      </c>
      <c r="E1388" s="5" t="s">
        <v>18453</v>
      </c>
      <c r="F1388" s="5" t="s">
        <v>8333</v>
      </c>
      <c r="G1388" s="5"/>
      <c r="H1388" s="5"/>
      <c r="I1388" s="5"/>
      <c r="J1388" s="5"/>
      <c r="K1388" s="5"/>
      <c r="L1388" s="5"/>
      <c r="M1388" s="5"/>
      <c r="N1388" s="5"/>
      <c r="O1388" s="5"/>
      <c r="P1388" s="5"/>
      <c r="Q1388" s="5"/>
      <c r="AL1388" s="7" t="str">
        <f>HYPERLINK("http://dx.doi.org/10.1007/s00248-017-0983-1","http://dx.doi.org/10.1007/s00248-017-0983-1")</f>
        <v>http://dx.doi.org/10.1007/s00248-017-0983-1</v>
      </c>
      <c r="AM1388" s="5">
        <v>19</v>
      </c>
      <c r="AN1388" s="5">
        <v>19</v>
      </c>
      <c r="AO1388" s="5">
        <v>74</v>
      </c>
      <c r="AP1388" s="5">
        <v>3</v>
      </c>
      <c r="AQ1388" s="5">
        <v>623</v>
      </c>
      <c r="AR1388" s="5">
        <v>639</v>
      </c>
      <c r="AS1388" s="5" t="s">
        <v>16</v>
      </c>
      <c r="AT1388" s="5" t="s">
        <v>8331</v>
      </c>
      <c r="AU1388" s="5" t="s">
        <v>8332</v>
      </c>
      <c r="AV1388" s="5" t="s">
        <v>8334</v>
      </c>
    </row>
    <row r="1389" spans="1:48" ht="45" customHeight="1" x14ac:dyDescent="0.15">
      <c r="A1389" s="5" t="s">
        <v>8335</v>
      </c>
      <c r="B1389" s="5">
        <v>2013</v>
      </c>
      <c r="C1389" s="5" t="s">
        <v>8336</v>
      </c>
      <c r="D1389" s="5" t="s">
        <v>172</v>
      </c>
      <c r="E1389" s="5" t="s">
        <v>18453</v>
      </c>
      <c r="F1389" s="5" t="s">
        <v>8339</v>
      </c>
      <c r="G1389" s="5"/>
      <c r="H1389" s="5"/>
      <c r="I1389" s="5"/>
      <c r="J1389" s="5"/>
      <c r="K1389" s="5"/>
      <c r="L1389" s="5"/>
      <c r="M1389" s="5"/>
      <c r="N1389" s="5"/>
      <c r="O1389" s="5"/>
      <c r="P1389" s="5"/>
      <c r="Q1389" s="5"/>
      <c r="AL1389" s="7" t="str">
        <f>HYPERLINK("http://dx.doi.org/10.1007/s00442-013-2661-4","http://dx.doi.org/10.1007/s00442-013-2661-4")</f>
        <v>http://dx.doi.org/10.1007/s00442-013-2661-4</v>
      </c>
      <c r="AM1389" s="5">
        <v>10</v>
      </c>
      <c r="AN1389" s="5">
        <v>10</v>
      </c>
      <c r="AO1389" s="5">
        <v>173</v>
      </c>
      <c r="AP1389" s="5">
        <v>3</v>
      </c>
      <c r="AQ1389" s="5">
        <v>997</v>
      </c>
      <c r="AR1389" s="5">
        <v>1007</v>
      </c>
      <c r="AS1389" s="5" t="s">
        <v>16</v>
      </c>
      <c r="AT1389" s="5" t="s">
        <v>8337</v>
      </c>
      <c r="AU1389" s="5" t="s">
        <v>8338</v>
      </c>
      <c r="AV1389" s="5" t="s">
        <v>8340</v>
      </c>
    </row>
    <row r="1390" spans="1:48" ht="45" customHeight="1" x14ac:dyDescent="0.15">
      <c r="A1390" s="5" t="s">
        <v>8341</v>
      </c>
      <c r="B1390" s="5">
        <v>2003</v>
      </c>
      <c r="C1390" s="5" t="s">
        <v>8342</v>
      </c>
      <c r="D1390" s="5" t="s">
        <v>62</v>
      </c>
      <c r="E1390" s="5" t="s">
        <v>18453</v>
      </c>
      <c r="F1390" s="5" t="s">
        <v>8345</v>
      </c>
      <c r="G1390" s="5"/>
      <c r="H1390" s="5"/>
      <c r="I1390" s="5"/>
      <c r="J1390" s="5"/>
      <c r="K1390" s="5"/>
      <c r="L1390" s="5"/>
      <c r="M1390" s="5"/>
      <c r="N1390" s="5"/>
      <c r="O1390" s="5"/>
      <c r="P1390" s="5"/>
      <c r="Q1390" s="5"/>
      <c r="AL1390" s="7" t="str">
        <f>HYPERLINK("http://dx.doi.org/10.1007/s10021-002-0204-7","http://dx.doi.org/10.1007/s10021-002-0204-7")</f>
        <v>http://dx.doi.org/10.1007/s10021-002-0204-7</v>
      </c>
      <c r="AM1390" s="5">
        <v>152</v>
      </c>
      <c r="AN1390" s="5">
        <v>166</v>
      </c>
      <c r="AO1390" s="5">
        <v>6</v>
      </c>
      <c r="AP1390" s="5">
        <v>3</v>
      </c>
      <c r="AQ1390" s="5">
        <v>274</v>
      </c>
      <c r="AR1390" s="5">
        <v>288</v>
      </c>
      <c r="AS1390" s="5" t="s">
        <v>16</v>
      </c>
      <c r="AT1390" s="5" t="s">
        <v>8343</v>
      </c>
      <c r="AU1390" s="5" t="s">
        <v>8344</v>
      </c>
      <c r="AV1390" s="5" t="s">
        <v>8346</v>
      </c>
    </row>
    <row r="1391" spans="1:48" ht="45" customHeight="1" x14ac:dyDescent="0.15">
      <c r="A1391" s="5" t="s">
        <v>8347</v>
      </c>
      <c r="B1391" s="5">
        <v>2013</v>
      </c>
      <c r="C1391" s="5" t="s">
        <v>8348</v>
      </c>
      <c r="D1391" s="5" t="s">
        <v>82</v>
      </c>
      <c r="E1391" s="5" t="s">
        <v>18453</v>
      </c>
      <c r="F1391" s="5" t="s">
        <v>8351</v>
      </c>
      <c r="G1391" s="5"/>
      <c r="H1391" s="5"/>
      <c r="I1391" s="5"/>
      <c r="J1391" s="5"/>
      <c r="K1391" s="5"/>
      <c r="L1391" s="5"/>
      <c r="M1391" s="5"/>
      <c r="N1391" s="5"/>
      <c r="O1391" s="5"/>
      <c r="P1391" s="5"/>
      <c r="Q1391" s="5"/>
      <c r="AL1391" s="7" t="str">
        <f>HYPERLINK("http://dx.doi.org/10.1890/12-0232.1","http://dx.doi.org/10.1890/12-0232.1")</f>
        <v>http://dx.doi.org/10.1890/12-0232.1</v>
      </c>
      <c r="AM1391" s="5">
        <v>14</v>
      </c>
      <c r="AN1391" s="5">
        <v>14</v>
      </c>
      <c r="AO1391" s="5">
        <v>23</v>
      </c>
      <c r="AP1391" s="5">
        <v>1</v>
      </c>
      <c r="AQ1391" s="5">
        <v>110</v>
      </c>
      <c r="AR1391" s="5">
        <v>121</v>
      </c>
      <c r="AS1391" s="5" t="s">
        <v>16</v>
      </c>
      <c r="AT1391" s="5" t="s">
        <v>8349</v>
      </c>
      <c r="AU1391" s="5" t="s">
        <v>8350</v>
      </c>
      <c r="AV1391" s="5" t="s">
        <v>8352</v>
      </c>
    </row>
    <row r="1392" spans="1:48" ht="45" customHeight="1" x14ac:dyDescent="0.15">
      <c r="A1392" s="5" t="s">
        <v>8353</v>
      </c>
      <c r="B1392" s="5">
        <v>2013</v>
      </c>
      <c r="C1392" s="5" t="s">
        <v>8354</v>
      </c>
      <c r="D1392" s="5" t="s">
        <v>49</v>
      </c>
      <c r="E1392" s="5" t="s">
        <v>18453</v>
      </c>
      <c r="F1392" s="5" t="s">
        <v>8357</v>
      </c>
      <c r="G1392" s="5"/>
      <c r="H1392" s="5"/>
      <c r="I1392" s="5"/>
      <c r="J1392" s="5"/>
      <c r="K1392" s="5"/>
      <c r="L1392" s="5"/>
      <c r="M1392" s="5"/>
      <c r="N1392" s="5"/>
      <c r="O1392" s="5"/>
      <c r="P1392" s="5"/>
      <c r="Q1392" s="5"/>
      <c r="AL1392" s="7" t="str">
        <f>HYPERLINK("http://dx.doi.org/10.3354/meps10068","http://dx.doi.org/10.3354/meps10068")</f>
        <v>http://dx.doi.org/10.3354/meps10068</v>
      </c>
      <c r="AM1392" s="5">
        <v>7</v>
      </c>
      <c r="AN1392" s="5">
        <v>7</v>
      </c>
      <c r="AO1392" s="5">
        <v>474</v>
      </c>
      <c r="AP1392" s="5" t="s">
        <v>16</v>
      </c>
      <c r="AQ1392" s="5">
        <v>263</v>
      </c>
      <c r="AR1392" s="5">
        <v>276</v>
      </c>
      <c r="AS1392" s="5" t="s">
        <v>16</v>
      </c>
      <c r="AT1392" s="5" t="s">
        <v>8355</v>
      </c>
      <c r="AU1392" s="5" t="s">
        <v>8356</v>
      </c>
      <c r="AV1392" s="5" t="s">
        <v>8358</v>
      </c>
    </row>
    <row r="1393" spans="1:48" ht="45" customHeight="1" x14ac:dyDescent="0.15">
      <c r="A1393" s="5" t="s">
        <v>8359</v>
      </c>
      <c r="B1393" s="5">
        <v>2018</v>
      </c>
      <c r="C1393" s="5" t="s">
        <v>8360</v>
      </c>
      <c r="D1393" s="5" t="s">
        <v>172</v>
      </c>
      <c r="E1393" s="5" t="s">
        <v>18453</v>
      </c>
      <c r="F1393" s="5" t="s">
        <v>8363</v>
      </c>
      <c r="G1393" s="5"/>
      <c r="H1393" s="5"/>
      <c r="I1393" s="5"/>
      <c r="J1393" s="5"/>
      <c r="K1393" s="5"/>
      <c r="L1393" s="5"/>
      <c r="M1393" s="5"/>
      <c r="N1393" s="5"/>
      <c r="O1393" s="5"/>
      <c r="P1393" s="5"/>
      <c r="Q1393" s="5"/>
      <c r="AL1393" s="7" t="str">
        <f>HYPERLINK("http://dx.doi.org/10.1007/s00442-018-4209-0","http://dx.doi.org/10.1007/s00442-018-4209-0")</f>
        <v>http://dx.doi.org/10.1007/s00442-018-4209-0</v>
      </c>
      <c r="AM1393" s="5">
        <v>16</v>
      </c>
      <c r="AN1393" s="5">
        <v>19</v>
      </c>
      <c r="AO1393" s="5">
        <v>188</v>
      </c>
      <c r="AP1393" s="5">
        <v>1</v>
      </c>
      <c r="AQ1393" s="5">
        <v>303</v>
      </c>
      <c r="AR1393" s="5">
        <v>317</v>
      </c>
      <c r="AS1393" s="5" t="s">
        <v>16</v>
      </c>
      <c r="AT1393" s="5" t="s">
        <v>8361</v>
      </c>
      <c r="AU1393" s="5" t="s">
        <v>8362</v>
      </c>
      <c r="AV1393" s="5" t="s">
        <v>8364</v>
      </c>
    </row>
    <row r="1394" spans="1:48" ht="45" customHeight="1" x14ac:dyDescent="0.15">
      <c r="A1394" s="5" t="s">
        <v>1874</v>
      </c>
      <c r="B1394" s="5">
        <v>2013</v>
      </c>
      <c r="C1394" s="5" t="s">
        <v>8365</v>
      </c>
      <c r="D1394" s="5" t="s">
        <v>57</v>
      </c>
      <c r="E1394" s="5" t="s">
        <v>18453</v>
      </c>
      <c r="F1394" s="5" t="s">
        <v>8368</v>
      </c>
      <c r="G1394" s="5"/>
      <c r="H1394" s="5"/>
      <c r="I1394" s="5"/>
      <c r="J1394" s="5"/>
      <c r="K1394" s="5"/>
      <c r="L1394" s="5"/>
      <c r="M1394" s="5"/>
      <c r="N1394" s="5"/>
      <c r="O1394" s="5"/>
      <c r="P1394" s="5"/>
      <c r="Q1394" s="5"/>
      <c r="AL1394" s="7" t="str">
        <f>HYPERLINK("http://dx.doi.org/10.1098/rsbl.2012.0824","http://dx.doi.org/10.1098/rsbl.2012.0824")</f>
        <v>http://dx.doi.org/10.1098/rsbl.2012.0824</v>
      </c>
      <c r="AM1394" s="5">
        <v>68</v>
      </c>
      <c r="AN1394" s="5">
        <v>68</v>
      </c>
      <c r="AO1394" s="5">
        <v>9</v>
      </c>
      <c r="AP1394" s="5">
        <v>1</v>
      </c>
      <c r="AQ1394" s="5" t="s">
        <v>16</v>
      </c>
      <c r="AR1394" s="5" t="s">
        <v>16</v>
      </c>
      <c r="AS1394" s="5">
        <v>20120824</v>
      </c>
      <c r="AT1394" s="5" t="s">
        <v>8366</v>
      </c>
      <c r="AU1394" s="5" t="s">
        <v>8367</v>
      </c>
      <c r="AV1394" s="5" t="s">
        <v>8369</v>
      </c>
    </row>
    <row r="1395" spans="1:48" ht="45" customHeight="1" x14ac:dyDescent="0.15">
      <c r="A1395" s="5" t="s">
        <v>8370</v>
      </c>
      <c r="B1395" s="5">
        <v>2013</v>
      </c>
      <c r="C1395" s="5" t="s">
        <v>8371</v>
      </c>
      <c r="D1395" s="5" t="s">
        <v>2818</v>
      </c>
      <c r="E1395" s="5" t="s">
        <v>18453</v>
      </c>
      <c r="F1395" s="5" t="s">
        <v>8374</v>
      </c>
      <c r="G1395" s="5"/>
      <c r="H1395" s="5"/>
      <c r="I1395" s="5"/>
      <c r="J1395" s="5"/>
      <c r="K1395" s="5"/>
      <c r="L1395" s="5"/>
      <c r="M1395" s="5"/>
      <c r="N1395" s="5"/>
      <c r="O1395" s="5"/>
      <c r="P1395" s="5"/>
      <c r="Q1395" s="5"/>
      <c r="AL1395" s="7" t="str">
        <f>HYPERLINK("http://dx.doi.org/10.1071/WR12181","http://dx.doi.org/10.1071/WR12181")</f>
        <v>http://dx.doi.org/10.1071/WR12181</v>
      </c>
      <c r="AM1395" s="5">
        <v>6</v>
      </c>
      <c r="AN1395" s="5">
        <v>6</v>
      </c>
      <c r="AO1395" s="5">
        <v>40</v>
      </c>
      <c r="AP1395" s="5">
        <v>4</v>
      </c>
      <c r="AQ1395" s="5">
        <v>303</v>
      </c>
      <c r="AR1395" s="5">
        <v>311</v>
      </c>
      <c r="AS1395" s="5" t="s">
        <v>16</v>
      </c>
      <c r="AT1395" s="5" t="s">
        <v>8372</v>
      </c>
      <c r="AU1395" s="5" t="s">
        <v>8373</v>
      </c>
      <c r="AV1395" s="5" t="s">
        <v>8375</v>
      </c>
    </row>
    <row r="1396" spans="1:48" ht="45" customHeight="1" x14ac:dyDescent="0.15">
      <c r="A1396" s="5" t="s">
        <v>8376</v>
      </c>
      <c r="B1396" s="5">
        <v>2014</v>
      </c>
      <c r="C1396" s="5" t="s">
        <v>8377</v>
      </c>
      <c r="D1396" s="5" t="s">
        <v>92</v>
      </c>
      <c r="E1396" s="5" t="s">
        <v>18453</v>
      </c>
      <c r="F1396" s="5" t="s">
        <v>8380</v>
      </c>
      <c r="G1396" s="5"/>
      <c r="H1396" s="5"/>
      <c r="I1396" s="5"/>
      <c r="J1396" s="5"/>
      <c r="K1396" s="5"/>
      <c r="L1396" s="5"/>
      <c r="M1396" s="5"/>
      <c r="N1396" s="5"/>
      <c r="O1396" s="5"/>
      <c r="P1396" s="5"/>
      <c r="Q1396" s="5"/>
      <c r="AL1396" s="7" t="str">
        <f>HYPERLINK("http://dx.doi.org/10.1086/676915","http://dx.doi.org/10.1086/676915")</f>
        <v>http://dx.doi.org/10.1086/676915</v>
      </c>
      <c r="AM1396" s="5">
        <v>14</v>
      </c>
      <c r="AN1396" s="5">
        <v>14</v>
      </c>
      <c r="AO1396" s="5">
        <v>33</v>
      </c>
      <c r="AP1396" s="5">
        <v>3</v>
      </c>
      <c r="AQ1396" s="5">
        <v>872</v>
      </c>
      <c r="AR1396" s="5">
        <v>884</v>
      </c>
      <c r="AS1396" s="5" t="s">
        <v>16</v>
      </c>
      <c r="AT1396" s="5" t="s">
        <v>8378</v>
      </c>
      <c r="AU1396" s="5" t="s">
        <v>8379</v>
      </c>
      <c r="AV1396" s="5" t="s">
        <v>8381</v>
      </c>
    </row>
    <row r="1397" spans="1:48" ht="45" customHeight="1" x14ac:dyDescent="0.15">
      <c r="A1397" s="5" t="s">
        <v>8382</v>
      </c>
      <c r="B1397" s="5">
        <v>2023</v>
      </c>
      <c r="C1397" s="5" t="s">
        <v>8383</v>
      </c>
      <c r="D1397" s="5" t="s">
        <v>18</v>
      </c>
      <c r="E1397" s="5" t="s">
        <v>18453</v>
      </c>
      <c r="F1397" s="5" t="s">
        <v>8386</v>
      </c>
      <c r="G1397" s="5"/>
      <c r="H1397" s="5"/>
      <c r="I1397" s="5"/>
      <c r="J1397" s="5"/>
      <c r="K1397" s="5"/>
      <c r="L1397" s="5"/>
      <c r="M1397" s="5"/>
      <c r="N1397" s="5"/>
      <c r="O1397" s="5"/>
      <c r="P1397" s="5"/>
      <c r="Q1397" s="5"/>
      <c r="AL1397" s="7" t="str">
        <f>HYPERLINK("http://dx.doi.org/10.1002/ecs2.4333","http://dx.doi.org/10.1002/ecs2.4333")</f>
        <v>http://dx.doi.org/10.1002/ecs2.4333</v>
      </c>
      <c r="AM1397" s="5">
        <v>0</v>
      </c>
      <c r="AN1397" s="5">
        <v>0</v>
      </c>
      <c r="AO1397" s="5">
        <v>14</v>
      </c>
      <c r="AP1397" s="5">
        <v>2</v>
      </c>
      <c r="AQ1397" s="5" t="s">
        <v>16</v>
      </c>
      <c r="AR1397" s="5" t="s">
        <v>16</v>
      </c>
      <c r="AS1397" s="5" t="s">
        <v>8387</v>
      </c>
      <c r="AT1397" s="5" t="s">
        <v>8384</v>
      </c>
      <c r="AU1397" s="5" t="s">
        <v>8385</v>
      </c>
      <c r="AV1397" s="5" t="s">
        <v>8388</v>
      </c>
    </row>
    <row r="1398" spans="1:48" ht="45" customHeight="1" x14ac:dyDescent="0.15">
      <c r="A1398" s="5" t="s">
        <v>8389</v>
      </c>
      <c r="B1398" s="5">
        <v>2011</v>
      </c>
      <c r="C1398" s="5" t="s">
        <v>8390</v>
      </c>
      <c r="D1398" s="5" t="s">
        <v>49</v>
      </c>
      <c r="E1398" s="5" t="s">
        <v>18453</v>
      </c>
      <c r="F1398" s="5" t="s">
        <v>8393</v>
      </c>
      <c r="G1398" s="5"/>
      <c r="H1398" s="5"/>
      <c r="I1398" s="5"/>
      <c r="J1398" s="5"/>
      <c r="K1398" s="5"/>
      <c r="L1398" s="5"/>
      <c r="M1398" s="5"/>
      <c r="N1398" s="5"/>
      <c r="O1398" s="5"/>
      <c r="P1398" s="5"/>
      <c r="Q1398" s="5"/>
      <c r="AL1398" s="7" t="str">
        <f>HYPERLINK("http://dx.doi.org/10.3354/meps09078","http://dx.doi.org/10.3354/meps09078")</f>
        <v>http://dx.doi.org/10.3354/meps09078</v>
      </c>
      <c r="AM1398" s="5">
        <v>27</v>
      </c>
      <c r="AN1398" s="5">
        <v>27</v>
      </c>
      <c r="AO1398" s="5">
        <v>428</v>
      </c>
      <c r="AP1398" s="5" t="s">
        <v>16</v>
      </c>
      <c r="AQ1398" s="5">
        <v>219</v>
      </c>
      <c r="AR1398" s="5">
        <v>233</v>
      </c>
      <c r="AS1398" s="5" t="s">
        <v>16</v>
      </c>
      <c r="AT1398" s="5" t="s">
        <v>8391</v>
      </c>
      <c r="AU1398" s="5" t="s">
        <v>8392</v>
      </c>
      <c r="AV1398" s="5" t="s">
        <v>8394</v>
      </c>
    </row>
    <row r="1399" spans="1:48" ht="45" customHeight="1" x14ac:dyDescent="0.15">
      <c r="A1399" s="5" t="s">
        <v>8395</v>
      </c>
      <c r="B1399" s="5">
        <v>2020</v>
      </c>
      <c r="C1399" s="5" t="s">
        <v>8396</v>
      </c>
      <c r="D1399" s="5" t="s">
        <v>1954</v>
      </c>
      <c r="E1399" s="5" t="s">
        <v>18453</v>
      </c>
      <c r="F1399" s="5" t="s">
        <v>8398</v>
      </c>
      <c r="G1399" s="5"/>
      <c r="H1399" s="5"/>
      <c r="I1399" s="5"/>
      <c r="J1399" s="5"/>
      <c r="K1399" s="5"/>
      <c r="L1399" s="5"/>
      <c r="M1399" s="5"/>
      <c r="N1399" s="5"/>
      <c r="O1399" s="5"/>
      <c r="P1399" s="5"/>
      <c r="Q1399" s="5"/>
      <c r="AL1399" s="7" t="str">
        <f>HYPERLINK("http://dx.doi.org/10.3897/neobiota.59.53671","http://dx.doi.org/10.3897/neobiota.59.53671")</f>
        <v>http://dx.doi.org/10.3897/neobiota.59.53671</v>
      </c>
      <c r="AM1399" s="5">
        <v>2</v>
      </c>
      <c r="AN1399" s="5">
        <v>2</v>
      </c>
      <c r="AO1399" s="5" t="s">
        <v>16</v>
      </c>
      <c r="AP1399" s="5">
        <v>59</v>
      </c>
      <c r="AQ1399" s="5">
        <v>21</v>
      </c>
      <c r="AR1399" s="5">
        <v>37</v>
      </c>
      <c r="AS1399" s="5" t="s">
        <v>16</v>
      </c>
      <c r="AT1399" s="5" t="s">
        <v>8397</v>
      </c>
      <c r="AU1399" s="5" t="s">
        <v>16</v>
      </c>
      <c r="AV1399" s="5" t="s">
        <v>8399</v>
      </c>
    </row>
    <row r="1400" spans="1:48" ht="45" customHeight="1" x14ac:dyDescent="0.15">
      <c r="A1400" s="5" t="s">
        <v>8400</v>
      </c>
      <c r="B1400" s="5">
        <v>2007</v>
      </c>
      <c r="C1400" s="5" t="s">
        <v>8401</v>
      </c>
      <c r="D1400" s="5" t="s">
        <v>162</v>
      </c>
      <c r="E1400" s="5" t="s">
        <v>18453</v>
      </c>
      <c r="F1400" s="5" t="s">
        <v>8404</v>
      </c>
      <c r="G1400" s="5"/>
      <c r="H1400" s="5"/>
      <c r="I1400" s="5"/>
      <c r="J1400" s="5"/>
      <c r="K1400" s="5"/>
      <c r="L1400" s="5"/>
      <c r="M1400" s="5"/>
      <c r="N1400" s="5"/>
      <c r="O1400" s="5"/>
      <c r="P1400" s="5"/>
      <c r="Q1400" s="5"/>
      <c r="AL1400" s="7" t="str">
        <f>HYPERLINK("http://dx.doi.org/10.1111/j.1365-2435.2006.01224.x","http://dx.doi.org/10.1111/j.1365-2435.2006.01224.x")</f>
        <v>http://dx.doi.org/10.1111/j.1365-2435.2006.01224.x</v>
      </c>
      <c r="AM1400" s="5">
        <v>151</v>
      </c>
      <c r="AN1400" s="5">
        <v>152</v>
      </c>
      <c r="AO1400" s="5">
        <v>21</v>
      </c>
      <c r="AP1400" s="5">
        <v>2</v>
      </c>
      <c r="AQ1400" s="5">
        <v>356</v>
      </c>
      <c r="AR1400" s="5">
        <v>362</v>
      </c>
      <c r="AS1400" s="5" t="s">
        <v>16</v>
      </c>
      <c r="AT1400" s="5" t="s">
        <v>8402</v>
      </c>
      <c r="AU1400" s="5" t="s">
        <v>8403</v>
      </c>
      <c r="AV1400" s="5" t="s">
        <v>8405</v>
      </c>
    </row>
    <row r="1401" spans="1:48" ht="45" customHeight="1" x14ac:dyDescent="0.15">
      <c r="A1401" s="5" t="s">
        <v>8406</v>
      </c>
      <c r="B1401" s="5">
        <v>2021</v>
      </c>
      <c r="C1401" s="5" t="s">
        <v>8407</v>
      </c>
      <c r="D1401" s="5" t="s">
        <v>161</v>
      </c>
      <c r="E1401" s="5" t="s">
        <v>18453</v>
      </c>
      <c r="F1401" s="5" t="s">
        <v>8410</v>
      </c>
      <c r="G1401" s="5"/>
      <c r="H1401" s="5"/>
      <c r="I1401" s="5"/>
      <c r="J1401" s="5"/>
      <c r="K1401" s="5"/>
      <c r="L1401" s="5"/>
      <c r="M1401" s="5"/>
      <c r="N1401" s="5"/>
      <c r="O1401" s="5"/>
      <c r="P1401" s="5"/>
      <c r="Q1401" s="5"/>
      <c r="AL1401" s="7" t="str">
        <f>HYPERLINK("http://dx.doi.org/10.1111/geb.13396","http://dx.doi.org/10.1111/geb.13396")</f>
        <v>http://dx.doi.org/10.1111/geb.13396</v>
      </c>
      <c r="AM1401" s="5">
        <v>0</v>
      </c>
      <c r="AN1401" s="5">
        <v>0</v>
      </c>
      <c r="AO1401" s="5">
        <v>30</v>
      </c>
      <c r="AP1401" s="5">
        <v>12</v>
      </c>
      <c r="AQ1401" s="5">
        <v>2431</v>
      </c>
      <c r="AR1401" s="5">
        <v>2441</v>
      </c>
      <c r="AS1401" s="5" t="s">
        <v>16</v>
      </c>
      <c r="AT1401" s="5" t="s">
        <v>8408</v>
      </c>
      <c r="AU1401" s="5" t="s">
        <v>8409</v>
      </c>
      <c r="AV1401" s="5" t="s">
        <v>8411</v>
      </c>
    </row>
    <row r="1402" spans="1:48" ht="45" customHeight="1" x14ac:dyDescent="0.15">
      <c r="A1402" s="5" t="s">
        <v>8412</v>
      </c>
      <c r="B1402" s="5">
        <v>2020</v>
      </c>
      <c r="C1402" s="5" t="s">
        <v>8413</v>
      </c>
      <c r="D1402" s="5" t="s">
        <v>262</v>
      </c>
      <c r="E1402" s="5" t="s">
        <v>18453</v>
      </c>
      <c r="F1402" s="5" t="s">
        <v>8416</v>
      </c>
      <c r="G1402" s="5"/>
      <c r="H1402" s="5"/>
      <c r="I1402" s="5"/>
      <c r="J1402" s="5"/>
      <c r="K1402" s="5"/>
      <c r="L1402" s="5"/>
      <c r="M1402" s="5"/>
      <c r="N1402" s="5"/>
      <c r="O1402" s="5"/>
      <c r="P1402" s="5"/>
      <c r="Q1402" s="5"/>
      <c r="AL1402" s="7" t="str">
        <f>HYPERLINK("http://dx.doi.org/10.1111/oik.07016","http://dx.doi.org/10.1111/oik.07016")</f>
        <v>http://dx.doi.org/10.1111/oik.07016</v>
      </c>
      <c r="AM1402" s="5">
        <v>8</v>
      </c>
      <c r="AN1402" s="5">
        <v>10</v>
      </c>
      <c r="AO1402" s="5">
        <v>129</v>
      </c>
      <c r="AP1402" s="5">
        <v>11</v>
      </c>
      <c r="AQ1402" s="5">
        <v>1623</v>
      </c>
      <c r="AR1402" s="5">
        <v>1631</v>
      </c>
      <c r="AS1402" s="5" t="s">
        <v>16</v>
      </c>
      <c r="AT1402" s="5" t="s">
        <v>8414</v>
      </c>
      <c r="AU1402" s="5" t="s">
        <v>8415</v>
      </c>
      <c r="AV1402" s="5" t="s">
        <v>8417</v>
      </c>
    </row>
    <row r="1403" spans="1:48" ht="45" customHeight="1" x14ac:dyDescent="0.15">
      <c r="A1403" s="5" t="s">
        <v>8418</v>
      </c>
      <c r="B1403" s="5">
        <v>2017</v>
      </c>
      <c r="C1403" s="5" t="s">
        <v>8419</v>
      </c>
      <c r="D1403" s="5" t="s">
        <v>67</v>
      </c>
      <c r="E1403" s="5" t="s">
        <v>18453</v>
      </c>
      <c r="F1403" s="5" t="s">
        <v>8422</v>
      </c>
      <c r="G1403" s="5"/>
      <c r="H1403" s="5"/>
      <c r="I1403" s="5"/>
      <c r="J1403" s="5"/>
      <c r="K1403" s="5"/>
      <c r="L1403" s="5"/>
      <c r="M1403" s="5"/>
      <c r="N1403" s="5"/>
      <c r="O1403" s="5"/>
      <c r="P1403" s="5"/>
      <c r="Q1403" s="5"/>
      <c r="AL1403" s="7" t="str">
        <f>HYPERLINK("http://dx.doi.org/10.1111/jbi.13061","http://dx.doi.org/10.1111/jbi.13061")</f>
        <v>http://dx.doi.org/10.1111/jbi.13061</v>
      </c>
      <c r="AM1403" s="5">
        <v>14</v>
      </c>
      <c r="AN1403" s="5">
        <v>14</v>
      </c>
      <c r="AO1403" s="5">
        <v>44</v>
      </c>
      <c r="AP1403" s="5">
        <v>11</v>
      </c>
      <c r="AQ1403" s="5">
        <v>2564</v>
      </c>
      <c r="AR1403" s="5">
        <v>2574</v>
      </c>
      <c r="AS1403" s="5" t="s">
        <v>16</v>
      </c>
      <c r="AT1403" s="5" t="s">
        <v>8420</v>
      </c>
      <c r="AU1403" s="5" t="s">
        <v>8421</v>
      </c>
      <c r="AV1403" s="5" t="s">
        <v>8423</v>
      </c>
    </row>
    <row r="1404" spans="1:48" ht="45" customHeight="1" x14ac:dyDescent="0.15">
      <c r="A1404" s="5" t="s">
        <v>8424</v>
      </c>
      <c r="B1404" s="5">
        <v>2020</v>
      </c>
      <c r="C1404" s="5" t="s">
        <v>8425</v>
      </c>
      <c r="D1404" s="5" t="s">
        <v>270</v>
      </c>
      <c r="E1404" s="5" t="s">
        <v>18453</v>
      </c>
      <c r="F1404" s="5" t="s">
        <v>8428</v>
      </c>
      <c r="G1404" s="5"/>
      <c r="H1404" s="5"/>
      <c r="I1404" s="5"/>
      <c r="J1404" s="5"/>
      <c r="K1404" s="5"/>
      <c r="L1404" s="5"/>
      <c r="M1404" s="5"/>
      <c r="N1404" s="5"/>
      <c r="O1404" s="5"/>
      <c r="P1404" s="5"/>
      <c r="Q1404" s="5"/>
      <c r="AL1404" s="7" t="str">
        <f>HYPERLINK("http://dx.doi.org/10.3391/ai.2020.15.1.10","http://dx.doi.org/10.3391/ai.2020.15.1.10")</f>
        <v>http://dx.doi.org/10.3391/ai.2020.15.1.10</v>
      </c>
      <c r="AM1404" s="5">
        <v>9</v>
      </c>
      <c r="AN1404" s="5">
        <v>9</v>
      </c>
      <c r="AO1404" s="5">
        <v>15</v>
      </c>
      <c r="AP1404" s="5">
        <v>1</v>
      </c>
      <c r="AQ1404" s="5">
        <v>140</v>
      </c>
      <c r="AR1404" s="5">
        <v>159</v>
      </c>
      <c r="AS1404" s="5" t="s">
        <v>16</v>
      </c>
      <c r="AT1404" s="5" t="s">
        <v>8426</v>
      </c>
      <c r="AU1404" s="5" t="s">
        <v>8427</v>
      </c>
      <c r="AV1404" s="5" t="s">
        <v>8429</v>
      </c>
    </row>
    <row r="1405" spans="1:48" ht="45" customHeight="1" x14ac:dyDescent="0.15">
      <c r="A1405" s="5" t="s">
        <v>8430</v>
      </c>
      <c r="B1405" s="5">
        <v>2022</v>
      </c>
      <c r="C1405" s="5" t="s">
        <v>8431</v>
      </c>
      <c r="D1405" s="5" t="s">
        <v>488</v>
      </c>
      <c r="E1405" s="5" t="s">
        <v>18453</v>
      </c>
      <c r="F1405" s="5" t="s">
        <v>8434</v>
      </c>
      <c r="G1405" s="5"/>
      <c r="H1405" s="5"/>
      <c r="I1405" s="5"/>
      <c r="J1405" s="5"/>
      <c r="K1405" s="5"/>
      <c r="L1405" s="5"/>
      <c r="M1405" s="5"/>
      <c r="N1405" s="5"/>
      <c r="O1405" s="5"/>
      <c r="P1405" s="5"/>
      <c r="Q1405" s="5"/>
      <c r="AL1405" s="7" t="str">
        <f>HYPERLINK("http://dx.doi.org/10.1007/s10344-022-01567-w","http://dx.doi.org/10.1007/s10344-022-01567-w")</f>
        <v>http://dx.doi.org/10.1007/s10344-022-01567-w</v>
      </c>
      <c r="AM1405" s="5">
        <v>0</v>
      </c>
      <c r="AN1405" s="5">
        <v>0</v>
      </c>
      <c r="AO1405" s="5">
        <v>68</v>
      </c>
      <c r="AP1405" s="5">
        <v>2</v>
      </c>
      <c r="AQ1405" s="5" t="s">
        <v>16</v>
      </c>
      <c r="AR1405" s="5" t="s">
        <v>16</v>
      </c>
      <c r="AS1405" s="5">
        <v>21</v>
      </c>
      <c r="AT1405" s="5" t="s">
        <v>8432</v>
      </c>
      <c r="AU1405" s="5" t="s">
        <v>8433</v>
      </c>
      <c r="AV1405" s="5" t="s">
        <v>8435</v>
      </c>
    </row>
    <row r="1406" spans="1:48" ht="45" customHeight="1" x14ac:dyDescent="0.15">
      <c r="A1406" s="5" t="s">
        <v>8436</v>
      </c>
      <c r="B1406" s="5">
        <v>2018</v>
      </c>
      <c r="C1406" s="5" t="s">
        <v>8437</v>
      </c>
      <c r="D1406" s="5" t="s">
        <v>251</v>
      </c>
      <c r="E1406" s="5" t="s">
        <v>18453</v>
      </c>
      <c r="F1406" s="5" t="s">
        <v>8440</v>
      </c>
      <c r="G1406" s="5"/>
      <c r="H1406" s="5"/>
      <c r="I1406" s="5"/>
      <c r="J1406" s="5"/>
      <c r="K1406" s="5"/>
      <c r="L1406" s="5"/>
      <c r="M1406" s="5"/>
      <c r="N1406" s="5"/>
      <c r="O1406" s="5"/>
      <c r="P1406" s="5"/>
      <c r="Q1406" s="5"/>
      <c r="AL1406" s="7" t="str">
        <f>HYPERLINK("http://dx.doi.org/10.1016/j.biocon.2018.06.030","http://dx.doi.org/10.1016/j.biocon.2018.06.030")</f>
        <v>http://dx.doi.org/10.1016/j.biocon.2018.06.030</v>
      </c>
      <c r="AM1406" s="5">
        <v>4</v>
      </c>
      <c r="AN1406" s="5">
        <v>4</v>
      </c>
      <c r="AO1406" s="5">
        <v>226</v>
      </c>
      <c r="AP1406" s="5" t="s">
        <v>16</v>
      </c>
      <c r="AQ1406" s="5">
        <v>238</v>
      </c>
      <c r="AR1406" s="5">
        <v>246</v>
      </c>
      <c r="AS1406" s="5" t="s">
        <v>16</v>
      </c>
      <c r="AT1406" s="5" t="s">
        <v>8438</v>
      </c>
      <c r="AU1406" s="5" t="s">
        <v>8439</v>
      </c>
      <c r="AV1406" s="5" t="s">
        <v>8441</v>
      </c>
    </row>
    <row r="1407" spans="1:48" ht="45" customHeight="1" x14ac:dyDescent="0.15">
      <c r="A1407" s="5" t="s">
        <v>8442</v>
      </c>
      <c r="B1407" s="5">
        <v>2008</v>
      </c>
      <c r="C1407" s="5" t="s">
        <v>8443</v>
      </c>
      <c r="D1407" s="5" t="s">
        <v>49</v>
      </c>
      <c r="E1407" s="5" t="s">
        <v>18453</v>
      </c>
      <c r="F1407" s="5" t="s">
        <v>8446</v>
      </c>
      <c r="G1407" s="5"/>
      <c r="H1407" s="5"/>
      <c r="I1407" s="5"/>
      <c r="J1407" s="5"/>
      <c r="K1407" s="5"/>
      <c r="L1407" s="5"/>
      <c r="M1407" s="5"/>
      <c r="N1407" s="5"/>
      <c r="O1407" s="5"/>
      <c r="P1407" s="5"/>
      <c r="Q1407" s="5"/>
      <c r="AL1407" s="7" t="str">
        <f>HYPERLINK("http://dx.doi.org/10.3354/meps07646","http://dx.doi.org/10.3354/meps07646")</f>
        <v>http://dx.doi.org/10.3354/meps07646</v>
      </c>
      <c r="AM1407" s="5">
        <v>64</v>
      </c>
      <c r="AN1407" s="5">
        <v>66</v>
      </c>
      <c r="AO1407" s="5">
        <v>369</v>
      </c>
      <c r="AP1407" s="5" t="s">
        <v>16</v>
      </c>
      <c r="AQ1407" s="5">
        <v>63</v>
      </c>
      <c r="AR1407" s="5">
        <v>76</v>
      </c>
      <c r="AS1407" s="5" t="s">
        <v>16</v>
      </c>
      <c r="AT1407" s="5" t="s">
        <v>8444</v>
      </c>
      <c r="AU1407" s="5" t="s">
        <v>8445</v>
      </c>
      <c r="AV1407" s="5" t="s">
        <v>8447</v>
      </c>
    </row>
    <row r="1408" spans="1:48" ht="45" customHeight="1" x14ac:dyDescent="0.15">
      <c r="A1408" s="5" t="s">
        <v>8448</v>
      </c>
      <c r="B1408" s="5">
        <v>2017</v>
      </c>
      <c r="C1408" s="5" t="s">
        <v>8449</v>
      </c>
      <c r="D1408" s="5" t="s">
        <v>942</v>
      </c>
      <c r="E1408" s="5" t="s">
        <v>18453</v>
      </c>
      <c r="F1408" s="5" t="s">
        <v>8452</v>
      </c>
      <c r="G1408" s="5"/>
      <c r="H1408" s="5"/>
      <c r="I1408" s="5"/>
      <c r="J1408" s="5"/>
      <c r="K1408" s="5"/>
      <c r="L1408" s="5"/>
      <c r="M1408" s="5"/>
      <c r="N1408" s="5"/>
      <c r="O1408" s="5"/>
      <c r="P1408" s="5"/>
      <c r="Q1408" s="5"/>
      <c r="AL1408" s="7" t="str">
        <f>HYPERLINK("http://dx.doi.org/10.1016/j.rsma.2017.08.006","http://dx.doi.org/10.1016/j.rsma.2017.08.006")</f>
        <v>http://dx.doi.org/10.1016/j.rsma.2017.08.006</v>
      </c>
      <c r="AM1408" s="5">
        <v>11</v>
      </c>
      <c r="AN1408" s="5">
        <v>12</v>
      </c>
      <c r="AO1408" s="5">
        <v>16</v>
      </c>
      <c r="AP1408" s="5" t="s">
        <v>16</v>
      </c>
      <c r="AQ1408" s="5">
        <v>49</v>
      </c>
      <c r="AR1408" s="5">
        <v>55</v>
      </c>
      <c r="AS1408" s="5" t="s">
        <v>16</v>
      </c>
      <c r="AT1408" s="5" t="s">
        <v>8450</v>
      </c>
      <c r="AU1408" s="5" t="s">
        <v>8451</v>
      </c>
      <c r="AV1408" s="5" t="s">
        <v>8453</v>
      </c>
    </row>
    <row r="1409" spans="1:48" ht="45" customHeight="1" x14ac:dyDescent="0.15">
      <c r="A1409" s="5" t="s">
        <v>8454</v>
      </c>
      <c r="B1409" s="5">
        <v>2022</v>
      </c>
      <c r="C1409" s="5" t="s">
        <v>8455</v>
      </c>
      <c r="D1409" s="5" t="s">
        <v>190</v>
      </c>
      <c r="E1409" s="5" t="s">
        <v>18453</v>
      </c>
      <c r="F1409" s="5" t="s">
        <v>8458</v>
      </c>
      <c r="G1409" s="5"/>
      <c r="H1409" s="5"/>
      <c r="I1409" s="5"/>
      <c r="J1409" s="5"/>
      <c r="K1409" s="5"/>
      <c r="L1409" s="5"/>
      <c r="M1409" s="5"/>
      <c r="N1409" s="5"/>
      <c r="O1409" s="5"/>
      <c r="P1409" s="5"/>
      <c r="Q1409" s="5"/>
      <c r="AL1409" s="7" t="str">
        <f>HYPERLINK("http://dx.doi.org/10.1007/s10530-022-02889-1","http://dx.doi.org/10.1007/s10530-022-02889-1")</f>
        <v>http://dx.doi.org/10.1007/s10530-022-02889-1</v>
      </c>
      <c r="AM1409" s="5">
        <v>2</v>
      </c>
      <c r="AN1409" s="5">
        <v>2</v>
      </c>
      <c r="AO1409" s="5">
        <v>24</v>
      </c>
      <c r="AP1409" s="5">
        <v>12</v>
      </c>
      <c r="AQ1409" s="5">
        <v>3885</v>
      </c>
      <c r="AR1409" s="5">
        <v>3904</v>
      </c>
      <c r="AS1409" s="5" t="s">
        <v>16</v>
      </c>
      <c r="AT1409" s="5" t="s">
        <v>8456</v>
      </c>
      <c r="AU1409" s="5" t="s">
        <v>8457</v>
      </c>
      <c r="AV1409" s="5" t="s">
        <v>8459</v>
      </c>
    </row>
    <row r="1410" spans="1:48" ht="45" customHeight="1" x14ac:dyDescent="0.15">
      <c r="A1410" s="5" t="s">
        <v>8460</v>
      </c>
      <c r="B1410" s="5">
        <v>2018</v>
      </c>
      <c r="C1410" s="5" t="s">
        <v>8461</v>
      </c>
      <c r="D1410" s="5" t="s">
        <v>33</v>
      </c>
      <c r="E1410" s="5" t="s">
        <v>18453</v>
      </c>
      <c r="F1410" s="5" t="s">
        <v>8464</v>
      </c>
      <c r="G1410" s="5"/>
      <c r="H1410" s="5"/>
      <c r="I1410" s="5"/>
      <c r="J1410" s="5"/>
      <c r="K1410" s="5"/>
      <c r="L1410" s="5"/>
      <c r="M1410" s="5"/>
      <c r="N1410" s="5"/>
      <c r="O1410" s="5"/>
      <c r="P1410" s="5"/>
      <c r="Q1410" s="5"/>
      <c r="AL1410" s="7" t="str">
        <f>HYPERLINK("http://dx.doi.org/10.1111/gcb.13875","http://dx.doi.org/10.1111/gcb.13875")</f>
        <v>http://dx.doi.org/10.1111/gcb.13875</v>
      </c>
      <c r="AM1410" s="5">
        <v>16</v>
      </c>
      <c r="AN1410" s="5">
        <v>16</v>
      </c>
      <c r="AO1410" s="5">
        <v>24</v>
      </c>
      <c r="AP1410" s="5">
        <v>1</v>
      </c>
      <c r="AQ1410" s="5">
        <v>387</v>
      </c>
      <c r="AR1410" s="5">
        <v>398</v>
      </c>
      <c r="AS1410" s="5" t="s">
        <v>16</v>
      </c>
      <c r="AT1410" s="5" t="s">
        <v>8462</v>
      </c>
      <c r="AU1410" s="5" t="s">
        <v>8463</v>
      </c>
      <c r="AV1410" s="5" t="s">
        <v>8465</v>
      </c>
    </row>
    <row r="1411" spans="1:48" ht="45" customHeight="1" x14ac:dyDescent="0.15">
      <c r="A1411" s="5" t="s">
        <v>8466</v>
      </c>
      <c r="B1411" s="5">
        <v>2014</v>
      </c>
      <c r="C1411" s="5" t="s">
        <v>8467</v>
      </c>
      <c r="D1411" s="5" t="s">
        <v>212</v>
      </c>
      <c r="E1411" s="5" t="s">
        <v>18453</v>
      </c>
      <c r="F1411" s="5" t="s">
        <v>8470</v>
      </c>
      <c r="G1411" s="5"/>
      <c r="H1411" s="5"/>
      <c r="I1411" s="5"/>
      <c r="J1411" s="5"/>
      <c r="K1411" s="5"/>
      <c r="L1411" s="5"/>
      <c r="M1411" s="5"/>
      <c r="N1411" s="5"/>
      <c r="O1411" s="5"/>
      <c r="P1411" s="5"/>
      <c r="Q1411" s="5"/>
      <c r="AL1411" s="7" t="str">
        <f>HYPERLINK("http://dx.doi.org/10.1007/s00300-014-1540-8","http://dx.doi.org/10.1007/s00300-014-1540-8")</f>
        <v>http://dx.doi.org/10.1007/s00300-014-1540-8</v>
      </c>
      <c r="AM1411" s="5">
        <v>16</v>
      </c>
      <c r="AN1411" s="5">
        <v>16</v>
      </c>
      <c r="AO1411" s="5">
        <v>37</v>
      </c>
      <c r="AP1411" s="5">
        <v>10</v>
      </c>
      <c r="AQ1411" s="5">
        <v>1541</v>
      </c>
      <c r="AR1411" s="5">
        <v>1548</v>
      </c>
      <c r="AS1411" s="5" t="s">
        <v>16</v>
      </c>
      <c r="AT1411" s="5" t="s">
        <v>8468</v>
      </c>
      <c r="AU1411" s="5" t="s">
        <v>8469</v>
      </c>
      <c r="AV1411" s="5" t="s">
        <v>8471</v>
      </c>
    </row>
    <row r="1412" spans="1:48" ht="45" customHeight="1" x14ac:dyDescent="0.15">
      <c r="A1412" s="5" t="s">
        <v>8472</v>
      </c>
      <c r="B1412" s="5">
        <v>2020</v>
      </c>
      <c r="C1412" s="5" t="s">
        <v>8473</v>
      </c>
      <c r="D1412" s="5" t="s">
        <v>690</v>
      </c>
      <c r="E1412" s="5" t="s">
        <v>18453</v>
      </c>
      <c r="F1412" s="5" t="s">
        <v>8476</v>
      </c>
      <c r="G1412" s="5"/>
      <c r="H1412" s="5"/>
      <c r="I1412" s="5"/>
      <c r="J1412" s="5"/>
      <c r="K1412" s="5"/>
      <c r="L1412" s="5"/>
      <c r="M1412" s="5"/>
      <c r="N1412" s="5"/>
      <c r="O1412" s="5"/>
      <c r="P1412" s="5"/>
      <c r="Q1412" s="5"/>
      <c r="AL1412" s="7" t="str">
        <f>HYPERLINK("http://dx.doi.org/10.1111/mec.15395","http://dx.doi.org/10.1111/mec.15395")</f>
        <v>http://dx.doi.org/10.1111/mec.15395</v>
      </c>
      <c r="AM1412" s="5">
        <v>32</v>
      </c>
      <c r="AN1412" s="5">
        <v>32</v>
      </c>
      <c r="AO1412" s="5">
        <v>29</v>
      </c>
      <c r="AP1412" s="5">
        <v>16</v>
      </c>
      <c r="AQ1412" s="5">
        <v>2963</v>
      </c>
      <c r="AR1412" s="5">
        <v>2977</v>
      </c>
      <c r="AS1412" s="5" t="s">
        <v>16</v>
      </c>
      <c r="AT1412" s="5" t="s">
        <v>8474</v>
      </c>
      <c r="AU1412" s="5" t="s">
        <v>8475</v>
      </c>
      <c r="AV1412" s="5" t="s">
        <v>8477</v>
      </c>
    </row>
    <row r="1413" spans="1:48" ht="45" customHeight="1" x14ac:dyDescent="0.15">
      <c r="A1413" s="5" t="s">
        <v>8478</v>
      </c>
      <c r="B1413" s="5">
        <v>2021</v>
      </c>
      <c r="C1413" s="5" t="s">
        <v>8479</v>
      </c>
      <c r="D1413" s="5" t="s">
        <v>77</v>
      </c>
      <c r="E1413" s="5" t="s">
        <v>18453</v>
      </c>
      <c r="F1413" s="5" t="s">
        <v>8482</v>
      </c>
      <c r="G1413" s="5"/>
      <c r="H1413" s="5"/>
      <c r="I1413" s="5"/>
      <c r="J1413" s="5"/>
      <c r="K1413" s="5"/>
      <c r="L1413" s="5"/>
      <c r="M1413" s="5"/>
      <c r="N1413" s="5"/>
      <c r="O1413" s="5"/>
      <c r="P1413" s="5"/>
      <c r="Q1413" s="5"/>
      <c r="AL1413" s="7" t="str">
        <f>HYPERLINK("http://dx.doi.org/10.1111/1365-2656.13496","http://dx.doi.org/10.1111/1365-2656.13496")</f>
        <v>http://dx.doi.org/10.1111/1365-2656.13496</v>
      </c>
      <c r="AM1413" s="5">
        <v>5</v>
      </c>
      <c r="AN1413" s="5">
        <v>5</v>
      </c>
      <c r="AO1413" s="5">
        <v>90</v>
      </c>
      <c r="AP1413" s="5">
        <v>7</v>
      </c>
      <c r="AQ1413" s="5">
        <v>1776</v>
      </c>
      <c r="AR1413" s="5">
        <v>1786</v>
      </c>
      <c r="AS1413" s="5" t="s">
        <v>16</v>
      </c>
      <c r="AT1413" s="5" t="s">
        <v>8480</v>
      </c>
      <c r="AU1413" s="5" t="s">
        <v>8481</v>
      </c>
      <c r="AV1413" s="5" t="s">
        <v>8483</v>
      </c>
    </row>
    <row r="1414" spans="1:48" ht="45" customHeight="1" x14ac:dyDescent="0.15">
      <c r="A1414" s="5" t="s">
        <v>8484</v>
      </c>
      <c r="B1414" s="5">
        <v>2017</v>
      </c>
      <c r="C1414" s="5" t="s">
        <v>8485</v>
      </c>
      <c r="D1414" s="5" t="s">
        <v>199</v>
      </c>
      <c r="E1414" s="5" t="s">
        <v>18453</v>
      </c>
      <c r="F1414" s="5" t="s">
        <v>8488</v>
      </c>
      <c r="G1414" s="5"/>
      <c r="H1414" s="5"/>
      <c r="I1414" s="5"/>
      <c r="J1414" s="5"/>
      <c r="K1414" s="5"/>
      <c r="L1414" s="5"/>
      <c r="M1414" s="5"/>
      <c r="N1414" s="5"/>
      <c r="O1414" s="5"/>
      <c r="P1414" s="5"/>
      <c r="Q1414" s="5"/>
      <c r="AL1414" s="7" t="str">
        <f>HYPERLINK("http://dx.doi.org/10.1016/j.ejsobi.2017.01.002","http://dx.doi.org/10.1016/j.ejsobi.2017.01.002")</f>
        <v>http://dx.doi.org/10.1016/j.ejsobi.2017.01.002</v>
      </c>
      <c r="AM1414" s="5">
        <v>7</v>
      </c>
      <c r="AN1414" s="5">
        <v>7</v>
      </c>
      <c r="AO1414" s="5">
        <v>79</v>
      </c>
      <c r="AP1414" s="5" t="s">
        <v>16</v>
      </c>
      <c r="AQ1414" s="5">
        <v>31</v>
      </c>
      <c r="AR1414" s="5">
        <v>39</v>
      </c>
      <c r="AS1414" s="5" t="s">
        <v>16</v>
      </c>
      <c r="AT1414" s="5" t="s">
        <v>8486</v>
      </c>
      <c r="AU1414" s="5" t="s">
        <v>8487</v>
      </c>
      <c r="AV1414" s="5" t="s">
        <v>8489</v>
      </c>
    </row>
    <row r="1415" spans="1:48" ht="45" customHeight="1" x14ac:dyDescent="0.15">
      <c r="A1415" s="5" t="s">
        <v>8490</v>
      </c>
      <c r="B1415" s="5">
        <v>1995</v>
      </c>
      <c r="C1415" s="5" t="s">
        <v>8491</v>
      </c>
      <c r="D1415" s="5" t="s">
        <v>49</v>
      </c>
      <c r="E1415" s="5" t="s">
        <v>18453</v>
      </c>
      <c r="F1415" s="5" t="s">
        <v>8494</v>
      </c>
      <c r="G1415" s="5"/>
      <c r="H1415" s="5"/>
      <c r="I1415" s="5"/>
      <c r="J1415" s="5"/>
      <c r="K1415" s="5"/>
      <c r="L1415" s="5"/>
      <c r="M1415" s="5"/>
      <c r="N1415" s="5"/>
      <c r="O1415" s="5"/>
      <c r="P1415" s="5"/>
      <c r="Q1415" s="5"/>
      <c r="AL1415" s="7" t="str">
        <f>HYPERLINK("http://dx.doi.org/10.3354/meps121099","http://dx.doi.org/10.3354/meps121099")</f>
        <v>http://dx.doi.org/10.3354/meps121099</v>
      </c>
      <c r="AM1415" s="5">
        <v>372</v>
      </c>
      <c r="AN1415" s="5">
        <v>389</v>
      </c>
      <c r="AO1415" s="5">
        <v>121</v>
      </c>
      <c r="AP1415" s="5" t="s">
        <v>2954</v>
      </c>
      <c r="AQ1415" s="5">
        <v>99</v>
      </c>
      <c r="AR1415" s="5">
        <v>116</v>
      </c>
      <c r="AS1415" s="5" t="s">
        <v>16</v>
      </c>
      <c r="AT1415" s="5" t="s">
        <v>8492</v>
      </c>
      <c r="AU1415" s="5" t="s">
        <v>8493</v>
      </c>
      <c r="AV1415" s="5" t="s">
        <v>8495</v>
      </c>
    </row>
    <row r="1416" spans="1:48" ht="45" customHeight="1" x14ac:dyDescent="0.15">
      <c r="A1416" s="5" t="s">
        <v>8496</v>
      </c>
      <c r="B1416" s="5">
        <v>2011</v>
      </c>
      <c r="C1416" s="5" t="s">
        <v>8497</v>
      </c>
      <c r="D1416" s="5" t="s">
        <v>18</v>
      </c>
      <c r="E1416" s="5" t="s">
        <v>18453</v>
      </c>
      <c r="F1416" s="5" t="s">
        <v>8500</v>
      </c>
      <c r="G1416" s="5"/>
      <c r="H1416" s="5"/>
      <c r="I1416" s="5"/>
      <c r="J1416" s="5"/>
      <c r="K1416" s="5"/>
      <c r="L1416" s="5"/>
      <c r="M1416" s="5"/>
      <c r="N1416" s="5"/>
      <c r="O1416" s="5"/>
      <c r="P1416" s="5"/>
      <c r="Q1416" s="5"/>
      <c r="AL1416" s="7" t="str">
        <f>HYPERLINK("http://dx.doi.org/10.1890/ES11-00043.1","http://dx.doi.org/10.1890/ES11-00043.1")</f>
        <v>http://dx.doi.org/10.1890/ES11-00043.1</v>
      </c>
      <c r="AM1416" s="5">
        <v>38</v>
      </c>
      <c r="AN1416" s="5">
        <v>38</v>
      </c>
      <c r="AO1416" s="5">
        <v>2</v>
      </c>
      <c r="AP1416" s="5">
        <v>7</v>
      </c>
      <c r="AQ1416" s="5" t="s">
        <v>16</v>
      </c>
      <c r="AR1416" s="5" t="s">
        <v>16</v>
      </c>
      <c r="AS1416" s="5">
        <v>76</v>
      </c>
      <c r="AT1416" s="5" t="s">
        <v>8498</v>
      </c>
      <c r="AU1416" s="5" t="s">
        <v>8499</v>
      </c>
      <c r="AV1416" s="5" t="s">
        <v>8501</v>
      </c>
    </row>
    <row r="1417" spans="1:48" ht="45" customHeight="1" x14ac:dyDescent="0.15">
      <c r="A1417" s="5" t="s">
        <v>8502</v>
      </c>
      <c r="B1417" s="5">
        <v>2016</v>
      </c>
      <c r="C1417" s="5" t="s">
        <v>8503</v>
      </c>
      <c r="D1417" s="5" t="s">
        <v>7165</v>
      </c>
      <c r="E1417" s="5" t="s">
        <v>18453</v>
      </c>
      <c r="F1417" s="5" t="s">
        <v>8506</v>
      </c>
      <c r="G1417" s="5"/>
      <c r="H1417" s="5"/>
      <c r="I1417" s="5"/>
      <c r="J1417" s="5"/>
      <c r="K1417" s="5"/>
      <c r="L1417" s="5"/>
      <c r="M1417" s="5"/>
      <c r="N1417" s="5"/>
      <c r="O1417" s="5"/>
      <c r="P1417" s="5"/>
      <c r="Q1417" s="5"/>
      <c r="AL1417" s="7" t="str">
        <f>HYPERLINK("http://dx.doi.org/10.1071/RJ16010","http://dx.doi.org/10.1071/RJ16010")</f>
        <v>http://dx.doi.org/10.1071/RJ16010</v>
      </c>
      <c r="AM1417" s="5">
        <v>3</v>
      </c>
      <c r="AN1417" s="5">
        <v>3</v>
      </c>
      <c r="AO1417" s="5">
        <v>38</v>
      </c>
      <c r="AP1417" s="5">
        <v>5</v>
      </c>
      <c r="AQ1417" s="5">
        <v>453</v>
      </c>
      <c r="AR1417" s="5">
        <v>466</v>
      </c>
      <c r="AS1417" s="5" t="s">
        <v>16</v>
      </c>
      <c r="AT1417" s="5" t="s">
        <v>8504</v>
      </c>
      <c r="AU1417" s="5" t="s">
        <v>8505</v>
      </c>
      <c r="AV1417" s="5" t="s">
        <v>8507</v>
      </c>
    </row>
    <row r="1418" spans="1:48" ht="45" customHeight="1" x14ac:dyDescent="0.15">
      <c r="A1418" s="5" t="s">
        <v>8508</v>
      </c>
      <c r="B1418" s="5">
        <v>2022</v>
      </c>
      <c r="C1418" s="5" t="s">
        <v>8509</v>
      </c>
      <c r="D1418" s="5" t="s">
        <v>2087</v>
      </c>
      <c r="E1418" s="5" t="s">
        <v>18453</v>
      </c>
      <c r="F1418" s="5" t="s">
        <v>8512</v>
      </c>
      <c r="G1418" s="5"/>
      <c r="H1418" s="5"/>
      <c r="I1418" s="5"/>
      <c r="J1418" s="5"/>
      <c r="K1418" s="5"/>
      <c r="L1418" s="5"/>
      <c r="M1418" s="5"/>
      <c r="N1418" s="5"/>
      <c r="O1418" s="5"/>
      <c r="P1418" s="5"/>
      <c r="Q1418" s="5"/>
      <c r="AL1418" s="7" t="str">
        <f>HYPERLINK("http://dx.doi.org/10.1002/eco.2391","http://dx.doi.org/10.1002/eco.2391")</f>
        <v>http://dx.doi.org/10.1002/eco.2391</v>
      </c>
      <c r="AM1418" s="5">
        <v>3</v>
      </c>
      <c r="AN1418" s="5">
        <v>3</v>
      </c>
      <c r="AO1418" s="5">
        <v>15</v>
      </c>
      <c r="AP1418" s="5">
        <v>5</v>
      </c>
      <c r="AQ1418" s="5" t="s">
        <v>16</v>
      </c>
      <c r="AR1418" s="5" t="s">
        <v>16</v>
      </c>
      <c r="AS1418" s="5" t="s">
        <v>8513</v>
      </c>
      <c r="AT1418" s="5" t="s">
        <v>8510</v>
      </c>
      <c r="AU1418" s="5" t="s">
        <v>8511</v>
      </c>
      <c r="AV1418" s="5" t="s">
        <v>8514</v>
      </c>
    </row>
    <row r="1419" spans="1:48" ht="45" customHeight="1" x14ac:dyDescent="0.15">
      <c r="A1419" s="5" t="s">
        <v>8515</v>
      </c>
      <c r="B1419" s="5">
        <v>2015</v>
      </c>
      <c r="C1419" s="5" t="s">
        <v>8516</v>
      </c>
      <c r="D1419" s="5" t="s">
        <v>190</v>
      </c>
      <c r="E1419" s="5" t="s">
        <v>18453</v>
      </c>
      <c r="F1419" s="5" t="s">
        <v>8519</v>
      </c>
      <c r="G1419" s="5"/>
      <c r="H1419" s="5"/>
      <c r="I1419" s="5"/>
      <c r="J1419" s="5"/>
      <c r="K1419" s="5"/>
      <c r="L1419" s="5"/>
      <c r="M1419" s="5"/>
      <c r="N1419" s="5"/>
      <c r="O1419" s="5"/>
      <c r="P1419" s="5"/>
      <c r="Q1419" s="5"/>
      <c r="AL1419" s="7" t="str">
        <f>HYPERLINK("http://dx.doi.org/10.1007/s10530-015-0894-3","http://dx.doi.org/10.1007/s10530-015-0894-3")</f>
        <v>http://dx.doi.org/10.1007/s10530-015-0894-3</v>
      </c>
      <c r="AM1419" s="5">
        <v>42</v>
      </c>
      <c r="AN1419" s="5">
        <v>45</v>
      </c>
      <c r="AO1419" s="5">
        <v>17</v>
      </c>
      <c r="AP1419" s="5">
        <v>9</v>
      </c>
      <c r="AQ1419" s="5">
        <v>2565</v>
      </c>
      <c r="AR1419" s="5">
        <v>2580</v>
      </c>
      <c r="AS1419" s="5" t="s">
        <v>16</v>
      </c>
      <c r="AT1419" s="5" t="s">
        <v>8517</v>
      </c>
      <c r="AU1419" s="5" t="s">
        <v>8518</v>
      </c>
      <c r="AV1419" s="5" t="s">
        <v>8520</v>
      </c>
    </row>
    <row r="1420" spans="1:48" ht="45" customHeight="1" x14ac:dyDescent="0.15">
      <c r="A1420" s="5" t="s">
        <v>8521</v>
      </c>
      <c r="B1420" s="5">
        <v>2011</v>
      </c>
      <c r="C1420" s="5" t="s">
        <v>8522</v>
      </c>
      <c r="D1420" s="5" t="s">
        <v>1765</v>
      </c>
      <c r="E1420" s="5" t="s">
        <v>18453</v>
      </c>
      <c r="F1420" s="5" t="s">
        <v>8525</v>
      </c>
      <c r="G1420" s="5"/>
      <c r="H1420" s="5"/>
      <c r="I1420" s="5"/>
      <c r="J1420" s="5"/>
      <c r="K1420" s="5"/>
      <c r="L1420" s="5"/>
      <c r="M1420" s="5"/>
      <c r="N1420" s="5"/>
      <c r="O1420" s="5"/>
      <c r="P1420" s="5"/>
      <c r="Q1420" s="5"/>
      <c r="AL1420" s="7" t="str">
        <f>HYPERLINK("http://dx.doi.org/10.1016/j.agee.2011.09.007","http://dx.doi.org/10.1016/j.agee.2011.09.007")</f>
        <v>http://dx.doi.org/10.1016/j.agee.2011.09.007</v>
      </c>
      <c r="AM1420" s="5">
        <v>73</v>
      </c>
      <c r="AN1420" s="5">
        <v>74</v>
      </c>
      <c r="AO1420" s="5">
        <v>144</v>
      </c>
      <c r="AP1420" s="5">
        <v>1</v>
      </c>
      <c r="AQ1420" s="5">
        <v>308</v>
      </c>
      <c r="AR1420" s="5">
        <v>318</v>
      </c>
      <c r="AS1420" s="5" t="s">
        <v>16</v>
      </c>
      <c r="AT1420" s="5" t="s">
        <v>8523</v>
      </c>
      <c r="AU1420" s="5" t="s">
        <v>8524</v>
      </c>
      <c r="AV1420" s="5" t="s">
        <v>8526</v>
      </c>
    </row>
    <row r="1421" spans="1:48" ht="45" customHeight="1" x14ac:dyDescent="0.15">
      <c r="A1421" s="5" t="s">
        <v>8527</v>
      </c>
      <c r="B1421" s="5">
        <v>2013</v>
      </c>
      <c r="C1421" s="5" t="s">
        <v>8528</v>
      </c>
      <c r="D1421" s="5" t="s">
        <v>1758</v>
      </c>
      <c r="E1421" s="5" t="s">
        <v>18453</v>
      </c>
      <c r="F1421" s="5" t="s">
        <v>8531</v>
      </c>
      <c r="G1421" s="5"/>
      <c r="H1421" s="5"/>
      <c r="I1421" s="5"/>
      <c r="J1421" s="5"/>
      <c r="K1421" s="5"/>
      <c r="L1421" s="5"/>
      <c r="M1421" s="5"/>
      <c r="N1421" s="5"/>
      <c r="O1421" s="5"/>
      <c r="P1421" s="5"/>
      <c r="Q1421" s="5"/>
      <c r="AL1421" s="7" t="str">
        <f>HYPERLINK("http://dx.doi.org/10.1007/s13157-013-0392-2","http://dx.doi.org/10.1007/s13157-013-0392-2")</f>
        <v>http://dx.doi.org/10.1007/s13157-013-0392-2</v>
      </c>
      <c r="AM1421" s="5">
        <v>7</v>
      </c>
      <c r="AN1421" s="5">
        <v>7</v>
      </c>
      <c r="AO1421" s="5">
        <v>33</v>
      </c>
      <c r="AP1421" s="5">
        <v>2</v>
      </c>
      <c r="AQ1421" s="5">
        <v>355</v>
      </c>
      <c r="AR1421" s="5">
        <v>364</v>
      </c>
      <c r="AS1421" s="5" t="s">
        <v>16</v>
      </c>
      <c r="AT1421" s="5" t="s">
        <v>8529</v>
      </c>
      <c r="AU1421" s="5" t="s">
        <v>8530</v>
      </c>
      <c r="AV1421" s="5" t="s">
        <v>8532</v>
      </c>
    </row>
    <row r="1422" spans="1:48" ht="45" customHeight="1" x14ac:dyDescent="0.15">
      <c r="A1422" s="5" t="s">
        <v>8533</v>
      </c>
      <c r="B1422" s="5">
        <v>2016</v>
      </c>
      <c r="C1422" s="5" t="s">
        <v>8534</v>
      </c>
      <c r="D1422" s="5" t="s">
        <v>17</v>
      </c>
      <c r="E1422" s="5" t="s">
        <v>18453</v>
      </c>
      <c r="F1422" s="5" t="s">
        <v>8537</v>
      </c>
      <c r="G1422" s="5"/>
      <c r="H1422" s="5"/>
      <c r="I1422" s="5"/>
      <c r="J1422" s="5"/>
      <c r="K1422" s="5"/>
      <c r="L1422" s="5"/>
      <c r="M1422" s="5"/>
      <c r="N1422" s="5"/>
      <c r="O1422" s="5"/>
      <c r="P1422" s="5"/>
      <c r="Q1422" s="5"/>
      <c r="AL1422" s="7" t="str">
        <f>HYPERLINK("http://dx.doi.org/10.1111/fwb.12723","http://dx.doi.org/10.1111/fwb.12723")</f>
        <v>http://dx.doi.org/10.1111/fwb.12723</v>
      </c>
      <c r="AM1422" s="5">
        <v>33</v>
      </c>
      <c r="AN1422" s="5">
        <v>34</v>
      </c>
      <c r="AO1422" s="5">
        <v>61</v>
      </c>
      <c r="AP1422" s="5">
        <v>4</v>
      </c>
      <c r="AQ1422" s="5">
        <v>500</v>
      </c>
      <c r="AR1422" s="5">
        <v>517</v>
      </c>
      <c r="AS1422" s="5" t="s">
        <v>16</v>
      </c>
      <c r="AT1422" s="5" t="s">
        <v>8535</v>
      </c>
      <c r="AU1422" s="5" t="s">
        <v>8536</v>
      </c>
      <c r="AV1422" s="5" t="s">
        <v>8538</v>
      </c>
    </row>
    <row r="1423" spans="1:48" ht="45" customHeight="1" x14ac:dyDescent="0.15">
      <c r="A1423" s="5" t="s">
        <v>8539</v>
      </c>
      <c r="B1423" s="5">
        <v>2018</v>
      </c>
      <c r="C1423" s="5" t="s">
        <v>8540</v>
      </c>
      <c r="D1423" s="5" t="s">
        <v>172</v>
      </c>
      <c r="E1423" s="5" t="s">
        <v>18453</v>
      </c>
      <c r="F1423" s="5" t="s">
        <v>8543</v>
      </c>
      <c r="G1423" s="5"/>
      <c r="H1423" s="5"/>
      <c r="I1423" s="5"/>
      <c r="J1423" s="5"/>
      <c r="K1423" s="5"/>
      <c r="L1423" s="5"/>
      <c r="M1423" s="5"/>
      <c r="N1423" s="5"/>
      <c r="O1423" s="5"/>
      <c r="P1423" s="5"/>
      <c r="Q1423" s="5"/>
      <c r="AL1423" s="7" t="str">
        <f>HYPERLINK("http://dx.doi.org/10.1007/s00442-018-4093-7","http://dx.doi.org/10.1007/s00442-018-4093-7")</f>
        <v>http://dx.doi.org/10.1007/s00442-018-4093-7</v>
      </c>
      <c r="AM1423" s="5">
        <v>37</v>
      </c>
      <c r="AN1423" s="5">
        <v>37</v>
      </c>
      <c r="AO1423" s="5">
        <v>186</v>
      </c>
      <c r="AP1423" s="5">
        <v>4</v>
      </c>
      <c r="AQ1423" s="5">
        <v>1069</v>
      </c>
      <c r="AR1423" s="5">
        <v>1078</v>
      </c>
      <c r="AS1423" s="5" t="s">
        <v>16</v>
      </c>
      <c r="AT1423" s="5" t="s">
        <v>8541</v>
      </c>
      <c r="AU1423" s="5" t="s">
        <v>8542</v>
      </c>
      <c r="AV1423" s="5" t="s">
        <v>8544</v>
      </c>
    </row>
    <row r="1424" spans="1:48" ht="45" customHeight="1" x14ac:dyDescent="0.15">
      <c r="A1424" s="5" t="s">
        <v>8545</v>
      </c>
      <c r="B1424" s="5">
        <v>2022</v>
      </c>
      <c r="C1424" s="5" t="s">
        <v>8546</v>
      </c>
      <c r="D1424" s="5" t="s">
        <v>44</v>
      </c>
      <c r="E1424" s="5" t="s">
        <v>18453</v>
      </c>
      <c r="F1424" s="5" t="s">
        <v>8548</v>
      </c>
      <c r="G1424" s="5"/>
      <c r="H1424" s="5"/>
      <c r="I1424" s="5"/>
      <c r="J1424" s="5"/>
      <c r="K1424" s="5"/>
      <c r="L1424" s="5"/>
      <c r="M1424" s="5"/>
      <c r="N1424" s="5"/>
      <c r="O1424" s="5"/>
      <c r="P1424" s="5"/>
      <c r="Q1424" s="5"/>
      <c r="AL1424" s="7" t="str">
        <f>HYPERLINK("http://dx.doi.org/10.3389/fevo.2022.1028463","http://dx.doi.org/10.3389/fevo.2022.1028463")</f>
        <v>http://dx.doi.org/10.3389/fevo.2022.1028463</v>
      </c>
      <c r="AM1424" s="5">
        <v>0</v>
      </c>
      <c r="AN1424" s="5">
        <v>0</v>
      </c>
      <c r="AO1424" s="5">
        <v>10</v>
      </c>
      <c r="AP1424" s="5" t="s">
        <v>16</v>
      </c>
      <c r="AQ1424" s="5" t="s">
        <v>16</v>
      </c>
      <c r="AR1424" s="5" t="s">
        <v>16</v>
      </c>
      <c r="AS1424" s="5">
        <v>1028463</v>
      </c>
      <c r="AT1424" s="5" t="s">
        <v>8547</v>
      </c>
      <c r="AU1424" s="5" t="s">
        <v>16</v>
      </c>
      <c r="AV1424" s="5" t="s">
        <v>8549</v>
      </c>
    </row>
    <row r="1425" spans="1:48" ht="45" customHeight="1" x14ac:dyDescent="0.15">
      <c r="A1425" s="5" t="s">
        <v>5906</v>
      </c>
      <c r="B1425" s="5">
        <v>2019</v>
      </c>
      <c r="C1425" s="5" t="s">
        <v>8550</v>
      </c>
      <c r="D1425" s="5" t="s">
        <v>49</v>
      </c>
      <c r="E1425" s="5" t="s">
        <v>18453</v>
      </c>
      <c r="F1425" s="5" t="s">
        <v>8553</v>
      </c>
      <c r="G1425" s="5"/>
      <c r="H1425" s="5"/>
      <c r="I1425" s="5"/>
      <c r="J1425" s="5"/>
      <c r="K1425" s="5"/>
      <c r="L1425" s="5"/>
      <c r="M1425" s="5"/>
      <c r="N1425" s="5"/>
      <c r="O1425" s="5"/>
      <c r="P1425" s="5"/>
      <c r="Q1425" s="5"/>
      <c r="AL1425" s="7" t="str">
        <f>HYPERLINK("http://dx.doi.org/10.3354/meps13096","http://dx.doi.org/10.3354/meps13096")</f>
        <v>http://dx.doi.org/10.3354/meps13096</v>
      </c>
      <c r="AM1425" s="5">
        <v>1</v>
      </c>
      <c r="AN1425" s="5">
        <v>1</v>
      </c>
      <c r="AO1425" s="5">
        <v>628</v>
      </c>
      <c r="AP1425" s="5" t="s">
        <v>16</v>
      </c>
      <c r="AQ1425" s="5">
        <v>55</v>
      </c>
      <c r="AR1425" s="5">
        <v>71</v>
      </c>
      <c r="AS1425" s="5" t="s">
        <v>16</v>
      </c>
      <c r="AT1425" s="5" t="s">
        <v>8551</v>
      </c>
      <c r="AU1425" s="5" t="s">
        <v>8552</v>
      </c>
      <c r="AV1425" s="5" t="s">
        <v>8554</v>
      </c>
    </row>
    <row r="1426" spans="1:48" ht="45" customHeight="1" x14ac:dyDescent="0.15">
      <c r="A1426" s="5" t="s">
        <v>8555</v>
      </c>
      <c r="B1426" s="5">
        <v>2014</v>
      </c>
      <c r="C1426" s="5" t="s">
        <v>8556</v>
      </c>
      <c r="D1426" s="5" t="s">
        <v>49</v>
      </c>
      <c r="E1426" s="5" t="s">
        <v>18453</v>
      </c>
      <c r="F1426" s="5" t="s">
        <v>8559</v>
      </c>
      <c r="G1426" s="5"/>
      <c r="H1426" s="5"/>
      <c r="I1426" s="5"/>
      <c r="J1426" s="5"/>
      <c r="K1426" s="5"/>
      <c r="L1426" s="5"/>
      <c r="M1426" s="5"/>
      <c r="N1426" s="5"/>
      <c r="O1426" s="5"/>
      <c r="P1426" s="5"/>
      <c r="Q1426" s="5"/>
      <c r="AL1426" s="7" t="str">
        <f>HYPERLINK("http://dx.doi.org/10.3354/meps10702","http://dx.doi.org/10.3354/meps10702")</f>
        <v>http://dx.doi.org/10.3354/meps10702</v>
      </c>
      <c r="AM1426" s="5">
        <v>30</v>
      </c>
      <c r="AN1426" s="5">
        <v>30</v>
      </c>
      <c r="AO1426" s="5">
        <v>501</v>
      </c>
      <c r="AP1426" s="5" t="s">
        <v>16</v>
      </c>
      <c r="AQ1426" s="5">
        <v>113</v>
      </c>
      <c r="AR1426" s="5">
        <v>126</v>
      </c>
      <c r="AS1426" s="5" t="s">
        <v>16</v>
      </c>
      <c r="AT1426" s="5" t="s">
        <v>8557</v>
      </c>
      <c r="AU1426" s="5" t="s">
        <v>8558</v>
      </c>
      <c r="AV1426" s="5" t="s">
        <v>8560</v>
      </c>
    </row>
    <row r="1427" spans="1:48" ht="45" customHeight="1" x14ac:dyDescent="0.15">
      <c r="A1427" s="5" t="s">
        <v>8561</v>
      </c>
      <c r="B1427" s="5">
        <v>2023</v>
      </c>
      <c r="C1427" s="5" t="s">
        <v>8562</v>
      </c>
      <c r="D1427" s="5" t="s">
        <v>124</v>
      </c>
      <c r="E1427" s="5" t="s">
        <v>18453</v>
      </c>
      <c r="F1427" s="5" t="s">
        <v>8565</v>
      </c>
      <c r="G1427" s="5"/>
      <c r="H1427" s="5"/>
      <c r="I1427" s="5"/>
      <c r="J1427" s="5"/>
      <c r="K1427" s="5"/>
      <c r="L1427" s="5"/>
      <c r="M1427" s="5"/>
      <c r="N1427" s="5"/>
      <c r="O1427" s="5"/>
      <c r="P1427" s="5"/>
      <c r="Q1427" s="5"/>
      <c r="AL1427" s="7" t="str">
        <f>HYPERLINK("http://dx.doi.org/10.1086/724383","http://dx.doi.org/10.1086/724383")</f>
        <v>http://dx.doi.org/10.1086/724383</v>
      </c>
      <c r="AM1427" s="5">
        <v>0</v>
      </c>
      <c r="AN1427" s="5">
        <v>0</v>
      </c>
      <c r="AO1427" s="5" t="s">
        <v>16</v>
      </c>
      <c r="AP1427" s="5" t="s">
        <v>16</v>
      </c>
      <c r="AQ1427" s="5" t="s">
        <v>16</v>
      </c>
      <c r="AR1427" s="5" t="s">
        <v>16</v>
      </c>
      <c r="AS1427" s="5" t="s">
        <v>16</v>
      </c>
      <c r="AT1427" s="5" t="s">
        <v>8563</v>
      </c>
      <c r="AU1427" s="5" t="s">
        <v>8564</v>
      </c>
      <c r="AV1427" s="5" t="s">
        <v>8566</v>
      </c>
    </row>
    <row r="1428" spans="1:48" ht="45" customHeight="1" x14ac:dyDescent="0.15">
      <c r="A1428" s="5" t="s">
        <v>8567</v>
      </c>
      <c r="B1428" s="5">
        <v>2018</v>
      </c>
      <c r="C1428" s="5" t="s">
        <v>8568</v>
      </c>
      <c r="D1428" s="5" t="s">
        <v>8569</v>
      </c>
      <c r="E1428" s="5" t="s">
        <v>18453</v>
      </c>
      <c r="F1428" s="5" t="s">
        <v>8572</v>
      </c>
      <c r="G1428" s="5"/>
      <c r="H1428" s="5"/>
      <c r="I1428" s="5"/>
      <c r="J1428" s="5"/>
      <c r="K1428" s="5"/>
      <c r="L1428" s="5"/>
      <c r="M1428" s="5"/>
      <c r="N1428" s="5"/>
      <c r="O1428" s="5"/>
      <c r="P1428" s="5"/>
      <c r="Q1428" s="5"/>
      <c r="AL1428" s="5" t="s">
        <v>16</v>
      </c>
      <c r="AM1428" s="5">
        <v>0</v>
      </c>
      <c r="AN1428" s="5">
        <v>0</v>
      </c>
      <c r="AO1428" s="5">
        <v>27</v>
      </c>
      <c r="AP1428" s="5">
        <v>106</v>
      </c>
      <c r="AQ1428" s="5">
        <v>233</v>
      </c>
      <c r="AR1428" s="5">
        <v>239</v>
      </c>
      <c r="AS1428" s="5" t="s">
        <v>8573</v>
      </c>
      <c r="AT1428" s="5" t="s">
        <v>8570</v>
      </c>
      <c r="AU1428" s="5" t="s">
        <v>8571</v>
      </c>
      <c r="AV1428" s="5" t="s">
        <v>16</v>
      </c>
    </row>
    <row r="1429" spans="1:48" ht="45" customHeight="1" x14ac:dyDescent="0.15">
      <c r="A1429" s="5" t="s">
        <v>8574</v>
      </c>
      <c r="B1429" s="5">
        <v>2007</v>
      </c>
      <c r="C1429" s="5" t="s">
        <v>8575</v>
      </c>
      <c r="D1429" s="5" t="s">
        <v>17</v>
      </c>
      <c r="E1429" s="5" t="s">
        <v>18453</v>
      </c>
      <c r="F1429" s="5" t="s">
        <v>8578</v>
      </c>
      <c r="G1429" s="5"/>
      <c r="H1429" s="5"/>
      <c r="I1429" s="5"/>
      <c r="J1429" s="5"/>
      <c r="K1429" s="5"/>
      <c r="L1429" s="5"/>
      <c r="M1429" s="5"/>
      <c r="N1429" s="5"/>
      <c r="O1429" s="5"/>
      <c r="P1429" s="5"/>
      <c r="Q1429" s="5"/>
      <c r="AL1429" s="7" t="str">
        <f>HYPERLINK("http://dx.doi.org/10.1111/j.1365-2427.2007.01788.x","http://dx.doi.org/10.1111/j.1365-2427.2007.01788.x")</f>
        <v>http://dx.doi.org/10.1111/j.1365-2427.2007.01788.x</v>
      </c>
      <c r="AM1429" s="5">
        <v>27</v>
      </c>
      <c r="AN1429" s="5">
        <v>28</v>
      </c>
      <c r="AO1429" s="5">
        <v>52</v>
      </c>
      <c r="AP1429" s="5">
        <v>8</v>
      </c>
      <c r="AQ1429" s="5">
        <v>1564</v>
      </c>
      <c r="AR1429" s="5">
        <v>1575</v>
      </c>
      <c r="AS1429" s="5" t="s">
        <v>16</v>
      </c>
      <c r="AT1429" s="5" t="s">
        <v>8576</v>
      </c>
      <c r="AU1429" s="5" t="s">
        <v>8577</v>
      </c>
      <c r="AV1429" s="5" t="s">
        <v>8579</v>
      </c>
    </row>
    <row r="1430" spans="1:48" ht="45" customHeight="1" x14ac:dyDescent="0.15">
      <c r="A1430" s="5" t="s">
        <v>8580</v>
      </c>
      <c r="B1430" s="5">
        <v>2006</v>
      </c>
      <c r="C1430" s="5" t="s">
        <v>8581</v>
      </c>
      <c r="D1430" s="5" t="s">
        <v>49</v>
      </c>
      <c r="E1430" s="5" t="s">
        <v>18453</v>
      </c>
      <c r="F1430" s="5" t="s">
        <v>8584</v>
      </c>
      <c r="G1430" s="5"/>
      <c r="H1430" s="5"/>
      <c r="I1430" s="5"/>
      <c r="J1430" s="5"/>
      <c r="K1430" s="5"/>
      <c r="L1430" s="5"/>
      <c r="M1430" s="5"/>
      <c r="N1430" s="5"/>
      <c r="O1430" s="5"/>
      <c r="P1430" s="5"/>
      <c r="Q1430" s="5"/>
      <c r="AL1430" s="7" t="str">
        <f>HYPERLINK("http://dx.doi.org/10.3354/meps310001","http://dx.doi.org/10.3354/meps310001")</f>
        <v>http://dx.doi.org/10.3354/meps310001</v>
      </c>
      <c r="AM1430" s="5">
        <v>161</v>
      </c>
      <c r="AN1430" s="5">
        <v>164</v>
      </c>
      <c r="AO1430" s="5">
        <v>310</v>
      </c>
      <c r="AP1430" s="5" t="s">
        <v>16</v>
      </c>
      <c r="AQ1430" s="5">
        <v>1</v>
      </c>
      <c r="AR1430" s="5">
        <v>14</v>
      </c>
      <c r="AS1430" s="5" t="s">
        <v>16</v>
      </c>
      <c r="AT1430" s="5" t="s">
        <v>8582</v>
      </c>
      <c r="AU1430" s="5" t="s">
        <v>8583</v>
      </c>
      <c r="AV1430" s="5" t="s">
        <v>8585</v>
      </c>
    </row>
    <row r="1431" spans="1:48" ht="45" customHeight="1" x14ac:dyDescent="0.15">
      <c r="A1431" s="5" t="s">
        <v>8586</v>
      </c>
      <c r="B1431" s="5">
        <v>2020</v>
      </c>
      <c r="C1431" s="5" t="s">
        <v>8587</v>
      </c>
      <c r="D1431" s="5" t="s">
        <v>1765</v>
      </c>
      <c r="E1431" s="5" t="s">
        <v>18453</v>
      </c>
      <c r="F1431" s="5" t="s">
        <v>8590</v>
      </c>
      <c r="G1431" s="5"/>
      <c r="H1431" s="5"/>
      <c r="I1431" s="5"/>
      <c r="J1431" s="5"/>
      <c r="K1431" s="5"/>
      <c r="L1431" s="5"/>
      <c r="M1431" s="5"/>
      <c r="N1431" s="5"/>
      <c r="O1431" s="5"/>
      <c r="P1431" s="5"/>
      <c r="Q1431" s="5"/>
      <c r="AL1431" s="7" t="str">
        <f>HYPERLINK("http://dx.doi.org/10.1016/j.agee.2020.107143","http://dx.doi.org/10.1016/j.agee.2020.107143")</f>
        <v>http://dx.doi.org/10.1016/j.agee.2020.107143</v>
      </c>
      <c r="AM1431" s="5">
        <v>8</v>
      </c>
      <c r="AN1431" s="5">
        <v>8</v>
      </c>
      <c r="AO1431" s="5">
        <v>304</v>
      </c>
      <c r="AP1431" s="5" t="s">
        <v>16</v>
      </c>
      <c r="AQ1431" s="5" t="s">
        <v>16</v>
      </c>
      <c r="AR1431" s="5" t="s">
        <v>16</v>
      </c>
      <c r="AS1431" s="5">
        <v>107143</v>
      </c>
      <c r="AT1431" s="5" t="s">
        <v>8588</v>
      </c>
      <c r="AU1431" s="5" t="s">
        <v>8589</v>
      </c>
      <c r="AV1431" s="5" t="s">
        <v>8591</v>
      </c>
    </row>
    <row r="1432" spans="1:48" ht="45" customHeight="1" x14ac:dyDescent="0.15">
      <c r="A1432" s="5" t="s">
        <v>8592</v>
      </c>
      <c r="B1432" s="5">
        <v>2021</v>
      </c>
      <c r="C1432" s="5" t="s">
        <v>8593</v>
      </c>
      <c r="D1432" s="5" t="s">
        <v>17</v>
      </c>
      <c r="E1432" s="5" t="s">
        <v>18453</v>
      </c>
      <c r="F1432" s="5" t="s">
        <v>8596</v>
      </c>
      <c r="G1432" s="5"/>
      <c r="H1432" s="5"/>
      <c r="I1432" s="5"/>
      <c r="J1432" s="5"/>
      <c r="K1432" s="5"/>
      <c r="L1432" s="5"/>
      <c r="M1432" s="5"/>
      <c r="N1432" s="5"/>
      <c r="O1432" s="5"/>
      <c r="P1432" s="5"/>
      <c r="Q1432" s="5"/>
      <c r="AL1432" s="7" t="str">
        <f>HYPERLINK("http://dx.doi.org/10.1111/fwb.13655","http://dx.doi.org/10.1111/fwb.13655")</f>
        <v>http://dx.doi.org/10.1111/fwb.13655</v>
      </c>
      <c r="AM1432" s="5">
        <v>5</v>
      </c>
      <c r="AN1432" s="5">
        <v>5</v>
      </c>
      <c r="AO1432" s="5">
        <v>66</v>
      </c>
      <c r="AP1432" s="5">
        <v>3</v>
      </c>
      <c r="AQ1432" s="5">
        <v>495</v>
      </c>
      <c r="AR1432" s="5">
        <v>508</v>
      </c>
      <c r="AS1432" s="5" t="s">
        <v>16</v>
      </c>
      <c r="AT1432" s="5" t="s">
        <v>8594</v>
      </c>
      <c r="AU1432" s="5" t="s">
        <v>8595</v>
      </c>
      <c r="AV1432" s="5" t="s">
        <v>8597</v>
      </c>
    </row>
    <row r="1433" spans="1:48" ht="45" customHeight="1" x14ac:dyDescent="0.15">
      <c r="A1433" s="5" t="s">
        <v>8598</v>
      </c>
      <c r="B1433" s="5">
        <v>2021</v>
      </c>
      <c r="C1433" s="5" t="s">
        <v>8599</v>
      </c>
      <c r="D1433" s="5" t="s">
        <v>159</v>
      </c>
      <c r="E1433" s="5" t="s">
        <v>18453</v>
      </c>
      <c r="F1433" s="5" t="s">
        <v>8602</v>
      </c>
      <c r="G1433" s="5"/>
      <c r="H1433" s="5"/>
      <c r="I1433" s="5"/>
      <c r="J1433" s="5"/>
      <c r="K1433" s="5"/>
      <c r="L1433" s="5"/>
      <c r="M1433" s="5"/>
      <c r="N1433" s="5"/>
      <c r="O1433" s="5"/>
      <c r="P1433" s="5"/>
      <c r="Q1433" s="5"/>
      <c r="AL1433" s="7" t="str">
        <f>HYPERLINK("http://dx.doi.org/10.3390/d13100495","http://dx.doi.org/10.3390/d13100495")</f>
        <v>http://dx.doi.org/10.3390/d13100495</v>
      </c>
      <c r="AM1433" s="5">
        <v>1</v>
      </c>
      <c r="AN1433" s="5">
        <v>1</v>
      </c>
      <c r="AO1433" s="5">
        <v>13</v>
      </c>
      <c r="AP1433" s="5">
        <v>10</v>
      </c>
      <c r="AQ1433" s="5" t="s">
        <v>16</v>
      </c>
      <c r="AR1433" s="5" t="s">
        <v>16</v>
      </c>
      <c r="AS1433" s="5">
        <v>495</v>
      </c>
      <c r="AT1433" s="5" t="s">
        <v>8600</v>
      </c>
      <c r="AU1433" s="5" t="s">
        <v>8601</v>
      </c>
      <c r="AV1433" s="5" t="s">
        <v>8603</v>
      </c>
    </row>
    <row r="1434" spans="1:48" ht="45" customHeight="1" x14ac:dyDescent="0.15">
      <c r="A1434" s="5" t="s">
        <v>8604</v>
      </c>
      <c r="B1434" s="5">
        <v>2011</v>
      </c>
      <c r="C1434" s="5" t="s">
        <v>8605</v>
      </c>
      <c r="D1434" s="5" t="s">
        <v>295</v>
      </c>
      <c r="E1434" s="5" t="s">
        <v>18453</v>
      </c>
      <c r="F1434" s="5" t="s">
        <v>8608</v>
      </c>
      <c r="G1434" s="5"/>
      <c r="H1434" s="5"/>
      <c r="I1434" s="5"/>
      <c r="J1434" s="5"/>
      <c r="K1434" s="5"/>
      <c r="L1434" s="5"/>
      <c r="M1434" s="5"/>
      <c r="N1434" s="5"/>
      <c r="O1434" s="5"/>
      <c r="P1434" s="5"/>
      <c r="Q1434" s="5"/>
      <c r="AL1434" s="7" t="str">
        <f>HYPERLINK("http://dx.doi.org/10.1016/j.jembe.2011.06.005","http://dx.doi.org/10.1016/j.jembe.2011.06.005")</f>
        <v>http://dx.doi.org/10.1016/j.jembe.2011.06.005</v>
      </c>
      <c r="AM1434" s="5">
        <v>36</v>
      </c>
      <c r="AN1434" s="5">
        <v>36</v>
      </c>
      <c r="AO1434" s="5">
        <v>406</v>
      </c>
      <c r="AP1434" s="5" t="s">
        <v>778</v>
      </c>
      <c r="AQ1434" s="5">
        <v>6</v>
      </c>
      <c r="AR1434" s="5">
        <v>13</v>
      </c>
      <c r="AS1434" s="5" t="s">
        <v>16</v>
      </c>
      <c r="AT1434" s="5" t="s">
        <v>8606</v>
      </c>
      <c r="AU1434" s="5" t="s">
        <v>8607</v>
      </c>
      <c r="AV1434" s="5" t="s">
        <v>8609</v>
      </c>
    </row>
    <row r="1435" spans="1:48" ht="45" customHeight="1" x14ac:dyDescent="0.15">
      <c r="A1435" s="5" t="s">
        <v>8610</v>
      </c>
      <c r="B1435" s="5">
        <v>2017</v>
      </c>
      <c r="C1435" s="5" t="s">
        <v>8611</v>
      </c>
      <c r="D1435" s="5" t="s">
        <v>513</v>
      </c>
      <c r="E1435" s="5" t="s">
        <v>18453</v>
      </c>
      <c r="F1435" s="5" t="s">
        <v>8614</v>
      </c>
      <c r="G1435" s="5"/>
      <c r="H1435" s="5"/>
      <c r="I1435" s="5"/>
      <c r="J1435" s="5"/>
      <c r="K1435" s="5"/>
      <c r="L1435" s="5"/>
      <c r="M1435" s="5"/>
      <c r="N1435" s="5"/>
      <c r="O1435" s="5"/>
      <c r="P1435" s="5"/>
      <c r="Q1435" s="5"/>
      <c r="AL1435" s="7" t="str">
        <f>HYPERLINK("http://dx.doi.org/10.1016/j.ecoleng.2016.02.018","http://dx.doi.org/10.1016/j.ecoleng.2016.02.018")</f>
        <v>http://dx.doi.org/10.1016/j.ecoleng.2016.02.018</v>
      </c>
      <c r="AM1435" s="5">
        <v>19</v>
      </c>
      <c r="AN1435" s="5">
        <v>19</v>
      </c>
      <c r="AO1435" s="5">
        <v>106</v>
      </c>
      <c r="AP1435" s="5" t="s">
        <v>16</v>
      </c>
      <c r="AQ1435" s="5">
        <v>799</v>
      </c>
      <c r="AR1435" s="5">
        <v>808</v>
      </c>
      <c r="AS1435" s="5" t="s">
        <v>16</v>
      </c>
      <c r="AT1435" s="5" t="s">
        <v>8612</v>
      </c>
      <c r="AU1435" s="5" t="s">
        <v>8613</v>
      </c>
      <c r="AV1435" s="5" t="s">
        <v>8615</v>
      </c>
    </row>
    <row r="1436" spans="1:48" ht="45" customHeight="1" x14ac:dyDescent="0.15">
      <c r="A1436" s="5" t="s">
        <v>8616</v>
      </c>
      <c r="B1436" s="5">
        <v>2006</v>
      </c>
      <c r="C1436" s="5" t="s">
        <v>8617</v>
      </c>
      <c r="D1436" s="5" t="s">
        <v>33</v>
      </c>
      <c r="E1436" s="5" t="s">
        <v>18453</v>
      </c>
      <c r="F1436" s="5" t="s">
        <v>8620</v>
      </c>
      <c r="G1436" s="5"/>
      <c r="H1436" s="5"/>
      <c r="I1436" s="5"/>
      <c r="J1436" s="5"/>
      <c r="K1436" s="5"/>
      <c r="L1436" s="5"/>
      <c r="M1436" s="5"/>
      <c r="N1436" s="5"/>
      <c r="O1436" s="5"/>
      <c r="P1436" s="5"/>
      <c r="Q1436" s="5"/>
      <c r="AL1436" s="7" t="str">
        <f>HYPERLINK("http://dx.doi.org/10.1111/j.1365-2486.2006.01170.x","http://dx.doi.org/10.1111/j.1365-2486.2006.01170.x")</f>
        <v>http://dx.doi.org/10.1111/j.1365-2486.2006.01170.x</v>
      </c>
      <c r="AM1436" s="5">
        <v>58</v>
      </c>
      <c r="AN1436" s="5">
        <v>62</v>
      </c>
      <c r="AO1436" s="5">
        <v>12</v>
      </c>
      <c r="AP1436" s="5">
        <v>7</v>
      </c>
      <c r="AQ1436" s="5">
        <v>1253</v>
      </c>
      <c r="AR1436" s="5">
        <v>1266</v>
      </c>
      <c r="AS1436" s="5" t="s">
        <v>16</v>
      </c>
      <c r="AT1436" s="5" t="s">
        <v>8618</v>
      </c>
      <c r="AU1436" s="5" t="s">
        <v>8619</v>
      </c>
      <c r="AV1436" s="5" t="s">
        <v>8621</v>
      </c>
    </row>
    <row r="1437" spans="1:48" ht="45" customHeight="1" x14ac:dyDescent="0.15">
      <c r="A1437" s="5" t="s">
        <v>8622</v>
      </c>
      <c r="B1437" s="5">
        <v>2018</v>
      </c>
      <c r="C1437" s="5" t="s">
        <v>8623</v>
      </c>
      <c r="D1437" s="5" t="s">
        <v>1765</v>
      </c>
      <c r="E1437" s="5" t="s">
        <v>18453</v>
      </c>
      <c r="F1437" s="5" t="s">
        <v>8626</v>
      </c>
      <c r="G1437" s="5"/>
      <c r="H1437" s="5"/>
      <c r="I1437" s="5"/>
      <c r="J1437" s="5"/>
      <c r="K1437" s="5"/>
      <c r="L1437" s="5"/>
      <c r="M1437" s="5"/>
      <c r="N1437" s="5"/>
      <c r="O1437" s="5"/>
      <c r="P1437" s="5"/>
      <c r="Q1437" s="5"/>
      <c r="AL1437" s="7" t="str">
        <f>HYPERLINK("http://dx.doi.org/10.1016/j.agee.2017.10.028","http://dx.doi.org/10.1016/j.agee.2017.10.028")</f>
        <v>http://dx.doi.org/10.1016/j.agee.2017.10.028</v>
      </c>
      <c r="AM1437" s="5">
        <v>70</v>
      </c>
      <c r="AN1437" s="5">
        <v>75</v>
      </c>
      <c r="AO1437" s="5">
        <v>253</v>
      </c>
      <c r="AP1437" s="5" t="s">
        <v>16</v>
      </c>
      <c r="AQ1437" s="5">
        <v>11</v>
      </c>
      <c r="AR1437" s="5">
        <v>22</v>
      </c>
      <c r="AS1437" s="5" t="s">
        <v>16</v>
      </c>
      <c r="AT1437" s="5" t="s">
        <v>8624</v>
      </c>
      <c r="AU1437" s="5" t="s">
        <v>8625</v>
      </c>
      <c r="AV1437" s="5" t="s">
        <v>8627</v>
      </c>
    </row>
    <row r="1438" spans="1:48" ht="45" customHeight="1" x14ac:dyDescent="0.15">
      <c r="A1438" s="5" t="s">
        <v>8628</v>
      </c>
      <c r="B1438" s="5">
        <v>2023</v>
      </c>
      <c r="C1438" s="5" t="s">
        <v>8629</v>
      </c>
      <c r="D1438" s="5" t="s">
        <v>1785</v>
      </c>
      <c r="E1438" s="5" t="s">
        <v>18453</v>
      </c>
      <c r="F1438" s="5" t="s">
        <v>8632</v>
      </c>
      <c r="G1438" s="5"/>
      <c r="H1438" s="5"/>
      <c r="I1438" s="5"/>
      <c r="J1438" s="5"/>
      <c r="K1438" s="5"/>
      <c r="L1438" s="5"/>
      <c r="M1438" s="5"/>
      <c r="N1438" s="5"/>
      <c r="O1438" s="5"/>
      <c r="P1438" s="5"/>
      <c r="Q1438" s="5"/>
      <c r="AL1438" s="7" t="str">
        <f>HYPERLINK("http://dx.doi.org/10.5751/ACE-02428-180119","http://dx.doi.org/10.5751/ACE-02428-180119")</f>
        <v>http://dx.doi.org/10.5751/ACE-02428-180119</v>
      </c>
      <c r="AM1438" s="5">
        <v>0</v>
      </c>
      <c r="AN1438" s="5">
        <v>0</v>
      </c>
      <c r="AO1438" s="5">
        <v>18</v>
      </c>
      <c r="AP1438" s="5">
        <v>1</v>
      </c>
      <c r="AQ1438" s="5" t="s">
        <v>16</v>
      </c>
      <c r="AR1438" s="5" t="s">
        <v>16</v>
      </c>
      <c r="AS1438" s="5">
        <v>19</v>
      </c>
      <c r="AT1438" s="5" t="s">
        <v>8630</v>
      </c>
      <c r="AU1438" s="5" t="s">
        <v>8631</v>
      </c>
      <c r="AV1438" s="5" t="s">
        <v>8633</v>
      </c>
    </row>
    <row r="1439" spans="1:48" ht="45" customHeight="1" x14ac:dyDescent="0.15">
      <c r="A1439" s="5" t="s">
        <v>8634</v>
      </c>
      <c r="B1439" s="5">
        <v>2007</v>
      </c>
      <c r="C1439" s="5" t="s">
        <v>8635</v>
      </c>
      <c r="D1439" s="5" t="s">
        <v>138</v>
      </c>
      <c r="E1439" s="5" t="s">
        <v>18453</v>
      </c>
      <c r="F1439" s="5" t="s">
        <v>8638</v>
      </c>
      <c r="G1439" s="5"/>
      <c r="H1439" s="5"/>
      <c r="I1439" s="5"/>
      <c r="J1439" s="5"/>
      <c r="K1439" s="5"/>
      <c r="L1439" s="5"/>
      <c r="M1439" s="5"/>
      <c r="N1439" s="5"/>
      <c r="O1439" s="5"/>
      <c r="P1439" s="5"/>
      <c r="Q1439" s="5"/>
      <c r="AL1439" s="7" t="str">
        <f>HYPERLINK("http://dx.doi.org/10.1111/j.1442-9993.2007.01711.x","http://dx.doi.org/10.1111/j.1442-9993.2007.01711.x")</f>
        <v>http://dx.doi.org/10.1111/j.1442-9993.2007.01711.x</v>
      </c>
      <c r="AM1439" s="5">
        <v>12</v>
      </c>
      <c r="AN1439" s="5">
        <v>12</v>
      </c>
      <c r="AO1439" s="5">
        <v>32</v>
      </c>
      <c r="AP1439" s="5">
        <v>4</v>
      </c>
      <c r="AQ1439" s="5">
        <v>397</v>
      </c>
      <c r="AR1439" s="5">
        <v>402</v>
      </c>
      <c r="AS1439" s="5" t="s">
        <v>16</v>
      </c>
      <c r="AT1439" s="5" t="s">
        <v>8636</v>
      </c>
      <c r="AU1439" s="5" t="s">
        <v>8637</v>
      </c>
      <c r="AV1439" s="5" t="s">
        <v>8639</v>
      </c>
    </row>
    <row r="1440" spans="1:48" ht="45" customHeight="1" x14ac:dyDescent="0.15">
      <c r="A1440" s="5" t="s">
        <v>8640</v>
      </c>
      <c r="B1440" s="5">
        <v>2014</v>
      </c>
      <c r="C1440" s="5" t="s">
        <v>8641</v>
      </c>
      <c r="D1440" s="5" t="s">
        <v>2087</v>
      </c>
      <c r="E1440" s="5" t="s">
        <v>18453</v>
      </c>
      <c r="F1440" s="5" t="s">
        <v>8644</v>
      </c>
      <c r="G1440" s="5"/>
      <c r="H1440" s="5"/>
      <c r="I1440" s="5"/>
      <c r="J1440" s="5"/>
      <c r="K1440" s="5"/>
      <c r="L1440" s="5"/>
      <c r="M1440" s="5"/>
      <c r="N1440" s="5"/>
      <c r="O1440" s="5"/>
      <c r="P1440" s="5"/>
      <c r="Q1440" s="5"/>
      <c r="AL1440" s="7" t="str">
        <f>HYPERLINK("http://dx.doi.org/10.1002/eco.1347","http://dx.doi.org/10.1002/eco.1347")</f>
        <v>http://dx.doi.org/10.1002/eco.1347</v>
      </c>
      <c r="AM1440" s="5">
        <v>64</v>
      </c>
      <c r="AN1440" s="5">
        <v>68</v>
      </c>
      <c r="AO1440" s="5">
        <v>7</v>
      </c>
      <c r="AP1440" s="5">
        <v>2</v>
      </c>
      <c r="AQ1440" s="5">
        <v>319</v>
      </c>
      <c r="AR1440" s="5">
        <v>333</v>
      </c>
      <c r="AS1440" s="5" t="s">
        <v>16</v>
      </c>
      <c r="AT1440" s="5" t="s">
        <v>8642</v>
      </c>
      <c r="AU1440" s="5" t="s">
        <v>8643</v>
      </c>
      <c r="AV1440" s="5" t="s">
        <v>8645</v>
      </c>
    </row>
    <row r="1441" spans="1:48" ht="45" customHeight="1" x14ac:dyDescent="0.15">
      <c r="A1441" s="5" t="s">
        <v>8646</v>
      </c>
      <c r="B1441" s="5">
        <v>2014</v>
      </c>
      <c r="C1441" s="5" t="s">
        <v>8647</v>
      </c>
      <c r="D1441" s="5" t="s">
        <v>269</v>
      </c>
      <c r="E1441" s="5" t="s">
        <v>18453</v>
      </c>
      <c r="F1441" s="5" t="s">
        <v>8650</v>
      </c>
      <c r="G1441" s="5"/>
      <c r="H1441" s="5"/>
      <c r="I1441" s="5"/>
      <c r="J1441" s="5"/>
      <c r="K1441" s="5"/>
      <c r="L1441" s="5"/>
      <c r="M1441" s="5"/>
      <c r="N1441" s="5"/>
      <c r="O1441" s="5"/>
      <c r="P1441" s="5"/>
      <c r="Q1441" s="5"/>
      <c r="AL1441" s="7" t="str">
        <f>HYPERLINK("http://dx.doi.org/10.1080/14634988.2014.880639","http://dx.doi.org/10.1080/14634988.2014.880639")</f>
        <v>http://dx.doi.org/10.1080/14634988.2014.880639</v>
      </c>
      <c r="AM1441" s="5">
        <v>10</v>
      </c>
      <c r="AN1441" s="5">
        <v>13</v>
      </c>
      <c r="AO1441" s="5">
        <v>17</v>
      </c>
      <c r="AP1441" s="5">
        <v>1</v>
      </c>
      <c r="AQ1441" s="5">
        <v>62</v>
      </c>
      <c r="AR1441" s="5">
        <v>69</v>
      </c>
      <c r="AS1441" s="5" t="s">
        <v>16</v>
      </c>
      <c r="AT1441" s="5" t="s">
        <v>8648</v>
      </c>
      <c r="AU1441" s="5" t="s">
        <v>8649</v>
      </c>
      <c r="AV1441" s="5" t="s">
        <v>8651</v>
      </c>
    </row>
    <row r="1442" spans="1:48" ht="45" customHeight="1" x14ac:dyDescent="0.15">
      <c r="A1442" s="5" t="s">
        <v>8652</v>
      </c>
      <c r="B1442" s="5">
        <v>2016</v>
      </c>
      <c r="C1442" s="5" t="s">
        <v>8653</v>
      </c>
      <c r="D1442" s="5" t="s">
        <v>116</v>
      </c>
      <c r="E1442" s="5" t="s">
        <v>18453</v>
      </c>
      <c r="F1442" s="5" t="s">
        <v>8656</v>
      </c>
      <c r="G1442" s="5"/>
      <c r="H1442" s="5"/>
      <c r="I1442" s="5"/>
      <c r="J1442" s="5"/>
      <c r="K1442" s="5"/>
      <c r="L1442" s="5"/>
      <c r="M1442" s="5"/>
      <c r="N1442" s="5"/>
      <c r="O1442" s="5"/>
      <c r="P1442" s="5"/>
      <c r="Q1442" s="5"/>
      <c r="AL1442" s="7" t="str">
        <f>HYPERLINK("http://dx.doi.org/10.1007/s10641-016-0532-7","http://dx.doi.org/10.1007/s10641-016-0532-7")</f>
        <v>http://dx.doi.org/10.1007/s10641-016-0532-7</v>
      </c>
      <c r="AM1442" s="5">
        <v>13</v>
      </c>
      <c r="AN1442" s="5">
        <v>18</v>
      </c>
      <c r="AO1442" s="5">
        <v>99</v>
      </c>
      <c r="AP1442" s="5">
        <v>12</v>
      </c>
      <c r="AQ1442" s="5">
        <v>909</v>
      </c>
      <c r="AR1442" s="5">
        <v>923</v>
      </c>
      <c r="AS1442" s="5" t="s">
        <v>16</v>
      </c>
      <c r="AT1442" s="5" t="s">
        <v>8654</v>
      </c>
      <c r="AU1442" s="5" t="s">
        <v>8655</v>
      </c>
      <c r="AV1442" s="5" t="s">
        <v>8657</v>
      </c>
    </row>
    <row r="1443" spans="1:48" ht="45" customHeight="1" x14ac:dyDescent="0.15">
      <c r="A1443" s="5" t="s">
        <v>8658</v>
      </c>
      <c r="B1443" s="5">
        <v>2016</v>
      </c>
      <c r="C1443" s="5" t="s">
        <v>8659</v>
      </c>
      <c r="D1443" s="5" t="s">
        <v>49</v>
      </c>
      <c r="E1443" s="5" t="s">
        <v>18453</v>
      </c>
      <c r="F1443" s="5" t="s">
        <v>8662</v>
      </c>
      <c r="G1443" s="5"/>
      <c r="H1443" s="5"/>
      <c r="I1443" s="5"/>
      <c r="J1443" s="5"/>
      <c r="K1443" s="5"/>
      <c r="L1443" s="5"/>
      <c r="M1443" s="5"/>
      <c r="N1443" s="5"/>
      <c r="O1443" s="5"/>
      <c r="P1443" s="5"/>
      <c r="Q1443" s="5"/>
      <c r="AL1443" s="7" t="str">
        <f>HYPERLINK("http://dx.doi.org/10.3354/meps11587","http://dx.doi.org/10.3354/meps11587")</f>
        <v>http://dx.doi.org/10.3354/meps11587</v>
      </c>
      <c r="AM1443" s="5">
        <v>15</v>
      </c>
      <c r="AN1443" s="5">
        <v>15</v>
      </c>
      <c r="AO1443" s="5">
        <v>544</v>
      </c>
      <c r="AP1443" s="5" t="s">
        <v>16</v>
      </c>
      <c r="AQ1443" s="5">
        <v>107</v>
      </c>
      <c r="AR1443" s="5">
        <v>130</v>
      </c>
      <c r="AS1443" s="5" t="s">
        <v>16</v>
      </c>
      <c r="AT1443" s="5" t="s">
        <v>8660</v>
      </c>
      <c r="AU1443" s="5" t="s">
        <v>8661</v>
      </c>
      <c r="AV1443" s="5" t="s">
        <v>8663</v>
      </c>
    </row>
    <row r="1444" spans="1:48" ht="45" customHeight="1" x14ac:dyDescent="0.15">
      <c r="A1444" s="5" t="s">
        <v>8664</v>
      </c>
      <c r="B1444" s="5">
        <v>2021</v>
      </c>
      <c r="C1444" s="5" t="s">
        <v>8665</v>
      </c>
      <c r="D1444" s="5" t="s">
        <v>942</v>
      </c>
      <c r="E1444" s="5" t="s">
        <v>18453</v>
      </c>
      <c r="F1444" s="5" t="s">
        <v>8668</v>
      </c>
      <c r="G1444" s="5"/>
      <c r="H1444" s="5"/>
      <c r="I1444" s="5"/>
      <c r="J1444" s="5"/>
      <c r="K1444" s="5"/>
      <c r="L1444" s="5"/>
      <c r="M1444" s="5"/>
      <c r="N1444" s="5"/>
      <c r="O1444" s="5"/>
      <c r="P1444" s="5"/>
      <c r="Q1444" s="5"/>
      <c r="AL1444" s="7" t="str">
        <f>HYPERLINK("http://dx.doi.org/10.1016/j.rsma.2021.101974","http://dx.doi.org/10.1016/j.rsma.2021.101974")</f>
        <v>http://dx.doi.org/10.1016/j.rsma.2021.101974</v>
      </c>
      <c r="AM1444" s="5">
        <v>0</v>
      </c>
      <c r="AN1444" s="5">
        <v>0</v>
      </c>
      <c r="AO1444" s="5">
        <v>47</v>
      </c>
      <c r="AP1444" s="5" t="s">
        <v>16</v>
      </c>
      <c r="AQ1444" s="5" t="s">
        <v>16</v>
      </c>
      <c r="AR1444" s="5" t="s">
        <v>16</v>
      </c>
      <c r="AS1444" s="5">
        <v>101974</v>
      </c>
      <c r="AT1444" s="5" t="s">
        <v>8666</v>
      </c>
      <c r="AU1444" s="5" t="s">
        <v>8667</v>
      </c>
      <c r="AV1444" s="5" t="s">
        <v>8669</v>
      </c>
    </row>
    <row r="1445" spans="1:48" ht="45" customHeight="1" x14ac:dyDescent="0.15">
      <c r="A1445" s="5" t="s">
        <v>8670</v>
      </c>
      <c r="B1445" s="5">
        <v>2004</v>
      </c>
      <c r="C1445" s="5" t="s">
        <v>8671</v>
      </c>
      <c r="D1445" s="5" t="s">
        <v>2818</v>
      </c>
      <c r="E1445" s="5" t="s">
        <v>18453</v>
      </c>
      <c r="F1445" s="5" t="s">
        <v>8673</v>
      </c>
      <c r="G1445" s="5"/>
      <c r="H1445" s="5"/>
      <c r="I1445" s="5"/>
      <c r="J1445" s="5"/>
      <c r="K1445" s="5"/>
      <c r="L1445" s="5"/>
      <c r="M1445" s="5"/>
      <c r="N1445" s="5"/>
      <c r="O1445" s="5"/>
      <c r="P1445" s="5"/>
      <c r="Q1445" s="5"/>
      <c r="AL1445" s="7" t="str">
        <f>HYPERLINK("http://dx.doi.org/10.1071/WR02070","http://dx.doi.org/10.1071/WR02070")</f>
        <v>http://dx.doi.org/10.1071/WR02070</v>
      </c>
      <c r="AM1445" s="5">
        <v>17</v>
      </c>
      <c r="AN1445" s="5">
        <v>20</v>
      </c>
      <c r="AO1445" s="5">
        <v>31</v>
      </c>
      <c r="AP1445" s="5">
        <v>1</v>
      </c>
      <c r="AQ1445" s="5">
        <v>13</v>
      </c>
      <c r="AR1445" s="5">
        <v>18</v>
      </c>
      <c r="AS1445" s="5" t="s">
        <v>16</v>
      </c>
      <c r="AT1445" s="5" t="s">
        <v>16</v>
      </c>
      <c r="AU1445" s="5" t="s">
        <v>8672</v>
      </c>
      <c r="AV1445" s="5" t="s">
        <v>8674</v>
      </c>
    </row>
    <row r="1446" spans="1:48" ht="45" customHeight="1" x14ac:dyDescent="0.15">
      <c r="A1446" s="5" t="s">
        <v>8675</v>
      </c>
      <c r="B1446" s="5">
        <v>2022</v>
      </c>
      <c r="C1446" s="5" t="s">
        <v>8676</v>
      </c>
      <c r="D1446" s="5" t="s">
        <v>82</v>
      </c>
      <c r="E1446" s="5" t="s">
        <v>18453</v>
      </c>
      <c r="F1446" s="5" t="s">
        <v>8679</v>
      </c>
      <c r="G1446" s="5"/>
      <c r="H1446" s="5"/>
      <c r="I1446" s="5"/>
      <c r="J1446" s="5"/>
      <c r="K1446" s="5"/>
      <c r="L1446" s="5"/>
      <c r="M1446" s="5"/>
      <c r="N1446" s="5"/>
      <c r="O1446" s="5"/>
      <c r="P1446" s="5"/>
      <c r="Q1446" s="5"/>
      <c r="AL1446" s="7" t="str">
        <f>HYPERLINK("http://dx.doi.org/10.1002/eap.2513","http://dx.doi.org/10.1002/eap.2513")</f>
        <v>http://dx.doi.org/10.1002/eap.2513</v>
      </c>
      <c r="AM1446" s="5">
        <v>4</v>
      </c>
      <c r="AN1446" s="5">
        <v>4</v>
      </c>
      <c r="AO1446" s="5">
        <v>32</v>
      </c>
      <c r="AP1446" s="5">
        <v>2</v>
      </c>
      <c r="AQ1446" s="5" t="s">
        <v>16</v>
      </c>
      <c r="AR1446" s="5" t="s">
        <v>16</v>
      </c>
      <c r="AS1446" s="5" t="s">
        <v>8680</v>
      </c>
      <c r="AT1446" s="5" t="s">
        <v>8677</v>
      </c>
      <c r="AU1446" s="5" t="s">
        <v>8678</v>
      </c>
      <c r="AV1446" s="5" t="s">
        <v>8681</v>
      </c>
    </row>
    <row r="1447" spans="1:48" ht="45" customHeight="1" x14ac:dyDescent="0.15">
      <c r="A1447" s="5" t="s">
        <v>8682</v>
      </c>
      <c r="B1447" s="5">
        <v>2017</v>
      </c>
      <c r="C1447" s="5" t="s">
        <v>8683</v>
      </c>
      <c r="D1447" s="5" t="s">
        <v>2087</v>
      </c>
      <c r="E1447" s="5" t="s">
        <v>18453</v>
      </c>
      <c r="F1447" s="5" t="s">
        <v>8686</v>
      </c>
      <c r="G1447" s="5"/>
      <c r="H1447" s="5"/>
      <c r="I1447" s="5"/>
      <c r="J1447" s="5"/>
      <c r="K1447" s="5"/>
      <c r="L1447" s="5"/>
      <c r="M1447" s="5"/>
      <c r="N1447" s="5"/>
      <c r="O1447" s="5"/>
      <c r="P1447" s="5"/>
      <c r="Q1447" s="5"/>
      <c r="AL1447" s="7" t="str">
        <f>HYPERLINK("http://dx.doi.org/10.1002/eco.1791","http://dx.doi.org/10.1002/eco.1791")</f>
        <v>http://dx.doi.org/10.1002/eco.1791</v>
      </c>
      <c r="AM1447" s="5">
        <v>5</v>
      </c>
      <c r="AN1447" s="5">
        <v>6</v>
      </c>
      <c r="AO1447" s="5">
        <v>10</v>
      </c>
      <c r="AP1447" s="5">
        <v>1</v>
      </c>
      <c r="AQ1447" s="5" t="s">
        <v>16</v>
      </c>
      <c r="AR1447" s="5" t="s">
        <v>16</v>
      </c>
      <c r="AS1447" s="5" t="s">
        <v>8687</v>
      </c>
      <c r="AT1447" s="5" t="s">
        <v>8684</v>
      </c>
      <c r="AU1447" s="5" t="s">
        <v>8685</v>
      </c>
      <c r="AV1447" s="5" t="s">
        <v>8688</v>
      </c>
    </row>
    <row r="1448" spans="1:48" ht="45" customHeight="1" x14ac:dyDescent="0.15">
      <c r="A1448" s="5" t="s">
        <v>8689</v>
      </c>
      <c r="B1448" s="5">
        <v>2013</v>
      </c>
      <c r="C1448" s="5" t="s">
        <v>8690</v>
      </c>
      <c r="D1448" s="5" t="s">
        <v>57</v>
      </c>
      <c r="E1448" s="5" t="s">
        <v>18453</v>
      </c>
      <c r="F1448" s="5" t="s">
        <v>8693</v>
      </c>
      <c r="G1448" s="5"/>
      <c r="H1448" s="5"/>
      <c r="I1448" s="5"/>
      <c r="J1448" s="5"/>
      <c r="K1448" s="5"/>
      <c r="L1448" s="5"/>
      <c r="M1448" s="5"/>
      <c r="N1448" s="5"/>
      <c r="O1448" s="5"/>
      <c r="P1448" s="5"/>
      <c r="Q1448" s="5"/>
      <c r="AL1448" s="7" t="str">
        <f>HYPERLINK("http://dx.doi.org/10.1098/rsbl.2012.0890","http://dx.doi.org/10.1098/rsbl.2012.0890")</f>
        <v>http://dx.doi.org/10.1098/rsbl.2012.0890</v>
      </c>
      <c r="AM1448" s="5">
        <v>42</v>
      </c>
      <c r="AN1448" s="5">
        <v>42</v>
      </c>
      <c r="AO1448" s="5">
        <v>9</v>
      </c>
      <c r="AP1448" s="5">
        <v>1</v>
      </c>
      <c r="AQ1448" s="5" t="s">
        <v>16</v>
      </c>
      <c r="AR1448" s="5" t="s">
        <v>16</v>
      </c>
      <c r="AS1448" s="5">
        <v>20120890</v>
      </c>
      <c r="AT1448" s="5" t="s">
        <v>8691</v>
      </c>
      <c r="AU1448" s="5" t="s">
        <v>8692</v>
      </c>
      <c r="AV1448" s="5" t="s">
        <v>8694</v>
      </c>
    </row>
    <row r="1449" spans="1:48" ht="45" customHeight="1" x14ac:dyDescent="0.15">
      <c r="A1449" s="5" t="s">
        <v>8695</v>
      </c>
      <c r="B1449" s="5">
        <v>2015</v>
      </c>
      <c r="C1449" s="5" t="s">
        <v>8696</v>
      </c>
      <c r="D1449" s="5" t="s">
        <v>1059</v>
      </c>
      <c r="E1449" s="5" t="s">
        <v>18453</v>
      </c>
      <c r="F1449" s="5" t="s">
        <v>8699</v>
      </c>
      <c r="G1449" s="5"/>
      <c r="H1449" s="5"/>
      <c r="I1449" s="5"/>
      <c r="J1449" s="5"/>
      <c r="K1449" s="5"/>
      <c r="L1449" s="5"/>
      <c r="M1449" s="5"/>
      <c r="N1449" s="5"/>
      <c r="O1449" s="5"/>
      <c r="P1449" s="5"/>
      <c r="Q1449" s="5"/>
      <c r="AL1449" s="7" t="str">
        <f>HYPERLINK("http://dx.doi.org/10.3402/polar.v34.24295","http://dx.doi.org/10.3402/polar.v34.24295")</f>
        <v>http://dx.doi.org/10.3402/polar.v34.24295</v>
      </c>
      <c r="AM1449" s="5">
        <v>21</v>
      </c>
      <c r="AN1449" s="5">
        <v>22</v>
      </c>
      <c r="AO1449" s="5">
        <v>34</v>
      </c>
      <c r="AP1449" s="5" t="s">
        <v>16</v>
      </c>
      <c r="AQ1449" s="5" t="s">
        <v>16</v>
      </c>
      <c r="AR1449" s="5" t="s">
        <v>16</v>
      </c>
      <c r="AS1449" s="5">
        <v>24295</v>
      </c>
      <c r="AT1449" s="5" t="s">
        <v>8697</v>
      </c>
      <c r="AU1449" s="5" t="s">
        <v>8698</v>
      </c>
      <c r="AV1449" s="5" t="s">
        <v>8700</v>
      </c>
    </row>
    <row r="1450" spans="1:48" ht="45" customHeight="1" x14ac:dyDescent="0.15">
      <c r="A1450" s="5" t="s">
        <v>8701</v>
      </c>
      <c r="B1450" s="5">
        <v>2017</v>
      </c>
      <c r="C1450" s="5" t="s">
        <v>8702</v>
      </c>
      <c r="D1450" s="5" t="s">
        <v>6328</v>
      </c>
      <c r="E1450" s="5" t="s">
        <v>18453</v>
      </c>
      <c r="F1450" s="5" t="s">
        <v>8705</v>
      </c>
      <c r="G1450" s="5"/>
      <c r="H1450" s="5"/>
      <c r="I1450" s="5"/>
      <c r="J1450" s="5"/>
      <c r="K1450" s="5"/>
      <c r="L1450" s="5"/>
      <c r="M1450" s="5"/>
      <c r="N1450" s="5"/>
      <c r="O1450" s="5"/>
      <c r="P1450" s="5"/>
      <c r="Q1450" s="5"/>
      <c r="AL1450" s="7" t="str">
        <f>HYPERLINK("http://dx.doi.org/10.15666/aeer/1504_11011119","http://dx.doi.org/10.15666/aeer/1504_11011119")</f>
        <v>http://dx.doi.org/10.15666/aeer/1504_11011119</v>
      </c>
      <c r="AM1450" s="5">
        <v>1</v>
      </c>
      <c r="AN1450" s="5">
        <v>1</v>
      </c>
      <c r="AO1450" s="5">
        <v>15</v>
      </c>
      <c r="AP1450" s="5">
        <v>4</v>
      </c>
      <c r="AQ1450" s="5">
        <v>1101</v>
      </c>
      <c r="AR1450" s="5">
        <v>1119</v>
      </c>
      <c r="AS1450" s="5" t="s">
        <v>16</v>
      </c>
      <c r="AT1450" s="5" t="s">
        <v>8703</v>
      </c>
      <c r="AU1450" s="5" t="s">
        <v>8704</v>
      </c>
      <c r="AV1450" s="5" t="s">
        <v>8706</v>
      </c>
    </row>
    <row r="1451" spans="1:48" ht="45" customHeight="1" x14ac:dyDescent="0.15">
      <c r="A1451" s="5" t="s">
        <v>8707</v>
      </c>
      <c r="B1451" s="5">
        <v>2023</v>
      </c>
      <c r="C1451" s="5" t="s">
        <v>8708</v>
      </c>
      <c r="D1451" s="5" t="s">
        <v>2818</v>
      </c>
      <c r="E1451" s="5" t="s">
        <v>18453</v>
      </c>
      <c r="F1451" s="5" t="s">
        <v>8711</v>
      </c>
      <c r="G1451" s="5"/>
      <c r="H1451" s="5"/>
      <c r="I1451" s="5"/>
      <c r="J1451" s="5"/>
      <c r="K1451" s="5"/>
      <c r="L1451" s="5"/>
      <c r="M1451" s="5"/>
      <c r="N1451" s="5"/>
      <c r="O1451" s="5"/>
      <c r="P1451" s="5"/>
      <c r="Q1451" s="5"/>
      <c r="AL1451" s="7" t="str">
        <f>HYPERLINK("http://dx.doi.org/10.1071/WR22177","http://dx.doi.org/10.1071/WR22177")</f>
        <v>http://dx.doi.org/10.1071/WR22177</v>
      </c>
      <c r="AM1451" s="5">
        <v>0</v>
      </c>
      <c r="AN1451" s="5">
        <v>0</v>
      </c>
      <c r="AO1451" s="5" t="s">
        <v>16</v>
      </c>
      <c r="AP1451" s="5" t="s">
        <v>16</v>
      </c>
      <c r="AQ1451" s="5" t="s">
        <v>16</v>
      </c>
      <c r="AR1451" s="5" t="s">
        <v>16</v>
      </c>
      <c r="AS1451" s="5" t="s">
        <v>16</v>
      </c>
      <c r="AT1451" s="5" t="s">
        <v>8709</v>
      </c>
      <c r="AU1451" s="5" t="s">
        <v>8710</v>
      </c>
      <c r="AV1451" s="5" t="s">
        <v>8712</v>
      </c>
    </row>
    <row r="1452" spans="1:48" ht="45" customHeight="1" x14ac:dyDescent="0.15">
      <c r="A1452" s="5" t="s">
        <v>8713</v>
      </c>
      <c r="B1452" s="5">
        <v>2019</v>
      </c>
      <c r="C1452" s="5" t="s">
        <v>8714</v>
      </c>
      <c r="D1452" s="5" t="s">
        <v>1134</v>
      </c>
      <c r="E1452" s="5" t="s">
        <v>18453</v>
      </c>
      <c r="F1452" s="5" t="s">
        <v>8717</v>
      </c>
      <c r="G1452" s="5"/>
      <c r="H1452" s="5"/>
      <c r="I1452" s="5"/>
      <c r="J1452" s="5"/>
      <c r="K1452" s="5"/>
      <c r="L1452" s="5"/>
      <c r="M1452" s="5"/>
      <c r="N1452" s="5"/>
      <c r="O1452" s="5"/>
      <c r="P1452" s="5"/>
      <c r="Q1452" s="5"/>
      <c r="AL1452" s="7" t="str">
        <f>HYPERLINK("http://dx.doi.org/10.1080/17451000.2019.1596286","http://dx.doi.org/10.1080/17451000.2019.1596286")</f>
        <v>http://dx.doi.org/10.1080/17451000.2019.1596286</v>
      </c>
      <c r="AM1452" s="5">
        <v>9</v>
      </c>
      <c r="AN1452" s="5">
        <v>9</v>
      </c>
      <c r="AO1452" s="5">
        <v>15</v>
      </c>
      <c r="AP1452" s="5">
        <v>1</v>
      </c>
      <c r="AQ1452" s="5">
        <v>84</v>
      </c>
      <c r="AR1452" s="5">
        <v>96</v>
      </c>
      <c r="AS1452" s="5" t="s">
        <v>16</v>
      </c>
      <c r="AT1452" s="5" t="s">
        <v>8715</v>
      </c>
      <c r="AU1452" s="5" t="s">
        <v>8716</v>
      </c>
      <c r="AV1452" s="5" t="s">
        <v>8718</v>
      </c>
    </row>
    <row r="1453" spans="1:48" ht="45" customHeight="1" x14ac:dyDescent="0.15">
      <c r="A1453" s="5" t="s">
        <v>8719</v>
      </c>
      <c r="B1453" s="5">
        <v>2022</v>
      </c>
      <c r="C1453" s="5" t="s">
        <v>8720</v>
      </c>
      <c r="D1453" s="5" t="s">
        <v>33</v>
      </c>
      <c r="E1453" s="5" t="s">
        <v>18453</v>
      </c>
      <c r="F1453" s="5" t="s">
        <v>8723</v>
      </c>
      <c r="G1453" s="5"/>
      <c r="H1453" s="5"/>
      <c r="I1453" s="5"/>
      <c r="J1453" s="5"/>
      <c r="K1453" s="5"/>
      <c r="L1453" s="5"/>
      <c r="M1453" s="5"/>
      <c r="N1453" s="5"/>
      <c r="O1453" s="5"/>
      <c r="P1453" s="5"/>
      <c r="Q1453" s="5"/>
      <c r="AL1453" s="7" t="str">
        <f>HYPERLINK("http://dx.doi.org/10.1111/gcb.16522","http://dx.doi.org/10.1111/gcb.16522")</f>
        <v>http://dx.doi.org/10.1111/gcb.16522</v>
      </c>
      <c r="AM1453" s="5">
        <v>1</v>
      </c>
      <c r="AN1453" s="5">
        <v>1</v>
      </c>
      <c r="AO1453" s="5" t="s">
        <v>16</v>
      </c>
      <c r="AP1453" s="5" t="s">
        <v>16</v>
      </c>
      <c r="AQ1453" s="5" t="s">
        <v>16</v>
      </c>
      <c r="AR1453" s="5" t="s">
        <v>16</v>
      </c>
      <c r="AS1453" s="5" t="s">
        <v>16</v>
      </c>
      <c r="AT1453" s="5" t="s">
        <v>8721</v>
      </c>
      <c r="AU1453" s="5" t="s">
        <v>8722</v>
      </c>
      <c r="AV1453" s="5" t="s">
        <v>8724</v>
      </c>
    </row>
    <row r="1454" spans="1:48" ht="45" customHeight="1" x14ac:dyDescent="0.15">
      <c r="A1454" s="5" t="s">
        <v>8725</v>
      </c>
      <c r="B1454" s="5">
        <v>2020</v>
      </c>
      <c r="C1454" s="5" t="s">
        <v>8726</v>
      </c>
      <c r="D1454" s="5" t="s">
        <v>212</v>
      </c>
      <c r="E1454" s="5" t="s">
        <v>18453</v>
      </c>
      <c r="F1454" s="5" t="s">
        <v>8729</v>
      </c>
      <c r="G1454" s="5"/>
      <c r="H1454" s="5"/>
      <c r="I1454" s="5"/>
      <c r="J1454" s="5"/>
      <c r="K1454" s="5"/>
      <c r="L1454" s="5"/>
      <c r="M1454" s="5"/>
      <c r="N1454" s="5"/>
      <c r="O1454" s="5"/>
      <c r="P1454" s="5"/>
      <c r="Q1454" s="5"/>
      <c r="AL1454" s="7" t="str">
        <f>HYPERLINK("http://dx.doi.org/10.1007/s00300-020-02728-w","http://dx.doi.org/10.1007/s00300-020-02728-w")</f>
        <v>http://dx.doi.org/10.1007/s00300-020-02728-w</v>
      </c>
      <c r="AM1454" s="5">
        <v>0</v>
      </c>
      <c r="AN1454" s="5">
        <v>0</v>
      </c>
      <c r="AO1454" s="5">
        <v>43</v>
      </c>
      <c r="AP1454" s="5">
        <v>10</v>
      </c>
      <c r="AQ1454" s="5">
        <v>1571</v>
      </c>
      <c r="AR1454" s="5">
        <v>1582</v>
      </c>
      <c r="AS1454" s="5" t="s">
        <v>16</v>
      </c>
      <c r="AT1454" s="5" t="s">
        <v>8727</v>
      </c>
      <c r="AU1454" s="5" t="s">
        <v>8728</v>
      </c>
      <c r="AV1454" s="5" t="s">
        <v>8730</v>
      </c>
    </row>
    <row r="1455" spans="1:48" ht="45" customHeight="1" x14ac:dyDescent="0.15">
      <c r="A1455" s="5" t="s">
        <v>8731</v>
      </c>
      <c r="B1455" s="5">
        <v>2012</v>
      </c>
      <c r="C1455" s="5" t="s">
        <v>8732</v>
      </c>
      <c r="D1455" s="5" t="s">
        <v>18</v>
      </c>
      <c r="E1455" s="5" t="s">
        <v>18453</v>
      </c>
      <c r="F1455" s="5" t="s">
        <v>8735</v>
      </c>
      <c r="G1455" s="5"/>
      <c r="H1455" s="5"/>
      <c r="I1455" s="5"/>
      <c r="J1455" s="5"/>
      <c r="K1455" s="5"/>
      <c r="L1455" s="5"/>
      <c r="M1455" s="5"/>
      <c r="N1455" s="5"/>
      <c r="O1455" s="5"/>
      <c r="P1455" s="5"/>
      <c r="Q1455" s="5"/>
      <c r="AL1455" s="7" t="str">
        <f>HYPERLINK("http://dx.doi.org/10.1890/ES11-00338.1","http://dx.doi.org/10.1890/ES11-00338.1")</f>
        <v>http://dx.doi.org/10.1890/ES11-00338.1</v>
      </c>
      <c r="AM1455" s="5">
        <v>50</v>
      </c>
      <c r="AN1455" s="5">
        <v>51</v>
      </c>
      <c r="AO1455" s="5">
        <v>3</v>
      </c>
      <c r="AP1455" s="5">
        <v>5</v>
      </c>
      <c r="AQ1455" s="5" t="s">
        <v>16</v>
      </c>
      <c r="AR1455" s="5" t="s">
        <v>16</v>
      </c>
      <c r="AS1455" s="5">
        <v>39</v>
      </c>
      <c r="AT1455" s="5" t="s">
        <v>8733</v>
      </c>
      <c r="AU1455" s="5" t="s">
        <v>8734</v>
      </c>
      <c r="AV1455" s="5" t="s">
        <v>8736</v>
      </c>
    </row>
    <row r="1456" spans="1:48" ht="45" customHeight="1" x14ac:dyDescent="0.15">
      <c r="A1456" s="5" t="s">
        <v>8737</v>
      </c>
      <c r="B1456" s="5">
        <v>1997</v>
      </c>
      <c r="C1456" s="5" t="s">
        <v>8738</v>
      </c>
      <c r="D1456" s="5" t="s">
        <v>33</v>
      </c>
      <c r="E1456" s="5" t="s">
        <v>18453</v>
      </c>
      <c r="F1456" s="5" t="s">
        <v>8741</v>
      </c>
      <c r="G1456" s="5"/>
      <c r="H1456" s="5"/>
      <c r="I1456" s="5"/>
      <c r="J1456" s="5"/>
      <c r="K1456" s="5"/>
      <c r="L1456" s="5"/>
      <c r="M1456" s="5"/>
      <c r="N1456" s="5"/>
      <c r="O1456" s="5"/>
      <c r="P1456" s="5"/>
      <c r="Q1456" s="5"/>
      <c r="AL1456" s="7" t="str">
        <f>HYPERLINK("http://dx.doi.org/10.1046/j.1365-2486.1997.00107.x","http://dx.doi.org/10.1046/j.1365-2486.1997.00107.x")</f>
        <v>http://dx.doi.org/10.1046/j.1365-2486.1997.00107.x</v>
      </c>
      <c r="AM1456" s="5">
        <v>49</v>
      </c>
      <c r="AN1456" s="5">
        <v>52</v>
      </c>
      <c r="AO1456" s="5">
        <v>3</v>
      </c>
      <c r="AP1456" s="5">
        <v>5</v>
      </c>
      <c r="AQ1456" s="5">
        <v>411</v>
      </c>
      <c r="AR1456" s="5">
        <v>416</v>
      </c>
      <c r="AS1456" s="5" t="s">
        <v>16</v>
      </c>
      <c r="AT1456" s="5" t="s">
        <v>8739</v>
      </c>
      <c r="AU1456" s="5" t="s">
        <v>8740</v>
      </c>
      <c r="AV1456" s="5" t="s">
        <v>8742</v>
      </c>
    </row>
    <row r="1457" spans="1:48" ht="45" customHeight="1" x14ac:dyDescent="0.15">
      <c r="A1457" s="5" t="s">
        <v>8743</v>
      </c>
      <c r="B1457" s="5">
        <v>2022</v>
      </c>
      <c r="C1457" s="5" t="s">
        <v>8744</v>
      </c>
      <c r="D1457" s="5" t="s">
        <v>2087</v>
      </c>
      <c r="E1457" s="5" t="s">
        <v>18453</v>
      </c>
      <c r="F1457" s="5" t="s">
        <v>8747</v>
      </c>
      <c r="G1457" s="5"/>
      <c r="H1457" s="5"/>
      <c r="I1457" s="5"/>
      <c r="J1457" s="5"/>
      <c r="K1457" s="5"/>
      <c r="L1457" s="5"/>
      <c r="M1457" s="5"/>
      <c r="N1457" s="5"/>
      <c r="O1457" s="5"/>
      <c r="P1457" s="5"/>
      <c r="Q1457" s="5"/>
      <c r="AL1457" s="7" t="str">
        <f>HYPERLINK("http://dx.doi.org/10.1002/eco.2411","http://dx.doi.org/10.1002/eco.2411")</f>
        <v>http://dx.doi.org/10.1002/eco.2411</v>
      </c>
      <c r="AM1457" s="5">
        <v>1</v>
      </c>
      <c r="AN1457" s="5">
        <v>1</v>
      </c>
      <c r="AO1457" s="5">
        <v>15</v>
      </c>
      <c r="AP1457" s="5">
        <v>5</v>
      </c>
      <c r="AQ1457" s="5" t="s">
        <v>16</v>
      </c>
      <c r="AR1457" s="5" t="s">
        <v>16</v>
      </c>
      <c r="AS1457" s="5" t="s">
        <v>8748</v>
      </c>
      <c r="AT1457" s="5" t="s">
        <v>8745</v>
      </c>
      <c r="AU1457" s="5" t="s">
        <v>8746</v>
      </c>
      <c r="AV1457" s="5" t="s">
        <v>8749</v>
      </c>
    </row>
    <row r="1458" spans="1:48" ht="45" customHeight="1" x14ac:dyDescent="0.15">
      <c r="A1458" s="5" t="s">
        <v>8750</v>
      </c>
      <c r="B1458" s="5">
        <v>2023</v>
      </c>
      <c r="C1458" s="5" t="s">
        <v>8751</v>
      </c>
      <c r="D1458" s="5" t="s">
        <v>116</v>
      </c>
      <c r="E1458" s="5" t="s">
        <v>18453</v>
      </c>
      <c r="F1458" s="5" t="s">
        <v>8754</v>
      </c>
      <c r="G1458" s="5"/>
      <c r="H1458" s="5"/>
      <c r="I1458" s="5"/>
      <c r="J1458" s="5"/>
      <c r="K1458" s="5"/>
      <c r="L1458" s="5"/>
      <c r="M1458" s="5"/>
      <c r="N1458" s="5"/>
      <c r="O1458" s="5"/>
      <c r="P1458" s="5"/>
      <c r="Q1458" s="5"/>
      <c r="AL1458" s="7" t="str">
        <f>HYPERLINK("http://dx.doi.org/10.1007/s10641-023-01398-x","http://dx.doi.org/10.1007/s10641-023-01398-x")</f>
        <v>http://dx.doi.org/10.1007/s10641-023-01398-x</v>
      </c>
      <c r="AM1458" s="5">
        <v>0</v>
      </c>
      <c r="AN1458" s="5">
        <v>0</v>
      </c>
      <c r="AO1458" s="5">
        <v>106</v>
      </c>
      <c r="AP1458" s="5">
        <v>4</v>
      </c>
      <c r="AQ1458" s="5">
        <v>613</v>
      </c>
      <c r="AR1458" s="5">
        <v>625</v>
      </c>
      <c r="AS1458" s="5" t="s">
        <v>16</v>
      </c>
      <c r="AT1458" s="5" t="s">
        <v>8752</v>
      </c>
      <c r="AU1458" s="5" t="s">
        <v>8753</v>
      </c>
      <c r="AV1458" s="5" t="s">
        <v>8755</v>
      </c>
    </row>
    <row r="1459" spans="1:48" ht="45" customHeight="1" x14ac:dyDescent="0.15">
      <c r="A1459" s="5" t="s">
        <v>8756</v>
      </c>
      <c r="B1459" s="5">
        <v>1995</v>
      </c>
      <c r="C1459" s="5" t="s">
        <v>8757</v>
      </c>
      <c r="D1459" s="5" t="s">
        <v>1531</v>
      </c>
      <c r="E1459" s="5" t="s">
        <v>18453</v>
      </c>
      <c r="F1459" s="5" t="s">
        <v>8759</v>
      </c>
      <c r="G1459" s="5"/>
      <c r="H1459" s="5"/>
      <c r="I1459" s="5"/>
      <c r="J1459" s="5"/>
      <c r="K1459" s="5"/>
      <c r="L1459" s="5"/>
      <c r="M1459" s="5"/>
      <c r="N1459" s="5"/>
      <c r="O1459" s="5"/>
      <c r="P1459" s="5"/>
      <c r="Q1459" s="5"/>
      <c r="AL1459" s="7" t="str">
        <f>HYPERLINK("http://dx.doi.org/10.2307/1467778","http://dx.doi.org/10.2307/1467778")</f>
        <v>http://dx.doi.org/10.2307/1467778</v>
      </c>
      <c r="AM1459" s="5">
        <v>79</v>
      </c>
      <c r="AN1459" s="5">
        <v>80</v>
      </c>
      <c r="AO1459" s="5">
        <v>14</v>
      </c>
      <c r="AP1459" s="5">
        <v>2</v>
      </c>
      <c r="AQ1459" s="5">
        <v>259</v>
      </c>
      <c r="AR1459" s="5">
        <v>268</v>
      </c>
      <c r="AS1459" s="5" t="s">
        <v>16</v>
      </c>
      <c r="AT1459" s="5" t="s">
        <v>8758</v>
      </c>
      <c r="AU1459" s="5" t="s">
        <v>16</v>
      </c>
      <c r="AV1459" s="5" t="s">
        <v>8760</v>
      </c>
    </row>
    <row r="1460" spans="1:48" ht="45" customHeight="1" x14ac:dyDescent="0.15">
      <c r="A1460" s="5" t="s">
        <v>8761</v>
      </c>
      <c r="B1460" s="5">
        <v>2017</v>
      </c>
      <c r="C1460" s="5" t="s">
        <v>8762</v>
      </c>
      <c r="D1460" s="5" t="s">
        <v>2087</v>
      </c>
      <c r="E1460" s="5" t="s">
        <v>18453</v>
      </c>
      <c r="F1460" s="5" t="s">
        <v>8765</v>
      </c>
      <c r="G1460" s="5"/>
      <c r="H1460" s="5"/>
      <c r="I1460" s="5"/>
      <c r="J1460" s="5"/>
      <c r="K1460" s="5"/>
      <c r="L1460" s="5"/>
      <c r="M1460" s="5"/>
      <c r="N1460" s="5"/>
      <c r="O1460" s="5"/>
      <c r="P1460" s="5"/>
      <c r="Q1460" s="5"/>
      <c r="AL1460" s="7" t="str">
        <f>HYPERLINK("http://dx.doi.org/10.1002/eco.1841","http://dx.doi.org/10.1002/eco.1841")</f>
        <v>http://dx.doi.org/10.1002/eco.1841</v>
      </c>
      <c r="AM1460" s="5">
        <v>68</v>
      </c>
      <c r="AN1460" s="5">
        <v>73</v>
      </c>
      <c r="AO1460" s="5">
        <v>10</v>
      </c>
      <c r="AP1460" s="5">
        <v>4</v>
      </c>
      <c r="AQ1460" s="5" t="s">
        <v>16</v>
      </c>
      <c r="AR1460" s="5" t="s">
        <v>16</v>
      </c>
      <c r="AS1460" s="5" t="s">
        <v>8766</v>
      </c>
      <c r="AT1460" s="5" t="s">
        <v>8763</v>
      </c>
      <c r="AU1460" s="5" t="s">
        <v>8764</v>
      </c>
      <c r="AV1460" s="5" t="s">
        <v>8767</v>
      </c>
    </row>
    <row r="1461" spans="1:48" ht="45" customHeight="1" x14ac:dyDescent="0.15">
      <c r="A1461" s="5" t="s">
        <v>8768</v>
      </c>
      <c r="B1461" s="5">
        <v>2008</v>
      </c>
      <c r="C1461" s="5" t="s">
        <v>8769</v>
      </c>
      <c r="D1461" s="5" t="s">
        <v>8770</v>
      </c>
      <c r="E1461" s="5" t="s">
        <v>18453</v>
      </c>
      <c r="F1461" s="5" t="s">
        <v>8773</v>
      </c>
      <c r="G1461" s="5"/>
      <c r="H1461" s="5"/>
      <c r="I1461" s="5"/>
      <c r="J1461" s="5"/>
      <c r="K1461" s="5"/>
      <c r="L1461" s="5"/>
      <c r="M1461" s="5"/>
      <c r="N1461" s="5"/>
      <c r="O1461" s="5"/>
      <c r="P1461" s="5"/>
      <c r="Q1461" s="5"/>
      <c r="AL1461" s="5" t="s">
        <v>16</v>
      </c>
      <c r="AM1461" s="5">
        <v>25</v>
      </c>
      <c r="AN1461" s="5">
        <v>25</v>
      </c>
      <c r="AO1461" s="5">
        <v>81</v>
      </c>
      <c r="AP1461" s="5">
        <v>4</v>
      </c>
      <c r="AQ1461" s="5">
        <v>575</v>
      </c>
      <c r="AR1461" s="5">
        <v>584</v>
      </c>
      <c r="AS1461" s="5" t="s">
        <v>16</v>
      </c>
      <c r="AT1461" s="5" t="s">
        <v>8771</v>
      </c>
      <c r="AU1461" s="5" t="s">
        <v>8772</v>
      </c>
      <c r="AV1461" s="5" t="s">
        <v>16</v>
      </c>
    </row>
    <row r="1462" spans="1:48" ht="45" customHeight="1" x14ac:dyDescent="0.15">
      <c r="A1462" s="5" t="s">
        <v>8774</v>
      </c>
      <c r="B1462" s="5">
        <v>2011</v>
      </c>
      <c r="C1462" s="5" t="s">
        <v>8775</v>
      </c>
      <c r="D1462" s="5" t="s">
        <v>145</v>
      </c>
      <c r="E1462" s="5" t="s">
        <v>18453</v>
      </c>
      <c r="F1462" s="5" t="s">
        <v>8778</v>
      </c>
      <c r="G1462" s="5"/>
      <c r="H1462" s="5"/>
      <c r="I1462" s="5"/>
      <c r="J1462" s="5"/>
      <c r="K1462" s="5"/>
      <c r="L1462" s="5"/>
      <c r="M1462" s="5"/>
      <c r="N1462" s="5"/>
      <c r="O1462" s="5"/>
      <c r="P1462" s="5"/>
      <c r="Q1462" s="5"/>
      <c r="AL1462" s="7" t="str">
        <f>HYPERLINK("http://dx.doi.org/10.1007/s12080-010-0078-9","http://dx.doi.org/10.1007/s12080-010-0078-9")</f>
        <v>http://dx.doi.org/10.1007/s12080-010-0078-9</v>
      </c>
      <c r="AM1462" s="5">
        <v>73</v>
      </c>
      <c r="AN1462" s="5">
        <v>74</v>
      </c>
      <c r="AO1462" s="5">
        <v>4</v>
      </c>
      <c r="AP1462" s="5">
        <v>3</v>
      </c>
      <c r="AQ1462" s="5">
        <v>289</v>
      </c>
      <c r="AR1462" s="5">
        <v>300</v>
      </c>
      <c r="AS1462" s="5" t="s">
        <v>16</v>
      </c>
      <c r="AT1462" s="5" t="s">
        <v>8776</v>
      </c>
      <c r="AU1462" s="5" t="s">
        <v>8777</v>
      </c>
      <c r="AV1462" s="5" t="s">
        <v>8779</v>
      </c>
    </row>
    <row r="1463" spans="1:48" ht="45" customHeight="1" x14ac:dyDescent="0.15">
      <c r="A1463" s="5" t="s">
        <v>8780</v>
      </c>
      <c r="B1463" s="5">
        <v>2014</v>
      </c>
      <c r="C1463" s="5" t="s">
        <v>8781</v>
      </c>
      <c r="D1463" s="5" t="s">
        <v>189</v>
      </c>
      <c r="E1463" s="5" t="s">
        <v>18453</v>
      </c>
      <c r="F1463" s="5" t="s">
        <v>8783</v>
      </c>
      <c r="G1463" s="5"/>
      <c r="H1463" s="5"/>
      <c r="I1463" s="5"/>
      <c r="J1463" s="5"/>
      <c r="K1463" s="5"/>
      <c r="L1463" s="5"/>
      <c r="M1463" s="5"/>
      <c r="N1463" s="5"/>
      <c r="O1463" s="5"/>
      <c r="P1463" s="5"/>
      <c r="Q1463" s="5"/>
      <c r="AL1463" s="7" t="str">
        <f>HYPERLINK("http://dx.doi.org/10.1111/j.1600-0587.2013.00413.x","http://dx.doi.org/10.1111/j.1600-0587.2013.00413.x")</f>
        <v>http://dx.doi.org/10.1111/j.1600-0587.2013.00413.x</v>
      </c>
      <c r="AM1463" s="5">
        <v>39</v>
      </c>
      <c r="AN1463" s="5">
        <v>42</v>
      </c>
      <c r="AO1463" s="5">
        <v>37</v>
      </c>
      <c r="AP1463" s="5">
        <v>4</v>
      </c>
      <c r="AQ1463" s="5">
        <v>336</v>
      </c>
      <c r="AR1463" s="5">
        <v>343</v>
      </c>
      <c r="AS1463" s="5" t="s">
        <v>16</v>
      </c>
      <c r="AT1463" s="5" t="s">
        <v>16</v>
      </c>
      <c r="AU1463" s="5" t="s">
        <v>8782</v>
      </c>
      <c r="AV1463" s="5" t="s">
        <v>8784</v>
      </c>
    </row>
    <row r="1464" spans="1:48" ht="45" customHeight="1" x14ac:dyDescent="0.15">
      <c r="A1464" s="5" t="s">
        <v>8785</v>
      </c>
      <c r="B1464" s="5">
        <v>2005</v>
      </c>
      <c r="C1464" s="5" t="s">
        <v>8786</v>
      </c>
      <c r="D1464" s="5" t="s">
        <v>17</v>
      </c>
      <c r="E1464" s="5" t="s">
        <v>18453</v>
      </c>
      <c r="F1464" s="5" t="s">
        <v>8789</v>
      </c>
      <c r="G1464" s="5"/>
      <c r="H1464" s="5"/>
      <c r="I1464" s="5"/>
      <c r="J1464" s="5"/>
      <c r="K1464" s="5"/>
      <c r="L1464" s="5"/>
      <c r="M1464" s="5"/>
      <c r="N1464" s="5"/>
      <c r="O1464" s="5"/>
      <c r="P1464" s="5"/>
      <c r="Q1464" s="5"/>
      <c r="AL1464" s="7" t="str">
        <f>HYPERLINK("http://dx.doi.org/10.1111/j.1365-2427.2005.01387.x","http://dx.doi.org/10.1111/j.1365-2427.2005.01387.x")</f>
        <v>http://dx.doi.org/10.1111/j.1365-2427.2005.01387.x</v>
      </c>
      <c r="AM1464" s="5">
        <v>160</v>
      </c>
      <c r="AN1464" s="5">
        <v>161</v>
      </c>
      <c r="AO1464" s="5">
        <v>50</v>
      </c>
      <c r="AP1464" s="5">
        <v>7</v>
      </c>
      <c r="AQ1464" s="5">
        <v>1117</v>
      </c>
      <c r="AR1464" s="5">
        <v>1130</v>
      </c>
      <c r="AS1464" s="5" t="s">
        <v>16</v>
      </c>
      <c r="AT1464" s="5" t="s">
        <v>8787</v>
      </c>
      <c r="AU1464" s="5" t="s">
        <v>8788</v>
      </c>
      <c r="AV1464" s="5" t="s">
        <v>8790</v>
      </c>
    </row>
    <row r="1465" spans="1:48" ht="45" customHeight="1" x14ac:dyDescent="0.15">
      <c r="A1465" s="5" t="s">
        <v>8791</v>
      </c>
      <c r="B1465" s="5">
        <v>2021</v>
      </c>
      <c r="C1465" s="5" t="s">
        <v>8792</v>
      </c>
      <c r="D1465" s="5" t="s">
        <v>33</v>
      </c>
      <c r="E1465" s="5" t="s">
        <v>18453</v>
      </c>
      <c r="F1465" s="5" t="s">
        <v>8795</v>
      </c>
      <c r="G1465" s="5"/>
      <c r="H1465" s="5"/>
      <c r="I1465" s="5"/>
      <c r="J1465" s="5"/>
      <c r="K1465" s="5"/>
      <c r="L1465" s="5"/>
      <c r="M1465" s="5"/>
      <c r="N1465" s="5"/>
      <c r="O1465" s="5"/>
      <c r="P1465" s="5"/>
      <c r="Q1465" s="5"/>
      <c r="AL1465" s="7" t="str">
        <f>HYPERLINK("http://dx.doi.org/10.1111/gcb.15439","http://dx.doi.org/10.1111/gcb.15439")</f>
        <v>http://dx.doi.org/10.1111/gcb.15439</v>
      </c>
      <c r="AM1465" s="5">
        <v>29</v>
      </c>
      <c r="AN1465" s="5">
        <v>29</v>
      </c>
      <c r="AO1465" s="5">
        <v>27</v>
      </c>
      <c r="AP1465" s="5">
        <v>5</v>
      </c>
      <c r="AQ1465" s="5">
        <v>1068</v>
      </c>
      <c r="AR1465" s="5">
        <v>1082</v>
      </c>
      <c r="AS1465" s="5" t="s">
        <v>16</v>
      </c>
      <c r="AT1465" s="5" t="s">
        <v>8793</v>
      </c>
      <c r="AU1465" s="5" t="s">
        <v>8794</v>
      </c>
      <c r="AV1465" s="5" t="s">
        <v>8796</v>
      </c>
    </row>
    <row r="1466" spans="1:48" ht="45" customHeight="1" x14ac:dyDescent="0.15">
      <c r="A1466" s="5" t="s">
        <v>8797</v>
      </c>
      <c r="B1466" s="5">
        <v>2017</v>
      </c>
      <c r="C1466" s="5" t="s">
        <v>8798</v>
      </c>
      <c r="D1466" s="5" t="s">
        <v>295</v>
      </c>
      <c r="E1466" s="5" t="s">
        <v>18453</v>
      </c>
      <c r="F1466" s="5" t="s">
        <v>8801</v>
      </c>
      <c r="G1466" s="5"/>
      <c r="H1466" s="5"/>
      <c r="I1466" s="5"/>
      <c r="J1466" s="5"/>
      <c r="K1466" s="5"/>
      <c r="L1466" s="5"/>
      <c r="M1466" s="5"/>
      <c r="N1466" s="5"/>
      <c r="O1466" s="5"/>
      <c r="P1466" s="5"/>
      <c r="Q1466" s="5"/>
      <c r="AL1466" s="7" t="str">
        <f>HYPERLINK("http://dx.doi.org/10.1016/j.jembe.2016.10.031","http://dx.doi.org/10.1016/j.jembe.2016.10.031")</f>
        <v>http://dx.doi.org/10.1016/j.jembe.2016.10.031</v>
      </c>
      <c r="AM1466" s="5">
        <v>16</v>
      </c>
      <c r="AN1466" s="5">
        <v>16</v>
      </c>
      <c r="AO1466" s="5">
        <v>486</v>
      </c>
      <c r="AP1466" s="5" t="s">
        <v>16</v>
      </c>
      <c r="AQ1466" s="5">
        <v>358</v>
      </c>
      <c r="AR1466" s="5">
        <v>367</v>
      </c>
      <c r="AS1466" s="5" t="s">
        <v>16</v>
      </c>
      <c r="AT1466" s="5" t="s">
        <v>8799</v>
      </c>
      <c r="AU1466" s="5" t="s">
        <v>8800</v>
      </c>
      <c r="AV1466" s="5" t="s">
        <v>8802</v>
      </c>
    </row>
    <row r="1467" spans="1:48" ht="45" customHeight="1" x14ac:dyDescent="0.15">
      <c r="A1467" s="5" t="s">
        <v>8803</v>
      </c>
      <c r="B1467" s="5">
        <v>2016</v>
      </c>
      <c r="C1467" s="5" t="s">
        <v>8804</v>
      </c>
      <c r="D1467" s="5" t="s">
        <v>49</v>
      </c>
      <c r="E1467" s="5" t="s">
        <v>18453</v>
      </c>
      <c r="F1467" s="5" t="s">
        <v>8807</v>
      </c>
      <c r="G1467" s="5"/>
      <c r="H1467" s="5"/>
      <c r="I1467" s="5"/>
      <c r="J1467" s="5"/>
      <c r="K1467" s="5"/>
      <c r="L1467" s="5"/>
      <c r="M1467" s="5"/>
      <c r="N1467" s="5"/>
      <c r="O1467" s="5"/>
      <c r="P1467" s="5"/>
      <c r="Q1467" s="5"/>
      <c r="AL1467" s="7" t="str">
        <f>HYPERLINK("http://dx.doi.org/10.3354/meps11872","http://dx.doi.org/10.3354/meps11872")</f>
        <v>http://dx.doi.org/10.3354/meps11872</v>
      </c>
      <c r="AM1467" s="5">
        <v>13</v>
      </c>
      <c r="AN1467" s="5">
        <v>13</v>
      </c>
      <c r="AO1467" s="5">
        <v>558</v>
      </c>
      <c r="AP1467" s="5" t="s">
        <v>16</v>
      </c>
      <c r="AQ1467" s="5">
        <v>65</v>
      </c>
      <c r="AR1467" s="5">
        <v>79</v>
      </c>
      <c r="AS1467" s="5" t="s">
        <v>16</v>
      </c>
      <c r="AT1467" s="5" t="s">
        <v>8805</v>
      </c>
      <c r="AU1467" s="5" t="s">
        <v>8806</v>
      </c>
      <c r="AV1467" s="5" t="s">
        <v>8808</v>
      </c>
    </row>
    <row r="1468" spans="1:48" ht="45" customHeight="1" x14ac:dyDescent="0.15">
      <c r="A1468" s="5" t="s">
        <v>8809</v>
      </c>
      <c r="B1468" s="5">
        <v>2023</v>
      </c>
      <c r="C1468" s="5" t="s">
        <v>8810</v>
      </c>
      <c r="D1468" s="5" t="s">
        <v>2990</v>
      </c>
      <c r="E1468" s="5" t="s">
        <v>18453</v>
      </c>
      <c r="F1468" s="5" t="s">
        <v>8813</v>
      </c>
      <c r="G1468" s="5"/>
      <c r="H1468" s="5"/>
      <c r="I1468" s="5"/>
      <c r="J1468" s="5"/>
      <c r="K1468" s="5"/>
      <c r="L1468" s="5"/>
      <c r="M1468" s="5"/>
      <c r="N1468" s="5"/>
      <c r="O1468" s="5"/>
      <c r="P1468" s="5"/>
      <c r="Q1468" s="5"/>
      <c r="AL1468" s="7" t="str">
        <f>HYPERLINK("http://dx.doi.org/10.1111/rec.13960","http://dx.doi.org/10.1111/rec.13960")</f>
        <v>http://dx.doi.org/10.1111/rec.13960</v>
      </c>
      <c r="AM1468" s="5">
        <v>0</v>
      </c>
      <c r="AN1468" s="5">
        <v>0</v>
      </c>
      <c r="AO1468" s="5" t="s">
        <v>16</v>
      </c>
      <c r="AP1468" s="5" t="s">
        <v>16</v>
      </c>
      <c r="AQ1468" s="5" t="s">
        <v>16</v>
      </c>
      <c r="AR1468" s="5" t="s">
        <v>16</v>
      </c>
      <c r="AS1468" s="5" t="s">
        <v>16</v>
      </c>
      <c r="AT1468" s="5" t="s">
        <v>8811</v>
      </c>
      <c r="AU1468" s="5" t="s">
        <v>8812</v>
      </c>
      <c r="AV1468" s="5" t="s">
        <v>8814</v>
      </c>
    </row>
    <row r="1469" spans="1:48" ht="45" customHeight="1" x14ac:dyDescent="0.15">
      <c r="A1469" s="5" t="s">
        <v>8815</v>
      </c>
      <c r="B1469" s="5">
        <v>2016</v>
      </c>
      <c r="C1469" s="5" t="s">
        <v>8816</v>
      </c>
      <c r="D1469" s="5" t="s">
        <v>15</v>
      </c>
      <c r="E1469" s="5" t="s">
        <v>18453</v>
      </c>
      <c r="F1469" s="5" t="s">
        <v>8819</v>
      </c>
      <c r="G1469" s="5"/>
      <c r="H1469" s="5"/>
      <c r="I1469" s="5"/>
      <c r="J1469" s="5"/>
      <c r="K1469" s="5"/>
      <c r="L1469" s="5"/>
      <c r="M1469" s="5"/>
      <c r="N1469" s="5"/>
      <c r="O1469" s="5"/>
      <c r="P1469" s="5"/>
      <c r="Q1469" s="5"/>
      <c r="AL1469" s="7" t="str">
        <f>HYPERLINK("http://dx.doi.org/10.1002/ece3.2238","http://dx.doi.org/10.1002/ece3.2238")</f>
        <v>http://dx.doi.org/10.1002/ece3.2238</v>
      </c>
      <c r="AM1469" s="5">
        <v>11</v>
      </c>
      <c r="AN1469" s="5">
        <v>13</v>
      </c>
      <c r="AO1469" s="5">
        <v>6</v>
      </c>
      <c r="AP1469" s="5">
        <v>14</v>
      </c>
      <c r="AQ1469" s="5">
        <v>4643</v>
      </c>
      <c r="AR1469" s="5">
        <v>4653</v>
      </c>
      <c r="AS1469" s="5" t="s">
        <v>16</v>
      </c>
      <c r="AT1469" s="5" t="s">
        <v>8817</v>
      </c>
      <c r="AU1469" s="5" t="s">
        <v>8818</v>
      </c>
      <c r="AV1469" s="5" t="s">
        <v>8820</v>
      </c>
    </row>
    <row r="1470" spans="1:48" ht="45" customHeight="1" x14ac:dyDescent="0.15">
      <c r="A1470" s="5" t="s">
        <v>8821</v>
      </c>
      <c r="B1470" s="5">
        <v>2022</v>
      </c>
      <c r="C1470" s="5" t="s">
        <v>8822</v>
      </c>
      <c r="D1470" s="5" t="s">
        <v>8823</v>
      </c>
      <c r="E1470" s="5" t="s">
        <v>18453</v>
      </c>
      <c r="F1470" s="5" t="s">
        <v>8826</v>
      </c>
      <c r="G1470" s="5"/>
      <c r="H1470" s="5"/>
      <c r="I1470" s="5"/>
      <c r="J1470" s="5"/>
      <c r="K1470" s="5"/>
      <c r="L1470" s="5"/>
      <c r="M1470" s="5"/>
      <c r="N1470" s="5"/>
      <c r="O1470" s="5"/>
      <c r="P1470" s="5"/>
      <c r="Q1470" s="5"/>
      <c r="AL1470" s="7" t="str">
        <f>HYPERLINK("http://dx.doi.org/10.1635/053.167.0107","http://dx.doi.org/10.1635/053.167.0107")</f>
        <v>http://dx.doi.org/10.1635/053.167.0107</v>
      </c>
      <c r="AM1470" s="5">
        <v>2</v>
      </c>
      <c r="AN1470" s="5">
        <v>2</v>
      </c>
      <c r="AO1470" s="5">
        <v>167</v>
      </c>
      <c r="AP1470" s="5">
        <v>1</v>
      </c>
      <c r="AQ1470" s="5">
        <v>87</v>
      </c>
      <c r="AR1470" s="5">
        <v>103</v>
      </c>
      <c r="AS1470" s="5" t="s">
        <v>16</v>
      </c>
      <c r="AT1470" s="5" t="s">
        <v>8824</v>
      </c>
      <c r="AU1470" s="5" t="s">
        <v>8825</v>
      </c>
      <c r="AV1470" s="5" t="s">
        <v>8827</v>
      </c>
    </row>
    <row r="1471" spans="1:48" ht="45" customHeight="1" x14ac:dyDescent="0.15">
      <c r="A1471" s="5" t="s">
        <v>8828</v>
      </c>
      <c r="B1471" s="5">
        <v>2011</v>
      </c>
      <c r="C1471" s="5" t="s">
        <v>8829</v>
      </c>
      <c r="D1471" s="5" t="s">
        <v>160</v>
      </c>
      <c r="E1471" s="5" t="s">
        <v>18453</v>
      </c>
      <c r="F1471" s="5" t="s">
        <v>8832</v>
      </c>
      <c r="G1471" s="5"/>
      <c r="H1471" s="5"/>
      <c r="I1471" s="5"/>
      <c r="J1471" s="5"/>
      <c r="K1471" s="5"/>
      <c r="L1471" s="5"/>
      <c r="M1471" s="5"/>
      <c r="N1471" s="5"/>
      <c r="O1471" s="5"/>
      <c r="P1471" s="5"/>
      <c r="Q1471" s="5"/>
      <c r="AL1471" s="7" t="str">
        <f>HYPERLINK("http://dx.doi.org/10.1111/j.1365-2664.2010.01908.x","http://dx.doi.org/10.1111/j.1365-2664.2010.01908.x")</f>
        <v>http://dx.doi.org/10.1111/j.1365-2664.2010.01908.x</v>
      </c>
      <c r="AM1471" s="5">
        <v>44</v>
      </c>
      <c r="AN1471" s="5">
        <v>47</v>
      </c>
      <c r="AO1471" s="5">
        <v>48</v>
      </c>
      <c r="AP1471" s="5">
        <v>2</v>
      </c>
      <c r="AQ1471" s="5">
        <v>373</v>
      </c>
      <c r="AR1471" s="5">
        <v>381</v>
      </c>
      <c r="AS1471" s="5" t="s">
        <v>16</v>
      </c>
      <c r="AT1471" s="5" t="s">
        <v>8830</v>
      </c>
      <c r="AU1471" s="5" t="s">
        <v>8831</v>
      </c>
      <c r="AV1471" s="5" t="s">
        <v>8833</v>
      </c>
    </row>
    <row r="1472" spans="1:48" ht="45" customHeight="1" x14ac:dyDescent="0.15">
      <c r="A1472" s="5" t="s">
        <v>8834</v>
      </c>
      <c r="B1472" s="5">
        <v>2018</v>
      </c>
      <c r="C1472" s="5" t="s">
        <v>8835</v>
      </c>
      <c r="D1472" s="5" t="s">
        <v>17</v>
      </c>
      <c r="E1472" s="5" t="s">
        <v>18453</v>
      </c>
      <c r="F1472" s="5" t="s">
        <v>8838</v>
      </c>
      <c r="G1472" s="5"/>
      <c r="H1472" s="5"/>
      <c r="I1472" s="5"/>
      <c r="J1472" s="5"/>
      <c r="K1472" s="5"/>
      <c r="L1472" s="5"/>
      <c r="M1472" s="5"/>
      <c r="N1472" s="5"/>
      <c r="O1472" s="5"/>
      <c r="P1472" s="5"/>
      <c r="Q1472" s="5"/>
      <c r="AL1472" s="7" t="str">
        <f>HYPERLINK("http://dx.doi.org/10.1111/fwb.13129","http://dx.doi.org/10.1111/fwb.13129")</f>
        <v>http://dx.doi.org/10.1111/fwb.13129</v>
      </c>
      <c r="AM1472" s="5">
        <v>22</v>
      </c>
      <c r="AN1472" s="5">
        <v>22</v>
      </c>
      <c r="AO1472" s="5">
        <v>63</v>
      </c>
      <c r="AP1472" s="5">
        <v>10</v>
      </c>
      <c r="AQ1472" s="5">
        <v>1240</v>
      </c>
      <c r="AR1472" s="5">
        <v>1249</v>
      </c>
      <c r="AS1472" s="5" t="s">
        <v>16</v>
      </c>
      <c r="AT1472" s="5" t="s">
        <v>8836</v>
      </c>
      <c r="AU1472" s="5" t="s">
        <v>8837</v>
      </c>
      <c r="AV1472" s="5" t="s">
        <v>8839</v>
      </c>
    </row>
    <row r="1473" spans="1:48" ht="45" customHeight="1" x14ac:dyDescent="0.15">
      <c r="A1473" s="5" t="s">
        <v>8840</v>
      </c>
      <c r="B1473" s="5">
        <v>2016</v>
      </c>
      <c r="C1473" s="5" t="s">
        <v>8841</v>
      </c>
      <c r="D1473" s="5" t="s">
        <v>2087</v>
      </c>
      <c r="E1473" s="5" t="s">
        <v>18453</v>
      </c>
      <c r="F1473" s="5" t="s">
        <v>8844</v>
      </c>
      <c r="G1473" s="5"/>
      <c r="H1473" s="5"/>
      <c r="I1473" s="5"/>
      <c r="J1473" s="5"/>
      <c r="K1473" s="5"/>
      <c r="L1473" s="5"/>
      <c r="M1473" s="5"/>
      <c r="N1473" s="5"/>
      <c r="O1473" s="5"/>
      <c r="P1473" s="5"/>
      <c r="Q1473" s="5"/>
      <c r="AL1473" s="7" t="str">
        <f>HYPERLINK("http://dx.doi.org/10.1002/eco.1738","http://dx.doi.org/10.1002/eco.1738")</f>
        <v>http://dx.doi.org/10.1002/eco.1738</v>
      </c>
      <c r="AM1473" s="5">
        <v>14</v>
      </c>
      <c r="AN1473" s="5">
        <v>15</v>
      </c>
      <c r="AO1473" s="5">
        <v>9</v>
      </c>
      <c r="AP1473" s="5">
        <v>8</v>
      </c>
      <c r="AQ1473" s="5">
        <v>1452</v>
      </c>
      <c r="AR1473" s="5">
        <v>1463</v>
      </c>
      <c r="AS1473" s="5" t="s">
        <v>16</v>
      </c>
      <c r="AT1473" s="5" t="s">
        <v>8842</v>
      </c>
      <c r="AU1473" s="5" t="s">
        <v>8843</v>
      </c>
      <c r="AV1473" s="5" t="s">
        <v>8845</v>
      </c>
    </row>
    <row r="1474" spans="1:48" ht="45" customHeight="1" x14ac:dyDescent="0.15">
      <c r="A1474" s="5" t="s">
        <v>8846</v>
      </c>
      <c r="B1474" s="5">
        <v>2018</v>
      </c>
      <c r="C1474" s="5" t="s">
        <v>8847</v>
      </c>
      <c r="D1474" s="5" t="s">
        <v>15</v>
      </c>
      <c r="E1474" s="5" t="s">
        <v>18453</v>
      </c>
      <c r="F1474" s="5" t="s">
        <v>8850</v>
      </c>
      <c r="G1474" s="5"/>
      <c r="H1474" s="5"/>
      <c r="I1474" s="5"/>
      <c r="J1474" s="5"/>
      <c r="K1474" s="5"/>
      <c r="L1474" s="5"/>
      <c r="M1474" s="5"/>
      <c r="N1474" s="5"/>
      <c r="O1474" s="5"/>
      <c r="P1474" s="5"/>
      <c r="Q1474" s="5"/>
      <c r="AL1474" s="7" t="str">
        <f>HYPERLINK("http://dx.doi.org/10.1002/ece3.3720","http://dx.doi.org/10.1002/ece3.3720")</f>
        <v>http://dx.doi.org/10.1002/ece3.3720</v>
      </c>
      <c r="AM1474" s="5">
        <v>23</v>
      </c>
      <c r="AN1474" s="5">
        <v>23</v>
      </c>
      <c r="AO1474" s="5">
        <v>8</v>
      </c>
      <c r="AP1474" s="5">
        <v>2</v>
      </c>
      <c r="AQ1474" s="5">
        <v>1147</v>
      </c>
      <c r="AR1474" s="5">
        <v>1158</v>
      </c>
      <c r="AS1474" s="5" t="s">
        <v>16</v>
      </c>
      <c r="AT1474" s="5" t="s">
        <v>8848</v>
      </c>
      <c r="AU1474" s="5" t="s">
        <v>8849</v>
      </c>
      <c r="AV1474" s="5" t="s">
        <v>8851</v>
      </c>
    </row>
    <row r="1475" spans="1:48" ht="45" customHeight="1" x14ac:dyDescent="0.15">
      <c r="A1475" s="5" t="s">
        <v>8852</v>
      </c>
      <c r="B1475" s="5">
        <v>2020</v>
      </c>
      <c r="C1475" s="5" t="s">
        <v>8853</v>
      </c>
      <c r="D1475" s="5" t="s">
        <v>296</v>
      </c>
      <c r="E1475" s="5" t="s">
        <v>18453</v>
      </c>
      <c r="F1475" s="5" t="s">
        <v>8856</v>
      </c>
      <c r="G1475" s="5"/>
      <c r="H1475" s="5"/>
      <c r="I1475" s="5"/>
      <c r="J1475" s="5"/>
      <c r="K1475" s="5"/>
      <c r="L1475" s="5"/>
      <c r="M1475" s="5"/>
      <c r="N1475" s="5"/>
      <c r="O1475" s="5"/>
      <c r="P1475" s="5"/>
      <c r="Q1475" s="5"/>
      <c r="AL1475" s="7" t="str">
        <f>HYPERLINK("http://dx.doi.org/10.1098/rspb.2020.2126","http://dx.doi.org/10.1098/rspb.2020.2126")</f>
        <v>http://dx.doi.org/10.1098/rspb.2020.2126</v>
      </c>
      <c r="AM1475" s="5">
        <v>11</v>
      </c>
      <c r="AN1475" s="5">
        <v>11</v>
      </c>
      <c r="AO1475" s="5">
        <v>287</v>
      </c>
      <c r="AP1475" s="5">
        <v>1940</v>
      </c>
      <c r="AQ1475" s="5" t="s">
        <v>16</v>
      </c>
      <c r="AR1475" s="5" t="s">
        <v>16</v>
      </c>
      <c r="AS1475" s="5">
        <v>20202126</v>
      </c>
      <c r="AT1475" s="5" t="s">
        <v>8854</v>
      </c>
      <c r="AU1475" s="5" t="s">
        <v>8855</v>
      </c>
      <c r="AV1475" s="5" t="s">
        <v>8857</v>
      </c>
    </row>
    <row r="1476" spans="1:48" ht="45" customHeight="1" x14ac:dyDescent="0.15">
      <c r="A1476" s="5" t="s">
        <v>8858</v>
      </c>
      <c r="B1476" s="5">
        <v>2019</v>
      </c>
      <c r="C1476" s="5" t="s">
        <v>8859</v>
      </c>
      <c r="D1476" s="5" t="s">
        <v>270</v>
      </c>
      <c r="E1476" s="5" t="s">
        <v>18453</v>
      </c>
      <c r="F1476" s="5" t="s">
        <v>8862</v>
      </c>
      <c r="G1476" s="5"/>
      <c r="H1476" s="5"/>
      <c r="I1476" s="5"/>
      <c r="J1476" s="5"/>
      <c r="K1476" s="5"/>
      <c r="L1476" s="5"/>
      <c r="M1476" s="5"/>
      <c r="N1476" s="5"/>
      <c r="O1476" s="5"/>
      <c r="P1476" s="5"/>
      <c r="Q1476" s="5"/>
      <c r="AL1476" s="7" t="str">
        <f>HYPERLINK("http://dx.doi.org/10.3391/ai.2019.14.2.08","http://dx.doi.org/10.3391/ai.2019.14.2.08")</f>
        <v>http://dx.doi.org/10.3391/ai.2019.14.2.08</v>
      </c>
      <c r="AM1476" s="5">
        <v>6</v>
      </c>
      <c r="AN1476" s="5">
        <v>6</v>
      </c>
      <c r="AO1476" s="5">
        <v>14</v>
      </c>
      <c r="AP1476" s="5">
        <v>2</v>
      </c>
      <c r="AQ1476" s="5">
        <v>280</v>
      </c>
      <c r="AR1476" s="5">
        <v>298</v>
      </c>
      <c r="AS1476" s="5" t="s">
        <v>16</v>
      </c>
      <c r="AT1476" s="5" t="s">
        <v>8860</v>
      </c>
      <c r="AU1476" s="5" t="s">
        <v>8861</v>
      </c>
      <c r="AV1476" s="5" t="s">
        <v>8863</v>
      </c>
    </row>
    <row r="1477" spans="1:48" ht="45" customHeight="1" x14ac:dyDescent="0.15">
      <c r="A1477" s="5" t="s">
        <v>8864</v>
      </c>
      <c r="B1477" s="5">
        <v>2018</v>
      </c>
      <c r="C1477" s="5" t="s">
        <v>8865</v>
      </c>
      <c r="D1477" s="5" t="s">
        <v>49</v>
      </c>
      <c r="E1477" s="5" t="s">
        <v>18453</v>
      </c>
      <c r="F1477" s="5" t="s">
        <v>8868</v>
      </c>
      <c r="G1477" s="5"/>
      <c r="H1477" s="5"/>
      <c r="I1477" s="5"/>
      <c r="J1477" s="5"/>
      <c r="K1477" s="5"/>
      <c r="L1477" s="5"/>
      <c r="M1477" s="5"/>
      <c r="N1477" s="5"/>
      <c r="O1477" s="5"/>
      <c r="P1477" s="5"/>
      <c r="Q1477" s="5"/>
      <c r="AL1477" s="7" t="str">
        <f>HYPERLINK("http://dx.doi.org/10.3354/meps12223","http://dx.doi.org/10.3354/meps12223")</f>
        <v>http://dx.doi.org/10.3354/meps12223</v>
      </c>
      <c r="AM1477" s="5">
        <v>15</v>
      </c>
      <c r="AN1477" s="5">
        <v>15</v>
      </c>
      <c r="AO1477" s="5">
        <v>598</v>
      </c>
      <c r="AP1477" s="5" t="s">
        <v>16</v>
      </c>
      <c r="AQ1477" s="5">
        <v>233</v>
      </c>
      <c r="AR1477" s="5">
        <v>245</v>
      </c>
      <c r="AS1477" s="5" t="s">
        <v>16</v>
      </c>
      <c r="AT1477" s="5" t="s">
        <v>8866</v>
      </c>
      <c r="AU1477" s="5" t="s">
        <v>8867</v>
      </c>
      <c r="AV1477" s="5" t="s">
        <v>8869</v>
      </c>
    </row>
    <row r="1478" spans="1:48" ht="45" customHeight="1" x14ac:dyDescent="0.15">
      <c r="A1478" s="5" t="s">
        <v>8870</v>
      </c>
      <c r="B1478" s="5">
        <v>2009</v>
      </c>
      <c r="C1478" s="5" t="s">
        <v>8871</v>
      </c>
      <c r="D1478" s="5" t="s">
        <v>49</v>
      </c>
      <c r="E1478" s="5" t="s">
        <v>18453</v>
      </c>
      <c r="F1478" s="5" t="s">
        <v>8874</v>
      </c>
      <c r="G1478" s="5"/>
      <c r="H1478" s="5"/>
      <c r="I1478" s="5"/>
      <c r="J1478" s="5"/>
      <c r="K1478" s="5"/>
      <c r="L1478" s="5"/>
      <c r="M1478" s="5"/>
      <c r="N1478" s="5"/>
      <c r="O1478" s="5"/>
      <c r="P1478" s="5"/>
      <c r="Q1478" s="5"/>
      <c r="AL1478" s="7" t="str">
        <f>HYPERLINK("http://dx.doi.org/10.3354/meps08063","http://dx.doi.org/10.3354/meps08063")</f>
        <v>http://dx.doi.org/10.3354/meps08063</v>
      </c>
      <c r="AM1478" s="5">
        <v>23</v>
      </c>
      <c r="AN1478" s="5">
        <v>25</v>
      </c>
      <c r="AO1478" s="5">
        <v>386</v>
      </c>
      <c r="AP1478" s="5" t="s">
        <v>16</v>
      </c>
      <c r="AQ1478" s="5">
        <v>237</v>
      </c>
      <c r="AR1478" s="5">
        <v>251</v>
      </c>
      <c r="AS1478" s="5" t="s">
        <v>16</v>
      </c>
      <c r="AT1478" s="5" t="s">
        <v>8872</v>
      </c>
      <c r="AU1478" s="5" t="s">
        <v>8873</v>
      </c>
      <c r="AV1478" s="5" t="s">
        <v>8875</v>
      </c>
    </row>
    <row r="1479" spans="1:48" ht="45" customHeight="1" x14ac:dyDescent="0.15">
      <c r="A1479" s="5" t="s">
        <v>8876</v>
      </c>
      <c r="B1479" s="5">
        <v>2012</v>
      </c>
      <c r="C1479" s="5" t="s">
        <v>8877</v>
      </c>
      <c r="D1479" s="5" t="s">
        <v>116</v>
      </c>
      <c r="E1479" s="5" t="s">
        <v>18453</v>
      </c>
      <c r="F1479" s="5" t="s">
        <v>8880</v>
      </c>
      <c r="G1479" s="5"/>
      <c r="H1479" s="5"/>
      <c r="I1479" s="5"/>
      <c r="J1479" s="5"/>
      <c r="K1479" s="5"/>
      <c r="L1479" s="5"/>
      <c r="M1479" s="5"/>
      <c r="N1479" s="5"/>
      <c r="O1479" s="5"/>
      <c r="P1479" s="5"/>
      <c r="Q1479" s="5"/>
      <c r="AL1479" s="7" t="str">
        <f>HYPERLINK("http://dx.doi.org/10.1007/s10641-011-9911-2","http://dx.doi.org/10.1007/s10641-011-9911-2")</f>
        <v>http://dx.doi.org/10.1007/s10641-011-9911-2</v>
      </c>
      <c r="AM1479" s="5">
        <v>15</v>
      </c>
      <c r="AN1479" s="5">
        <v>16</v>
      </c>
      <c r="AO1479" s="5">
        <v>93</v>
      </c>
      <c r="AP1479" s="5">
        <v>2</v>
      </c>
      <c r="AQ1479" s="5">
        <v>255</v>
      </c>
      <c r="AR1479" s="5">
        <v>266</v>
      </c>
      <c r="AS1479" s="5" t="s">
        <v>16</v>
      </c>
      <c r="AT1479" s="5" t="s">
        <v>8878</v>
      </c>
      <c r="AU1479" s="5" t="s">
        <v>8879</v>
      </c>
      <c r="AV1479" s="5" t="s">
        <v>8881</v>
      </c>
    </row>
    <row r="1480" spans="1:48" ht="45" customHeight="1" x14ac:dyDescent="0.15">
      <c r="A1480" s="5" t="s">
        <v>8882</v>
      </c>
      <c r="B1480" s="5">
        <v>2011</v>
      </c>
      <c r="C1480" s="5" t="s">
        <v>8883</v>
      </c>
      <c r="D1480" s="5" t="s">
        <v>1059</v>
      </c>
      <c r="E1480" s="5" t="s">
        <v>18453</v>
      </c>
      <c r="F1480" s="5" t="s">
        <v>8886</v>
      </c>
      <c r="G1480" s="5"/>
      <c r="H1480" s="5"/>
      <c r="I1480" s="5"/>
      <c r="J1480" s="5"/>
      <c r="K1480" s="5"/>
      <c r="L1480" s="5"/>
      <c r="M1480" s="5"/>
      <c r="N1480" s="5"/>
      <c r="O1480" s="5"/>
      <c r="P1480" s="5"/>
      <c r="Q1480" s="5"/>
      <c r="AL1480" s="7" t="str">
        <f>HYPERLINK("http://dx.doi.org/10.3402/polar.v30i0.7379","http://dx.doi.org/10.3402/polar.v30i0.7379")</f>
        <v>http://dx.doi.org/10.3402/polar.v30i0.7379</v>
      </c>
      <c r="AM1480" s="5">
        <v>60</v>
      </c>
      <c r="AN1480" s="5">
        <v>62</v>
      </c>
      <c r="AO1480" s="5">
        <v>30</v>
      </c>
      <c r="AP1480" s="5" t="s">
        <v>16</v>
      </c>
      <c r="AQ1480" s="5" t="s">
        <v>16</v>
      </c>
      <c r="AR1480" s="5" t="s">
        <v>16</v>
      </c>
      <c r="AS1480" s="5">
        <v>7379</v>
      </c>
      <c r="AT1480" s="5" t="s">
        <v>8884</v>
      </c>
      <c r="AU1480" s="5" t="s">
        <v>8885</v>
      </c>
      <c r="AV1480" s="5" t="s">
        <v>8887</v>
      </c>
    </row>
    <row r="1481" spans="1:48" ht="45" customHeight="1" x14ac:dyDescent="0.15">
      <c r="A1481" s="5" t="s">
        <v>8888</v>
      </c>
      <c r="B1481" s="5">
        <v>2022</v>
      </c>
      <c r="C1481" s="5" t="s">
        <v>8889</v>
      </c>
      <c r="D1481" s="5" t="s">
        <v>15</v>
      </c>
      <c r="E1481" s="5" t="s">
        <v>18453</v>
      </c>
      <c r="F1481" s="5" t="s">
        <v>8892</v>
      </c>
      <c r="G1481" s="5"/>
      <c r="H1481" s="5"/>
      <c r="I1481" s="5"/>
      <c r="J1481" s="5"/>
      <c r="K1481" s="5"/>
      <c r="L1481" s="5"/>
      <c r="M1481" s="5"/>
      <c r="N1481" s="5"/>
      <c r="O1481" s="5"/>
      <c r="P1481" s="5"/>
      <c r="Q1481" s="5"/>
      <c r="AL1481" s="7" t="str">
        <f>HYPERLINK("http://dx.doi.org/10.1002/ece3.9609","http://dx.doi.org/10.1002/ece3.9609")</f>
        <v>http://dx.doi.org/10.1002/ece3.9609</v>
      </c>
      <c r="AM1481" s="5">
        <v>0</v>
      </c>
      <c r="AN1481" s="5">
        <v>0</v>
      </c>
      <c r="AO1481" s="5">
        <v>12</v>
      </c>
      <c r="AP1481" s="5">
        <v>12</v>
      </c>
      <c r="AQ1481" s="5" t="s">
        <v>16</v>
      </c>
      <c r="AR1481" s="5" t="s">
        <v>16</v>
      </c>
      <c r="AS1481" s="5" t="s">
        <v>8893</v>
      </c>
      <c r="AT1481" s="5" t="s">
        <v>8890</v>
      </c>
      <c r="AU1481" s="5" t="s">
        <v>8891</v>
      </c>
      <c r="AV1481" s="5" t="s">
        <v>8894</v>
      </c>
    </row>
    <row r="1482" spans="1:48" ht="45" customHeight="1" x14ac:dyDescent="0.15">
      <c r="A1482" s="5" t="s">
        <v>8895</v>
      </c>
      <c r="B1482" s="5">
        <v>2008</v>
      </c>
      <c r="C1482" s="5" t="s">
        <v>8896</v>
      </c>
      <c r="D1482" s="5" t="s">
        <v>8897</v>
      </c>
      <c r="E1482" s="5" t="s">
        <v>18453</v>
      </c>
      <c r="F1482" s="5" t="s">
        <v>8900</v>
      </c>
      <c r="G1482" s="5"/>
      <c r="H1482" s="5"/>
      <c r="I1482" s="5"/>
      <c r="J1482" s="5"/>
      <c r="K1482" s="5"/>
      <c r="L1482" s="5"/>
      <c r="M1482" s="5"/>
      <c r="N1482" s="5"/>
      <c r="O1482" s="5"/>
      <c r="P1482" s="5"/>
      <c r="Q1482" s="5"/>
      <c r="AL1482" s="7" t="str">
        <f>HYPERLINK("http://dx.doi.org/10.1007/s00265-007-0520-1","http://dx.doi.org/10.1007/s00265-007-0520-1")</f>
        <v>http://dx.doi.org/10.1007/s00265-007-0520-1</v>
      </c>
      <c r="AM1482" s="5">
        <v>37</v>
      </c>
      <c r="AN1482" s="5">
        <v>37</v>
      </c>
      <c r="AO1482" s="5">
        <v>62</v>
      </c>
      <c r="AP1482" s="5">
        <v>6</v>
      </c>
      <c r="AQ1482" s="5">
        <v>953</v>
      </c>
      <c r="AR1482" s="5">
        <v>962</v>
      </c>
      <c r="AS1482" s="5" t="s">
        <v>16</v>
      </c>
      <c r="AT1482" s="5" t="s">
        <v>8898</v>
      </c>
      <c r="AU1482" s="5" t="s">
        <v>8899</v>
      </c>
      <c r="AV1482" s="5" t="s">
        <v>8901</v>
      </c>
    </row>
    <row r="1483" spans="1:48" ht="45" customHeight="1" x14ac:dyDescent="0.15">
      <c r="A1483" s="5" t="s">
        <v>8902</v>
      </c>
      <c r="B1483" s="5">
        <v>2018</v>
      </c>
      <c r="C1483" s="5" t="s">
        <v>8903</v>
      </c>
      <c r="D1483" s="5" t="s">
        <v>15</v>
      </c>
      <c r="E1483" s="5" t="s">
        <v>18453</v>
      </c>
      <c r="F1483" s="5" t="s">
        <v>8906</v>
      </c>
      <c r="G1483" s="5"/>
      <c r="H1483" s="5"/>
      <c r="I1483" s="5"/>
      <c r="J1483" s="5"/>
      <c r="K1483" s="5"/>
      <c r="L1483" s="5"/>
      <c r="M1483" s="5"/>
      <c r="N1483" s="5"/>
      <c r="O1483" s="5"/>
      <c r="P1483" s="5"/>
      <c r="Q1483" s="5"/>
      <c r="AL1483" s="7" t="str">
        <f>HYPERLINK("http://dx.doi.org/10.1002/ece3.3883","http://dx.doi.org/10.1002/ece3.3883")</f>
        <v>http://dx.doi.org/10.1002/ece3.3883</v>
      </c>
      <c r="AM1483" s="5">
        <v>8</v>
      </c>
      <c r="AN1483" s="5">
        <v>8</v>
      </c>
      <c r="AO1483" s="5">
        <v>8</v>
      </c>
      <c r="AP1483" s="5">
        <v>5</v>
      </c>
      <c r="AQ1483" s="5">
        <v>2752</v>
      </c>
      <c r="AR1483" s="5">
        <v>2765</v>
      </c>
      <c r="AS1483" s="5" t="s">
        <v>16</v>
      </c>
      <c r="AT1483" s="5" t="s">
        <v>8904</v>
      </c>
      <c r="AU1483" s="5" t="s">
        <v>8905</v>
      </c>
      <c r="AV1483" s="5" t="s">
        <v>8907</v>
      </c>
    </row>
    <row r="1484" spans="1:48" ht="45" customHeight="1" x14ac:dyDescent="0.15">
      <c r="A1484" s="5" t="s">
        <v>8908</v>
      </c>
      <c r="B1484" s="5">
        <v>2020</v>
      </c>
      <c r="C1484" s="5" t="s">
        <v>8909</v>
      </c>
      <c r="D1484" s="5" t="s">
        <v>49</v>
      </c>
      <c r="E1484" s="5" t="s">
        <v>18453</v>
      </c>
      <c r="F1484" s="5" t="s">
        <v>8912</v>
      </c>
      <c r="G1484" s="5"/>
      <c r="H1484" s="5"/>
      <c r="I1484" s="5"/>
      <c r="J1484" s="5"/>
      <c r="K1484" s="5"/>
      <c r="L1484" s="5"/>
      <c r="M1484" s="5"/>
      <c r="N1484" s="5"/>
      <c r="O1484" s="5"/>
      <c r="P1484" s="5"/>
      <c r="Q1484" s="5"/>
      <c r="AL1484" s="7" t="str">
        <f>HYPERLINK("http://dx.doi.org/10.3354/meps13452","http://dx.doi.org/10.3354/meps13452")</f>
        <v>http://dx.doi.org/10.3354/meps13452</v>
      </c>
      <c r="AM1484" s="5">
        <v>3</v>
      </c>
      <c r="AN1484" s="5">
        <v>3</v>
      </c>
      <c r="AO1484" s="5">
        <v>649</v>
      </c>
      <c r="AP1484" s="5" t="s">
        <v>16</v>
      </c>
      <c r="AQ1484" s="5">
        <v>189</v>
      </c>
      <c r="AR1484" s="5">
        <v>199</v>
      </c>
      <c r="AS1484" s="5" t="s">
        <v>16</v>
      </c>
      <c r="AT1484" s="5" t="s">
        <v>8910</v>
      </c>
      <c r="AU1484" s="5" t="s">
        <v>8911</v>
      </c>
      <c r="AV1484" s="5" t="s">
        <v>8913</v>
      </c>
    </row>
    <row r="1485" spans="1:48" ht="45" customHeight="1" x14ac:dyDescent="0.15">
      <c r="A1485" s="5" t="s">
        <v>8914</v>
      </c>
      <c r="B1485" s="5">
        <v>2016</v>
      </c>
      <c r="C1485" s="5" t="s">
        <v>8915</v>
      </c>
      <c r="D1485" s="5" t="s">
        <v>49</v>
      </c>
      <c r="E1485" s="5" t="s">
        <v>18453</v>
      </c>
      <c r="F1485" s="5" t="s">
        <v>8918</v>
      </c>
      <c r="G1485" s="5"/>
      <c r="H1485" s="5"/>
      <c r="I1485" s="5"/>
      <c r="J1485" s="5"/>
      <c r="K1485" s="5"/>
      <c r="L1485" s="5"/>
      <c r="M1485" s="5"/>
      <c r="N1485" s="5"/>
      <c r="O1485" s="5"/>
      <c r="P1485" s="5"/>
      <c r="Q1485" s="5"/>
      <c r="AL1485" s="7" t="str">
        <f>HYPERLINK("http://dx.doi.org/10.3354/meps11575","http://dx.doi.org/10.3354/meps11575")</f>
        <v>http://dx.doi.org/10.3354/meps11575</v>
      </c>
      <c r="AM1485" s="5">
        <v>19</v>
      </c>
      <c r="AN1485" s="5">
        <v>19</v>
      </c>
      <c r="AO1485" s="5">
        <v>544</v>
      </c>
      <c r="AP1485" s="5" t="s">
        <v>16</v>
      </c>
      <c r="AQ1485" s="5">
        <v>225</v>
      </c>
      <c r="AR1485" s="5">
        <v>241</v>
      </c>
      <c r="AS1485" s="5" t="s">
        <v>16</v>
      </c>
      <c r="AT1485" s="5" t="s">
        <v>8916</v>
      </c>
      <c r="AU1485" s="5" t="s">
        <v>8917</v>
      </c>
      <c r="AV1485" s="5" t="s">
        <v>8919</v>
      </c>
    </row>
    <row r="1486" spans="1:48" ht="45" customHeight="1" x14ac:dyDescent="0.15">
      <c r="A1486" s="5" t="s">
        <v>8920</v>
      </c>
      <c r="B1486" s="5">
        <v>2021</v>
      </c>
      <c r="C1486" s="5" t="s">
        <v>8921</v>
      </c>
      <c r="D1486" s="5" t="s">
        <v>15</v>
      </c>
      <c r="E1486" s="5" t="s">
        <v>18453</v>
      </c>
      <c r="F1486" s="5" t="s">
        <v>8924</v>
      </c>
      <c r="G1486" s="5"/>
      <c r="H1486" s="5"/>
      <c r="I1486" s="5"/>
      <c r="J1486" s="5"/>
      <c r="K1486" s="5"/>
      <c r="L1486" s="5"/>
      <c r="M1486" s="5"/>
      <c r="N1486" s="5"/>
      <c r="O1486" s="5"/>
      <c r="P1486" s="5"/>
      <c r="Q1486" s="5"/>
      <c r="AL1486" s="7" t="str">
        <f>HYPERLINK("http://dx.doi.org/10.1002/ece3.8337","http://dx.doi.org/10.1002/ece3.8337")</f>
        <v>http://dx.doi.org/10.1002/ece3.8337</v>
      </c>
      <c r="AM1486" s="5">
        <v>1</v>
      </c>
      <c r="AN1486" s="5">
        <v>1</v>
      </c>
      <c r="AO1486" s="5">
        <v>11</v>
      </c>
      <c r="AP1486" s="5">
        <v>23</v>
      </c>
      <c r="AQ1486" s="5">
        <v>17005</v>
      </c>
      <c r="AR1486" s="5">
        <v>17021</v>
      </c>
      <c r="AS1486" s="5" t="s">
        <v>16</v>
      </c>
      <c r="AT1486" s="5" t="s">
        <v>8922</v>
      </c>
      <c r="AU1486" s="5" t="s">
        <v>8923</v>
      </c>
      <c r="AV1486" s="5" t="s">
        <v>8925</v>
      </c>
    </row>
    <row r="1487" spans="1:48" ht="45" customHeight="1" x14ac:dyDescent="0.15">
      <c r="A1487" s="5" t="s">
        <v>8926</v>
      </c>
      <c r="B1487" s="5">
        <v>2023</v>
      </c>
      <c r="C1487" s="5" t="s">
        <v>8927</v>
      </c>
      <c r="D1487" s="5" t="s">
        <v>44</v>
      </c>
      <c r="E1487" s="5" t="s">
        <v>18453</v>
      </c>
      <c r="F1487" s="5" t="s">
        <v>8930</v>
      </c>
      <c r="G1487" s="5"/>
      <c r="H1487" s="5"/>
      <c r="I1487" s="5"/>
      <c r="J1487" s="5"/>
      <c r="K1487" s="5"/>
      <c r="L1487" s="5"/>
      <c r="M1487" s="5"/>
      <c r="N1487" s="5"/>
      <c r="O1487" s="5"/>
      <c r="P1487" s="5"/>
      <c r="Q1487" s="5"/>
      <c r="AL1487" s="7" t="str">
        <f>HYPERLINK("http://dx.doi.org/10.3389/fevo.2023.1050582","http://dx.doi.org/10.3389/fevo.2023.1050582")</f>
        <v>http://dx.doi.org/10.3389/fevo.2023.1050582</v>
      </c>
      <c r="AM1487" s="5">
        <v>0</v>
      </c>
      <c r="AN1487" s="5">
        <v>0</v>
      </c>
      <c r="AO1487" s="5">
        <v>11</v>
      </c>
      <c r="AP1487" s="5" t="s">
        <v>16</v>
      </c>
      <c r="AQ1487" s="5" t="s">
        <v>16</v>
      </c>
      <c r="AR1487" s="5" t="s">
        <v>16</v>
      </c>
      <c r="AS1487" s="5">
        <v>1050582</v>
      </c>
      <c r="AT1487" s="5" t="s">
        <v>8928</v>
      </c>
      <c r="AU1487" s="5" t="s">
        <v>8929</v>
      </c>
      <c r="AV1487" s="5" t="s">
        <v>8931</v>
      </c>
    </row>
    <row r="1488" spans="1:48" ht="45" customHeight="1" x14ac:dyDescent="0.15">
      <c r="A1488" s="5" t="s">
        <v>8932</v>
      </c>
      <c r="B1488" s="5">
        <v>2019</v>
      </c>
      <c r="C1488" s="5" t="s">
        <v>8933</v>
      </c>
      <c r="D1488" s="5" t="s">
        <v>77</v>
      </c>
      <c r="E1488" s="5" t="s">
        <v>18453</v>
      </c>
      <c r="F1488" s="5" t="s">
        <v>8936</v>
      </c>
      <c r="G1488" s="5"/>
      <c r="H1488" s="5"/>
      <c r="I1488" s="5"/>
      <c r="J1488" s="5"/>
      <c r="K1488" s="5"/>
      <c r="L1488" s="5"/>
      <c r="M1488" s="5"/>
      <c r="N1488" s="5"/>
      <c r="O1488" s="5"/>
      <c r="P1488" s="5"/>
      <c r="Q1488" s="5"/>
      <c r="AL1488" s="7" t="str">
        <f>HYPERLINK("http://dx.doi.org/10.1111/1365-2656.12929","http://dx.doi.org/10.1111/1365-2656.12929")</f>
        <v>http://dx.doi.org/10.1111/1365-2656.12929</v>
      </c>
      <c r="AM1488" s="5">
        <v>27</v>
      </c>
      <c r="AN1488" s="5">
        <v>27</v>
      </c>
      <c r="AO1488" s="5">
        <v>88</v>
      </c>
      <c r="AP1488" s="5">
        <v>3</v>
      </c>
      <c r="AQ1488" s="5">
        <v>405</v>
      </c>
      <c r="AR1488" s="5">
        <v>415</v>
      </c>
      <c r="AS1488" s="5" t="s">
        <v>16</v>
      </c>
      <c r="AT1488" s="5" t="s">
        <v>8934</v>
      </c>
      <c r="AU1488" s="5" t="s">
        <v>8935</v>
      </c>
      <c r="AV1488" s="5" t="s">
        <v>8937</v>
      </c>
    </row>
    <row r="1489" spans="1:48" ht="45" customHeight="1" x14ac:dyDescent="0.15">
      <c r="A1489" s="5" t="s">
        <v>8938</v>
      </c>
      <c r="B1489" s="5">
        <v>2015</v>
      </c>
      <c r="C1489" s="5" t="s">
        <v>8939</v>
      </c>
      <c r="D1489" s="5" t="s">
        <v>49</v>
      </c>
      <c r="E1489" s="5" t="s">
        <v>18453</v>
      </c>
      <c r="F1489" s="5" t="s">
        <v>8942</v>
      </c>
      <c r="G1489" s="5"/>
      <c r="H1489" s="5"/>
      <c r="I1489" s="5"/>
      <c r="J1489" s="5"/>
      <c r="K1489" s="5"/>
      <c r="L1489" s="5"/>
      <c r="M1489" s="5"/>
      <c r="N1489" s="5"/>
      <c r="O1489" s="5"/>
      <c r="P1489" s="5"/>
      <c r="Q1489" s="5"/>
      <c r="AL1489" s="7" t="str">
        <f>HYPERLINK("http://dx.doi.org/10.3354/meps11205","http://dx.doi.org/10.3354/meps11205")</f>
        <v>http://dx.doi.org/10.3354/meps11205</v>
      </c>
      <c r="AM1489" s="5">
        <v>17</v>
      </c>
      <c r="AN1489" s="5">
        <v>17</v>
      </c>
      <c r="AO1489" s="5">
        <v>523</v>
      </c>
      <c r="AP1489" s="5" t="s">
        <v>16</v>
      </c>
      <c r="AQ1489" s="5">
        <v>255</v>
      </c>
      <c r="AR1489" s="5">
        <v>266</v>
      </c>
      <c r="AS1489" s="5" t="s">
        <v>16</v>
      </c>
      <c r="AT1489" s="5" t="s">
        <v>8940</v>
      </c>
      <c r="AU1489" s="5" t="s">
        <v>8941</v>
      </c>
      <c r="AV1489" s="5" t="s">
        <v>8943</v>
      </c>
    </row>
    <row r="1490" spans="1:48" ht="45" customHeight="1" x14ac:dyDescent="0.15">
      <c r="A1490" s="5" t="s">
        <v>8944</v>
      </c>
      <c r="B1490" s="5">
        <v>2012</v>
      </c>
      <c r="C1490" s="5" t="s">
        <v>8945</v>
      </c>
      <c r="D1490" s="5" t="s">
        <v>4217</v>
      </c>
      <c r="E1490" s="5" t="s">
        <v>18453</v>
      </c>
      <c r="F1490" s="5" t="s">
        <v>8948</v>
      </c>
      <c r="G1490" s="5"/>
      <c r="H1490" s="5"/>
      <c r="I1490" s="5"/>
      <c r="J1490" s="5"/>
      <c r="K1490" s="5"/>
      <c r="L1490" s="5"/>
      <c r="M1490" s="5"/>
      <c r="N1490" s="5"/>
      <c r="O1490" s="5"/>
      <c r="P1490" s="5"/>
      <c r="Q1490" s="5"/>
      <c r="AL1490" s="5" t="s">
        <v>16</v>
      </c>
      <c r="AM1490" s="5">
        <v>11</v>
      </c>
      <c r="AN1490" s="5">
        <v>11</v>
      </c>
      <c r="AO1490" s="5">
        <v>14</v>
      </c>
      <c r="AP1490" s="5">
        <v>6</v>
      </c>
      <c r="AQ1490" s="5">
        <v>769</v>
      </c>
      <c r="AR1490" s="5">
        <v>777</v>
      </c>
      <c r="AS1490" s="5" t="s">
        <v>16</v>
      </c>
      <c r="AT1490" s="5" t="s">
        <v>8946</v>
      </c>
      <c r="AU1490" s="5" t="s">
        <v>8947</v>
      </c>
      <c r="AV1490" s="5" t="s">
        <v>16</v>
      </c>
    </row>
    <row r="1491" spans="1:48" ht="45" customHeight="1" x14ac:dyDescent="0.15">
      <c r="A1491" s="5" t="s">
        <v>8949</v>
      </c>
      <c r="B1491" s="5">
        <v>2022</v>
      </c>
      <c r="C1491" s="5" t="s">
        <v>8950</v>
      </c>
      <c r="D1491" s="5" t="s">
        <v>62</v>
      </c>
      <c r="E1491" s="5" t="s">
        <v>18453</v>
      </c>
      <c r="F1491" s="5" t="s">
        <v>8953</v>
      </c>
      <c r="G1491" s="5"/>
      <c r="H1491" s="5"/>
      <c r="I1491" s="5"/>
      <c r="J1491" s="5"/>
      <c r="K1491" s="5"/>
      <c r="L1491" s="5"/>
      <c r="M1491" s="5"/>
      <c r="N1491" s="5"/>
      <c r="O1491" s="5"/>
      <c r="P1491" s="5"/>
      <c r="Q1491" s="5"/>
      <c r="AL1491" s="7" t="str">
        <f>HYPERLINK("http://dx.doi.org/10.1007/s10021-021-00717-6","http://dx.doi.org/10.1007/s10021-021-00717-6")</f>
        <v>http://dx.doi.org/10.1007/s10021-021-00717-6</v>
      </c>
      <c r="AM1491" s="5">
        <v>7</v>
      </c>
      <c r="AN1491" s="5">
        <v>7</v>
      </c>
      <c r="AO1491" s="5">
        <v>25</v>
      </c>
      <c r="AP1491" s="5">
        <v>6</v>
      </c>
      <c r="AQ1491" s="5">
        <v>1311</v>
      </c>
      <c r="AR1491" s="5">
        <v>1327</v>
      </c>
      <c r="AS1491" s="5" t="s">
        <v>16</v>
      </c>
      <c r="AT1491" s="5" t="s">
        <v>8951</v>
      </c>
      <c r="AU1491" s="5" t="s">
        <v>8952</v>
      </c>
      <c r="AV1491" s="5" t="s">
        <v>8954</v>
      </c>
    </row>
    <row r="1492" spans="1:48" ht="45" customHeight="1" x14ac:dyDescent="0.15">
      <c r="A1492" s="5" t="s">
        <v>8955</v>
      </c>
      <c r="B1492" s="5">
        <v>2022</v>
      </c>
      <c r="C1492" s="5" t="s">
        <v>8956</v>
      </c>
      <c r="D1492" s="5" t="s">
        <v>15</v>
      </c>
      <c r="E1492" s="5" t="s">
        <v>18453</v>
      </c>
      <c r="F1492" s="5" t="s">
        <v>8959</v>
      </c>
      <c r="G1492" s="5"/>
      <c r="H1492" s="5"/>
      <c r="I1492" s="5"/>
      <c r="J1492" s="5"/>
      <c r="K1492" s="5"/>
      <c r="L1492" s="5"/>
      <c r="M1492" s="5"/>
      <c r="N1492" s="5"/>
      <c r="O1492" s="5"/>
      <c r="P1492" s="5"/>
      <c r="Q1492" s="5"/>
      <c r="AL1492" s="7" t="str">
        <f>HYPERLINK("http://dx.doi.org/10.1002/ece3.9460","http://dx.doi.org/10.1002/ece3.9460")</f>
        <v>http://dx.doi.org/10.1002/ece3.9460</v>
      </c>
      <c r="AM1492" s="5">
        <v>0</v>
      </c>
      <c r="AN1492" s="5">
        <v>0</v>
      </c>
      <c r="AO1492" s="5">
        <v>12</v>
      </c>
      <c r="AP1492" s="5">
        <v>11</v>
      </c>
      <c r="AQ1492" s="5" t="s">
        <v>16</v>
      </c>
      <c r="AR1492" s="5" t="s">
        <v>16</v>
      </c>
      <c r="AS1492" s="5" t="s">
        <v>8960</v>
      </c>
      <c r="AT1492" s="5" t="s">
        <v>8957</v>
      </c>
      <c r="AU1492" s="5" t="s">
        <v>8958</v>
      </c>
      <c r="AV1492" s="5" t="s">
        <v>8961</v>
      </c>
    </row>
    <row r="1493" spans="1:48" ht="45" customHeight="1" x14ac:dyDescent="0.15">
      <c r="A1493" s="5" t="s">
        <v>8962</v>
      </c>
      <c r="B1493" s="5">
        <v>2006</v>
      </c>
      <c r="C1493" s="5" t="s">
        <v>8963</v>
      </c>
      <c r="D1493" s="5" t="s">
        <v>49</v>
      </c>
      <c r="E1493" s="5" t="s">
        <v>18453</v>
      </c>
      <c r="F1493" s="5" t="s">
        <v>8966</v>
      </c>
      <c r="G1493" s="5"/>
      <c r="H1493" s="5"/>
      <c r="I1493" s="5"/>
      <c r="J1493" s="5"/>
      <c r="K1493" s="5"/>
      <c r="L1493" s="5"/>
      <c r="M1493" s="5"/>
      <c r="N1493" s="5"/>
      <c r="O1493" s="5"/>
      <c r="P1493" s="5"/>
      <c r="Q1493" s="5"/>
      <c r="AL1493" s="7" t="str">
        <f>HYPERLINK("http://dx.doi.org/10.3354/meps310015","http://dx.doi.org/10.3354/meps310015")</f>
        <v>http://dx.doi.org/10.3354/meps310015</v>
      </c>
      <c r="AM1493" s="5">
        <v>19</v>
      </c>
      <c r="AN1493" s="5">
        <v>19</v>
      </c>
      <c r="AO1493" s="5">
        <v>310</v>
      </c>
      <c r="AP1493" s="5" t="s">
        <v>16</v>
      </c>
      <c r="AQ1493" s="5">
        <v>15</v>
      </c>
      <c r="AR1493" s="5">
        <v>24</v>
      </c>
      <c r="AS1493" s="5" t="s">
        <v>16</v>
      </c>
      <c r="AT1493" s="5" t="s">
        <v>8964</v>
      </c>
      <c r="AU1493" s="5" t="s">
        <v>8965</v>
      </c>
      <c r="AV1493" s="5" t="s">
        <v>8967</v>
      </c>
    </row>
    <row r="1494" spans="1:48" ht="45" customHeight="1" x14ac:dyDescent="0.15">
      <c r="A1494" s="5" t="s">
        <v>8968</v>
      </c>
      <c r="B1494" s="5">
        <v>2019</v>
      </c>
      <c r="C1494" s="5" t="s">
        <v>8969</v>
      </c>
      <c r="D1494" s="5" t="s">
        <v>488</v>
      </c>
      <c r="E1494" s="5" t="s">
        <v>18453</v>
      </c>
      <c r="F1494" s="5" t="s">
        <v>8972</v>
      </c>
      <c r="G1494" s="5"/>
      <c r="H1494" s="5"/>
      <c r="I1494" s="5"/>
      <c r="J1494" s="5"/>
      <c r="K1494" s="5"/>
      <c r="L1494" s="5"/>
      <c r="M1494" s="5"/>
      <c r="N1494" s="5"/>
      <c r="O1494" s="5"/>
      <c r="P1494" s="5"/>
      <c r="Q1494" s="5"/>
      <c r="AL1494" s="7" t="str">
        <f>HYPERLINK("http://dx.doi.org/10.1007/s10344-019-1304-4","http://dx.doi.org/10.1007/s10344-019-1304-4")</f>
        <v>http://dx.doi.org/10.1007/s10344-019-1304-4</v>
      </c>
      <c r="AM1494" s="5">
        <v>5</v>
      </c>
      <c r="AN1494" s="5">
        <v>5</v>
      </c>
      <c r="AO1494" s="5">
        <v>65</v>
      </c>
      <c r="AP1494" s="5">
        <v>5</v>
      </c>
      <c r="AQ1494" s="5" t="s">
        <v>16</v>
      </c>
      <c r="AR1494" s="5" t="s">
        <v>16</v>
      </c>
      <c r="AS1494" s="5">
        <v>67</v>
      </c>
      <c r="AT1494" s="5" t="s">
        <v>8970</v>
      </c>
      <c r="AU1494" s="5" t="s">
        <v>8971</v>
      </c>
      <c r="AV1494" s="5" t="s">
        <v>8973</v>
      </c>
    </row>
    <row r="1495" spans="1:48" ht="45" customHeight="1" x14ac:dyDescent="0.15">
      <c r="A1495" s="5" t="s">
        <v>8974</v>
      </c>
      <c r="B1495" s="5">
        <v>2021</v>
      </c>
      <c r="C1495" s="5" t="s">
        <v>8975</v>
      </c>
      <c r="D1495" s="5" t="s">
        <v>62</v>
      </c>
      <c r="E1495" s="5" t="s">
        <v>18453</v>
      </c>
      <c r="F1495" s="5" t="s">
        <v>8978</v>
      </c>
      <c r="G1495" s="5"/>
      <c r="H1495" s="5"/>
      <c r="I1495" s="5"/>
      <c r="J1495" s="5"/>
      <c r="K1495" s="5"/>
      <c r="L1495" s="5"/>
      <c r="M1495" s="5"/>
      <c r="N1495" s="5"/>
      <c r="O1495" s="5"/>
      <c r="P1495" s="5"/>
      <c r="Q1495" s="5"/>
      <c r="AL1495" s="7" t="str">
        <f>HYPERLINK("http://dx.doi.org/10.1007/s10021-020-00580-x","http://dx.doi.org/10.1007/s10021-020-00580-x")</f>
        <v>http://dx.doi.org/10.1007/s10021-020-00580-x</v>
      </c>
      <c r="AM1495" s="5">
        <v>2</v>
      </c>
      <c r="AN1495" s="5">
        <v>2</v>
      </c>
      <c r="AO1495" s="5">
        <v>24</v>
      </c>
      <c r="AP1495" s="5">
        <v>5</v>
      </c>
      <c r="AQ1495" s="5">
        <v>1239</v>
      </c>
      <c r="AR1495" s="5">
        <v>1252</v>
      </c>
      <c r="AS1495" s="5" t="s">
        <v>16</v>
      </c>
      <c r="AT1495" s="5" t="s">
        <v>8976</v>
      </c>
      <c r="AU1495" s="5" t="s">
        <v>8977</v>
      </c>
      <c r="AV1495" s="5" t="s">
        <v>8979</v>
      </c>
    </row>
    <row r="1496" spans="1:48" ht="45" customHeight="1" x14ac:dyDescent="0.15">
      <c r="A1496" s="5" t="s">
        <v>8980</v>
      </c>
      <c r="B1496" s="5">
        <v>2002</v>
      </c>
      <c r="C1496" s="5" t="s">
        <v>8981</v>
      </c>
      <c r="D1496" s="5" t="s">
        <v>49</v>
      </c>
      <c r="E1496" s="5" t="s">
        <v>18453</v>
      </c>
      <c r="F1496" s="5" t="s">
        <v>8984</v>
      </c>
      <c r="G1496" s="5"/>
      <c r="H1496" s="5"/>
      <c r="I1496" s="5"/>
      <c r="J1496" s="5"/>
      <c r="K1496" s="5"/>
      <c r="L1496" s="5"/>
      <c r="M1496" s="5"/>
      <c r="N1496" s="5"/>
      <c r="O1496" s="5"/>
      <c r="P1496" s="5"/>
      <c r="Q1496" s="5"/>
      <c r="AL1496" s="7" t="str">
        <f>HYPERLINK("http://dx.doi.org/10.3354/meps226077","http://dx.doi.org/10.3354/meps226077")</f>
        <v>http://dx.doi.org/10.3354/meps226077</v>
      </c>
      <c r="AM1496" s="5">
        <v>167</v>
      </c>
      <c r="AN1496" s="5">
        <v>177</v>
      </c>
      <c r="AO1496" s="5">
        <v>226</v>
      </c>
      <c r="AP1496" s="5" t="s">
        <v>16</v>
      </c>
      <c r="AQ1496" s="5">
        <v>77</v>
      </c>
      <c r="AR1496" s="5">
        <v>85</v>
      </c>
      <c r="AS1496" s="5" t="s">
        <v>16</v>
      </c>
      <c r="AT1496" s="5" t="s">
        <v>8982</v>
      </c>
      <c r="AU1496" s="5" t="s">
        <v>8983</v>
      </c>
      <c r="AV1496" s="5" t="s">
        <v>8985</v>
      </c>
    </row>
    <row r="1497" spans="1:48" ht="45" customHeight="1" x14ac:dyDescent="0.15">
      <c r="A1497" s="5" t="s">
        <v>8986</v>
      </c>
      <c r="B1497" s="5">
        <v>2023</v>
      </c>
      <c r="C1497" s="5" t="s">
        <v>8987</v>
      </c>
      <c r="D1497" s="5" t="s">
        <v>212</v>
      </c>
      <c r="E1497" s="5" t="s">
        <v>18453</v>
      </c>
      <c r="F1497" s="5" t="s">
        <v>8990</v>
      </c>
      <c r="G1497" s="5"/>
      <c r="H1497" s="5"/>
      <c r="I1497" s="5"/>
      <c r="J1497" s="5"/>
      <c r="K1497" s="5"/>
      <c r="L1497" s="5"/>
      <c r="M1497" s="5"/>
      <c r="N1497" s="5"/>
      <c r="O1497" s="5"/>
      <c r="P1497" s="5"/>
      <c r="Q1497" s="5"/>
      <c r="AL1497" s="7" t="str">
        <f>HYPERLINK("http://dx.doi.org/10.1007/s00300-023-03154-4","http://dx.doi.org/10.1007/s00300-023-03154-4")</f>
        <v>http://dx.doi.org/10.1007/s00300-023-03154-4</v>
      </c>
      <c r="AM1497" s="5">
        <v>0</v>
      </c>
      <c r="AN1497" s="5">
        <v>0</v>
      </c>
      <c r="AO1497" s="5">
        <v>46</v>
      </c>
      <c r="AP1497" s="5">
        <v>7</v>
      </c>
      <c r="AQ1497" s="5">
        <v>655</v>
      </c>
      <c r="AR1497" s="5">
        <v>672</v>
      </c>
      <c r="AS1497" s="5" t="s">
        <v>16</v>
      </c>
      <c r="AT1497" s="5" t="s">
        <v>8988</v>
      </c>
      <c r="AU1497" s="5" t="s">
        <v>8989</v>
      </c>
      <c r="AV1497" s="5" t="s">
        <v>8991</v>
      </c>
    </row>
    <row r="1498" spans="1:48" ht="45" customHeight="1" x14ac:dyDescent="0.15">
      <c r="A1498" s="5" t="s">
        <v>8992</v>
      </c>
      <c r="B1498" s="5">
        <v>2013</v>
      </c>
      <c r="C1498" s="5" t="s">
        <v>8993</v>
      </c>
      <c r="D1498" s="5" t="s">
        <v>33</v>
      </c>
      <c r="E1498" s="5" t="s">
        <v>18453</v>
      </c>
      <c r="F1498" s="5" t="s">
        <v>8996</v>
      </c>
      <c r="G1498" s="5"/>
      <c r="H1498" s="5"/>
      <c r="I1498" s="5"/>
      <c r="J1498" s="5"/>
      <c r="K1498" s="5"/>
      <c r="L1498" s="5"/>
      <c r="M1498" s="5"/>
      <c r="N1498" s="5"/>
      <c r="O1498" s="5"/>
      <c r="P1498" s="5"/>
      <c r="Q1498" s="5"/>
      <c r="AL1498" s="7" t="str">
        <f>HYPERLINK("http://dx.doi.org/10.1111/gcb.12058","http://dx.doi.org/10.1111/gcb.12058")</f>
        <v>http://dx.doi.org/10.1111/gcb.12058</v>
      </c>
      <c r="AM1498" s="5">
        <v>118</v>
      </c>
      <c r="AN1498" s="5">
        <v>122</v>
      </c>
      <c r="AO1498" s="5">
        <v>19</v>
      </c>
      <c r="AP1498" s="5">
        <v>2</v>
      </c>
      <c r="AQ1498" s="5">
        <v>649</v>
      </c>
      <c r="AR1498" s="5">
        <v>661</v>
      </c>
      <c r="AS1498" s="5" t="s">
        <v>16</v>
      </c>
      <c r="AT1498" s="5" t="s">
        <v>8994</v>
      </c>
      <c r="AU1498" s="5" t="s">
        <v>8995</v>
      </c>
      <c r="AV1498" s="5" t="s">
        <v>8997</v>
      </c>
    </row>
    <row r="1499" spans="1:48" ht="45" customHeight="1" x14ac:dyDescent="0.15">
      <c r="A1499" s="5" t="s">
        <v>8998</v>
      </c>
      <c r="B1499" s="5">
        <v>2022</v>
      </c>
      <c r="C1499" s="5" t="s">
        <v>8999</v>
      </c>
      <c r="D1499" s="5" t="s">
        <v>44</v>
      </c>
      <c r="E1499" s="5" t="s">
        <v>18453</v>
      </c>
      <c r="F1499" s="5" t="s">
        <v>9002</v>
      </c>
      <c r="G1499" s="5"/>
      <c r="H1499" s="5"/>
      <c r="I1499" s="5"/>
      <c r="J1499" s="5"/>
      <c r="K1499" s="5"/>
      <c r="L1499" s="5"/>
      <c r="M1499" s="5"/>
      <c r="N1499" s="5"/>
      <c r="O1499" s="5"/>
      <c r="P1499" s="5"/>
      <c r="Q1499" s="5"/>
      <c r="AL1499" s="7" t="str">
        <f>HYPERLINK("http://dx.doi.org/10.3389/fevo.2022.983260","http://dx.doi.org/10.3389/fevo.2022.983260")</f>
        <v>http://dx.doi.org/10.3389/fevo.2022.983260</v>
      </c>
      <c r="AM1499" s="5">
        <v>2</v>
      </c>
      <c r="AN1499" s="5">
        <v>2</v>
      </c>
      <c r="AO1499" s="5">
        <v>10</v>
      </c>
      <c r="AP1499" s="5" t="s">
        <v>16</v>
      </c>
      <c r="AQ1499" s="5" t="s">
        <v>16</v>
      </c>
      <c r="AR1499" s="5" t="s">
        <v>16</v>
      </c>
      <c r="AS1499" s="5">
        <v>983260</v>
      </c>
      <c r="AT1499" s="5" t="s">
        <v>9000</v>
      </c>
      <c r="AU1499" s="5" t="s">
        <v>9001</v>
      </c>
      <c r="AV1499" s="5" t="s">
        <v>9003</v>
      </c>
    </row>
    <row r="1500" spans="1:48" ht="45" customHeight="1" x14ac:dyDescent="0.15">
      <c r="A1500" s="5" t="s">
        <v>9004</v>
      </c>
      <c r="B1500" s="5">
        <v>2018</v>
      </c>
      <c r="C1500" s="5" t="s">
        <v>9005</v>
      </c>
      <c r="D1500" s="5" t="s">
        <v>62</v>
      </c>
      <c r="E1500" s="5" t="s">
        <v>18453</v>
      </c>
      <c r="F1500" s="5" t="s">
        <v>9008</v>
      </c>
      <c r="G1500" s="5"/>
      <c r="H1500" s="5"/>
      <c r="I1500" s="5"/>
      <c r="J1500" s="5"/>
      <c r="K1500" s="5"/>
      <c r="L1500" s="5"/>
      <c r="M1500" s="5"/>
      <c r="N1500" s="5"/>
      <c r="O1500" s="5"/>
      <c r="P1500" s="5"/>
      <c r="Q1500" s="5"/>
      <c r="AL1500" s="7" t="str">
        <f>HYPERLINK("http://dx.doi.org/10.1007/s10021-017-0206-0","http://dx.doi.org/10.1007/s10021-017-0206-0")</f>
        <v>http://dx.doi.org/10.1007/s10021-017-0206-0</v>
      </c>
      <c r="AM1500" s="5">
        <v>4</v>
      </c>
      <c r="AN1500" s="5">
        <v>4</v>
      </c>
      <c r="AO1500" s="5">
        <v>21</v>
      </c>
      <c r="AP1500" s="5">
        <v>6</v>
      </c>
      <c r="AQ1500" s="5">
        <v>1101</v>
      </c>
      <c r="AR1500" s="5">
        <v>1117</v>
      </c>
      <c r="AS1500" s="5" t="s">
        <v>16</v>
      </c>
      <c r="AT1500" s="5" t="s">
        <v>9006</v>
      </c>
      <c r="AU1500" s="5" t="s">
        <v>9007</v>
      </c>
      <c r="AV1500" s="5" t="s">
        <v>9009</v>
      </c>
    </row>
    <row r="1501" spans="1:48" ht="45" customHeight="1" x14ac:dyDescent="0.15">
      <c r="A1501" s="5" t="s">
        <v>9010</v>
      </c>
      <c r="B1501" s="5">
        <v>2009</v>
      </c>
      <c r="C1501" s="5" t="s">
        <v>9011</v>
      </c>
      <c r="D1501" s="5" t="s">
        <v>17</v>
      </c>
      <c r="E1501" s="5" t="s">
        <v>18453</v>
      </c>
      <c r="F1501" s="5" t="s">
        <v>9014</v>
      </c>
      <c r="G1501" s="5"/>
      <c r="H1501" s="5"/>
      <c r="I1501" s="5"/>
      <c r="J1501" s="5"/>
      <c r="K1501" s="5"/>
      <c r="L1501" s="5"/>
      <c r="M1501" s="5"/>
      <c r="N1501" s="5"/>
      <c r="O1501" s="5"/>
      <c r="P1501" s="5"/>
      <c r="Q1501" s="5"/>
      <c r="AL1501" s="7" t="str">
        <f>HYPERLINK("http://dx.doi.org/10.1111/j.1365-2427.2009.02259.x","http://dx.doi.org/10.1111/j.1365-2427.2009.02259.x")</f>
        <v>http://dx.doi.org/10.1111/j.1365-2427.2009.02259.x</v>
      </c>
      <c r="AM1501" s="5">
        <v>38</v>
      </c>
      <c r="AN1501" s="5">
        <v>38</v>
      </c>
      <c r="AO1501" s="5">
        <v>54</v>
      </c>
      <c r="AP1501" s="5">
        <v>11</v>
      </c>
      <c r="AQ1501" s="5">
        <v>2243</v>
      </c>
      <c r="AR1501" s="5">
        <v>2251</v>
      </c>
      <c r="AS1501" s="5" t="s">
        <v>16</v>
      </c>
      <c r="AT1501" s="5" t="s">
        <v>9012</v>
      </c>
      <c r="AU1501" s="5" t="s">
        <v>9013</v>
      </c>
      <c r="AV1501" s="5" t="s">
        <v>9015</v>
      </c>
    </row>
    <row r="1502" spans="1:48" ht="45" customHeight="1" x14ac:dyDescent="0.15">
      <c r="A1502" s="5" t="s">
        <v>9016</v>
      </c>
      <c r="B1502" s="5">
        <v>2014</v>
      </c>
      <c r="C1502" s="5" t="s">
        <v>9017</v>
      </c>
      <c r="D1502" s="5" t="s">
        <v>15</v>
      </c>
      <c r="E1502" s="5" t="s">
        <v>18453</v>
      </c>
      <c r="F1502" s="5" t="s">
        <v>9020</v>
      </c>
      <c r="G1502" s="5"/>
      <c r="H1502" s="5"/>
      <c r="I1502" s="5"/>
      <c r="J1502" s="5"/>
      <c r="K1502" s="5"/>
      <c r="L1502" s="5"/>
      <c r="M1502" s="5"/>
      <c r="N1502" s="5"/>
      <c r="O1502" s="5"/>
      <c r="P1502" s="5"/>
      <c r="Q1502" s="5"/>
      <c r="AL1502" s="7" t="str">
        <f>HYPERLINK("http://dx.doi.org/10.1002/ece3.1140","http://dx.doi.org/10.1002/ece3.1140")</f>
        <v>http://dx.doi.org/10.1002/ece3.1140</v>
      </c>
      <c r="AM1502" s="5">
        <v>33</v>
      </c>
      <c r="AN1502" s="5">
        <v>33</v>
      </c>
      <c r="AO1502" s="5">
        <v>4</v>
      </c>
      <c r="AP1502" s="5">
        <v>16</v>
      </c>
      <c r="AQ1502" s="5">
        <v>3298</v>
      </c>
      <c r="AR1502" s="5">
        <v>3308</v>
      </c>
      <c r="AS1502" s="5" t="s">
        <v>16</v>
      </c>
      <c r="AT1502" s="5" t="s">
        <v>9018</v>
      </c>
      <c r="AU1502" s="5" t="s">
        <v>9019</v>
      </c>
      <c r="AV1502" s="5" t="s">
        <v>9021</v>
      </c>
    </row>
    <row r="1503" spans="1:48" ht="45" customHeight="1" x14ac:dyDescent="0.15">
      <c r="A1503" s="5" t="s">
        <v>9022</v>
      </c>
      <c r="B1503" s="5">
        <v>2019</v>
      </c>
      <c r="C1503" s="5" t="s">
        <v>9023</v>
      </c>
      <c r="D1503" s="5" t="s">
        <v>49</v>
      </c>
      <c r="E1503" s="5" t="s">
        <v>18453</v>
      </c>
      <c r="F1503" s="5" t="s">
        <v>9026</v>
      </c>
      <c r="G1503" s="5"/>
      <c r="H1503" s="5"/>
      <c r="I1503" s="5"/>
      <c r="J1503" s="5"/>
      <c r="K1503" s="5"/>
      <c r="L1503" s="5"/>
      <c r="M1503" s="5"/>
      <c r="N1503" s="5"/>
      <c r="O1503" s="5"/>
      <c r="P1503" s="5"/>
      <c r="Q1503" s="5"/>
      <c r="AL1503" s="7" t="str">
        <f>HYPERLINK("http://dx.doi.org/10.3354/meps12840","http://dx.doi.org/10.3354/meps12840")</f>
        <v>http://dx.doi.org/10.3354/meps12840</v>
      </c>
      <c r="AM1503" s="5">
        <v>7</v>
      </c>
      <c r="AN1503" s="5">
        <v>7</v>
      </c>
      <c r="AO1503" s="5">
        <v>611</v>
      </c>
      <c r="AP1503" s="5" t="s">
        <v>16</v>
      </c>
      <c r="AQ1503" s="5">
        <v>75</v>
      </c>
      <c r="AR1503" s="5">
        <v>93</v>
      </c>
      <c r="AS1503" s="5" t="s">
        <v>16</v>
      </c>
      <c r="AT1503" s="5" t="s">
        <v>9024</v>
      </c>
      <c r="AU1503" s="5" t="s">
        <v>9025</v>
      </c>
      <c r="AV1503" s="5" t="s">
        <v>9027</v>
      </c>
    </row>
    <row r="1504" spans="1:48" ht="45" customHeight="1" x14ac:dyDescent="0.15">
      <c r="A1504" s="5" t="s">
        <v>9028</v>
      </c>
      <c r="B1504" s="5">
        <v>2017</v>
      </c>
      <c r="C1504" s="5" t="s">
        <v>9029</v>
      </c>
      <c r="D1504" s="5" t="s">
        <v>18</v>
      </c>
      <c r="E1504" s="5" t="s">
        <v>18453</v>
      </c>
      <c r="F1504" s="5" t="s">
        <v>9032</v>
      </c>
      <c r="G1504" s="5"/>
      <c r="H1504" s="5"/>
      <c r="I1504" s="5"/>
      <c r="J1504" s="5"/>
      <c r="K1504" s="5"/>
      <c r="L1504" s="5"/>
      <c r="M1504" s="5"/>
      <c r="N1504" s="5"/>
      <c r="O1504" s="5"/>
      <c r="P1504" s="5"/>
      <c r="Q1504" s="5"/>
      <c r="AL1504" s="7" t="str">
        <f>HYPERLINK("http://dx.doi.org/10.1002/ecs2.1685","http://dx.doi.org/10.1002/ecs2.1685")</f>
        <v>http://dx.doi.org/10.1002/ecs2.1685</v>
      </c>
      <c r="AM1504" s="5">
        <v>41</v>
      </c>
      <c r="AN1504" s="5">
        <v>42</v>
      </c>
      <c r="AO1504" s="5">
        <v>8</v>
      </c>
      <c r="AP1504" s="5">
        <v>2</v>
      </c>
      <c r="AQ1504" s="5" t="s">
        <v>16</v>
      </c>
      <c r="AR1504" s="5" t="s">
        <v>16</v>
      </c>
      <c r="AS1504" s="5" t="s">
        <v>9033</v>
      </c>
      <c r="AT1504" s="5" t="s">
        <v>9030</v>
      </c>
      <c r="AU1504" s="5" t="s">
        <v>9031</v>
      </c>
      <c r="AV1504" s="5" t="s">
        <v>9034</v>
      </c>
    </row>
    <row r="1505" spans="1:48" ht="45" customHeight="1" x14ac:dyDescent="0.15">
      <c r="A1505" s="5" t="s">
        <v>9035</v>
      </c>
      <c r="B1505" s="5">
        <v>2014</v>
      </c>
      <c r="C1505" s="5" t="s">
        <v>9036</v>
      </c>
      <c r="D1505" s="5" t="s">
        <v>172</v>
      </c>
      <c r="E1505" s="5" t="s">
        <v>18453</v>
      </c>
      <c r="F1505" s="5" t="s">
        <v>9039</v>
      </c>
      <c r="G1505" s="5"/>
      <c r="H1505" s="5"/>
      <c r="I1505" s="5"/>
      <c r="J1505" s="5"/>
      <c r="K1505" s="5"/>
      <c r="L1505" s="5"/>
      <c r="M1505" s="5"/>
      <c r="N1505" s="5"/>
      <c r="O1505" s="5"/>
      <c r="P1505" s="5"/>
      <c r="Q1505" s="5"/>
      <c r="AL1505" s="7" t="str">
        <f>HYPERLINK("http://dx.doi.org/10.1007/s00442-014-2969-8","http://dx.doi.org/10.1007/s00442-014-2969-8")</f>
        <v>http://dx.doi.org/10.1007/s00442-014-2969-8</v>
      </c>
      <c r="AM1505" s="5">
        <v>17</v>
      </c>
      <c r="AN1505" s="5">
        <v>19</v>
      </c>
      <c r="AO1505" s="5">
        <v>175</v>
      </c>
      <c r="AP1505" s="5">
        <v>4</v>
      </c>
      <c r="AQ1505" s="5">
        <v>1143</v>
      </c>
      <c r="AR1505" s="5">
        <v>1153</v>
      </c>
      <c r="AS1505" s="5" t="s">
        <v>16</v>
      </c>
      <c r="AT1505" s="5" t="s">
        <v>9037</v>
      </c>
      <c r="AU1505" s="5" t="s">
        <v>9038</v>
      </c>
      <c r="AV1505" s="5" t="s">
        <v>9040</v>
      </c>
    </row>
    <row r="1506" spans="1:48" ht="45" customHeight="1" x14ac:dyDescent="0.15">
      <c r="A1506" s="5" t="s">
        <v>9041</v>
      </c>
      <c r="B1506" s="5">
        <v>2021</v>
      </c>
      <c r="C1506" s="5" t="s">
        <v>9042</v>
      </c>
      <c r="D1506" s="5" t="s">
        <v>18</v>
      </c>
      <c r="E1506" s="5" t="s">
        <v>18453</v>
      </c>
      <c r="F1506" s="5" t="s">
        <v>9044</v>
      </c>
      <c r="G1506" s="5"/>
      <c r="H1506" s="5"/>
      <c r="I1506" s="5"/>
      <c r="J1506" s="5"/>
      <c r="K1506" s="5"/>
      <c r="L1506" s="5"/>
      <c r="M1506" s="5"/>
      <c r="N1506" s="5"/>
      <c r="O1506" s="5"/>
      <c r="P1506" s="5"/>
      <c r="Q1506" s="5"/>
      <c r="AL1506" s="7" t="str">
        <f>HYPERLINK("http://dx.doi.org/10.1002/ecs2.3439","http://dx.doi.org/10.1002/ecs2.3439")</f>
        <v>http://dx.doi.org/10.1002/ecs2.3439</v>
      </c>
      <c r="AM1506" s="5">
        <v>2</v>
      </c>
      <c r="AN1506" s="5">
        <v>2</v>
      </c>
      <c r="AO1506" s="5">
        <v>12</v>
      </c>
      <c r="AP1506" s="5">
        <v>3</v>
      </c>
      <c r="AQ1506" s="5" t="s">
        <v>16</v>
      </c>
      <c r="AR1506" s="5" t="s">
        <v>16</v>
      </c>
      <c r="AS1506" s="5" t="s">
        <v>9045</v>
      </c>
      <c r="AT1506" s="5" t="s">
        <v>9043</v>
      </c>
      <c r="AU1506" s="5" t="s">
        <v>16</v>
      </c>
      <c r="AV1506" s="5" t="s">
        <v>9046</v>
      </c>
    </row>
    <row r="1507" spans="1:48" ht="45" customHeight="1" x14ac:dyDescent="0.15">
      <c r="A1507" s="5" t="s">
        <v>9047</v>
      </c>
      <c r="B1507" s="5">
        <v>2012</v>
      </c>
      <c r="C1507" s="5" t="s">
        <v>9048</v>
      </c>
      <c r="D1507" s="5" t="s">
        <v>49</v>
      </c>
      <c r="E1507" s="5" t="s">
        <v>18453</v>
      </c>
      <c r="F1507" s="5" t="s">
        <v>9051</v>
      </c>
      <c r="G1507" s="5"/>
      <c r="H1507" s="5"/>
      <c r="I1507" s="5"/>
      <c r="J1507" s="5"/>
      <c r="K1507" s="5"/>
      <c r="L1507" s="5"/>
      <c r="M1507" s="5"/>
      <c r="N1507" s="5"/>
      <c r="O1507" s="5"/>
      <c r="P1507" s="5"/>
      <c r="Q1507" s="5"/>
      <c r="AL1507" s="7" t="str">
        <f>HYPERLINK("http://dx.doi.org/10.3354/meps09627","http://dx.doi.org/10.3354/meps09627")</f>
        <v>http://dx.doi.org/10.3354/meps09627</v>
      </c>
      <c r="AM1507" s="5">
        <v>21</v>
      </c>
      <c r="AN1507" s="5">
        <v>24</v>
      </c>
      <c r="AO1507" s="5">
        <v>454</v>
      </c>
      <c r="AP1507" s="5" t="s">
        <v>16</v>
      </c>
      <c r="AQ1507" s="5">
        <v>183</v>
      </c>
      <c r="AR1507" s="5">
        <v>196</v>
      </c>
      <c r="AS1507" s="5" t="s">
        <v>16</v>
      </c>
      <c r="AT1507" s="5" t="s">
        <v>9049</v>
      </c>
      <c r="AU1507" s="5" t="s">
        <v>9050</v>
      </c>
      <c r="AV1507" s="5" t="s">
        <v>9052</v>
      </c>
    </row>
    <row r="1508" spans="1:48" ht="45" customHeight="1" x14ac:dyDescent="0.15">
      <c r="A1508" s="5" t="s">
        <v>9053</v>
      </c>
      <c r="B1508" s="5">
        <v>2007</v>
      </c>
      <c r="C1508" s="5" t="s">
        <v>9054</v>
      </c>
      <c r="D1508" s="5" t="s">
        <v>82</v>
      </c>
      <c r="E1508" s="5" t="s">
        <v>18453</v>
      </c>
      <c r="F1508" s="5" t="s">
        <v>9057</v>
      </c>
      <c r="G1508" s="5"/>
      <c r="H1508" s="5"/>
      <c r="I1508" s="5"/>
      <c r="J1508" s="5"/>
      <c r="K1508" s="5"/>
      <c r="L1508" s="5"/>
      <c r="M1508" s="5"/>
      <c r="N1508" s="5"/>
      <c r="O1508" s="5"/>
      <c r="P1508" s="5"/>
      <c r="Q1508" s="5"/>
      <c r="AL1508" s="7" t="str">
        <f>HYPERLINK("http://dx.doi.org/10.1890/06-1232.1","http://dx.doi.org/10.1890/06-1232.1")</f>
        <v>http://dx.doi.org/10.1890/06-1232.1</v>
      </c>
      <c r="AM1508" s="5">
        <v>75</v>
      </c>
      <c r="AN1508" s="5">
        <v>81</v>
      </c>
      <c r="AO1508" s="5">
        <v>17</v>
      </c>
      <c r="AP1508" s="5">
        <v>5</v>
      </c>
      <c r="AQ1508" s="5">
        <v>1484</v>
      </c>
      <c r="AR1508" s="5">
        <v>1498</v>
      </c>
      <c r="AS1508" s="5" t="s">
        <v>16</v>
      </c>
      <c r="AT1508" s="5" t="s">
        <v>9055</v>
      </c>
      <c r="AU1508" s="5" t="s">
        <v>9056</v>
      </c>
      <c r="AV1508" s="5" t="s">
        <v>9058</v>
      </c>
    </row>
    <row r="1509" spans="1:48" ht="45" customHeight="1" x14ac:dyDescent="0.15">
      <c r="A1509" s="5" t="s">
        <v>9059</v>
      </c>
      <c r="B1509" s="5">
        <v>2021</v>
      </c>
      <c r="C1509" s="5" t="s">
        <v>9060</v>
      </c>
      <c r="D1509" s="5" t="s">
        <v>2087</v>
      </c>
      <c r="E1509" s="5" t="s">
        <v>18453</v>
      </c>
      <c r="F1509" s="5" t="s">
        <v>9063</v>
      </c>
      <c r="G1509" s="5"/>
      <c r="H1509" s="5"/>
      <c r="I1509" s="5"/>
      <c r="J1509" s="5"/>
      <c r="K1509" s="5"/>
      <c r="L1509" s="5"/>
      <c r="M1509" s="5"/>
      <c r="N1509" s="5"/>
      <c r="O1509" s="5"/>
      <c r="P1509" s="5"/>
      <c r="Q1509" s="5"/>
      <c r="AL1509" s="7" t="str">
        <f>HYPERLINK("http://dx.doi.org/10.1002/eco.2297","http://dx.doi.org/10.1002/eco.2297")</f>
        <v>http://dx.doi.org/10.1002/eco.2297</v>
      </c>
      <c r="AM1509" s="5">
        <v>5</v>
      </c>
      <c r="AN1509" s="5">
        <v>5</v>
      </c>
      <c r="AO1509" s="5">
        <v>14</v>
      </c>
      <c r="AP1509" s="5">
        <v>5</v>
      </c>
      <c r="AQ1509" s="5" t="s">
        <v>16</v>
      </c>
      <c r="AR1509" s="5" t="s">
        <v>16</v>
      </c>
      <c r="AS1509" s="5" t="s">
        <v>9064</v>
      </c>
      <c r="AT1509" s="5" t="s">
        <v>9061</v>
      </c>
      <c r="AU1509" s="5" t="s">
        <v>9062</v>
      </c>
      <c r="AV1509" s="5" t="s">
        <v>9065</v>
      </c>
    </row>
    <row r="1510" spans="1:48" ht="45" customHeight="1" x14ac:dyDescent="0.15">
      <c r="A1510" s="5" t="s">
        <v>9066</v>
      </c>
      <c r="B1510" s="5">
        <v>2005</v>
      </c>
      <c r="C1510" s="5" t="s">
        <v>9067</v>
      </c>
      <c r="D1510" s="5" t="s">
        <v>172</v>
      </c>
      <c r="E1510" s="5" t="s">
        <v>18453</v>
      </c>
      <c r="F1510" s="5" t="s">
        <v>9070</v>
      </c>
      <c r="G1510" s="5"/>
      <c r="H1510" s="5"/>
      <c r="I1510" s="5"/>
      <c r="J1510" s="5"/>
      <c r="K1510" s="5"/>
      <c r="L1510" s="5"/>
      <c r="M1510" s="5"/>
      <c r="N1510" s="5"/>
      <c r="O1510" s="5"/>
      <c r="P1510" s="5"/>
      <c r="Q1510" s="5"/>
      <c r="AL1510" s="7" t="str">
        <f>HYPERLINK("http://dx.doi.org/10.1007/s00442-005-0181-6","http://dx.doi.org/10.1007/s00442-005-0181-6")</f>
        <v>http://dx.doi.org/10.1007/s00442-005-0181-6</v>
      </c>
      <c r="AM1510" s="5">
        <v>64</v>
      </c>
      <c r="AN1510" s="5">
        <v>64</v>
      </c>
      <c r="AO1510" s="5">
        <v>146</v>
      </c>
      <c r="AP1510" s="5">
        <v>1</v>
      </c>
      <c r="AQ1510" s="5">
        <v>148</v>
      </c>
      <c r="AR1510" s="5">
        <v>156</v>
      </c>
      <c r="AS1510" s="5" t="s">
        <v>16</v>
      </c>
      <c r="AT1510" s="5" t="s">
        <v>9068</v>
      </c>
      <c r="AU1510" s="5" t="s">
        <v>9069</v>
      </c>
      <c r="AV1510" s="5" t="s">
        <v>9071</v>
      </c>
    </row>
    <row r="1511" spans="1:48" ht="45" customHeight="1" x14ac:dyDescent="0.15">
      <c r="A1511" s="5" t="s">
        <v>9072</v>
      </c>
      <c r="B1511" s="5">
        <v>2002</v>
      </c>
      <c r="C1511" s="5" t="s">
        <v>9073</v>
      </c>
      <c r="D1511" s="5" t="s">
        <v>172</v>
      </c>
      <c r="E1511" s="5" t="s">
        <v>18453</v>
      </c>
      <c r="F1511" s="5" t="s">
        <v>9076</v>
      </c>
      <c r="G1511" s="5"/>
      <c r="H1511" s="5"/>
      <c r="I1511" s="5"/>
      <c r="J1511" s="5"/>
      <c r="K1511" s="5"/>
      <c r="L1511" s="5"/>
      <c r="M1511" s="5"/>
      <c r="N1511" s="5"/>
      <c r="O1511" s="5"/>
      <c r="P1511" s="5"/>
      <c r="Q1511" s="5"/>
      <c r="AL1511" s="7" t="str">
        <f>HYPERLINK("http://dx.doi.org/10.1007/s00442-002-1008-3","http://dx.doi.org/10.1007/s00442-002-1008-3")</f>
        <v>http://dx.doi.org/10.1007/s00442-002-1008-3</v>
      </c>
      <c r="AM1511" s="5">
        <v>102</v>
      </c>
      <c r="AN1511" s="5">
        <v>103</v>
      </c>
      <c r="AO1511" s="5">
        <v>133</v>
      </c>
      <c r="AP1511" s="5">
        <v>1</v>
      </c>
      <c r="AQ1511" s="5">
        <v>1</v>
      </c>
      <c r="AR1511" s="5">
        <v>9</v>
      </c>
      <c r="AS1511" s="5" t="s">
        <v>16</v>
      </c>
      <c r="AT1511" s="5" t="s">
        <v>9074</v>
      </c>
      <c r="AU1511" s="5" t="s">
        <v>9075</v>
      </c>
      <c r="AV1511" s="5" t="s">
        <v>9077</v>
      </c>
    </row>
    <row r="1512" spans="1:48" ht="45" customHeight="1" x14ac:dyDescent="0.15">
      <c r="A1512" s="5" t="s">
        <v>9078</v>
      </c>
      <c r="B1512" s="5">
        <v>2016</v>
      </c>
      <c r="C1512" s="5" t="s">
        <v>9079</v>
      </c>
      <c r="D1512" s="5" t="s">
        <v>18</v>
      </c>
      <c r="E1512" s="5" t="s">
        <v>18453</v>
      </c>
      <c r="F1512" s="5" t="s">
        <v>9082</v>
      </c>
      <c r="G1512" s="5"/>
      <c r="H1512" s="5"/>
      <c r="I1512" s="5"/>
      <c r="J1512" s="5"/>
      <c r="K1512" s="5"/>
      <c r="L1512" s="5"/>
      <c r="M1512" s="5"/>
      <c r="N1512" s="5"/>
      <c r="O1512" s="5"/>
      <c r="P1512" s="5"/>
      <c r="Q1512" s="5"/>
      <c r="AL1512" s="7" t="str">
        <f>HYPERLINK("http://dx.doi.org/10.1002/ecs2.1531","http://dx.doi.org/10.1002/ecs2.1531")</f>
        <v>http://dx.doi.org/10.1002/ecs2.1531</v>
      </c>
      <c r="AM1512" s="5">
        <v>26</v>
      </c>
      <c r="AN1512" s="5">
        <v>26</v>
      </c>
      <c r="AO1512" s="5">
        <v>7</v>
      </c>
      <c r="AP1512" s="5">
        <v>10</v>
      </c>
      <c r="AQ1512" s="5" t="s">
        <v>16</v>
      </c>
      <c r="AR1512" s="5" t="s">
        <v>16</v>
      </c>
      <c r="AS1512" s="5" t="s">
        <v>9083</v>
      </c>
      <c r="AT1512" s="5" t="s">
        <v>9080</v>
      </c>
      <c r="AU1512" s="5" t="s">
        <v>9081</v>
      </c>
      <c r="AV1512" s="5" t="s">
        <v>9084</v>
      </c>
    </row>
    <row r="1513" spans="1:48" ht="45" customHeight="1" x14ac:dyDescent="0.15">
      <c r="A1513" s="5" t="s">
        <v>9085</v>
      </c>
      <c r="B1513" s="5">
        <v>2014</v>
      </c>
      <c r="C1513" s="5" t="s">
        <v>9086</v>
      </c>
      <c r="D1513" s="5" t="s">
        <v>49</v>
      </c>
      <c r="E1513" s="5" t="s">
        <v>18453</v>
      </c>
      <c r="F1513" s="5" t="s">
        <v>9089</v>
      </c>
      <c r="G1513" s="5"/>
      <c r="H1513" s="5"/>
      <c r="I1513" s="5"/>
      <c r="J1513" s="5"/>
      <c r="K1513" s="5"/>
      <c r="L1513" s="5"/>
      <c r="M1513" s="5"/>
      <c r="N1513" s="5"/>
      <c r="O1513" s="5"/>
      <c r="P1513" s="5"/>
      <c r="Q1513" s="5"/>
      <c r="AL1513" s="7" t="str">
        <f>HYPERLINK("http://dx.doi.org/10.3354/meps10578","http://dx.doi.org/10.3354/meps10578")</f>
        <v>http://dx.doi.org/10.3354/meps10578</v>
      </c>
      <c r="AM1513" s="5">
        <v>55</v>
      </c>
      <c r="AN1513" s="5">
        <v>57</v>
      </c>
      <c r="AO1513" s="5">
        <v>497</v>
      </c>
      <c r="AP1513" s="5" t="s">
        <v>16</v>
      </c>
      <c r="AQ1513" s="5">
        <v>285</v>
      </c>
      <c r="AR1513" s="5" t="s">
        <v>260</v>
      </c>
      <c r="AS1513" s="5" t="s">
        <v>16</v>
      </c>
      <c r="AT1513" s="5" t="s">
        <v>9087</v>
      </c>
      <c r="AU1513" s="5" t="s">
        <v>9088</v>
      </c>
      <c r="AV1513" s="5" t="s">
        <v>9090</v>
      </c>
    </row>
    <row r="1514" spans="1:48" ht="45" customHeight="1" x14ac:dyDescent="0.15">
      <c r="A1514" s="5" t="s">
        <v>9091</v>
      </c>
      <c r="B1514" s="5">
        <v>2020</v>
      </c>
      <c r="C1514" s="5" t="s">
        <v>9092</v>
      </c>
      <c r="D1514" s="5" t="s">
        <v>49</v>
      </c>
      <c r="E1514" s="5" t="s">
        <v>18453</v>
      </c>
      <c r="F1514" s="5" t="s">
        <v>9095</v>
      </c>
      <c r="G1514" s="5"/>
      <c r="H1514" s="5"/>
      <c r="I1514" s="5"/>
      <c r="J1514" s="5"/>
      <c r="K1514" s="5"/>
      <c r="L1514" s="5"/>
      <c r="M1514" s="5"/>
      <c r="N1514" s="5"/>
      <c r="O1514" s="5"/>
      <c r="P1514" s="5"/>
      <c r="Q1514" s="5"/>
      <c r="AL1514" s="7" t="str">
        <f>HYPERLINK("http://dx.doi.org/10.3354/meps13210","http://dx.doi.org/10.3354/meps13210")</f>
        <v>http://dx.doi.org/10.3354/meps13210</v>
      </c>
      <c r="AM1514" s="5">
        <v>7</v>
      </c>
      <c r="AN1514" s="5">
        <v>7</v>
      </c>
      <c r="AO1514" s="5">
        <v>635</v>
      </c>
      <c r="AP1514" s="5" t="s">
        <v>16</v>
      </c>
      <c r="AQ1514" s="5">
        <v>105</v>
      </c>
      <c r="AR1514" s="5">
        <v>122</v>
      </c>
      <c r="AS1514" s="5" t="s">
        <v>16</v>
      </c>
      <c r="AT1514" s="5" t="s">
        <v>9093</v>
      </c>
      <c r="AU1514" s="5" t="s">
        <v>9094</v>
      </c>
      <c r="AV1514" s="5" t="s">
        <v>9096</v>
      </c>
    </row>
    <row r="1515" spans="1:48" ht="45" customHeight="1" x14ac:dyDescent="0.15">
      <c r="A1515" s="5" t="s">
        <v>9097</v>
      </c>
      <c r="B1515" s="5">
        <v>2016</v>
      </c>
      <c r="C1515" s="5" t="s">
        <v>9098</v>
      </c>
      <c r="D1515" s="5" t="s">
        <v>27</v>
      </c>
      <c r="E1515" s="5" t="s">
        <v>18453</v>
      </c>
      <c r="F1515" s="5" t="s">
        <v>9101</v>
      </c>
      <c r="G1515" s="5"/>
      <c r="H1515" s="5"/>
      <c r="I1515" s="5"/>
      <c r="J1515" s="5"/>
      <c r="K1515" s="5"/>
      <c r="L1515" s="5"/>
      <c r="M1515" s="5"/>
      <c r="N1515" s="5"/>
      <c r="O1515" s="5"/>
      <c r="P1515" s="5"/>
      <c r="Q1515" s="5"/>
      <c r="AL1515" s="7" t="str">
        <f>HYPERLINK("http://dx.doi.org/10.1890/15-0551.1","http://dx.doi.org/10.1890/15-0551.1")</f>
        <v>http://dx.doi.org/10.1890/15-0551.1</v>
      </c>
      <c r="AM1515" s="5">
        <v>34</v>
      </c>
      <c r="AN1515" s="5">
        <v>36</v>
      </c>
      <c r="AO1515" s="5">
        <v>97</v>
      </c>
      <c r="AP1515" s="5">
        <v>1</v>
      </c>
      <c r="AQ1515" s="5">
        <v>160</v>
      </c>
      <c r="AR1515" s="5">
        <v>170</v>
      </c>
      <c r="AS1515" s="5" t="s">
        <v>16</v>
      </c>
      <c r="AT1515" s="5" t="s">
        <v>9099</v>
      </c>
      <c r="AU1515" s="5" t="s">
        <v>9100</v>
      </c>
      <c r="AV1515" s="5" t="s">
        <v>9102</v>
      </c>
    </row>
    <row r="1516" spans="1:48" ht="45" customHeight="1" x14ac:dyDescent="0.15">
      <c r="A1516" s="5" t="s">
        <v>9103</v>
      </c>
      <c r="B1516" s="5">
        <v>2019</v>
      </c>
      <c r="C1516" s="5" t="s">
        <v>9104</v>
      </c>
      <c r="D1516" s="5" t="s">
        <v>2087</v>
      </c>
      <c r="E1516" s="5" t="s">
        <v>18453</v>
      </c>
      <c r="F1516" s="5" t="s">
        <v>9107</v>
      </c>
      <c r="G1516" s="5"/>
      <c r="H1516" s="5"/>
      <c r="I1516" s="5"/>
      <c r="J1516" s="5"/>
      <c r="K1516" s="5"/>
      <c r="L1516" s="5"/>
      <c r="M1516" s="5"/>
      <c r="N1516" s="5"/>
      <c r="O1516" s="5"/>
      <c r="P1516" s="5"/>
      <c r="Q1516" s="5"/>
      <c r="AL1516" s="7" t="str">
        <f>HYPERLINK("http://dx.doi.org/10.1002/eco.2085","http://dx.doi.org/10.1002/eco.2085")</f>
        <v>http://dx.doi.org/10.1002/eco.2085</v>
      </c>
      <c r="AM1516" s="5">
        <v>9</v>
      </c>
      <c r="AN1516" s="5">
        <v>12</v>
      </c>
      <c r="AO1516" s="5">
        <v>12</v>
      </c>
      <c r="AP1516" s="5">
        <v>4</v>
      </c>
      <c r="AQ1516" s="5" t="s">
        <v>16</v>
      </c>
      <c r="AR1516" s="5" t="s">
        <v>16</v>
      </c>
      <c r="AS1516" s="5" t="s">
        <v>9108</v>
      </c>
      <c r="AT1516" s="5" t="s">
        <v>9105</v>
      </c>
      <c r="AU1516" s="5" t="s">
        <v>9106</v>
      </c>
      <c r="AV1516" s="5" t="s">
        <v>9109</v>
      </c>
    </row>
    <row r="1517" spans="1:48" ht="45" customHeight="1" x14ac:dyDescent="0.15">
      <c r="A1517" s="5" t="s">
        <v>9110</v>
      </c>
      <c r="B1517" s="5">
        <v>2000</v>
      </c>
      <c r="C1517" s="5" t="s">
        <v>9111</v>
      </c>
      <c r="D1517" s="5" t="s">
        <v>27</v>
      </c>
      <c r="E1517" s="5" t="s">
        <v>18453</v>
      </c>
      <c r="F1517" s="5" t="s">
        <v>9114</v>
      </c>
      <c r="G1517" s="5"/>
      <c r="H1517" s="5"/>
      <c r="I1517" s="5"/>
      <c r="J1517" s="5"/>
      <c r="K1517" s="5"/>
      <c r="L1517" s="5"/>
      <c r="M1517" s="5"/>
      <c r="N1517" s="5"/>
      <c r="O1517" s="5"/>
      <c r="P1517" s="5"/>
      <c r="Q1517" s="5"/>
      <c r="AL1517" s="7" t="str">
        <f>HYPERLINK("http://dx.doi.org/10.1890/0012-9658(2000)081[1108:CCOFSC]2.0.CO;2","http://dx.doi.org/10.1890/0012-9658(2000)081[1108:CCOFSC]2.0.CO;2")</f>
        <v>http://dx.doi.org/10.1890/0012-9658(2000)081[1108:CCOFSC]2.0.CO;2</v>
      </c>
      <c r="AM1517" s="5">
        <v>139</v>
      </c>
      <c r="AN1517" s="5">
        <v>147</v>
      </c>
      <c r="AO1517" s="5">
        <v>81</v>
      </c>
      <c r="AP1517" s="5">
        <v>4</v>
      </c>
      <c r="AQ1517" s="5">
        <v>1108</v>
      </c>
      <c r="AR1517" s="5">
        <v>1119</v>
      </c>
      <c r="AS1517" s="5" t="s">
        <v>16</v>
      </c>
      <c r="AT1517" s="5" t="s">
        <v>9112</v>
      </c>
      <c r="AU1517" s="5" t="s">
        <v>9113</v>
      </c>
      <c r="AV1517" s="5" t="s">
        <v>9115</v>
      </c>
    </row>
    <row r="1518" spans="1:48" ht="45" customHeight="1" x14ac:dyDescent="0.15">
      <c r="A1518" s="5" t="s">
        <v>9116</v>
      </c>
      <c r="B1518" s="5">
        <v>2014</v>
      </c>
      <c r="C1518" s="5" t="s">
        <v>9117</v>
      </c>
      <c r="D1518" s="5" t="s">
        <v>49</v>
      </c>
      <c r="E1518" s="5" t="s">
        <v>18453</v>
      </c>
      <c r="F1518" s="5" t="s">
        <v>9120</v>
      </c>
      <c r="G1518" s="5"/>
      <c r="H1518" s="5"/>
      <c r="I1518" s="5"/>
      <c r="J1518" s="5"/>
      <c r="K1518" s="5"/>
      <c r="L1518" s="5"/>
      <c r="M1518" s="5"/>
      <c r="N1518" s="5"/>
      <c r="O1518" s="5"/>
      <c r="P1518" s="5"/>
      <c r="Q1518" s="5"/>
      <c r="AL1518" s="7" t="str">
        <f>HYPERLINK("http://dx.doi.org/10.3354/meps10655","http://dx.doi.org/10.3354/meps10655")</f>
        <v>http://dx.doi.org/10.3354/meps10655</v>
      </c>
      <c r="AM1518" s="5">
        <v>44</v>
      </c>
      <c r="AN1518" s="5">
        <v>44</v>
      </c>
      <c r="AO1518" s="5">
        <v>502</v>
      </c>
      <c r="AP1518" s="5" t="s">
        <v>16</v>
      </c>
      <c r="AQ1518" s="5">
        <v>267</v>
      </c>
      <c r="AR1518" s="5">
        <v>279</v>
      </c>
      <c r="AS1518" s="5" t="s">
        <v>16</v>
      </c>
      <c r="AT1518" s="5" t="s">
        <v>9118</v>
      </c>
      <c r="AU1518" s="5" t="s">
        <v>9119</v>
      </c>
      <c r="AV1518" s="5" t="s">
        <v>9121</v>
      </c>
    </row>
    <row r="1519" spans="1:48" ht="45" customHeight="1" x14ac:dyDescent="0.15">
      <c r="A1519" s="5" t="s">
        <v>9122</v>
      </c>
      <c r="B1519" s="5">
        <v>2012</v>
      </c>
      <c r="C1519" s="5" t="s">
        <v>9123</v>
      </c>
      <c r="D1519" s="5" t="s">
        <v>33</v>
      </c>
      <c r="E1519" s="5" t="s">
        <v>18453</v>
      </c>
      <c r="F1519" s="5" t="s">
        <v>9126</v>
      </c>
      <c r="G1519" s="5"/>
      <c r="H1519" s="5"/>
      <c r="I1519" s="5"/>
      <c r="J1519" s="5"/>
      <c r="K1519" s="5"/>
      <c r="L1519" s="5"/>
      <c r="M1519" s="5"/>
      <c r="N1519" s="5"/>
      <c r="O1519" s="5"/>
      <c r="P1519" s="5"/>
      <c r="Q1519" s="5"/>
      <c r="AL1519" s="7" t="str">
        <f>HYPERLINK("http://dx.doi.org/10.1111/j.1365-2486.2011.02494.x","http://dx.doi.org/10.1111/j.1365-2486.2011.02494.x")</f>
        <v>http://dx.doi.org/10.1111/j.1365-2486.2011.02494.x</v>
      </c>
      <c r="AM1519" s="5">
        <v>132</v>
      </c>
      <c r="AN1519" s="5">
        <v>149</v>
      </c>
      <c r="AO1519" s="5">
        <v>18</v>
      </c>
      <c r="AP1519" s="5">
        <v>1</v>
      </c>
      <c r="AQ1519" s="5">
        <v>311</v>
      </c>
      <c r="AR1519" s="5">
        <v>321</v>
      </c>
      <c r="AS1519" s="5" t="s">
        <v>16</v>
      </c>
      <c r="AT1519" s="5" t="s">
        <v>9124</v>
      </c>
      <c r="AU1519" s="5" t="s">
        <v>9125</v>
      </c>
      <c r="AV1519" s="5" t="s">
        <v>9127</v>
      </c>
    </row>
    <row r="1520" spans="1:48" ht="45" customHeight="1" x14ac:dyDescent="0.15">
      <c r="A1520" s="5" t="s">
        <v>9128</v>
      </c>
      <c r="B1520" s="5">
        <v>2014</v>
      </c>
      <c r="C1520" s="5" t="s">
        <v>9129</v>
      </c>
      <c r="D1520" s="5" t="s">
        <v>15</v>
      </c>
      <c r="E1520" s="5" t="s">
        <v>18453</v>
      </c>
      <c r="F1520" s="5" t="s">
        <v>9132</v>
      </c>
      <c r="G1520" s="5"/>
      <c r="H1520" s="5"/>
      <c r="I1520" s="5"/>
      <c r="J1520" s="5"/>
      <c r="K1520" s="5"/>
      <c r="L1520" s="5"/>
      <c r="M1520" s="5"/>
      <c r="N1520" s="5"/>
      <c r="O1520" s="5"/>
      <c r="P1520" s="5"/>
      <c r="Q1520" s="5"/>
      <c r="AL1520" s="7" t="str">
        <f>HYPERLINK("http://dx.doi.org/10.1002/ece3.905","http://dx.doi.org/10.1002/ece3.905")</f>
        <v>http://dx.doi.org/10.1002/ece3.905</v>
      </c>
      <c r="AM1520" s="5">
        <v>38</v>
      </c>
      <c r="AN1520" s="5">
        <v>39</v>
      </c>
      <c r="AO1520" s="5">
        <v>4</v>
      </c>
      <c r="AP1520" s="5">
        <v>1</v>
      </c>
      <c r="AQ1520" s="5">
        <v>1</v>
      </c>
      <c r="AR1520" s="5">
        <v>13</v>
      </c>
      <c r="AS1520" s="5" t="s">
        <v>16</v>
      </c>
      <c r="AT1520" s="5" t="s">
        <v>9130</v>
      </c>
      <c r="AU1520" s="5" t="s">
        <v>9131</v>
      </c>
      <c r="AV1520" s="5" t="s">
        <v>9133</v>
      </c>
    </row>
    <row r="1521" spans="1:48" ht="45" customHeight="1" x14ac:dyDescent="0.15">
      <c r="A1521" s="5" t="s">
        <v>9134</v>
      </c>
      <c r="B1521" s="5">
        <v>2004</v>
      </c>
      <c r="C1521" s="5" t="s">
        <v>9135</v>
      </c>
      <c r="D1521" s="5" t="s">
        <v>33</v>
      </c>
      <c r="E1521" s="5" t="s">
        <v>18453</v>
      </c>
      <c r="F1521" s="5" t="s">
        <v>9138</v>
      </c>
      <c r="G1521" s="5"/>
      <c r="H1521" s="5"/>
      <c r="I1521" s="5"/>
      <c r="J1521" s="5"/>
      <c r="K1521" s="5"/>
      <c r="L1521" s="5"/>
      <c r="M1521" s="5"/>
      <c r="N1521" s="5"/>
      <c r="O1521" s="5"/>
      <c r="P1521" s="5"/>
      <c r="Q1521" s="5"/>
      <c r="AL1521" s="7" t="str">
        <f>HYPERLINK("http://dx.doi.org/10.1111/j.1365-2486.2003.00702.x","http://dx.doi.org/10.1111/j.1365-2486.2003.00702.x")</f>
        <v>http://dx.doi.org/10.1111/j.1365-2486.2003.00702.x</v>
      </c>
      <c r="AM1521" s="5">
        <v>209</v>
      </c>
      <c r="AN1521" s="5">
        <v>231</v>
      </c>
      <c r="AO1521" s="5">
        <v>10</v>
      </c>
      <c r="AP1521" s="5">
        <v>3</v>
      </c>
      <c r="AQ1521" s="5">
        <v>350</v>
      </c>
      <c r="AR1521" s="5">
        <v>358</v>
      </c>
      <c r="AS1521" s="5" t="s">
        <v>16</v>
      </c>
      <c r="AT1521" s="5" t="s">
        <v>9136</v>
      </c>
      <c r="AU1521" s="5" t="s">
        <v>9137</v>
      </c>
      <c r="AV1521" s="5" t="s">
        <v>9139</v>
      </c>
    </row>
    <row r="1522" spans="1:48" ht="45" customHeight="1" x14ac:dyDescent="0.15">
      <c r="A1522" s="5" t="s">
        <v>9140</v>
      </c>
      <c r="B1522" s="5">
        <v>2022</v>
      </c>
      <c r="C1522" s="5" t="s">
        <v>9141</v>
      </c>
      <c r="D1522" s="5" t="s">
        <v>92</v>
      </c>
      <c r="E1522" s="5" t="s">
        <v>18453</v>
      </c>
      <c r="F1522" s="5" t="s">
        <v>9144</v>
      </c>
      <c r="G1522" s="5"/>
      <c r="H1522" s="5"/>
      <c r="I1522" s="5"/>
      <c r="J1522" s="5"/>
      <c r="K1522" s="5"/>
      <c r="L1522" s="5"/>
      <c r="M1522" s="5"/>
      <c r="N1522" s="5"/>
      <c r="O1522" s="5"/>
      <c r="P1522" s="5"/>
      <c r="Q1522" s="5"/>
      <c r="AL1522" s="7" t="str">
        <f>HYPERLINK("http://dx.doi.org/10.1086/722054","http://dx.doi.org/10.1086/722054")</f>
        <v>http://dx.doi.org/10.1086/722054</v>
      </c>
      <c r="AM1522" s="5">
        <v>0</v>
      </c>
      <c r="AN1522" s="5">
        <v>0</v>
      </c>
      <c r="AO1522" s="5">
        <v>41</v>
      </c>
      <c r="AP1522" s="5">
        <v>4</v>
      </c>
      <c r="AQ1522" s="5">
        <v>626</v>
      </c>
      <c r="AR1522" s="5">
        <v>636</v>
      </c>
      <c r="AS1522" s="5" t="s">
        <v>16</v>
      </c>
      <c r="AT1522" s="5" t="s">
        <v>9142</v>
      </c>
      <c r="AU1522" s="5" t="s">
        <v>9143</v>
      </c>
      <c r="AV1522" s="5" t="s">
        <v>9145</v>
      </c>
    </row>
    <row r="1523" spans="1:48" ht="45" customHeight="1" x14ac:dyDescent="0.15">
      <c r="A1523" s="5" t="s">
        <v>9146</v>
      </c>
      <c r="B1523" s="5">
        <v>2021</v>
      </c>
      <c r="C1523" s="5" t="s">
        <v>9147</v>
      </c>
      <c r="D1523" s="5" t="s">
        <v>44</v>
      </c>
      <c r="E1523" s="5" t="s">
        <v>18453</v>
      </c>
      <c r="F1523" s="5" t="s">
        <v>9150</v>
      </c>
      <c r="G1523" s="5"/>
      <c r="H1523" s="5"/>
      <c r="I1523" s="5"/>
      <c r="J1523" s="5"/>
      <c r="K1523" s="5"/>
      <c r="L1523" s="5"/>
      <c r="M1523" s="5"/>
      <c r="N1523" s="5"/>
      <c r="O1523" s="5"/>
      <c r="P1523" s="5"/>
      <c r="Q1523" s="5"/>
      <c r="AL1523" s="7" t="str">
        <f>HYPERLINK("http://dx.doi.org/10.3389/fevo.2021.581247","http://dx.doi.org/10.3389/fevo.2021.581247")</f>
        <v>http://dx.doi.org/10.3389/fevo.2021.581247</v>
      </c>
      <c r="AM1523" s="5">
        <v>4</v>
      </c>
      <c r="AN1523" s="5">
        <v>4</v>
      </c>
      <c r="AO1523" s="5">
        <v>9</v>
      </c>
      <c r="AP1523" s="5" t="s">
        <v>16</v>
      </c>
      <c r="AQ1523" s="5" t="s">
        <v>16</v>
      </c>
      <c r="AR1523" s="5" t="s">
        <v>16</v>
      </c>
      <c r="AS1523" s="5">
        <v>581247</v>
      </c>
      <c r="AT1523" s="5" t="s">
        <v>9148</v>
      </c>
      <c r="AU1523" s="5" t="s">
        <v>9149</v>
      </c>
      <c r="AV1523" s="5" t="s">
        <v>9151</v>
      </c>
    </row>
    <row r="1524" spans="1:48" ht="45" customHeight="1" x14ac:dyDescent="0.15">
      <c r="A1524" s="5" t="s">
        <v>9152</v>
      </c>
      <c r="B1524" s="5">
        <v>2017</v>
      </c>
      <c r="C1524" s="5" t="s">
        <v>9153</v>
      </c>
      <c r="D1524" s="5" t="s">
        <v>49</v>
      </c>
      <c r="E1524" s="5" t="s">
        <v>18453</v>
      </c>
      <c r="F1524" s="5" t="s">
        <v>9156</v>
      </c>
      <c r="G1524" s="5"/>
      <c r="H1524" s="5"/>
      <c r="I1524" s="5"/>
      <c r="J1524" s="5"/>
      <c r="K1524" s="5"/>
      <c r="L1524" s="5"/>
      <c r="M1524" s="5"/>
      <c r="N1524" s="5"/>
      <c r="O1524" s="5"/>
      <c r="P1524" s="5"/>
      <c r="Q1524" s="5"/>
      <c r="AL1524" s="7" t="str">
        <f>HYPERLINK("http://dx.doi.org/10.3354/meps11995","http://dx.doi.org/10.3354/meps11995")</f>
        <v>http://dx.doi.org/10.3354/meps11995</v>
      </c>
      <c r="AM1524" s="5">
        <v>9</v>
      </c>
      <c r="AN1524" s="5">
        <v>9</v>
      </c>
      <c r="AO1524" s="5">
        <v>565</v>
      </c>
      <c r="AP1524" s="5" t="s">
        <v>16</v>
      </c>
      <c r="AQ1524" s="5">
        <v>181</v>
      </c>
      <c r="AR1524" s="5">
        <v>196</v>
      </c>
      <c r="AS1524" s="5" t="s">
        <v>16</v>
      </c>
      <c r="AT1524" s="5" t="s">
        <v>9154</v>
      </c>
      <c r="AU1524" s="5" t="s">
        <v>9155</v>
      </c>
      <c r="AV1524" s="5" t="s">
        <v>9157</v>
      </c>
    </row>
    <row r="1525" spans="1:48" ht="45" customHeight="1" x14ac:dyDescent="0.15">
      <c r="A1525" s="5" t="s">
        <v>9158</v>
      </c>
      <c r="B1525" s="5">
        <v>2017</v>
      </c>
      <c r="C1525" s="5" t="s">
        <v>9159</v>
      </c>
      <c r="D1525" s="5" t="s">
        <v>6309</v>
      </c>
      <c r="E1525" s="5" t="s">
        <v>18453</v>
      </c>
      <c r="F1525" s="5" t="s">
        <v>9162</v>
      </c>
      <c r="G1525" s="5"/>
      <c r="H1525" s="5"/>
      <c r="I1525" s="5"/>
      <c r="J1525" s="5"/>
      <c r="K1525" s="5"/>
      <c r="L1525" s="5"/>
      <c r="M1525" s="5"/>
      <c r="N1525" s="5"/>
      <c r="O1525" s="5"/>
      <c r="P1525" s="5"/>
      <c r="Q1525" s="5"/>
      <c r="AL1525" s="7" t="str">
        <f>HYPERLINK("http://dx.doi.org/10.1007/s11252-016-0576-7","http://dx.doi.org/10.1007/s11252-016-0576-7")</f>
        <v>http://dx.doi.org/10.1007/s11252-016-0576-7</v>
      </c>
      <c r="AM1525" s="5">
        <v>29</v>
      </c>
      <c r="AN1525" s="5">
        <v>30</v>
      </c>
      <c r="AO1525" s="5">
        <v>20</v>
      </c>
      <c r="AP1525" s="5">
        <v>1</v>
      </c>
      <c r="AQ1525" s="5">
        <v>157</v>
      </c>
      <c r="AR1525" s="5">
        <v>169</v>
      </c>
      <c r="AS1525" s="5" t="s">
        <v>16</v>
      </c>
      <c r="AT1525" s="5" t="s">
        <v>9160</v>
      </c>
      <c r="AU1525" s="5" t="s">
        <v>9161</v>
      </c>
      <c r="AV1525" s="5" t="s">
        <v>9163</v>
      </c>
    </row>
    <row r="1526" spans="1:48" ht="45" customHeight="1" x14ac:dyDescent="0.15">
      <c r="A1526" s="5" t="s">
        <v>9164</v>
      </c>
      <c r="B1526" s="5">
        <v>2017</v>
      </c>
      <c r="C1526" s="5" t="s">
        <v>9165</v>
      </c>
      <c r="D1526" s="5" t="s">
        <v>295</v>
      </c>
      <c r="E1526" s="5" t="s">
        <v>18453</v>
      </c>
      <c r="F1526" s="5" t="s">
        <v>9168</v>
      </c>
      <c r="G1526" s="5"/>
      <c r="H1526" s="5"/>
      <c r="I1526" s="5"/>
      <c r="J1526" s="5"/>
      <c r="K1526" s="5"/>
      <c r="L1526" s="5"/>
      <c r="M1526" s="5"/>
      <c r="N1526" s="5"/>
      <c r="O1526" s="5"/>
      <c r="P1526" s="5"/>
      <c r="Q1526" s="5"/>
      <c r="AL1526" s="7" t="str">
        <f>HYPERLINK("http://dx.doi.org/10.1016/j.jembe.2017.04.007","http://dx.doi.org/10.1016/j.jembe.2017.04.007")</f>
        <v>http://dx.doi.org/10.1016/j.jembe.2017.04.007</v>
      </c>
      <c r="AM1526" s="5">
        <v>13</v>
      </c>
      <c r="AN1526" s="5">
        <v>16</v>
      </c>
      <c r="AO1526" s="5">
        <v>494</v>
      </c>
      <c r="AP1526" s="5" t="s">
        <v>16</v>
      </c>
      <c r="AQ1526" s="5">
        <v>20</v>
      </c>
      <c r="AR1526" s="5">
        <v>31</v>
      </c>
      <c r="AS1526" s="5" t="s">
        <v>16</v>
      </c>
      <c r="AT1526" s="5" t="s">
        <v>9166</v>
      </c>
      <c r="AU1526" s="5" t="s">
        <v>9167</v>
      </c>
      <c r="AV1526" s="5" t="s">
        <v>9169</v>
      </c>
    </row>
    <row r="1527" spans="1:48" ht="45" customHeight="1" x14ac:dyDescent="0.15">
      <c r="A1527" s="5" t="s">
        <v>9170</v>
      </c>
      <c r="B1527" s="5">
        <v>2017</v>
      </c>
      <c r="C1527" s="5" t="s">
        <v>9171</v>
      </c>
      <c r="D1527" s="5" t="s">
        <v>251</v>
      </c>
      <c r="E1527" s="5" t="s">
        <v>18453</v>
      </c>
      <c r="F1527" s="5" t="s">
        <v>9174</v>
      </c>
      <c r="G1527" s="5"/>
      <c r="H1527" s="5"/>
      <c r="I1527" s="5"/>
      <c r="J1527" s="5"/>
      <c r="K1527" s="5"/>
      <c r="L1527" s="5"/>
      <c r="M1527" s="5"/>
      <c r="N1527" s="5"/>
      <c r="O1527" s="5"/>
      <c r="P1527" s="5"/>
      <c r="Q1527" s="5"/>
      <c r="AL1527" s="7" t="str">
        <f>HYPERLINK("http://dx.doi.org/10.1016/j.biocon.2017.09.009","http://dx.doi.org/10.1016/j.biocon.2017.09.009")</f>
        <v>http://dx.doi.org/10.1016/j.biocon.2017.09.009</v>
      </c>
      <c r="AM1527" s="5">
        <v>27</v>
      </c>
      <c r="AN1527" s="5">
        <v>28</v>
      </c>
      <c r="AO1527" s="5">
        <v>215</v>
      </c>
      <c r="AP1527" s="5" t="s">
        <v>16</v>
      </c>
      <c r="AQ1527" s="5">
        <v>72</v>
      </c>
      <c r="AR1527" s="5">
        <v>80</v>
      </c>
      <c r="AS1527" s="5" t="s">
        <v>16</v>
      </c>
      <c r="AT1527" s="5" t="s">
        <v>9172</v>
      </c>
      <c r="AU1527" s="5" t="s">
        <v>9173</v>
      </c>
      <c r="AV1527" s="5" t="s">
        <v>9175</v>
      </c>
    </row>
    <row r="1528" spans="1:48" ht="45" customHeight="1" x14ac:dyDescent="0.15">
      <c r="A1528" s="5" t="s">
        <v>9176</v>
      </c>
      <c r="B1528" s="5">
        <v>2014</v>
      </c>
      <c r="C1528" s="5" t="s">
        <v>9177</v>
      </c>
      <c r="D1528" s="5" t="s">
        <v>49</v>
      </c>
      <c r="E1528" s="5" t="s">
        <v>18453</v>
      </c>
      <c r="F1528" s="5" t="s">
        <v>9180</v>
      </c>
      <c r="G1528" s="5"/>
      <c r="H1528" s="5"/>
      <c r="I1528" s="5"/>
      <c r="J1528" s="5"/>
      <c r="K1528" s="5"/>
      <c r="L1528" s="5"/>
      <c r="M1528" s="5"/>
      <c r="N1528" s="5"/>
      <c r="O1528" s="5"/>
      <c r="P1528" s="5"/>
      <c r="Q1528" s="5"/>
      <c r="AL1528" s="7" t="str">
        <f>HYPERLINK("http://dx.doi.org/10.3354/meps10892","http://dx.doi.org/10.3354/meps10892")</f>
        <v>http://dx.doi.org/10.3354/meps10892</v>
      </c>
      <c r="AM1528" s="5">
        <v>20</v>
      </c>
      <c r="AN1528" s="5">
        <v>20</v>
      </c>
      <c r="AO1528" s="5">
        <v>512</v>
      </c>
      <c r="AP1528" s="5" t="s">
        <v>16</v>
      </c>
      <c r="AQ1528" s="5">
        <v>55</v>
      </c>
      <c r="AR1528" s="5">
        <v>69</v>
      </c>
      <c r="AS1528" s="5" t="s">
        <v>16</v>
      </c>
      <c r="AT1528" s="5" t="s">
        <v>9178</v>
      </c>
      <c r="AU1528" s="5" t="s">
        <v>9179</v>
      </c>
      <c r="AV1528" s="5" t="s">
        <v>9181</v>
      </c>
    </row>
    <row r="1529" spans="1:48" ht="45" customHeight="1" x14ac:dyDescent="0.15">
      <c r="A1529" s="5" t="s">
        <v>9182</v>
      </c>
      <c r="B1529" s="5">
        <v>2016</v>
      </c>
      <c r="C1529" s="5" t="s">
        <v>9183</v>
      </c>
      <c r="D1529" s="5" t="s">
        <v>2087</v>
      </c>
      <c r="E1529" s="5" t="s">
        <v>18453</v>
      </c>
      <c r="F1529" s="5" t="s">
        <v>9186</v>
      </c>
      <c r="G1529" s="5"/>
      <c r="H1529" s="5"/>
      <c r="I1529" s="5"/>
      <c r="J1529" s="5"/>
      <c r="K1529" s="5"/>
      <c r="L1529" s="5"/>
      <c r="M1529" s="5"/>
      <c r="N1529" s="5"/>
      <c r="O1529" s="5"/>
      <c r="P1529" s="5"/>
      <c r="Q1529" s="5"/>
      <c r="AL1529" s="7" t="str">
        <f>HYPERLINK("http://dx.doi.org/10.1002/eco.1672","http://dx.doi.org/10.1002/eco.1672")</f>
        <v>http://dx.doi.org/10.1002/eco.1672</v>
      </c>
      <c r="AM1529" s="5">
        <v>2</v>
      </c>
      <c r="AN1529" s="5">
        <v>3</v>
      </c>
      <c r="AO1529" s="5">
        <v>9</v>
      </c>
      <c r="AP1529" s="5">
        <v>5</v>
      </c>
      <c r="AQ1529" s="5">
        <v>765</v>
      </c>
      <c r="AR1529" s="5">
        <v>772</v>
      </c>
      <c r="AS1529" s="5" t="s">
        <v>16</v>
      </c>
      <c r="AT1529" s="5" t="s">
        <v>9184</v>
      </c>
      <c r="AU1529" s="5" t="s">
        <v>9185</v>
      </c>
      <c r="AV1529" s="5" t="s">
        <v>9187</v>
      </c>
    </row>
    <row r="1530" spans="1:48" ht="45" customHeight="1" x14ac:dyDescent="0.15">
      <c r="A1530" s="5" t="s">
        <v>9188</v>
      </c>
      <c r="B1530" s="5">
        <v>2021</v>
      </c>
      <c r="C1530" s="5" t="s">
        <v>9189</v>
      </c>
      <c r="D1530" s="5" t="s">
        <v>49</v>
      </c>
      <c r="E1530" s="5" t="s">
        <v>18453</v>
      </c>
      <c r="F1530" s="5" t="s">
        <v>9192</v>
      </c>
      <c r="G1530" s="5"/>
      <c r="H1530" s="5"/>
      <c r="I1530" s="5"/>
      <c r="J1530" s="5"/>
      <c r="K1530" s="5"/>
      <c r="L1530" s="5"/>
      <c r="M1530" s="5"/>
      <c r="N1530" s="5"/>
      <c r="O1530" s="5"/>
      <c r="P1530" s="5"/>
      <c r="Q1530" s="5"/>
      <c r="AL1530" s="7" t="str">
        <f>HYPERLINK("http://dx.doi.org/10.3354/meps13671","http://dx.doi.org/10.3354/meps13671")</f>
        <v>http://dx.doi.org/10.3354/meps13671</v>
      </c>
      <c r="AM1530" s="5">
        <v>2</v>
      </c>
      <c r="AN1530" s="5">
        <v>2</v>
      </c>
      <c r="AO1530" s="5">
        <v>666</v>
      </c>
      <c r="AP1530" s="5" t="s">
        <v>16</v>
      </c>
      <c r="AQ1530" s="5">
        <v>183</v>
      </c>
      <c r="AR1530" s="5">
        <v>202</v>
      </c>
      <c r="AS1530" s="5" t="s">
        <v>16</v>
      </c>
      <c r="AT1530" s="5" t="s">
        <v>9190</v>
      </c>
      <c r="AU1530" s="5" t="s">
        <v>9191</v>
      </c>
      <c r="AV1530" s="5" t="s">
        <v>9193</v>
      </c>
    </row>
    <row r="1531" spans="1:48" ht="45" customHeight="1" x14ac:dyDescent="0.15">
      <c r="A1531" s="5" t="s">
        <v>9194</v>
      </c>
      <c r="B1531" s="5">
        <v>2022</v>
      </c>
      <c r="C1531" s="5" t="s">
        <v>9195</v>
      </c>
      <c r="D1531" s="5" t="s">
        <v>2087</v>
      </c>
      <c r="E1531" s="5" t="s">
        <v>18453</v>
      </c>
      <c r="F1531" s="5" t="s">
        <v>9198</v>
      </c>
      <c r="G1531" s="5"/>
      <c r="H1531" s="5"/>
      <c r="I1531" s="5"/>
      <c r="J1531" s="5"/>
      <c r="K1531" s="5"/>
      <c r="L1531" s="5"/>
      <c r="M1531" s="5"/>
      <c r="N1531" s="5"/>
      <c r="O1531" s="5"/>
      <c r="P1531" s="5"/>
      <c r="Q1531" s="5"/>
      <c r="AL1531" s="7" t="str">
        <f>HYPERLINK("http://dx.doi.org/10.1002/eco.2417","http://dx.doi.org/10.1002/eco.2417")</f>
        <v>http://dx.doi.org/10.1002/eco.2417</v>
      </c>
      <c r="AM1531" s="5">
        <v>7</v>
      </c>
      <c r="AN1531" s="5">
        <v>7</v>
      </c>
      <c r="AO1531" s="5">
        <v>15</v>
      </c>
      <c r="AP1531" s="5">
        <v>3</v>
      </c>
      <c r="AQ1531" s="5" t="s">
        <v>16</v>
      </c>
      <c r="AR1531" s="5" t="s">
        <v>16</v>
      </c>
      <c r="AS1531" s="5" t="s">
        <v>9199</v>
      </c>
      <c r="AT1531" s="5" t="s">
        <v>9196</v>
      </c>
      <c r="AU1531" s="5" t="s">
        <v>9197</v>
      </c>
      <c r="AV1531" s="5" t="s">
        <v>9200</v>
      </c>
    </row>
    <row r="1532" spans="1:48" ht="45" customHeight="1" x14ac:dyDescent="0.15">
      <c r="A1532" s="5" t="s">
        <v>9201</v>
      </c>
      <c r="B1532" s="5">
        <v>2014</v>
      </c>
      <c r="C1532" s="5" t="s">
        <v>9202</v>
      </c>
      <c r="D1532" s="5" t="s">
        <v>2087</v>
      </c>
      <c r="E1532" s="5" t="s">
        <v>18453</v>
      </c>
      <c r="F1532" s="5" t="s">
        <v>9205</v>
      </c>
      <c r="G1532" s="5"/>
      <c r="H1532" s="5"/>
      <c r="I1532" s="5"/>
      <c r="J1532" s="5"/>
      <c r="K1532" s="5"/>
      <c r="L1532" s="5"/>
      <c r="M1532" s="5"/>
      <c r="N1532" s="5"/>
      <c r="O1532" s="5"/>
      <c r="P1532" s="5"/>
      <c r="Q1532" s="5"/>
      <c r="AL1532" s="7" t="str">
        <f>HYPERLINK("http://dx.doi.org/10.1002/eco.1420","http://dx.doi.org/10.1002/eco.1420")</f>
        <v>http://dx.doi.org/10.1002/eco.1420</v>
      </c>
      <c r="AM1532" s="5">
        <v>34</v>
      </c>
      <c r="AN1532" s="5">
        <v>36</v>
      </c>
      <c r="AO1532" s="5">
        <v>7</v>
      </c>
      <c r="AP1532" s="5">
        <v>3</v>
      </c>
      <c r="AQ1532" s="5">
        <v>936</v>
      </c>
      <c r="AR1532" s="5">
        <v>949</v>
      </c>
      <c r="AS1532" s="5" t="s">
        <v>16</v>
      </c>
      <c r="AT1532" s="5" t="s">
        <v>9203</v>
      </c>
      <c r="AU1532" s="5" t="s">
        <v>9204</v>
      </c>
      <c r="AV1532" s="5" t="s">
        <v>9206</v>
      </c>
    </row>
    <row r="1533" spans="1:48" ht="45" customHeight="1" x14ac:dyDescent="0.15">
      <c r="A1533" s="5" t="s">
        <v>9207</v>
      </c>
      <c r="B1533" s="5">
        <v>2014</v>
      </c>
      <c r="C1533" s="5" t="s">
        <v>9208</v>
      </c>
      <c r="D1533" s="5" t="s">
        <v>92</v>
      </c>
      <c r="E1533" s="5" t="s">
        <v>18453</v>
      </c>
      <c r="F1533" s="5" t="s">
        <v>9211</v>
      </c>
      <c r="G1533" s="5"/>
      <c r="H1533" s="5"/>
      <c r="I1533" s="5"/>
      <c r="J1533" s="5"/>
      <c r="K1533" s="5"/>
      <c r="L1533" s="5"/>
      <c r="M1533" s="5"/>
      <c r="N1533" s="5"/>
      <c r="O1533" s="5"/>
      <c r="P1533" s="5"/>
      <c r="Q1533" s="5"/>
      <c r="AL1533" s="7" t="str">
        <f>HYPERLINK("http://dx.doi.org/10.1086/677540","http://dx.doi.org/10.1086/677540")</f>
        <v>http://dx.doi.org/10.1086/677540</v>
      </c>
      <c r="AM1533" s="5">
        <v>19</v>
      </c>
      <c r="AN1533" s="5">
        <v>19</v>
      </c>
      <c r="AO1533" s="5">
        <v>33</v>
      </c>
      <c r="AP1533" s="5">
        <v>3</v>
      </c>
      <c r="AQ1533" s="5">
        <v>885</v>
      </c>
      <c r="AR1533" s="5">
        <v>894</v>
      </c>
      <c r="AS1533" s="5" t="s">
        <v>16</v>
      </c>
      <c r="AT1533" s="5" t="s">
        <v>9209</v>
      </c>
      <c r="AU1533" s="5" t="s">
        <v>9210</v>
      </c>
      <c r="AV1533" s="5" t="s">
        <v>9212</v>
      </c>
    </row>
    <row r="1534" spans="1:48" ht="45" customHeight="1" x14ac:dyDescent="0.15">
      <c r="A1534" s="5" t="s">
        <v>9213</v>
      </c>
      <c r="B1534" s="5">
        <v>2011</v>
      </c>
      <c r="C1534" s="5" t="s">
        <v>9214</v>
      </c>
      <c r="D1534" s="5" t="s">
        <v>83</v>
      </c>
      <c r="E1534" s="5" t="s">
        <v>18453</v>
      </c>
      <c r="F1534" s="5" t="s">
        <v>9217</v>
      </c>
      <c r="G1534" s="5"/>
      <c r="H1534" s="5"/>
      <c r="I1534" s="5"/>
      <c r="J1534" s="5"/>
      <c r="K1534" s="5"/>
      <c r="L1534" s="5"/>
      <c r="M1534" s="5"/>
      <c r="N1534" s="5"/>
      <c r="O1534" s="5"/>
      <c r="P1534" s="5"/>
      <c r="Q1534" s="5"/>
      <c r="AL1534" s="7" t="str">
        <f>HYPERLINK("http://dx.doi.org/10.1007/s10646-011-0710-5","http://dx.doi.org/10.1007/s10646-011-0710-5")</f>
        <v>http://dx.doi.org/10.1007/s10646-011-0710-5</v>
      </c>
      <c r="AM1534" s="5">
        <v>18</v>
      </c>
      <c r="AN1534" s="5">
        <v>18</v>
      </c>
      <c r="AO1534" s="5">
        <v>20</v>
      </c>
      <c r="AP1534" s="5">
        <v>8</v>
      </c>
      <c r="AQ1534" s="5">
        <v>1773</v>
      </c>
      <c r="AR1534" s="5">
        <v>1779</v>
      </c>
      <c r="AS1534" s="5" t="s">
        <v>16</v>
      </c>
      <c r="AT1534" s="5" t="s">
        <v>9215</v>
      </c>
      <c r="AU1534" s="5" t="s">
        <v>9216</v>
      </c>
      <c r="AV1534" s="5" t="s">
        <v>9218</v>
      </c>
    </row>
    <row r="1535" spans="1:48" ht="45" customHeight="1" x14ac:dyDescent="0.15">
      <c r="A1535" s="5" t="s">
        <v>9219</v>
      </c>
      <c r="B1535" s="5">
        <v>2021</v>
      </c>
      <c r="C1535" s="5" t="s">
        <v>9220</v>
      </c>
      <c r="D1535" s="5" t="s">
        <v>2976</v>
      </c>
      <c r="E1535" s="5" t="s">
        <v>18453</v>
      </c>
      <c r="F1535" s="5" t="s">
        <v>9223</v>
      </c>
      <c r="G1535" s="5"/>
      <c r="H1535" s="5"/>
      <c r="I1535" s="5"/>
      <c r="J1535" s="5"/>
      <c r="K1535" s="5"/>
      <c r="L1535" s="5"/>
      <c r="M1535" s="5"/>
      <c r="N1535" s="5"/>
      <c r="O1535" s="5"/>
      <c r="P1535" s="5"/>
      <c r="Q1535" s="5"/>
      <c r="AL1535" s="7" t="str">
        <f>HYPERLINK("http://dx.doi.org/10.1016/j.gecco.2020.e01396","http://dx.doi.org/10.1016/j.gecco.2020.e01396")</f>
        <v>http://dx.doi.org/10.1016/j.gecco.2020.e01396</v>
      </c>
      <c r="AM1535" s="5">
        <v>8</v>
      </c>
      <c r="AN1535" s="5">
        <v>8</v>
      </c>
      <c r="AO1535" s="5">
        <v>25</v>
      </c>
      <c r="AP1535" s="5" t="s">
        <v>16</v>
      </c>
      <c r="AQ1535" s="5" t="s">
        <v>16</v>
      </c>
      <c r="AR1535" s="5" t="s">
        <v>16</v>
      </c>
      <c r="AS1535" s="5" t="s">
        <v>9224</v>
      </c>
      <c r="AT1535" s="5" t="s">
        <v>9221</v>
      </c>
      <c r="AU1535" s="5" t="s">
        <v>9222</v>
      </c>
      <c r="AV1535" s="5" t="s">
        <v>9225</v>
      </c>
    </row>
    <row r="1536" spans="1:48" ht="45" customHeight="1" x14ac:dyDescent="0.15">
      <c r="A1536" s="5" t="s">
        <v>9226</v>
      </c>
      <c r="B1536" s="5">
        <v>2011</v>
      </c>
      <c r="C1536" s="5" t="s">
        <v>9227</v>
      </c>
      <c r="D1536" s="5" t="s">
        <v>1109</v>
      </c>
      <c r="E1536" s="5" t="s">
        <v>18453</v>
      </c>
      <c r="F1536" s="5" t="s">
        <v>9230</v>
      </c>
      <c r="G1536" s="5"/>
      <c r="H1536" s="5"/>
      <c r="I1536" s="5"/>
      <c r="J1536" s="5"/>
      <c r="K1536" s="5"/>
      <c r="L1536" s="5"/>
      <c r="M1536" s="5"/>
      <c r="N1536" s="5"/>
      <c r="O1536" s="5"/>
      <c r="P1536" s="5"/>
      <c r="Q1536" s="5"/>
      <c r="AL1536" s="7" t="str">
        <f>HYPERLINK("http://dx.doi.org/10.1017/S0266467411000277","http://dx.doi.org/10.1017/S0266467411000277")</f>
        <v>http://dx.doi.org/10.1017/S0266467411000277</v>
      </c>
      <c r="AM1536" s="5">
        <v>13</v>
      </c>
      <c r="AN1536" s="5">
        <v>14</v>
      </c>
      <c r="AO1536" s="5">
        <v>27</v>
      </c>
      <c r="AP1536" s="5" t="s">
        <v>16</v>
      </c>
      <c r="AQ1536" s="5">
        <v>463</v>
      </c>
      <c r="AR1536" s="5">
        <v>476</v>
      </c>
      <c r="AS1536" s="5" t="s">
        <v>16</v>
      </c>
      <c r="AT1536" s="5" t="s">
        <v>9228</v>
      </c>
      <c r="AU1536" s="5" t="s">
        <v>9229</v>
      </c>
      <c r="AV1536" s="5" t="s">
        <v>9231</v>
      </c>
    </row>
    <row r="1537" spans="1:48" ht="45" customHeight="1" x14ac:dyDescent="0.15">
      <c r="A1537" s="5" t="s">
        <v>9232</v>
      </c>
      <c r="B1537" s="5">
        <v>2021</v>
      </c>
      <c r="C1537" s="5" t="s">
        <v>9233</v>
      </c>
      <c r="D1537" s="5" t="s">
        <v>127</v>
      </c>
      <c r="E1537" s="5" t="s">
        <v>18453</v>
      </c>
      <c r="F1537" s="5" t="s">
        <v>9236</v>
      </c>
      <c r="G1537" s="5"/>
      <c r="H1537" s="5"/>
      <c r="I1537" s="5"/>
      <c r="J1537" s="5"/>
      <c r="K1537" s="5"/>
      <c r="L1537" s="5"/>
      <c r="M1537" s="5"/>
      <c r="N1537" s="5"/>
      <c r="O1537" s="5"/>
      <c r="P1537" s="5"/>
      <c r="Q1537" s="5"/>
      <c r="AL1537" s="7" t="str">
        <f>HYPERLINK("http://dx.doi.org/10.1016/j.polar.2020.100552","http://dx.doi.org/10.1016/j.polar.2020.100552")</f>
        <v>http://dx.doi.org/10.1016/j.polar.2020.100552</v>
      </c>
      <c r="AM1537" s="5">
        <v>5</v>
      </c>
      <c r="AN1537" s="5">
        <v>5</v>
      </c>
      <c r="AO1537" s="5">
        <v>27</v>
      </c>
      <c r="AP1537" s="5" t="s">
        <v>16</v>
      </c>
      <c r="AQ1537" s="5" t="s">
        <v>16</v>
      </c>
      <c r="AR1537" s="5" t="s">
        <v>16</v>
      </c>
      <c r="AS1537" s="5">
        <v>100552</v>
      </c>
      <c r="AT1537" s="5" t="s">
        <v>9234</v>
      </c>
      <c r="AU1537" s="5" t="s">
        <v>9235</v>
      </c>
      <c r="AV1537" s="5" t="s">
        <v>9237</v>
      </c>
    </row>
    <row r="1538" spans="1:48" ht="45" customHeight="1" x14ac:dyDescent="0.15">
      <c r="A1538" s="5" t="s">
        <v>9238</v>
      </c>
      <c r="B1538" s="5">
        <v>2011</v>
      </c>
      <c r="C1538" s="5" t="s">
        <v>9239</v>
      </c>
      <c r="D1538" s="5" t="s">
        <v>259</v>
      </c>
      <c r="E1538" s="5" t="s">
        <v>18453</v>
      </c>
      <c r="F1538" s="5" t="s">
        <v>9242</v>
      </c>
      <c r="G1538" s="5"/>
      <c r="H1538" s="5"/>
      <c r="I1538" s="5"/>
      <c r="J1538" s="5"/>
      <c r="K1538" s="5"/>
      <c r="L1538" s="5"/>
      <c r="M1538" s="5"/>
      <c r="N1538" s="5"/>
      <c r="O1538" s="5"/>
      <c r="P1538" s="5"/>
      <c r="Q1538" s="5"/>
      <c r="AL1538" s="7" t="str">
        <f>HYPERLINK("http://dx.doi.org/10.1002/jwmg.117","http://dx.doi.org/10.1002/jwmg.117")</f>
        <v>http://dx.doi.org/10.1002/jwmg.117</v>
      </c>
      <c r="AM1538" s="5">
        <v>9</v>
      </c>
      <c r="AN1538" s="5">
        <v>9</v>
      </c>
      <c r="AO1538" s="5">
        <v>75</v>
      </c>
      <c r="AP1538" s="5">
        <v>4</v>
      </c>
      <c r="AQ1538" s="5">
        <v>967</v>
      </c>
      <c r="AR1538" s="5">
        <v>972</v>
      </c>
      <c r="AS1538" s="5" t="s">
        <v>16</v>
      </c>
      <c r="AT1538" s="5" t="s">
        <v>9240</v>
      </c>
      <c r="AU1538" s="5" t="s">
        <v>9241</v>
      </c>
      <c r="AV1538" s="5" t="s">
        <v>9243</v>
      </c>
    </row>
    <row r="1539" spans="1:48" ht="45" customHeight="1" x14ac:dyDescent="0.15">
      <c r="A1539" s="5" t="s">
        <v>9244</v>
      </c>
      <c r="B1539" s="5">
        <v>2023</v>
      </c>
      <c r="C1539" s="5" t="s">
        <v>9245</v>
      </c>
      <c r="D1539" s="5" t="s">
        <v>1765</v>
      </c>
      <c r="E1539" s="5" t="s">
        <v>18453</v>
      </c>
      <c r="F1539" s="5" t="s">
        <v>9248</v>
      </c>
      <c r="G1539" s="5"/>
      <c r="H1539" s="5"/>
      <c r="I1539" s="5"/>
      <c r="J1539" s="5"/>
      <c r="K1539" s="5"/>
      <c r="L1539" s="5"/>
      <c r="M1539" s="5"/>
      <c r="N1539" s="5"/>
      <c r="O1539" s="5"/>
      <c r="P1539" s="5"/>
      <c r="Q1539" s="5"/>
      <c r="AL1539" s="7" t="str">
        <f>HYPERLINK("http://dx.doi.org/10.1016/j.agee.2023.108448","http://dx.doi.org/10.1016/j.agee.2023.108448")</f>
        <v>http://dx.doi.org/10.1016/j.agee.2023.108448</v>
      </c>
      <c r="AM1539" s="5">
        <v>0</v>
      </c>
      <c r="AN1539" s="5">
        <v>0</v>
      </c>
      <c r="AO1539" s="5">
        <v>349</v>
      </c>
      <c r="AP1539" s="5" t="s">
        <v>16</v>
      </c>
      <c r="AQ1539" s="5" t="s">
        <v>16</v>
      </c>
      <c r="AR1539" s="5" t="s">
        <v>16</v>
      </c>
      <c r="AS1539" s="5">
        <v>108448</v>
      </c>
      <c r="AT1539" s="5" t="s">
        <v>9246</v>
      </c>
      <c r="AU1539" s="5" t="s">
        <v>9247</v>
      </c>
      <c r="AV1539" s="5" t="s">
        <v>9249</v>
      </c>
    </row>
    <row r="1540" spans="1:48" ht="45" customHeight="1" x14ac:dyDescent="0.15">
      <c r="A1540" s="5" t="s">
        <v>9250</v>
      </c>
      <c r="B1540" s="5">
        <v>2022</v>
      </c>
      <c r="C1540" s="5" t="s">
        <v>9251</v>
      </c>
      <c r="D1540" s="5" t="s">
        <v>44</v>
      </c>
      <c r="E1540" s="5" t="s">
        <v>18453</v>
      </c>
      <c r="F1540" s="5" t="s">
        <v>9254</v>
      </c>
      <c r="G1540" s="5"/>
      <c r="H1540" s="5"/>
      <c r="I1540" s="5"/>
      <c r="J1540" s="5"/>
      <c r="K1540" s="5"/>
      <c r="L1540" s="5"/>
      <c r="M1540" s="5"/>
      <c r="N1540" s="5"/>
      <c r="O1540" s="5"/>
      <c r="P1540" s="5"/>
      <c r="Q1540" s="5"/>
      <c r="AL1540" s="7" t="str">
        <f>HYPERLINK("http://dx.doi.org/10.3389/fevo.2022.1006928","http://dx.doi.org/10.3389/fevo.2022.1006928")</f>
        <v>http://dx.doi.org/10.3389/fevo.2022.1006928</v>
      </c>
      <c r="AM1540" s="5">
        <v>0</v>
      </c>
      <c r="AN1540" s="5">
        <v>0</v>
      </c>
      <c r="AO1540" s="5">
        <v>10</v>
      </c>
      <c r="AP1540" s="5" t="s">
        <v>16</v>
      </c>
      <c r="AQ1540" s="5" t="s">
        <v>16</v>
      </c>
      <c r="AR1540" s="5" t="s">
        <v>16</v>
      </c>
      <c r="AS1540" s="5">
        <v>1006928</v>
      </c>
      <c r="AT1540" s="5" t="s">
        <v>9252</v>
      </c>
      <c r="AU1540" s="5" t="s">
        <v>9253</v>
      </c>
      <c r="AV1540" s="5" t="s">
        <v>9255</v>
      </c>
    </row>
    <row r="1541" spans="1:48" ht="45" customHeight="1" x14ac:dyDescent="0.15">
      <c r="A1541" s="5" t="s">
        <v>1139</v>
      </c>
      <c r="B1541" s="5">
        <v>2007</v>
      </c>
      <c r="C1541" s="5" t="s">
        <v>9256</v>
      </c>
      <c r="D1541" s="5" t="s">
        <v>1445</v>
      </c>
      <c r="E1541" s="5" t="s">
        <v>18453</v>
      </c>
      <c r="F1541" s="5" t="s">
        <v>9258</v>
      </c>
      <c r="G1541" s="5"/>
      <c r="H1541" s="5"/>
      <c r="I1541" s="5"/>
      <c r="J1541" s="5"/>
      <c r="K1541" s="5"/>
      <c r="L1541" s="5"/>
      <c r="M1541" s="5"/>
      <c r="N1541" s="5"/>
      <c r="O1541" s="5"/>
      <c r="P1541" s="5"/>
      <c r="Q1541" s="5"/>
      <c r="AL1541" s="7" t="str">
        <f>HYPERLINK("http://dx.doi.org/10.1080/02705060.2007.9665055","http://dx.doi.org/10.1080/02705060.2007.9665055")</f>
        <v>http://dx.doi.org/10.1080/02705060.2007.9665055</v>
      </c>
      <c r="AM1541" s="5">
        <v>6</v>
      </c>
      <c r="AN1541" s="5">
        <v>7</v>
      </c>
      <c r="AO1541" s="5">
        <v>22</v>
      </c>
      <c r="AP1541" s="5">
        <v>2</v>
      </c>
      <c r="AQ1541" s="5">
        <v>333</v>
      </c>
      <c r="AR1541" s="5">
        <v>338</v>
      </c>
      <c r="AS1541" s="5" t="s">
        <v>16</v>
      </c>
      <c r="AT1541" s="5" t="s">
        <v>16</v>
      </c>
      <c r="AU1541" s="5" t="s">
        <v>9257</v>
      </c>
      <c r="AV1541" s="5" t="s">
        <v>9259</v>
      </c>
    </row>
    <row r="1542" spans="1:48" ht="45" customHeight="1" x14ac:dyDescent="0.15">
      <c r="A1542" s="5" t="s">
        <v>9260</v>
      </c>
      <c r="B1542" s="5">
        <v>2017</v>
      </c>
      <c r="C1542" s="5" t="s">
        <v>9261</v>
      </c>
      <c r="D1542" s="5" t="s">
        <v>217</v>
      </c>
      <c r="E1542" s="5" t="s">
        <v>18453</v>
      </c>
      <c r="F1542" s="5" t="s">
        <v>9264</v>
      </c>
      <c r="G1542" s="5"/>
      <c r="H1542" s="5"/>
      <c r="I1542" s="5"/>
      <c r="J1542" s="5"/>
      <c r="K1542" s="5"/>
      <c r="L1542" s="5"/>
      <c r="M1542" s="5"/>
      <c r="N1542" s="5"/>
      <c r="O1542" s="5"/>
      <c r="P1542" s="5"/>
      <c r="Q1542" s="5"/>
      <c r="AL1542" s="7" t="str">
        <f>HYPERLINK("http://dx.doi.org/10.1111/2041-210X.12651","http://dx.doi.org/10.1111/2041-210X.12651")</f>
        <v>http://dx.doi.org/10.1111/2041-210X.12651</v>
      </c>
      <c r="AM1542" s="5">
        <v>30</v>
      </c>
      <c r="AN1542" s="5">
        <v>31</v>
      </c>
      <c r="AO1542" s="5">
        <v>8</v>
      </c>
      <c r="AP1542" s="5">
        <v>2</v>
      </c>
      <c r="AQ1542" s="5">
        <v>232</v>
      </c>
      <c r="AR1542" s="5">
        <v>240</v>
      </c>
      <c r="AS1542" s="5" t="s">
        <v>16</v>
      </c>
      <c r="AT1542" s="5" t="s">
        <v>9262</v>
      </c>
      <c r="AU1542" s="5" t="s">
        <v>9263</v>
      </c>
      <c r="AV1542" s="5" t="s">
        <v>9265</v>
      </c>
    </row>
    <row r="1543" spans="1:48" ht="45" customHeight="1" x14ac:dyDescent="0.15">
      <c r="A1543" s="5" t="s">
        <v>9266</v>
      </c>
      <c r="B1543" s="5">
        <v>2014</v>
      </c>
      <c r="C1543" s="5" t="s">
        <v>9267</v>
      </c>
      <c r="D1543" s="5" t="s">
        <v>82</v>
      </c>
      <c r="E1543" s="5" t="s">
        <v>18453</v>
      </c>
      <c r="F1543" s="5" t="s">
        <v>9270</v>
      </c>
      <c r="G1543" s="5"/>
      <c r="H1543" s="5"/>
      <c r="I1543" s="5"/>
      <c r="J1543" s="5"/>
      <c r="K1543" s="5"/>
      <c r="L1543" s="5"/>
      <c r="M1543" s="5"/>
      <c r="N1543" s="5"/>
      <c r="O1543" s="5"/>
      <c r="P1543" s="5"/>
      <c r="Q1543" s="5"/>
      <c r="AL1543" s="7" t="str">
        <f>HYPERLINK("http://dx.doi.org/10.1890/13-0594.1","http://dx.doi.org/10.1890/13-0594.1")</f>
        <v>http://dx.doi.org/10.1890/13-0594.1</v>
      </c>
      <c r="AM1543" s="5">
        <v>74</v>
      </c>
      <c r="AN1543" s="5">
        <v>75</v>
      </c>
      <c r="AO1543" s="5">
        <v>24</v>
      </c>
      <c r="AP1543" s="5">
        <v>4</v>
      </c>
      <c r="AQ1543" s="5">
        <v>633</v>
      </c>
      <c r="AR1543" s="5">
        <v>649</v>
      </c>
      <c r="AS1543" s="5" t="s">
        <v>16</v>
      </c>
      <c r="AT1543" s="5" t="s">
        <v>9268</v>
      </c>
      <c r="AU1543" s="5" t="s">
        <v>9269</v>
      </c>
      <c r="AV1543" s="5" t="s">
        <v>9271</v>
      </c>
    </row>
    <row r="1544" spans="1:48" ht="45" customHeight="1" x14ac:dyDescent="0.15">
      <c r="A1544" s="5" t="s">
        <v>9272</v>
      </c>
      <c r="B1544" s="5">
        <v>2011</v>
      </c>
      <c r="C1544" s="5" t="s">
        <v>9273</v>
      </c>
      <c r="D1544" s="5" t="s">
        <v>49</v>
      </c>
      <c r="E1544" s="5" t="s">
        <v>18453</v>
      </c>
      <c r="F1544" s="5" t="s">
        <v>9276</v>
      </c>
      <c r="G1544" s="5"/>
      <c r="H1544" s="5"/>
      <c r="I1544" s="5"/>
      <c r="J1544" s="5"/>
      <c r="K1544" s="5"/>
      <c r="L1544" s="5"/>
      <c r="M1544" s="5"/>
      <c r="N1544" s="5"/>
      <c r="O1544" s="5"/>
      <c r="P1544" s="5"/>
      <c r="Q1544" s="5"/>
      <c r="AL1544" s="7" t="str">
        <f>HYPERLINK("http://dx.doi.org/10.3354/meps09073","http://dx.doi.org/10.3354/meps09073")</f>
        <v>http://dx.doi.org/10.3354/meps09073</v>
      </c>
      <c r="AM1544" s="5">
        <v>30</v>
      </c>
      <c r="AN1544" s="5">
        <v>31</v>
      </c>
      <c r="AO1544" s="5">
        <v>429</v>
      </c>
      <c r="AP1544" s="5" t="s">
        <v>16</v>
      </c>
      <c r="AQ1544" s="5">
        <v>277</v>
      </c>
      <c r="AR1544" s="5">
        <v>290</v>
      </c>
      <c r="AS1544" s="5" t="s">
        <v>16</v>
      </c>
      <c r="AT1544" s="5" t="s">
        <v>9274</v>
      </c>
      <c r="AU1544" s="5" t="s">
        <v>9275</v>
      </c>
      <c r="AV1544" s="5" t="s">
        <v>9277</v>
      </c>
    </row>
    <row r="1545" spans="1:48" ht="45" customHeight="1" x14ac:dyDescent="0.15">
      <c r="A1545" s="5" t="s">
        <v>9278</v>
      </c>
      <c r="B1545" s="5">
        <v>2016</v>
      </c>
      <c r="C1545" s="5" t="s">
        <v>9279</v>
      </c>
      <c r="D1545" s="5" t="s">
        <v>49</v>
      </c>
      <c r="E1545" s="5" t="s">
        <v>18453</v>
      </c>
      <c r="F1545" s="5" t="s">
        <v>9282</v>
      </c>
      <c r="G1545" s="5"/>
      <c r="H1545" s="5"/>
      <c r="I1545" s="5"/>
      <c r="J1545" s="5"/>
      <c r="K1545" s="5"/>
      <c r="L1545" s="5"/>
      <c r="M1545" s="5"/>
      <c r="N1545" s="5"/>
      <c r="O1545" s="5"/>
      <c r="P1545" s="5"/>
      <c r="Q1545" s="5"/>
      <c r="AL1545" s="7" t="str">
        <f>HYPERLINK("http://dx.doi.org/10.3354/meps11859","http://dx.doi.org/10.3354/meps11859")</f>
        <v>http://dx.doi.org/10.3354/meps11859</v>
      </c>
      <c r="AM1545" s="5">
        <v>16</v>
      </c>
      <c r="AN1545" s="5">
        <v>16</v>
      </c>
      <c r="AO1545" s="5">
        <v>558</v>
      </c>
      <c r="AP1545" s="5" t="s">
        <v>16</v>
      </c>
      <c r="AQ1545" s="5">
        <v>97</v>
      </c>
      <c r="AR1545" s="5">
        <v>113</v>
      </c>
      <c r="AS1545" s="5" t="s">
        <v>16</v>
      </c>
      <c r="AT1545" s="5" t="s">
        <v>9280</v>
      </c>
      <c r="AU1545" s="5" t="s">
        <v>9281</v>
      </c>
      <c r="AV1545" s="5" t="s">
        <v>9283</v>
      </c>
    </row>
    <row r="1546" spans="1:48" ht="45" customHeight="1" x14ac:dyDescent="0.15">
      <c r="A1546" s="5" t="s">
        <v>9284</v>
      </c>
      <c r="B1546" s="5">
        <v>2003</v>
      </c>
      <c r="C1546" s="5" t="s">
        <v>9285</v>
      </c>
      <c r="D1546" s="5" t="s">
        <v>7759</v>
      </c>
      <c r="E1546" s="5" t="s">
        <v>18453</v>
      </c>
      <c r="F1546" s="5" t="s">
        <v>9288</v>
      </c>
      <c r="G1546" s="5"/>
      <c r="H1546" s="5"/>
      <c r="I1546" s="5"/>
      <c r="J1546" s="5"/>
      <c r="K1546" s="5"/>
      <c r="L1546" s="5"/>
      <c r="M1546" s="5"/>
      <c r="N1546" s="5"/>
      <c r="O1546" s="5"/>
      <c r="P1546" s="5"/>
      <c r="Q1546" s="5"/>
      <c r="AL1546" s="7" t="str">
        <f>HYPERLINK("http://dx.doi.org/10.1023/A:1024431124954","http://dx.doi.org/10.1023/A:1024431124954")</f>
        <v>http://dx.doi.org/10.1023/A:1024431124954</v>
      </c>
      <c r="AM1546" s="5">
        <v>28</v>
      </c>
      <c r="AN1546" s="5">
        <v>31</v>
      </c>
      <c r="AO1546" s="5">
        <v>168</v>
      </c>
      <c r="AP1546" s="5">
        <v>2</v>
      </c>
      <c r="AQ1546" s="5">
        <v>297</v>
      </c>
      <c r="AR1546" s="5">
        <v>307</v>
      </c>
      <c r="AS1546" s="5" t="s">
        <v>16</v>
      </c>
      <c r="AT1546" s="5" t="s">
        <v>9286</v>
      </c>
      <c r="AU1546" s="5" t="s">
        <v>9287</v>
      </c>
      <c r="AV1546" s="5" t="s">
        <v>9289</v>
      </c>
    </row>
    <row r="1547" spans="1:48" ht="45" customHeight="1" x14ac:dyDescent="0.15">
      <c r="A1547" s="5" t="s">
        <v>9290</v>
      </c>
      <c r="B1547" s="5">
        <v>2012</v>
      </c>
      <c r="C1547" s="5" t="s">
        <v>9291</v>
      </c>
      <c r="D1547" s="5" t="s">
        <v>123</v>
      </c>
      <c r="E1547" s="5" t="s">
        <v>18453</v>
      </c>
      <c r="F1547" s="5" t="s">
        <v>9294</v>
      </c>
      <c r="G1547" s="5"/>
      <c r="H1547" s="5"/>
      <c r="I1547" s="5"/>
      <c r="J1547" s="5"/>
      <c r="K1547" s="5"/>
      <c r="L1547" s="5"/>
      <c r="M1547" s="5"/>
      <c r="N1547" s="5"/>
      <c r="O1547" s="5"/>
      <c r="P1547" s="5"/>
      <c r="Q1547" s="5"/>
      <c r="AL1547" s="7" t="str">
        <f>HYPERLINK("http://dx.doi.org/10.1111/j.1472-4642.2012.00931.x","http://dx.doi.org/10.1111/j.1472-4642.2012.00931.x")</f>
        <v>http://dx.doi.org/10.1111/j.1472-4642.2012.00931.x</v>
      </c>
      <c r="AM1547" s="5">
        <v>32</v>
      </c>
      <c r="AN1547" s="5">
        <v>32</v>
      </c>
      <c r="AO1547" s="5">
        <v>18</v>
      </c>
      <c r="AP1547" s="5">
        <v>9</v>
      </c>
      <c r="AQ1547" s="5">
        <v>919</v>
      </c>
      <c r="AR1547" s="5">
        <v>930</v>
      </c>
      <c r="AS1547" s="5" t="s">
        <v>16</v>
      </c>
      <c r="AT1547" s="5" t="s">
        <v>9292</v>
      </c>
      <c r="AU1547" s="5" t="s">
        <v>9293</v>
      </c>
      <c r="AV1547" s="5" t="s">
        <v>9295</v>
      </c>
    </row>
    <row r="1548" spans="1:48" ht="45" customHeight="1" x14ac:dyDescent="0.15">
      <c r="A1548" s="5" t="s">
        <v>9296</v>
      </c>
      <c r="B1548" s="5">
        <v>2020</v>
      </c>
      <c r="C1548" s="5" t="s">
        <v>9297</v>
      </c>
      <c r="D1548" s="5" t="s">
        <v>49</v>
      </c>
      <c r="E1548" s="5" t="s">
        <v>18453</v>
      </c>
      <c r="F1548" s="5" t="s">
        <v>9300</v>
      </c>
      <c r="G1548" s="5"/>
      <c r="H1548" s="5"/>
      <c r="I1548" s="5"/>
      <c r="J1548" s="5"/>
      <c r="K1548" s="5"/>
      <c r="L1548" s="5"/>
      <c r="M1548" s="5"/>
      <c r="N1548" s="5"/>
      <c r="O1548" s="5"/>
      <c r="P1548" s="5"/>
      <c r="Q1548" s="5"/>
      <c r="AL1548" s="7" t="str">
        <f>HYPERLINK("http://dx.doi.org/10.3354/meps13413","http://dx.doi.org/10.3354/meps13413")</f>
        <v>http://dx.doi.org/10.3354/meps13413</v>
      </c>
      <c r="AM1548" s="5">
        <v>31</v>
      </c>
      <c r="AN1548" s="5">
        <v>31</v>
      </c>
      <c r="AO1548" s="5">
        <v>647</v>
      </c>
      <c r="AP1548" s="5" t="s">
        <v>16</v>
      </c>
      <c r="AQ1548" s="5">
        <v>195</v>
      </c>
      <c r="AR1548" s="5">
        <v>210</v>
      </c>
      <c r="AS1548" s="5" t="s">
        <v>16</v>
      </c>
      <c r="AT1548" s="5" t="s">
        <v>9298</v>
      </c>
      <c r="AU1548" s="5" t="s">
        <v>9299</v>
      </c>
      <c r="AV1548" s="5" t="s">
        <v>9301</v>
      </c>
    </row>
    <row r="1549" spans="1:48" ht="45" customHeight="1" x14ac:dyDescent="0.15">
      <c r="A1549" s="5" t="s">
        <v>9302</v>
      </c>
      <c r="B1549" s="5">
        <v>2018</v>
      </c>
      <c r="C1549" s="5" t="s">
        <v>9303</v>
      </c>
      <c r="D1549" s="5" t="s">
        <v>49</v>
      </c>
      <c r="E1549" s="5" t="s">
        <v>18453</v>
      </c>
      <c r="F1549" s="5" t="s">
        <v>9306</v>
      </c>
      <c r="G1549" s="5"/>
      <c r="H1549" s="5"/>
      <c r="I1549" s="5"/>
      <c r="J1549" s="5"/>
      <c r="K1549" s="5"/>
      <c r="L1549" s="5"/>
      <c r="M1549" s="5"/>
      <c r="N1549" s="5"/>
      <c r="O1549" s="5"/>
      <c r="P1549" s="5"/>
      <c r="Q1549" s="5"/>
      <c r="AL1549" s="7" t="str">
        <f>HYPERLINK("http://dx.doi.org/10.3354/meps12119","http://dx.doi.org/10.3354/meps12119")</f>
        <v>http://dx.doi.org/10.3354/meps12119</v>
      </c>
      <c r="AM1549" s="5">
        <v>17</v>
      </c>
      <c r="AN1549" s="5">
        <v>17</v>
      </c>
      <c r="AO1549" s="5">
        <v>598</v>
      </c>
      <c r="AP1549" s="5" t="s">
        <v>16</v>
      </c>
      <c r="AQ1549" s="5">
        <v>261</v>
      </c>
      <c r="AR1549" s="5">
        <v>272</v>
      </c>
      <c r="AS1549" s="5" t="s">
        <v>16</v>
      </c>
      <c r="AT1549" s="5" t="s">
        <v>9304</v>
      </c>
      <c r="AU1549" s="5" t="s">
        <v>9305</v>
      </c>
      <c r="AV1549" s="5" t="s">
        <v>9307</v>
      </c>
    </row>
    <row r="1550" spans="1:48" ht="45" customHeight="1" x14ac:dyDescent="0.15">
      <c r="A1550" s="5" t="s">
        <v>9308</v>
      </c>
      <c r="B1550" s="5">
        <v>2005</v>
      </c>
      <c r="C1550" s="5" t="s">
        <v>9309</v>
      </c>
      <c r="D1550" s="5" t="s">
        <v>116</v>
      </c>
      <c r="E1550" s="5" t="s">
        <v>18453</v>
      </c>
      <c r="F1550" s="5" t="s">
        <v>9312</v>
      </c>
      <c r="G1550" s="5"/>
      <c r="H1550" s="5"/>
      <c r="I1550" s="5"/>
      <c r="J1550" s="5"/>
      <c r="K1550" s="5"/>
      <c r="L1550" s="5"/>
      <c r="M1550" s="5"/>
      <c r="N1550" s="5"/>
      <c r="O1550" s="5"/>
      <c r="P1550" s="5"/>
      <c r="Q1550" s="5"/>
      <c r="AL1550" s="7" t="str">
        <f>HYPERLINK("http://dx.doi.org/10.1007/s10641-004-5563-9","http://dx.doi.org/10.1007/s10641-004-5563-9")</f>
        <v>http://dx.doi.org/10.1007/s10641-004-5563-9</v>
      </c>
      <c r="AM1550" s="5">
        <v>24</v>
      </c>
      <c r="AN1550" s="5">
        <v>26</v>
      </c>
      <c r="AO1550" s="5">
        <v>73</v>
      </c>
      <c r="AP1550" s="5">
        <v>4</v>
      </c>
      <c r="AQ1550" s="5">
        <v>367</v>
      </c>
      <c r="AR1550" s="5">
        <v>378</v>
      </c>
      <c r="AS1550" s="5" t="s">
        <v>16</v>
      </c>
      <c r="AT1550" s="5" t="s">
        <v>9310</v>
      </c>
      <c r="AU1550" s="5" t="s">
        <v>9311</v>
      </c>
      <c r="AV1550" s="5" t="s">
        <v>9313</v>
      </c>
    </row>
    <row r="1551" spans="1:48" ht="45" customHeight="1" x14ac:dyDescent="0.15">
      <c r="A1551" s="5" t="s">
        <v>9314</v>
      </c>
      <c r="B1551" s="5">
        <v>2017</v>
      </c>
      <c r="C1551" s="5" t="s">
        <v>9315</v>
      </c>
      <c r="D1551" s="5" t="s">
        <v>15</v>
      </c>
      <c r="E1551" s="5" t="s">
        <v>18453</v>
      </c>
      <c r="F1551" s="5" t="s">
        <v>9318</v>
      </c>
      <c r="G1551" s="5"/>
      <c r="H1551" s="5"/>
      <c r="I1551" s="5"/>
      <c r="J1551" s="5"/>
      <c r="K1551" s="5"/>
      <c r="L1551" s="5"/>
      <c r="M1551" s="5"/>
      <c r="N1551" s="5"/>
      <c r="O1551" s="5"/>
      <c r="P1551" s="5"/>
      <c r="Q1551" s="5"/>
      <c r="AL1551" s="7" t="str">
        <f>HYPERLINK("http://dx.doi.org/10.1002/ece3.3409","http://dx.doi.org/10.1002/ece3.3409")</f>
        <v>http://dx.doi.org/10.1002/ece3.3409</v>
      </c>
      <c r="AM1551" s="5">
        <v>21</v>
      </c>
      <c r="AN1551" s="5">
        <v>21</v>
      </c>
      <c r="AO1551" s="5">
        <v>7</v>
      </c>
      <c r="AP1551" s="5">
        <v>21</v>
      </c>
      <c r="AQ1551" s="5">
        <v>9085</v>
      </c>
      <c r="AR1551" s="5">
        <v>9097</v>
      </c>
      <c r="AS1551" s="5" t="s">
        <v>16</v>
      </c>
      <c r="AT1551" s="5" t="s">
        <v>9316</v>
      </c>
      <c r="AU1551" s="5" t="s">
        <v>9317</v>
      </c>
      <c r="AV1551" s="5" t="s">
        <v>9319</v>
      </c>
    </row>
    <row r="1552" spans="1:48" ht="45" customHeight="1" x14ac:dyDescent="0.15">
      <c r="A1552" s="5" t="s">
        <v>9320</v>
      </c>
      <c r="B1552" s="5">
        <v>2018</v>
      </c>
      <c r="C1552" s="5" t="s">
        <v>9321</v>
      </c>
      <c r="D1552" s="5" t="s">
        <v>18</v>
      </c>
      <c r="E1552" s="5" t="s">
        <v>18453</v>
      </c>
      <c r="F1552" s="5" t="s">
        <v>9324</v>
      </c>
      <c r="G1552" s="5"/>
      <c r="H1552" s="5"/>
      <c r="I1552" s="5"/>
      <c r="J1552" s="5"/>
      <c r="K1552" s="5"/>
      <c r="L1552" s="5"/>
      <c r="M1552" s="5"/>
      <c r="N1552" s="5"/>
      <c r="O1552" s="5"/>
      <c r="P1552" s="5"/>
      <c r="Q1552" s="5"/>
      <c r="AL1552" s="7" t="str">
        <f>HYPERLINK("http://dx.doi.org/10.1002/ecs2.2081","http://dx.doi.org/10.1002/ecs2.2081")</f>
        <v>http://dx.doi.org/10.1002/ecs2.2081</v>
      </c>
      <c r="AM1552" s="5">
        <v>19</v>
      </c>
      <c r="AN1552" s="5">
        <v>19</v>
      </c>
      <c r="AO1552" s="5">
        <v>9</v>
      </c>
      <c r="AP1552" s="5">
        <v>1</v>
      </c>
      <c r="AQ1552" s="5" t="s">
        <v>16</v>
      </c>
      <c r="AR1552" s="5" t="s">
        <v>16</v>
      </c>
      <c r="AS1552" s="5" t="s">
        <v>9325</v>
      </c>
      <c r="AT1552" s="5" t="s">
        <v>9322</v>
      </c>
      <c r="AU1552" s="5" t="s">
        <v>9323</v>
      </c>
      <c r="AV1552" s="5" t="s">
        <v>9326</v>
      </c>
    </row>
    <row r="1553" spans="1:48" ht="45" customHeight="1" x14ac:dyDescent="0.15">
      <c r="A1553" s="5" t="s">
        <v>9327</v>
      </c>
      <c r="B1553" s="5">
        <v>2016</v>
      </c>
      <c r="C1553" s="5" t="s">
        <v>9328</v>
      </c>
      <c r="D1553" s="5" t="s">
        <v>270</v>
      </c>
      <c r="E1553" s="5" t="s">
        <v>18453</v>
      </c>
      <c r="F1553" s="5" t="s">
        <v>9331</v>
      </c>
      <c r="G1553" s="5"/>
      <c r="H1553" s="5"/>
      <c r="I1553" s="5"/>
      <c r="J1553" s="5"/>
      <c r="K1553" s="5"/>
      <c r="L1553" s="5"/>
      <c r="M1553" s="5"/>
      <c r="N1553" s="5"/>
      <c r="O1553" s="5"/>
      <c r="P1553" s="5"/>
      <c r="Q1553" s="5"/>
      <c r="AL1553" s="7" t="str">
        <f>HYPERLINK("http://dx.doi.org/10.3391/ai.2016.11.3.01","http://dx.doi.org/10.3391/ai.2016.11.3.01")</f>
        <v>http://dx.doi.org/10.3391/ai.2016.11.3.01</v>
      </c>
      <c r="AM1553" s="5">
        <v>19</v>
      </c>
      <c r="AN1553" s="5">
        <v>21</v>
      </c>
      <c r="AO1553" s="5">
        <v>11</v>
      </c>
      <c r="AP1553" s="5">
        <v>3</v>
      </c>
      <c r="AQ1553" s="5">
        <v>225</v>
      </c>
      <c r="AR1553" s="5">
        <v>237</v>
      </c>
      <c r="AS1553" s="5" t="s">
        <v>16</v>
      </c>
      <c r="AT1553" s="5" t="s">
        <v>9329</v>
      </c>
      <c r="AU1553" s="5" t="s">
        <v>9330</v>
      </c>
      <c r="AV1553" s="5" t="s">
        <v>9332</v>
      </c>
    </row>
    <row r="1554" spans="1:48" ht="45" customHeight="1" x14ac:dyDescent="0.15">
      <c r="A1554" s="5" t="s">
        <v>9333</v>
      </c>
      <c r="B1554" s="5">
        <v>2005</v>
      </c>
      <c r="C1554" s="5" t="s">
        <v>9334</v>
      </c>
      <c r="D1554" s="5" t="s">
        <v>82</v>
      </c>
      <c r="E1554" s="5" t="s">
        <v>18453</v>
      </c>
      <c r="F1554" s="5" t="s">
        <v>9337</v>
      </c>
      <c r="G1554" s="5"/>
      <c r="H1554" s="5"/>
      <c r="I1554" s="5"/>
      <c r="J1554" s="5"/>
      <c r="K1554" s="5"/>
      <c r="L1554" s="5"/>
      <c r="M1554" s="5"/>
      <c r="N1554" s="5"/>
      <c r="O1554" s="5"/>
      <c r="P1554" s="5"/>
      <c r="Q1554" s="5"/>
      <c r="AL1554" s="7" t="str">
        <f>HYPERLINK("http://dx.doi.org/10.1890/04-1272","http://dx.doi.org/10.1890/04-1272")</f>
        <v>http://dx.doi.org/10.1890/04-1272</v>
      </c>
      <c r="AM1554" s="5">
        <v>53</v>
      </c>
      <c r="AN1554" s="5">
        <v>54</v>
      </c>
      <c r="AO1554" s="5">
        <v>15</v>
      </c>
      <c r="AP1554" s="5">
        <v>3</v>
      </c>
      <c r="AQ1554" s="5">
        <v>1009</v>
      </c>
      <c r="AR1554" s="5">
        <v>1018</v>
      </c>
      <c r="AS1554" s="5" t="s">
        <v>16</v>
      </c>
      <c r="AT1554" s="5" t="s">
        <v>9335</v>
      </c>
      <c r="AU1554" s="5" t="s">
        <v>9336</v>
      </c>
      <c r="AV1554" s="5" t="s">
        <v>9338</v>
      </c>
    </row>
    <row r="1555" spans="1:48" ht="45" customHeight="1" x14ac:dyDescent="0.15">
      <c r="A1555" s="5" t="s">
        <v>9339</v>
      </c>
      <c r="B1555" s="5">
        <v>2018</v>
      </c>
      <c r="C1555" s="5" t="s">
        <v>9340</v>
      </c>
      <c r="D1555" s="5" t="s">
        <v>49</v>
      </c>
      <c r="E1555" s="5" t="s">
        <v>18453</v>
      </c>
      <c r="F1555" s="5" t="s">
        <v>9343</v>
      </c>
      <c r="G1555" s="5"/>
      <c r="H1555" s="5"/>
      <c r="I1555" s="5"/>
      <c r="J1555" s="5"/>
      <c r="K1555" s="5"/>
      <c r="L1555" s="5"/>
      <c r="M1555" s="5"/>
      <c r="N1555" s="5"/>
      <c r="O1555" s="5"/>
      <c r="P1555" s="5"/>
      <c r="Q1555" s="5"/>
      <c r="AL1555" s="7" t="str">
        <f>HYPERLINK("http://dx.doi.org/10.3354/meps12729","http://dx.doi.org/10.3354/meps12729")</f>
        <v>http://dx.doi.org/10.3354/meps12729</v>
      </c>
      <c r="AM1555" s="5">
        <v>10</v>
      </c>
      <c r="AN1555" s="5">
        <v>10</v>
      </c>
      <c r="AO1555" s="5">
        <v>604</v>
      </c>
      <c r="AP1555" s="5" t="s">
        <v>16</v>
      </c>
      <c r="AQ1555" s="5">
        <v>251</v>
      </c>
      <c r="AR1555" s="5">
        <v>262</v>
      </c>
      <c r="AS1555" s="5" t="s">
        <v>16</v>
      </c>
      <c r="AT1555" s="5" t="s">
        <v>9341</v>
      </c>
      <c r="AU1555" s="5" t="s">
        <v>9342</v>
      </c>
      <c r="AV1555" s="5" t="s">
        <v>9344</v>
      </c>
    </row>
    <row r="1556" spans="1:48" ht="45" customHeight="1" x14ac:dyDescent="0.15">
      <c r="A1556" s="5" t="s">
        <v>9345</v>
      </c>
      <c r="B1556" s="5">
        <v>2022</v>
      </c>
      <c r="C1556" s="5" t="s">
        <v>9346</v>
      </c>
      <c r="D1556" s="5" t="s">
        <v>33</v>
      </c>
      <c r="E1556" s="5" t="s">
        <v>18453</v>
      </c>
      <c r="F1556" s="5" t="s">
        <v>9349</v>
      </c>
      <c r="G1556" s="5"/>
      <c r="H1556" s="5"/>
      <c r="I1556" s="5"/>
      <c r="J1556" s="5"/>
      <c r="K1556" s="5"/>
      <c r="L1556" s="5"/>
      <c r="M1556" s="5"/>
      <c r="N1556" s="5"/>
      <c r="O1556" s="5"/>
      <c r="P1556" s="5"/>
      <c r="Q1556" s="5"/>
      <c r="AL1556" s="7" t="str">
        <f>HYPERLINK("http://dx.doi.org/10.1111/gcb.16151","http://dx.doi.org/10.1111/gcb.16151")</f>
        <v>http://dx.doi.org/10.1111/gcb.16151</v>
      </c>
      <c r="AM1556" s="5">
        <v>2</v>
      </c>
      <c r="AN1556" s="5">
        <v>2</v>
      </c>
      <c r="AO1556" s="5">
        <v>28</v>
      </c>
      <c r="AP1556" s="5">
        <v>10</v>
      </c>
      <c r="AQ1556" s="5">
        <v>3206</v>
      </c>
      <c r="AR1556" s="5">
        <v>3221</v>
      </c>
      <c r="AS1556" s="5" t="s">
        <v>16</v>
      </c>
      <c r="AT1556" s="5" t="s">
        <v>9347</v>
      </c>
      <c r="AU1556" s="5" t="s">
        <v>9348</v>
      </c>
      <c r="AV1556" s="5" t="s">
        <v>9350</v>
      </c>
    </row>
    <row r="1557" spans="1:48" ht="45" customHeight="1" x14ac:dyDescent="0.15">
      <c r="A1557" s="5" t="s">
        <v>9351</v>
      </c>
      <c r="B1557" s="5">
        <v>2020</v>
      </c>
      <c r="C1557" s="5" t="s">
        <v>9352</v>
      </c>
      <c r="D1557" s="5" t="s">
        <v>1765</v>
      </c>
      <c r="E1557" s="5" t="s">
        <v>18453</v>
      </c>
      <c r="F1557" s="5" t="s">
        <v>9355</v>
      </c>
      <c r="G1557" s="5"/>
      <c r="H1557" s="5"/>
      <c r="I1557" s="5"/>
      <c r="J1557" s="5"/>
      <c r="K1557" s="5"/>
      <c r="L1557" s="5"/>
      <c r="M1557" s="5"/>
      <c r="N1557" s="5"/>
      <c r="O1557" s="5"/>
      <c r="P1557" s="5"/>
      <c r="Q1557" s="5"/>
      <c r="AL1557" s="7" t="str">
        <f>HYPERLINK("http://dx.doi.org/10.1016/j.agee.2019.106782","http://dx.doi.org/10.1016/j.agee.2019.106782")</f>
        <v>http://dx.doi.org/10.1016/j.agee.2019.106782</v>
      </c>
      <c r="AM1557" s="5">
        <v>51</v>
      </c>
      <c r="AN1557" s="5">
        <v>51</v>
      </c>
      <c r="AO1557" s="5">
        <v>290</v>
      </c>
      <c r="AP1557" s="5" t="s">
        <v>16</v>
      </c>
      <c r="AQ1557" s="5" t="s">
        <v>16</v>
      </c>
      <c r="AR1557" s="5" t="s">
        <v>16</v>
      </c>
      <c r="AS1557" s="5">
        <v>106782</v>
      </c>
      <c r="AT1557" s="5" t="s">
        <v>9353</v>
      </c>
      <c r="AU1557" s="5" t="s">
        <v>9354</v>
      </c>
      <c r="AV1557" s="5" t="s">
        <v>9356</v>
      </c>
    </row>
    <row r="1558" spans="1:48" ht="45" customHeight="1" x14ac:dyDescent="0.15">
      <c r="A1558" s="5" t="s">
        <v>9357</v>
      </c>
      <c r="B1558" s="5">
        <v>2019</v>
      </c>
      <c r="C1558" s="5" t="s">
        <v>9358</v>
      </c>
      <c r="D1558" s="5" t="s">
        <v>690</v>
      </c>
      <c r="E1558" s="5" t="s">
        <v>18453</v>
      </c>
      <c r="F1558" s="5" t="s">
        <v>9361</v>
      </c>
      <c r="G1558" s="5"/>
      <c r="H1558" s="5"/>
      <c r="I1558" s="5"/>
      <c r="J1558" s="5"/>
      <c r="K1558" s="5"/>
      <c r="L1558" s="5"/>
      <c r="M1558" s="5"/>
      <c r="N1558" s="5"/>
      <c r="O1558" s="5"/>
      <c r="P1558" s="5"/>
      <c r="Q1558" s="5"/>
      <c r="AL1558" s="7" t="str">
        <f>HYPERLINK("http://dx.doi.org/10.1111/mec.15241","http://dx.doi.org/10.1111/mec.15241")</f>
        <v>http://dx.doi.org/10.1111/mec.15241</v>
      </c>
      <c r="AM1558" s="5">
        <v>21</v>
      </c>
      <c r="AN1558" s="5">
        <v>21</v>
      </c>
      <c r="AO1558" s="5">
        <v>28</v>
      </c>
      <c r="AP1558" s="5">
        <v>20</v>
      </c>
      <c r="AQ1558" s="5">
        <v>4620</v>
      </c>
      <c r="AR1558" s="5">
        <v>4635</v>
      </c>
      <c r="AS1558" s="5" t="s">
        <v>16</v>
      </c>
      <c r="AT1558" s="5" t="s">
        <v>9359</v>
      </c>
      <c r="AU1558" s="5" t="s">
        <v>9360</v>
      </c>
      <c r="AV1558" s="5" t="s">
        <v>9362</v>
      </c>
    </row>
    <row r="1559" spans="1:48" ht="45" customHeight="1" x14ac:dyDescent="0.15">
      <c r="A1559" s="5" t="s">
        <v>9363</v>
      </c>
      <c r="B1559" s="5">
        <v>2006</v>
      </c>
      <c r="C1559" s="5" t="s">
        <v>9364</v>
      </c>
      <c r="D1559" s="5" t="s">
        <v>33</v>
      </c>
      <c r="E1559" s="5" t="s">
        <v>18453</v>
      </c>
      <c r="F1559" s="5" t="s">
        <v>9367</v>
      </c>
      <c r="G1559" s="5"/>
      <c r="H1559" s="5"/>
      <c r="I1559" s="5"/>
      <c r="J1559" s="5"/>
      <c r="K1559" s="5"/>
      <c r="L1559" s="5"/>
      <c r="M1559" s="5"/>
      <c r="N1559" s="5"/>
      <c r="O1559" s="5"/>
      <c r="P1559" s="5"/>
      <c r="Q1559" s="5"/>
      <c r="AL1559" s="7" t="str">
        <f>HYPERLINK("http://dx.doi.org/10.1111/j.1365-2486.2005.01103.x","http://dx.doi.org/10.1111/j.1365-2486.2005.01103.x")</f>
        <v>http://dx.doi.org/10.1111/j.1365-2486.2005.01103.x</v>
      </c>
      <c r="AM1559" s="5">
        <v>208</v>
      </c>
      <c r="AN1559" s="5">
        <v>237</v>
      </c>
      <c r="AO1559" s="5">
        <v>12</v>
      </c>
      <c r="AP1559" s="5">
        <v>2</v>
      </c>
      <c r="AQ1559" s="5">
        <v>294</v>
      </c>
      <c r="AR1559" s="5">
        <v>310</v>
      </c>
      <c r="AS1559" s="5" t="s">
        <v>16</v>
      </c>
      <c r="AT1559" s="5" t="s">
        <v>9365</v>
      </c>
      <c r="AU1559" s="5" t="s">
        <v>9366</v>
      </c>
      <c r="AV1559" s="5" t="s">
        <v>9368</v>
      </c>
    </row>
    <row r="1560" spans="1:48" ht="45" customHeight="1" x14ac:dyDescent="0.15">
      <c r="A1560" s="5" t="s">
        <v>9369</v>
      </c>
      <c r="B1560" s="5">
        <v>2022</v>
      </c>
      <c r="C1560" s="5" t="s">
        <v>9370</v>
      </c>
      <c r="D1560" s="5" t="s">
        <v>690</v>
      </c>
      <c r="E1560" s="5" t="s">
        <v>18453</v>
      </c>
      <c r="F1560" s="5" t="s">
        <v>9373</v>
      </c>
      <c r="G1560" s="5"/>
      <c r="H1560" s="5"/>
      <c r="I1560" s="5"/>
      <c r="J1560" s="5"/>
      <c r="K1560" s="5"/>
      <c r="L1560" s="5"/>
      <c r="M1560" s="5"/>
      <c r="N1560" s="5"/>
      <c r="O1560" s="5"/>
      <c r="P1560" s="5"/>
      <c r="Q1560" s="5"/>
      <c r="AL1560" s="7" t="str">
        <f>HYPERLINK("http://dx.doi.org/10.1111/mec.16688","http://dx.doi.org/10.1111/mec.16688")</f>
        <v>http://dx.doi.org/10.1111/mec.16688</v>
      </c>
      <c r="AM1560" s="5">
        <v>0</v>
      </c>
      <c r="AN1560" s="5">
        <v>0</v>
      </c>
      <c r="AO1560" s="5">
        <v>31</v>
      </c>
      <c r="AP1560" s="5">
        <v>21</v>
      </c>
      <c r="AQ1560" s="5">
        <v>5635</v>
      </c>
      <c r="AR1560" s="5">
        <v>5648</v>
      </c>
      <c r="AS1560" s="5" t="s">
        <v>16</v>
      </c>
      <c r="AT1560" s="5" t="s">
        <v>9371</v>
      </c>
      <c r="AU1560" s="5" t="s">
        <v>9372</v>
      </c>
      <c r="AV1560" s="5" t="s">
        <v>9374</v>
      </c>
    </row>
    <row r="1561" spans="1:48" ht="45" customHeight="1" x14ac:dyDescent="0.15">
      <c r="A1561" s="5" t="s">
        <v>9375</v>
      </c>
      <c r="B1561" s="5">
        <v>2006</v>
      </c>
      <c r="C1561" s="5" t="s">
        <v>9376</v>
      </c>
      <c r="D1561" s="5" t="s">
        <v>49</v>
      </c>
      <c r="E1561" s="5" t="s">
        <v>18453</v>
      </c>
      <c r="F1561" s="5" t="s">
        <v>9379</v>
      </c>
      <c r="G1561" s="5"/>
      <c r="H1561" s="5"/>
      <c r="I1561" s="5"/>
      <c r="J1561" s="5"/>
      <c r="K1561" s="5"/>
      <c r="L1561" s="5"/>
      <c r="M1561" s="5"/>
      <c r="N1561" s="5"/>
      <c r="O1561" s="5"/>
      <c r="P1561" s="5"/>
      <c r="Q1561" s="5"/>
      <c r="AL1561" s="7" t="str">
        <f>HYPERLINK("http://dx.doi.org/10.3354/meps307037","http://dx.doi.org/10.3354/meps307037")</f>
        <v>http://dx.doi.org/10.3354/meps307037</v>
      </c>
      <c r="AM1561" s="5">
        <v>68</v>
      </c>
      <c r="AN1561" s="5">
        <v>70</v>
      </c>
      <c r="AO1561" s="5">
        <v>307</v>
      </c>
      <c r="AP1561" s="5" t="s">
        <v>16</v>
      </c>
      <c r="AQ1561" s="5">
        <v>37</v>
      </c>
      <c r="AR1561" s="5">
        <v>48</v>
      </c>
      <c r="AS1561" s="5" t="s">
        <v>16</v>
      </c>
      <c r="AT1561" s="5" t="s">
        <v>9377</v>
      </c>
      <c r="AU1561" s="5" t="s">
        <v>9378</v>
      </c>
      <c r="AV1561" s="5" t="s">
        <v>9380</v>
      </c>
    </row>
    <row r="1562" spans="1:48" ht="45" customHeight="1" x14ac:dyDescent="0.15">
      <c r="A1562" s="5" t="s">
        <v>9381</v>
      </c>
      <c r="B1562" s="5">
        <v>2021</v>
      </c>
      <c r="C1562" s="5" t="s">
        <v>9382</v>
      </c>
      <c r="D1562" s="5" t="s">
        <v>49</v>
      </c>
      <c r="E1562" s="5" t="s">
        <v>18453</v>
      </c>
      <c r="F1562" s="5" t="s">
        <v>9385</v>
      </c>
      <c r="G1562" s="5"/>
      <c r="H1562" s="5"/>
      <c r="I1562" s="5"/>
      <c r="J1562" s="5"/>
      <c r="K1562" s="5"/>
      <c r="L1562" s="5"/>
      <c r="M1562" s="5"/>
      <c r="N1562" s="5"/>
      <c r="O1562" s="5"/>
      <c r="P1562" s="5"/>
      <c r="Q1562" s="5"/>
      <c r="AL1562" s="7" t="str">
        <f>HYPERLINK("http://dx.doi.org/10.3354/meps13755","http://dx.doi.org/10.3354/meps13755")</f>
        <v>http://dx.doi.org/10.3354/meps13755</v>
      </c>
      <c r="AM1562" s="5">
        <v>1</v>
      </c>
      <c r="AN1562" s="5">
        <v>1</v>
      </c>
      <c r="AO1562" s="5">
        <v>669</v>
      </c>
      <c r="AP1562" s="5" t="s">
        <v>16</v>
      </c>
      <c r="AQ1562" s="5">
        <v>227</v>
      </c>
      <c r="AR1562" s="5">
        <v>240</v>
      </c>
      <c r="AS1562" s="5" t="s">
        <v>16</v>
      </c>
      <c r="AT1562" s="5" t="s">
        <v>9383</v>
      </c>
      <c r="AU1562" s="5" t="s">
        <v>9384</v>
      </c>
      <c r="AV1562" s="5" t="s">
        <v>9386</v>
      </c>
    </row>
    <row r="1563" spans="1:48" ht="45" customHeight="1" x14ac:dyDescent="0.15">
      <c r="A1563" s="5" t="s">
        <v>9387</v>
      </c>
      <c r="B1563" s="5">
        <v>2007</v>
      </c>
      <c r="C1563" s="5" t="s">
        <v>9388</v>
      </c>
      <c r="D1563" s="5" t="s">
        <v>17</v>
      </c>
      <c r="E1563" s="5" t="s">
        <v>18453</v>
      </c>
      <c r="F1563" s="5" t="s">
        <v>9391</v>
      </c>
      <c r="G1563" s="5"/>
      <c r="H1563" s="5"/>
      <c r="I1563" s="5"/>
      <c r="J1563" s="5"/>
      <c r="K1563" s="5"/>
      <c r="L1563" s="5"/>
      <c r="M1563" s="5"/>
      <c r="N1563" s="5"/>
      <c r="O1563" s="5"/>
      <c r="P1563" s="5"/>
      <c r="Q1563" s="5"/>
      <c r="AL1563" s="7" t="str">
        <f>HYPERLINK("http://dx.doi.org/10.1111/j.1365-2427.2007.01836.x","http://dx.doi.org/10.1111/j.1365-2427.2007.01836.x")</f>
        <v>http://dx.doi.org/10.1111/j.1365-2427.2007.01836.x</v>
      </c>
      <c r="AM1563" s="5">
        <v>65</v>
      </c>
      <c r="AN1563" s="5">
        <v>65</v>
      </c>
      <c r="AO1563" s="5">
        <v>52</v>
      </c>
      <c r="AP1563" s="5">
        <v>11</v>
      </c>
      <c r="AQ1563" s="5">
        <v>2285</v>
      </c>
      <c r="AR1563" s="5">
        <v>2297</v>
      </c>
      <c r="AS1563" s="5" t="s">
        <v>16</v>
      </c>
      <c r="AT1563" s="5" t="s">
        <v>9389</v>
      </c>
      <c r="AU1563" s="5" t="s">
        <v>9390</v>
      </c>
      <c r="AV1563" s="5" t="s">
        <v>9392</v>
      </c>
    </row>
    <row r="1564" spans="1:48" ht="45" customHeight="1" x14ac:dyDescent="0.15">
      <c r="A1564" s="5" t="s">
        <v>7853</v>
      </c>
      <c r="B1564" s="5">
        <v>2007</v>
      </c>
      <c r="C1564" s="5" t="s">
        <v>9393</v>
      </c>
      <c r="D1564" s="5" t="s">
        <v>17</v>
      </c>
      <c r="E1564" s="5" t="s">
        <v>18453</v>
      </c>
      <c r="F1564" s="5" t="s">
        <v>9396</v>
      </c>
      <c r="G1564" s="5"/>
      <c r="H1564" s="5"/>
      <c r="I1564" s="5"/>
      <c r="J1564" s="5"/>
      <c r="K1564" s="5"/>
      <c r="L1564" s="5"/>
      <c r="M1564" s="5"/>
      <c r="N1564" s="5"/>
      <c r="O1564" s="5"/>
      <c r="P1564" s="5"/>
      <c r="Q1564" s="5"/>
      <c r="AL1564" s="7" t="str">
        <f>HYPERLINK("http://dx.doi.org/10.1111/j.1365-2427.2007.01842.x","http://dx.doi.org/10.1111/j.1365-2427.2007.01842.x")</f>
        <v>http://dx.doi.org/10.1111/j.1365-2427.2007.01842.x</v>
      </c>
      <c r="AM1564" s="5">
        <v>27</v>
      </c>
      <c r="AN1564" s="5">
        <v>29</v>
      </c>
      <c r="AO1564" s="5">
        <v>52</v>
      </c>
      <c r="AP1564" s="5">
        <v>11</v>
      </c>
      <c r="AQ1564" s="5">
        <v>2156</v>
      </c>
      <c r="AR1564" s="5">
        <v>2171</v>
      </c>
      <c r="AS1564" s="5" t="s">
        <v>16</v>
      </c>
      <c r="AT1564" s="5" t="s">
        <v>9394</v>
      </c>
      <c r="AU1564" s="5" t="s">
        <v>9395</v>
      </c>
      <c r="AV1564" s="5" t="s">
        <v>9397</v>
      </c>
    </row>
    <row r="1565" spans="1:48" ht="45" customHeight="1" x14ac:dyDescent="0.15">
      <c r="A1565" s="5" t="s">
        <v>9398</v>
      </c>
      <c r="B1565" s="5">
        <v>2005</v>
      </c>
      <c r="C1565" s="5" t="s">
        <v>9399</v>
      </c>
      <c r="D1565" s="5" t="s">
        <v>49</v>
      </c>
      <c r="E1565" s="5" t="s">
        <v>18453</v>
      </c>
      <c r="F1565" s="5" t="s">
        <v>9402</v>
      </c>
      <c r="G1565" s="5"/>
      <c r="H1565" s="5"/>
      <c r="I1565" s="5"/>
      <c r="J1565" s="5"/>
      <c r="K1565" s="5"/>
      <c r="L1565" s="5"/>
      <c r="M1565" s="5"/>
      <c r="N1565" s="5"/>
      <c r="O1565" s="5"/>
      <c r="P1565" s="5"/>
      <c r="Q1565" s="5"/>
      <c r="AL1565" s="7" t="str">
        <f>HYPERLINK("http://dx.doi.org/10.3354/meps286099","http://dx.doi.org/10.3354/meps286099")</f>
        <v>http://dx.doi.org/10.3354/meps286099</v>
      </c>
      <c r="AM1565" s="5">
        <v>27</v>
      </c>
      <c r="AN1565" s="5">
        <v>27</v>
      </c>
      <c r="AO1565" s="5">
        <v>286</v>
      </c>
      <c r="AP1565" s="5" t="s">
        <v>16</v>
      </c>
      <c r="AQ1565" s="5">
        <v>99</v>
      </c>
      <c r="AR1565" s="5">
        <v>106</v>
      </c>
      <c r="AS1565" s="5" t="s">
        <v>16</v>
      </c>
      <c r="AT1565" s="5" t="s">
        <v>9400</v>
      </c>
      <c r="AU1565" s="5" t="s">
        <v>9401</v>
      </c>
      <c r="AV1565" s="5" t="s">
        <v>9403</v>
      </c>
    </row>
    <row r="1566" spans="1:48" ht="45" customHeight="1" x14ac:dyDescent="0.15">
      <c r="A1566" s="5" t="s">
        <v>9404</v>
      </c>
      <c r="B1566" s="5">
        <v>2011</v>
      </c>
      <c r="C1566" s="5" t="s">
        <v>9405</v>
      </c>
      <c r="D1566" s="5" t="s">
        <v>49</v>
      </c>
      <c r="E1566" s="5" t="s">
        <v>18453</v>
      </c>
      <c r="F1566" s="5" t="s">
        <v>9408</v>
      </c>
      <c r="G1566" s="5"/>
      <c r="H1566" s="5"/>
      <c r="I1566" s="5"/>
      <c r="J1566" s="5"/>
      <c r="K1566" s="5"/>
      <c r="L1566" s="5"/>
      <c r="M1566" s="5"/>
      <c r="N1566" s="5"/>
      <c r="O1566" s="5"/>
      <c r="P1566" s="5"/>
      <c r="Q1566" s="5"/>
      <c r="AL1566" s="7" t="str">
        <f>HYPERLINK("http://dx.doi.org/10.3354/meps09416","http://dx.doi.org/10.3354/meps09416")</f>
        <v>http://dx.doi.org/10.3354/meps09416</v>
      </c>
      <c r="AM1566" s="5">
        <v>17</v>
      </c>
      <c r="AN1566" s="5">
        <v>19</v>
      </c>
      <c r="AO1566" s="5">
        <v>443</v>
      </c>
      <c r="AP1566" s="5" t="s">
        <v>16</v>
      </c>
      <c r="AQ1566" s="5">
        <v>77</v>
      </c>
      <c r="AR1566" s="5">
        <v>93</v>
      </c>
      <c r="AS1566" s="5" t="s">
        <v>16</v>
      </c>
      <c r="AT1566" s="5" t="s">
        <v>9406</v>
      </c>
      <c r="AU1566" s="5" t="s">
        <v>9407</v>
      </c>
      <c r="AV1566" s="5" t="s">
        <v>9409</v>
      </c>
    </row>
    <row r="1567" spans="1:48" ht="45" customHeight="1" x14ac:dyDescent="0.15">
      <c r="A1567" s="5" t="s">
        <v>9410</v>
      </c>
      <c r="B1567" s="5">
        <v>2018</v>
      </c>
      <c r="C1567" s="5" t="s">
        <v>9411</v>
      </c>
      <c r="D1567" s="5" t="s">
        <v>92</v>
      </c>
      <c r="E1567" s="5" t="s">
        <v>18453</v>
      </c>
      <c r="F1567" s="5" t="s">
        <v>9414</v>
      </c>
      <c r="G1567" s="5"/>
      <c r="H1567" s="5"/>
      <c r="I1567" s="5"/>
      <c r="J1567" s="5"/>
      <c r="K1567" s="5"/>
      <c r="L1567" s="5"/>
      <c r="M1567" s="5"/>
      <c r="N1567" s="5"/>
      <c r="O1567" s="5"/>
      <c r="P1567" s="5"/>
      <c r="Q1567" s="5"/>
      <c r="AL1567" s="7" t="str">
        <f>HYPERLINK("http://dx.doi.org/10.1086/697966","http://dx.doi.org/10.1086/697966")</f>
        <v>http://dx.doi.org/10.1086/697966</v>
      </c>
      <c r="AM1567" s="5">
        <v>25</v>
      </c>
      <c r="AN1567" s="5">
        <v>28</v>
      </c>
      <c r="AO1567" s="5">
        <v>37</v>
      </c>
      <c r="AP1567" s="5">
        <v>2</v>
      </c>
      <c r="AQ1567" s="5">
        <v>208</v>
      </c>
      <c r="AR1567" s="5">
        <v>221</v>
      </c>
      <c r="AS1567" s="5" t="s">
        <v>16</v>
      </c>
      <c r="AT1567" s="5" t="s">
        <v>9412</v>
      </c>
      <c r="AU1567" s="5" t="s">
        <v>9413</v>
      </c>
      <c r="AV1567" s="5" t="s">
        <v>9415</v>
      </c>
    </row>
    <row r="1568" spans="1:48" ht="45" customHeight="1" x14ac:dyDescent="0.15">
      <c r="A1568" s="5" t="s">
        <v>9416</v>
      </c>
      <c r="B1568" s="5">
        <v>2017</v>
      </c>
      <c r="C1568" s="5" t="s">
        <v>9417</v>
      </c>
      <c r="D1568" s="5" t="s">
        <v>49</v>
      </c>
      <c r="E1568" s="5" t="s">
        <v>18453</v>
      </c>
      <c r="F1568" s="5" t="s">
        <v>9420</v>
      </c>
      <c r="G1568" s="5"/>
      <c r="H1568" s="5"/>
      <c r="I1568" s="5"/>
      <c r="J1568" s="5"/>
      <c r="K1568" s="5"/>
      <c r="L1568" s="5"/>
      <c r="M1568" s="5"/>
      <c r="N1568" s="5"/>
      <c r="O1568" s="5"/>
      <c r="P1568" s="5"/>
      <c r="Q1568" s="5"/>
      <c r="AL1568" s="7" t="str">
        <f>HYPERLINK("http://dx.doi.org/10.3354/meps12369","http://dx.doi.org/10.3354/meps12369")</f>
        <v>http://dx.doi.org/10.3354/meps12369</v>
      </c>
      <c r="AM1568" s="5">
        <v>20</v>
      </c>
      <c r="AN1568" s="5">
        <v>20</v>
      </c>
      <c r="AO1568" s="5">
        <v>584</v>
      </c>
      <c r="AP1568" s="5" t="s">
        <v>16</v>
      </c>
      <c r="AQ1568" s="5">
        <v>91</v>
      </c>
      <c r="AR1568" s="5">
        <v>104</v>
      </c>
      <c r="AS1568" s="5" t="s">
        <v>16</v>
      </c>
      <c r="AT1568" s="5" t="s">
        <v>9418</v>
      </c>
      <c r="AU1568" s="5" t="s">
        <v>9419</v>
      </c>
      <c r="AV1568" s="5" t="s">
        <v>9421</v>
      </c>
    </row>
    <row r="1569" spans="1:48" ht="45" customHeight="1" x14ac:dyDescent="0.15">
      <c r="A1569" s="5" t="s">
        <v>9422</v>
      </c>
      <c r="B1569" s="5">
        <v>2011</v>
      </c>
      <c r="C1569" s="5" t="s">
        <v>9423</v>
      </c>
      <c r="D1569" s="5" t="s">
        <v>4217</v>
      </c>
      <c r="E1569" s="5" t="s">
        <v>18453</v>
      </c>
      <c r="F1569" s="5" t="s">
        <v>9426</v>
      </c>
      <c r="G1569" s="5"/>
      <c r="H1569" s="5"/>
      <c r="I1569" s="5"/>
      <c r="J1569" s="5"/>
      <c r="K1569" s="5"/>
      <c r="L1569" s="5"/>
      <c r="M1569" s="5"/>
      <c r="N1569" s="5"/>
      <c r="O1569" s="5"/>
      <c r="P1569" s="5"/>
      <c r="Q1569" s="5"/>
      <c r="AL1569" s="5" t="s">
        <v>16</v>
      </c>
      <c r="AM1569" s="5">
        <v>18</v>
      </c>
      <c r="AN1569" s="5">
        <v>18</v>
      </c>
      <c r="AO1569" s="5">
        <v>13</v>
      </c>
      <c r="AP1569" s="5">
        <v>7</v>
      </c>
      <c r="AQ1569" s="5">
        <v>711</v>
      </c>
      <c r="AR1569" s="5">
        <v>723</v>
      </c>
      <c r="AS1569" s="5" t="s">
        <v>16</v>
      </c>
      <c r="AT1569" s="5" t="s">
        <v>9424</v>
      </c>
      <c r="AU1569" s="5" t="s">
        <v>9425</v>
      </c>
      <c r="AV1569" s="5" t="s">
        <v>16</v>
      </c>
    </row>
    <row r="1570" spans="1:48" ht="45" customHeight="1" x14ac:dyDescent="0.15">
      <c r="A1570" s="5" t="s">
        <v>9427</v>
      </c>
      <c r="B1570" s="5">
        <v>2019</v>
      </c>
      <c r="C1570" s="5" t="s">
        <v>9428</v>
      </c>
      <c r="D1570" s="5" t="s">
        <v>2437</v>
      </c>
      <c r="E1570" s="5" t="s">
        <v>18453</v>
      </c>
      <c r="F1570" s="5" t="s">
        <v>9431</v>
      </c>
      <c r="G1570" s="5"/>
      <c r="H1570" s="5"/>
      <c r="I1570" s="5"/>
      <c r="J1570" s="5"/>
      <c r="K1570" s="5"/>
      <c r="L1570" s="5"/>
      <c r="M1570" s="5"/>
      <c r="N1570" s="5"/>
      <c r="O1570" s="5"/>
      <c r="P1570" s="5"/>
      <c r="Q1570" s="5"/>
      <c r="AL1570" s="7" t="str">
        <f>HYPERLINK("http://dx.doi.org/10.1002/ecm.1349","http://dx.doi.org/10.1002/ecm.1349")</f>
        <v>http://dx.doi.org/10.1002/ecm.1349</v>
      </c>
      <c r="AM1570" s="5">
        <v>8</v>
      </c>
      <c r="AN1570" s="5">
        <v>9</v>
      </c>
      <c r="AO1570" s="5">
        <v>89</v>
      </c>
      <c r="AP1570" s="5">
        <v>2</v>
      </c>
      <c r="AQ1570" s="5" t="s">
        <v>16</v>
      </c>
      <c r="AR1570" s="5" t="s">
        <v>16</v>
      </c>
      <c r="AS1570" s="5" t="s">
        <v>9432</v>
      </c>
      <c r="AT1570" s="5" t="s">
        <v>9429</v>
      </c>
      <c r="AU1570" s="5" t="s">
        <v>9430</v>
      </c>
      <c r="AV1570" s="5" t="s">
        <v>9433</v>
      </c>
    </row>
    <row r="1571" spans="1:48" ht="45" customHeight="1" x14ac:dyDescent="0.15">
      <c r="A1571" s="5" t="s">
        <v>9434</v>
      </c>
      <c r="B1571" s="5">
        <v>2021</v>
      </c>
      <c r="C1571" s="5" t="s">
        <v>9435</v>
      </c>
      <c r="D1571" s="5" t="s">
        <v>161</v>
      </c>
      <c r="E1571" s="5" t="s">
        <v>18453</v>
      </c>
      <c r="F1571" s="5" t="s">
        <v>9438</v>
      </c>
      <c r="G1571" s="5"/>
      <c r="H1571" s="5"/>
      <c r="I1571" s="5"/>
      <c r="J1571" s="5"/>
      <c r="K1571" s="5"/>
      <c r="L1571" s="5"/>
      <c r="M1571" s="5"/>
      <c r="N1571" s="5"/>
      <c r="O1571" s="5"/>
      <c r="P1571" s="5"/>
      <c r="Q1571" s="5"/>
      <c r="AL1571" s="7" t="str">
        <f>HYPERLINK("http://dx.doi.org/10.1111/geb.13242","http://dx.doi.org/10.1111/geb.13242")</f>
        <v>http://dx.doi.org/10.1111/geb.13242</v>
      </c>
      <c r="AM1571" s="5">
        <v>1</v>
      </c>
      <c r="AN1571" s="5">
        <v>1</v>
      </c>
      <c r="AO1571" s="5">
        <v>30</v>
      </c>
      <c r="AP1571" s="5">
        <v>3</v>
      </c>
      <c r="AQ1571" s="5">
        <v>640</v>
      </c>
      <c r="AR1571" s="5">
        <v>650</v>
      </c>
      <c r="AS1571" s="5" t="s">
        <v>16</v>
      </c>
      <c r="AT1571" s="5" t="s">
        <v>9436</v>
      </c>
      <c r="AU1571" s="5" t="s">
        <v>9437</v>
      </c>
      <c r="AV1571" s="5" t="s">
        <v>9439</v>
      </c>
    </row>
    <row r="1572" spans="1:48" ht="45" customHeight="1" x14ac:dyDescent="0.15">
      <c r="A1572" s="5" t="s">
        <v>9440</v>
      </c>
      <c r="B1572" s="5">
        <v>2009</v>
      </c>
      <c r="C1572" s="5" t="s">
        <v>9441</v>
      </c>
      <c r="D1572" s="5" t="s">
        <v>312</v>
      </c>
      <c r="E1572" s="5" t="s">
        <v>18453</v>
      </c>
      <c r="F1572" s="5" t="s">
        <v>9444</v>
      </c>
      <c r="G1572" s="5"/>
      <c r="H1572" s="5"/>
      <c r="I1572" s="5"/>
      <c r="J1572" s="5"/>
      <c r="K1572" s="5"/>
      <c r="L1572" s="5"/>
      <c r="M1572" s="5"/>
      <c r="N1572" s="5"/>
      <c r="O1572" s="5"/>
      <c r="P1572" s="5"/>
      <c r="Q1572" s="5"/>
      <c r="AL1572" s="7" t="str">
        <f>HYPERLINK("http://dx.doi.org/10.1016/j.ecolmodel.2009.06.037","http://dx.doi.org/10.1016/j.ecolmodel.2009.06.037")</f>
        <v>http://dx.doi.org/10.1016/j.ecolmodel.2009.06.037</v>
      </c>
      <c r="AM1572" s="5">
        <v>15</v>
      </c>
      <c r="AN1572" s="5">
        <v>15</v>
      </c>
      <c r="AO1572" s="5">
        <v>220</v>
      </c>
      <c r="AP1572" s="5">
        <v>22</v>
      </c>
      <c r="AQ1572" s="5">
        <v>3133</v>
      </c>
      <c r="AR1572" s="5">
        <v>3140</v>
      </c>
      <c r="AS1572" s="5" t="s">
        <v>16</v>
      </c>
      <c r="AT1572" s="5" t="s">
        <v>9442</v>
      </c>
      <c r="AU1572" s="5" t="s">
        <v>9443</v>
      </c>
      <c r="AV1572" s="5" t="s">
        <v>9445</v>
      </c>
    </row>
    <row r="1573" spans="1:48" ht="45" customHeight="1" x14ac:dyDescent="0.15">
      <c r="A1573" s="5" t="s">
        <v>9446</v>
      </c>
      <c r="B1573" s="5">
        <v>2012</v>
      </c>
      <c r="C1573" s="5" t="s">
        <v>9447</v>
      </c>
      <c r="D1573" s="5" t="s">
        <v>15</v>
      </c>
      <c r="E1573" s="5" t="s">
        <v>18453</v>
      </c>
      <c r="F1573" s="5" t="s">
        <v>9450</v>
      </c>
      <c r="G1573" s="5"/>
      <c r="H1573" s="5"/>
      <c r="I1573" s="5"/>
      <c r="J1573" s="5"/>
      <c r="K1573" s="5"/>
      <c r="L1573" s="5"/>
      <c r="M1573" s="5"/>
      <c r="N1573" s="5"/>
      <c r="O1573" s="5"/>
      <c r="P1573" s="5"/>
      <c r="Q1573" s="5"/>
      <c r="AL1573" s="7" t="str">
        <f>HYPERLINK("http://dx.doi.org/10.1002/ece3.311","http://dx.doi.org/10.1002/ece3.311")</f>
        <v>http://dx.doi.org/10.1002/ece3.311</v>
      </c>
      <c r="AM1573" s="5">
        <v>156</v>
      </c>
      <c r="AN1573" s="5">
        <v>172</v>
      </c>
      <c r="AO1573" s="5">
        <v>2</v>
      </c>
      <c r="AP1573" s="5">
        <v>8</v>
      </c>
      <c r="AQ1573" s="5">
        <v>1843</v>
      </c>
      <c r="AR1573" s="5">
        <v>1852</v>
      </c>
      <c r="AS1573" s="5" t="s">
        <v>16</v>
      </c>
      <c r="AT1573" s="5" t="s">
        <v>9448</v>
      </c>
      <c r="AU1573" s="5" t="s">
        <v>9449</v>
      </c>
      <c r="AV1573" s="5" t="s">
        <v>9451</v>
      </c>
    </row>
    <row r="1574" spans="1:48" ht="45" customHeight="1" x14ac:dyDescent="0.15">
      <c r="A1574" s="5" t="s">
        <v>9452</v>
      </c>
      <c r="B1574" s="5">
        <v>2023</v>
      </c>
      <c r="C1574" s="5" t="s">
        <v>9453</v>
      </c>
      <c r="D1574" s="5" t="s">
        <v>67</v>
      </c>
      <c r="E1574" s="5" t="s">
        <v>18453</v>
      </c>
      <c r="F1574" s="5" t="s">
        <v>9456</v>
      </c>
      <c r="G1574" s="5"/>
      <c r="H1574" s="5"/>
      <c r="I1574" s="5"/>
      <c r="J1574" s="5"/>
      <c r="K1574" s="5"/>
      <c r="L1574" s="5"/>
      <c r="M1574" s="5"/>
      <c r="N1574" s="5"/>
      <c r="O1574" s="5"/>
      <c r="P1574" s="5"/>
      <c r="Q1574" s="5"/>
      <c r="AL1574" s="7" t="str">
        <f>HYPERLINK("http://dx.doi.org/10.1111/jbi.14621","http://dx.doi.org/10.1111/jbi.14621")</f>
        <v>http://dx.doi.org/10.1111/jbi.14621</v>
      </c>
      <c r="AM1574" s="5">
        <v>1</v>
      </c>
      <c r="AN1574" s="5">
        <v>1</v>
      </c>
      <c r="AO1574" s="5" t="s">
        <v>16</v>
      </c>
      <c r="AP1574" s="5" t="s">
        <v>16</v>
      </c>
      <c r="AQ1574" s="5" t="s">
        <v>16</v>
      </c>
      <c r="AR1574" s="5" t="s">
        <v>16</v>
      </c>
      <c r="AS1574" s="5" t="s">
        <v>16</v>
      </c>
      <c r="AT1574" s="5" t="s">
        <v>9454</v>
      </c>
      <c r="AU1574" s="5" t="s">
        <v>9455</v>
      </c>
      <c r="AV1574" s="5" t="s">
        <v>9457</v>
      </c>
    </row>
    <row r="1575" spans="1:48" ht="45" customHeight="1" x14ac:dyDescent="0.15">
      <c r="A1575" s="5" t="s">
        <v>9458</v>
      </c>
      <c r="B1575" s="5">
        <v>2012</v>
      </c>
      <c r="C1575" s="5" t="s">
        <v>9459</v>
      </c>
      <c r="D1575" s="5" t="s">
        <v>57</v>
      </c>
      <c r="E1575" s="5" t="s">
        <v>18453</v>
      </c>
      <c r="F1575" s="5" t="s">
        <v>9462</v>
      </c>
      <c r="G1575" s="5"/>
      <c r="H1575" s="5"/>
      <c r="I1575" s="5"/>
      <c r="J1575" s="5"/>
      <c r="K1575" s="5"/>
      <c r="L1575" s="5"/>
      <c r="M1575" s="5"/>
      <c r="N1575" s="5"/>
      <c r="O1575" s="5"/>
      <c r="P1575" s="5"/>
      <c r="Q1575" s="5"/>
      <c r="AL1575" s="7" t="str">
        <f>HYPERLINK("http://dx.doi.org/10.1098/rsbl.2011.1020","http://dx.doi.org/10.1098/rsbl.2011.1020")</f>
        <v>http://dx.doi.org/10.1098/rsbl.2011.1020</v>
      </c>
      <c r="AM1575" s="5">
        <v>35</v>
      </c>
      <c r="AN1575" s="5">
        <v>36</v>
      </c>
      <c r="AO1575" s="5">
        <v>8</v>
      </c>
      <c r="AP1575" s="5">
        <v>3</v>
      </c>
      <c r="AQ1575" s="5">
        <v>442</v>
      </c>
      <c r="AR1575" s="5">
        <v>445</v>
      </c>
      <c r="AS1575" s="5" t="s">
        <v>16</v>
      </c>
      <c r="AT1575" s="5" t="s">
        <v>9460</v>
      </c>
      <c r="AU1575" s="5" t="s">
        <v>9461</v>
      </c>
      <c r="AV1575" s="5" t="s">
        <v>9463</v>
      </c>
    </row>
    <row r="1576" spans="1:48" ht="45" customHeight="1" x14ac:dyDescent="0.15">
      <c r="A1576" s="5" t="s">
        <v>9464</v>
      </c>
      <c r="B1576" s="5">
        <v>2019</v>
      </c>
      <c r="C1576" s="5" t="s">
        <v>9465</v>
      </c>
      <c r="D1576" s="5" t="s">
        <v>6328</v>
      </c>
      <c r="E1576" s="5" t="s">
        <v>18453</v>
      </c>
      <c r="F1576" s="5" t="s">
        <v>9468</v>
      </c>
      <c r="G1576" s="5"/>
      <c r="H1576" s="5"/>
      <c r="I1576" s="5"/>
      <c r="J1576" s="5"/>
      <c r="K1576" s="5"/>
      <c r="L1576" s="5"/>
      <c r="M1576" s="5"/>
      <c r="N1576" s="5"/>
      <c r="O1576" s="5"/>
      <c r="P1576" s="5"/>
      <c r="Q1576" s="5"/>
      <c r="AL1576" s="7" t="str">
        <f>HYPERLINK("http://dx.doi.org/10.15666/aeer/1706_1475114765","http://dx.doi.org/10.15666/aeer/1706_1475114765")</f>
        <v>http://dx.doi.org/10.15666/aeer/1706_1475114765</v>
      </c>
      <c r="AM1576" s="5">
        <v>0</v>
      </c>
      <c r="AN1576" s="5">
        <v>1</v>
      </c>
      <c r="AO1576" s="5">
        <v>17</v>
      </c>
      <c r="AP1576" s="5">
        <v>6</v>
      </c>
      <c r="AQ1576" s="5">
        <v>14751</v>
      </c>
      <c r="AR1576" s="5">
        <v>14765</v>
      </c>
      <c r="AS1576" s="5" t="s">
        <v>16</v>
      </c>
      <c r="AT1576" s="5" t="s">
        <v>9466</v>
      </c>
      <c r="AU1576" s="5" t="s">
        <v>9467</v>
      </c>
      <c r="AV1576" s="5" t="s">
        <v>9469</v>
      </c>
    </row>
    <row r="1577" spans="1:48" ht="45" customHeight="1" x14ac:dyDescent="0.15">
      <c r="A1577" s="5" t="s">
        <v>9470</v>
      </c>
      <c r="B1577" s="5">
        <v>2019</v>
      </c>
      <c r="C1577" s="5" t="s">
        <v>9471</v>
      </c>
      <c r="D1577" s="5" t="s">
        <v>162</v>
      </c>
      <c r="E1577" s="5" t="s">
        <v>18453</v>
      </c>
      <c r="F1577" s="5" t="s">
        <v>9474</v>
      </c>
      <c r="G1577" s="5"/>
      <c r="H1577" s="5"/>
      <c r="I1577" s="5"/>
      <c r="J1577" s="5"/>
      <c r="K1577" s="5"/>
      <c r="L1577" s="5"/>
      <c r="M1577" s="5"/>
      <c r="N1577" s="5"/>
      <c r="O1577" s="5"/>
      <c r="P1577" s="5"/>
      <c r="Q1577" s="5"/>
      <c r="AL1577" s="7" t="str">
        <f>HYPERLINK("http://dx.doi.org/10.1111/1365-2435.13386","http://dx.doi.org/10.1111/1365-2435.13386")</f>
        <v>http://dx.doi.org/10.1111/1365-2435.13386</v>
      </c>
      <c r="AM1577" s="5">
        <v>13</v>
      </c>
      <c r="AN1577" s="5">
        <v>13</v>
      </c>
      <c r="AO1577" s="5">
        <v>33</v>
      </c>
      <c r="AP1577" s="5">
        <v>9</v>
      </c>
      <c r="AQ1577" s="5">
        <v>1651</v>
      </c>
      <c r="AR1577" s="5">
        <v>1662</v>
      </c>
      <c r="AS1577" s="5" t="s">
        <v>16</v>
      </c>
      <c r="AT1577" s="5" t="s">
        <v>9472</v>
      </c>
      <c r="AU1577" s="5" t="s">
        <v>9473</v>
      </c>
      <c r="AV1577" s="5" t="s">
        <v>9475</v>
      </c>
    </row>
    <row r="1578" spans="1:48" ht="45" customHeight="1" x14ac:dyDescent="0.15">
      <c r="A1578" s="5" t="s">
        <v>9476</v>
      </c>
      <c r="B1578" s="5">
        <v>2021</v>
      </c>
      <c r="C1578" s="5" t="s">
        <v>9477</v>
      </c>
      <c r="D1578" s="5" t="s">
        <v>18</v>
      </c>
      <c r="E1578" s="5" t="s">
        <v>18453</v>
      </c>
      <c r="F1578" s="5" t="s">
        <v>9480</v>
      </c>
      <c r="G1578" s="5"/>
      <c r="H1578" s="5"/>
      <c r="I1578" s="5"/>
      <c r="J1578" s="5"/>
      <c r="K1578" s="5"/>
      <c r="L1578" s="5"/>
      <c r="M1578" s="5"/>
      <c r="N1578" s="5"/>
      <c r="O1578" s="5"/>
      <c r="P1578" s="5"/>
      <c r="Q1578" s="5"/>
      <c r="AL1578" s="7" t="str">
        <f>HYPERLINK("http://dx.doi.org/10.1002/ecs2.3700","http://dx.doi.org/10.1002/ecs2.3700")</f>
        <v>http://dx.doi.org/10.1002/ecs2.3700</v>
      </c>
      <c r="AM1578" s="5">
        <v>1</v>
      </c>
      <c r="AN1578" s="5">
        <v>2</v>
      </c>
      <c r="AO1578" s="5">
        <v>12</v>
      </c>
      <c r="AP1578" s="5">
        <v>8</v>
      </c>
      <c r="AQ1578" s="5" t="s">
        <v>16</v>
      </c>
      <c r="AR1578" s="5" t="s">
        <v>16</v>
      </c>
      <c r="AS1578" s="5" t="s">
        <v>9481</v>
      </c>
      <c r="AT1578" s="5" t="s">
        <v>9478</v>
      </c>
      <c r="AU1578" s="5" t="s">
        <v>9479</v>
      </c>
      <c r="AV1578" s="5" t="s">
        <v>9482</v>
      </c>
    </row>
    <row r="1579" spans="1:48" ht="45" customHeight="1" x14ac:dyDescent="0.15">
      <c r="A1579" s="5" t="s">
        <v>9483</v>
      </c>
      <c r="B1579" s="5">
        <v>2020</v>
      </c>
      <c r="C1579" s="5" t="s">
        <v>9484</v>
      </c>
      <c r="D1579" s="5" t="s">
        <v>15</v>
      </c>
      <c r="E1579" s="5" t="s">
        <v>18453</v>
      </c>
      <c r="F1579" s="5" t="s">
        <v>9487</v>
      </c>
      <c r="G1579" s="5"/>
      <c r="H1579" s="5"/>
      <c r="I1579" s="5"/>
      <c r="J1579" s="5"/>
      <c r="K1579" s="5"/>
      <c r="L1579" s="5"/>
      <c r="M1579" s="5"/>
      <c r="N1579" s="5"/>
      <c r="O1579" s="5"/>
      <c r="P1579" s="5"/>
      <c r="Q1579" s="5"/>
      <c r="AL1579" s="7" t="str">
        <f>HYPERLINK("http://dx.doi.org/10.1002/ece3.7022","http://dx.doi.org/10.1002/ece3.7022")</f>
        <v>http://dx.doi.org/10.1002/ece3.7022</v>
      </c>
      <c r="AM1579" s="5">
        <v>5</v>
      </c>
      <c r="AN1579" s="5">
        <v>5</v>
      </c>
      <c r="AO1579" s="5">
        <v>10</v>
      </c>
      <c r="AP1579" s="5">
        <v>23</v>
      </c>
      <c r="AQ1579" s="5">
        <v>13555</v>
      </c>
      <c r="AR1579" s="5">
        <v>13570</v>
      </c>
      <c r="AS1579" s="5" t="s">
        <v>16</v>
      </c>
      <c r="AT1579" s="5" t="s">
        <v>9485</v>
      </c>
      <c r="AU1579" s="5" t="s">
        <v>9486</v>
      </c>
      <c r="AV1579" s="5" t="s">
        <v>9488</v>
      </c>
    </row>
    <row r="1580" spans="1:48" ht="45" customHeight="1" x14ac:dyDescent="0.15">
      <c r="A1580" s="5" t="s">
        <v>9489</v>
      </c>
      <c r="B1580" s="5">
        <v>2007</v>
      </c>
      <c r="C1580" s="5" t="s">
        <v>9490</v>
      </c>
      <c r="D1580" s="5" t="s">
        <v>161</v>
      </c>
      <c r="E1580" s="5" t="s">
        <v>18453</v>
      </c>
      <c r="F1580" s="5" t="s">
        <v>9493</v>
      </c>
      <c r="G1580" s="5"/>
      <c r="H1580" s="5"/>
      <c r="I1580" s="5"/>
      <c r="J1580" s="5"/>
      <c r="K1580" s="5"/>
      <c r="L1580" s="5"/>
      <c r="M1580" s="5"/>
      <c r="N1580" s="5"/>
      <c r="O1580" s="5"/>
      <c r="P1580" s="5"/>
      <c r="Q1580" s="5"/>
      <c r="AL1580" s="7" t="str">
        <f>HYPERLINK("http://dx.doi.org/10.1111/j.1466-8238.2007.00337.x","http://dx.doi.org/10.1111/j.1466-8238.2007.00337.x")</f>
        <v>http://dx.doi.org/10.1111/j.1466-8238.2007.00337.x</v>
      </c>
      <c r="AM1580" s="5">
        <v>234</v>
      </c>
      <c r="AN1580" s="5">
        <v>237</v>
      </c>
      <c r="AO1580" s="5">
        <v>16</v>
      </c>
      <c r="AP1580" s="5">
        <v>6</v>
      </c>
      <c r="AQ1580" s="5">
        <v>694</v>
      </c>
      <c r="AR1580" s="5">
        <v>701</v>
      </c>
      <c r="AS1580" s="5" t="s">
        <v>16</v>
      </c>
      <c r="AT1580" s="5" t="s">
        <v>9491</v>
      </c>
      <c r="AU1580" s="5" t="s">
        <v>9492</v>
      </c>
      <c r="AV1580" s="5" t="s">
        <v>9494</v>
      </c>
    </row>
    <row r="1581" spans="1:48" ht="45" customHeight="1" x14ac:dyDescent="0.15">
      <c r="A1581" s="5" t="s">
        <v>9495</v>
      </c>
      <c r="B1581" s="5">
        <v>2013</v>
      </c>
      <c r="C1581" s="5" t="s">
        <v>9496</v>
      </c>
      <c r="D1581" s="5" t="s">
        <v>116</v>
      </c>
      <c r="E1581" s="5" t="s">
        <v>18453</v>
      </c>
      <c r="F1581" s="5" t="s">
        <v>9499</v>
      </c>
      <c r="G1581" s="5"/>
      <c r="H1581" s="5"/>
      <c r="I1581" s="5"/>
      <c r="J1581" s="5"/>
      <c r="K1581" s="5"/>
      <c r="L1581" s="5"/>
      <c r="M1581" s="5"/>
      <c r="N1581" s="5"/>
      <c r="O1581" s="5"/>
      <c r="P1581" s="5"/>
      <c r="Q1581" s="5"/>
      <c r="AL1581" s="7" t="str">
        <f>HYPERLINK("http://dx.doi.org/10.1007/s10641-012-0027-0","http://dx.doi.org/10.1007/s10641-012-0027-0")</f>
        <v>http://dx.doi.org/10.1007/s10641-012-0027-0</v>
      </c>
      <c r="AM1581" s="5">
        <v>44</v>
      </c>
      <c r="AN1581" s="5">
        <v>46</v>
      </c>
      <c r="AO1581" s="5">
        <v>96</v>
      </c>
      <c r="AP1581" s="5">
        <v>4</v>
      </c>
      <c r="AQ1581" s="5">
        <v>439</v>
      </c>
      <c r="AR1581" s="5">
        <v>446</v>
      </c>
      <c r="AS1581" s="5" t="s">
        <v>16</v>
      </c>
      <c r="AT1581" s="5" t="s">
        <v>9497</v>
      </c>
      <c r="AU1581" s="5" t="s">
        <v>9498</v>
      </c>
      <c r="AV1581" s="5" t="s">
        <v>9500</v>
      </c>
    </row>
    <row r="1582" spans="1:48" ht="45" customHeight="1" x14ac:dyDescent="0.15">
      <c r="A1582" s="5" t="s">
        <v>9501</v>
      </c>
      <c r="B1582" s="5">
        <v>2020</v>
      </c>
      <c r="C1582" s="5" t="s">
        <v>9502</v>
      </c>
      <c r="D1582" s="5" t="s">
        <v>83</v>
      </c>
      <c r="E1582" s="5" t="s">
        <v>18453</v>
      </c>
      <c r="F1582" s="5" t="s">
        <v>9505</v>
      </c>
      <c r="G1582" s="5"/>
      <c r="H1582" s="5"/>
      <c r="I1582" s="5"/>
      <c r="J1582" s="5"/>
      <c r="K1582" s="5"/>
      <c r="L1582" s="5"/>
      <c r="M1582" s="5"/>
      <c r="N1582" s="5"/>
      <c r="O1582" s="5"/>
      <c r="P1582" s="5"/>
      <c r="Q1582" s="5"/>
      <c r="AL1582" s="7" t="str">
        <f>HYPERLINK("http://dx.doi.org/10.1007/s10646-019-02112-3","http://dx.doi.org/10.1007/s10646-019-02112-3")</f>
        <v>http://dx.doi.org/10.1007/s10646-019-02112-3</v>
      </c>
      <c r="AM1582" s="5">
        <v>16</v>
      </c>
      <c r="AN1582" s="5">
        <v>16</v>
      </c>
      <c r="AO1582" s="5">
        <v>29</v>
      </c>
      <c r="AP1582" s="5">
        <v>10</v>
      </c>
      <c r="AQ1582" s="5">
        <v>1739</v>
      </c>
      <c r="AR1582" s="5">
        <v>1749</v>
      </c>
      <c r="AS1582" s="5" t="s">
        <v>16</v>
      </c>
      <c r="AT1582" s="5" t="s">
        <v>9503</v>
      </c>
      <c r="AU1582" s="5" t="s">
        <v>9504</v>
      </c>
      <c r="AV1582" s="5" t="s">
        <v>9506</v>
      </c>
    </row>
    <row r="1583" spans="1:48" ht="45" customHeight="1" x14ac:dyDescent="0.15">
      <c r="A1583" s="5" t="s">
        <v>9507</v>
      </c>
      <c r="B1583" s="5">
        <v>2023</v>
      </c>
      <c r="C1583" s="5" t="s">
        <v>9508</v>
      </c>
      <c r="D1583" s="5" t="s">
        <v>49</v>
      </c>
      <c r="E1583" s="5" t="s">
        <v>18453</v>
      </c>
      <c r="F1583" s="5" t="s">
        <v>9511</v>
      </c>
      <c r="G1583" s="5"/>
      <c r="H1583" s="5"/>
      <c r="I1583" s="5"/>
      <c r="J1583" s="5"/>
      <c r="K1583" s="5"/>
      <c r="L1583" s="5"/>
      <c r="M1583" s="5"/>
      <c r="N1583" s="5"/>
      <c r="O1583" s="5"/>
      <c r="P1583" s="5"/>
      <c r="Q1583" s="5"/>
      <c r="AL1583" s="7" t="str">
        <f>HYPERLINK("http://dx.doi.org/10.3354/meps14302","http://dx.doi.org/10.3354/meps14302")</f>
        <v>http://dx.doi.org/10.3354/meps14302</v>
      </c>
      <c r="AM1583" s="5">
        <v>1</v>
      </c>
      <c r="AN1583" s="5">
        <v>1</v>
      </c>
      <c r="AO1583" s="5">
        <v>710</v>
      </c>
      <c r="AP1583" s="5" t="s">
        <v>16</v>
      </c>
      <c r="AQ1583" s="5">
        <v>125</v>
      </c>
      <c r="AR1583" s="5">
        <v>135</v>
      </c>
      <c r="AS1583" s="5" t="s">
        <v>16</v>
      </c>
      <c r="AT1583" s="5" t="s">
        <v>9509</v>
      </c>
      <c r="AU1583" s="5" t="s">
        <v>9510</v>
      </c>
      <c r="AV1583" s="5" t="s">
        <v>9512</v>
      </c>
    </row>
    <row r="1584" spans="1:48" ht="45" customHeight="1" x14ac:dyDescent="0.15">
      <c r="A1584" s="5" t="s">
        <v>9513</v>
      </c>
      <c r="B1584" s="5">
        <v>2017</v>
      </c>
      <c r="C1584" s="5" t="s">
        <v>9514</v>
      </c>
      <c r="D1584" s="5" t="s">
        <v>15</v>
      </c>
      <c r="E1584" s="5" t="s">
        <v>18453</v>
      </c>
      <c r="F1584" s="5" t="s">
        <v>9517</v>
      </c>
      <c r="G1584" s="5"/>
      <c r="H1584" s="5"/>
      <c r="I1584" s="5"/>
      <c r="J1584" s="5"/>
      <c r="K1584" s="5"/>
      <c r="L1584" s="5"/>
      <c r="M1584" s="5"/>
      <c r="N1584" s="5"/>
      <c r="O1584" s="5"/>
      <c r="P1584" s="5"/>
      <c r="Q1584" s="5"/>
      <c r="AL1584" s="7" t="str">
        <f>HYPERLINK("http://dx.doi.org/10.1002/ece3.3584","http://dx.doi.org/10.1002/ece3.3584")</f>
        <v>http://dx.doi.org/10.1002/ece3.3584</v>
      </c>
      <c r="AM1584" s="5">
        <v>18</v>
      </c>
      <c r="AN1584" s="5">
        <v>25</v>
      </c>
      <c r="AO1584" s="5">
        <v>7</v>
      </c>
      <c r="AP1584" s="5">
        <v>24</v>
      </c>
      <c r="AQ1584" s="5">
        <v>10640</v>
      </c>
      <c r="AR1584" s="5">
        <v>10651</v>
      </c>
      <c r="AS1584" s="5" t="s">
        <v>16</v>
      </c>
      <c r="AT1584" s="5" t="s">
        <v>9515</v>
      </c>
      <c r="AU1584" s="5" t="s">
        <v>9516</v>
      </c>
      <c r="AV1584" s="5" t="s">
        <v>9518</v>
      </c>
    </row>
    <row r="1585" spans="1:48" ht="45" customHeight="1" x14ac:dyDescent="0.15">
      <c r="A1585" s="5" t="s">
        <v>9519</v>
      </c>
      <c r="B1585" s="5">
        <v>2018</v>
      </c>
      <c r="C1585" s="5" t="s">
        <v>9520</v>
      </c>
      <c r="D1585" s="5" t="s">
        <v>49</v>
      </c>
      <c r="E1585" s="5" t="s">
        <v>18453</v>
      </c>
      <c r="F1585" s="5" t="s">
        <v>9523</v>
      </c>
      <c r="G1585" s="5"/>
      <c r="H1585" s="5"/>
      <c r="I1585" s="5"/>
      <c r="J1585" s="5"/>
      <c r="K1585" s="5"/>
      <c r="L1585" s="5"/>
      <c r="M1585" s="5"/>
      <c r="N1585" s="5"/>
      <c r="O1585" s="5"/>
      <c r="P1585" s="5"/>
      <c r="Q1585" s="5"/>
      <c r="AL1585" s="7" t="str">
        <f>HYPERLINK("http://dx.doi.org/10.3354/meps12302","http://dx.doi.org/10.3354/meps12302")</f>
        <v>http://dx.doi.org/10.3354/meps12302</v>
      </c>
      <c r="AM1585" s="5">
        <v>21</v>
      </c>
      <c r="AN1585" s="5">
        <v>21</v>
      </c>
      <c r="AO1585" s="5">
        <v>598</v>
      </c>
      <c r="AP1585" s="5" t="s">
        <v>16</v>
      </c>
      <c r="AQ1585" s="5">
        <v>167</v>
      </c>
      <c r="AR1585" s="5">
        <v>185</v>
      </c>
      <c r="AS1585" s="5" t="s">
        <v>16</v>
      </c>
      <c r="AT1585" s="5" t="s">
        <v>9521</v>
      </c>
      <c r="AU1585" s="5" t="s">
        <v>9522</v>
      </c>
      <c r="AV1585" s="5" t="s">
        <v>9524</v>
      </c>
    </row>
    <row r="1586" spans="1:48" ht="45" customHeight="1" x14ac:dyDescent="0.15">
      <c r="A1586" s="5" t="s">
        <v>9525</v>
      </c>
      <c r="B1586" s="5">
        <v>2004</v>
      </c>
      <c r="C1586" s="5" t="s">
        <v>9526</v>
      </c>
      <c r="D1586" s="5" t="s">
        <v>6075</v>
      </c>
      <c r="E1586" s="5" t="s">
        <v>18453</v>
      </c>
      <c r="F1586" s="5" t="s">
        <v>9529</v>
      </c>
      <c r="G1586" s="5"/>
      <c r="H1586" s="5"/>
      <c r="I1586" s="5"/>
      <c r="J1586" s="5"/>
      <c r="K1586" s="5"/>
      <c r="L1586" s="5"/>
      <c r="M1586" s="5"/>
      <c r="N1586" s="5"/>
      <c r="O1586" s="5"/>
      <c r="P1586" s="5"/>
      <c r="Q1586" s="5"/>
      <c r="AL1586" s="7" t="str">
        <f>HYPERLINK("http://dx.doi.org/10.1111/j.1420-9101.2004.00765.x","http://dx.doi.org/10.1111/j.1420-9101.2004.00765.x")</f>
        <v>http://dx.doi.org/10.1111/j.1420-9101.2004.00765.x</v>
      </c>
      <c r="AM1586" s="5">
        <v>91</v>
      </c>
      <c r="AN1586" s="5">
        <v>95</v>
      </c>
      <c r="AO1586" s="5">
        <v>17</v>
      </c>
      <c r="AP1586" s="5">
        <v>6</v>
      </c>
      <c r="AQ1586" s="5">
        <v>1286</v>
      </c>
      <c r="AR1586" s="5">
        <v>1296</v>
      </c>
      <c r="AS1586" s="5" t="s">
        <v>16</v>
      </c>
      <c r="AT1586" s="5" t="s">
        <v>9527</v>
      </c>
      <c r="AU1586" s="5" t="s">
        <v>9528</v>
      </c>
      <c r="AV1586" s="5" t="s">
        <v>9530</v>
      </c>
    </row>
    <row r="1587" spans="1:48" ht="45" customHeight="1" x14ac:dyDescent="0.15">
      <c r="A1587" s="5" t="s">
        <v>9531</v>
      </c>
      <c r="B1587" s="5">
        <v>2017</v>
      </c>
      <c r="C1587" s="5" t="s">
        <v>9532</v>
      </c>
      <c r="D1587" s="5" t="s">
        <v>49</v>
      </c>
      <c r="E1587" s="5" t="s">
        <v>18453</v>
      </c>
      <c r="F1587" s="5" t="s">
        <v>9535</v>
      </c>
      <c r="G1587" s="5"/>
      <c r="H1587" s="5"/>
      <c r="I1587" s="5"/>
      <c r="J1587" s="5"/>
      <c r="K1587" s="5"/>
      <c r="L1587" s="5"/>
      <c r="M1587" s="5"/>
      <c r="N1587" s="5"/>
      <c r="O1587" s="5"/>
      <c r="P1587" s="5"/>
      <c r="Q1587" s="5"/>
      <c r="AL1587" s="7" t="str">
        <f>HYPERLINK("http://dx.doi.org/10.3354/meps12186","http://dx.doi.org/10.3354/meps12186")</f>
        <v>http://dx.doi.org/10.3354/meps12186</v>
      </c>
      <c r="AM1587" s="5">
        <v>22</v>
      </c>
      <c r="AN1587" s="5">
        <v>25</v>
      </c>
      <c r="AO1587" s="5">
        <v>573</v>
      </c>
      <c r="AP1587" s="5" t="s">
        <v>16</v>
      </c>
      <c r="AQ1587" s="5">
        <v>191</v>
      </c>
      <c r="AR1587" s="5">
        <v>201</v>
      </c>
      <c r="AS1587" s="5" t="s">
        <v>16</v>
      </c>
      <c r="AT1587" s="5" t="s">
        <v>9533</v>
      </c>
      <c r="AU1587" s="5" t="s">
        <v>9534</v>
      </c>
      <c r="AV1587" s="5" t="s">
        <v>9536</v>
      </c>
    </row>
    <row r="1588" spans="1:48" ht="45" customHeight="1" x14ac:dyDescent="0.15">
      <c r="A1588" s="5" t="s">
        <v>9537</v>
      </c>
      <c r="B1588" s="5">
        <v>2006</v>
      </c>
      <c r="C1588" s="5" t="s">
        <v>9538</v>
      </c>
      <c r="D1588" s="5" t="s">
        <v>49</v>
      </c>
      <c r="E1588" s="5" t="s">
        <v>18453</v>
      </c>
      <c r="F1588" s="5" t="s">
        <v>9541</v>
      </c>
      <c r="G1588" s="5"/>
      <c r="H1588" s="5"/>
      <c r="I1588" s="5"/>
      <c r="J1588" s="5"/>
      <c r="K1588" s="5"/>
      <c r="L1588" s="5"/>
      <c r="M1588" s="5"/>
      <c r="N1588" s="5"/>
      <c r="O1588" s="5"/>
      <c r="P1588" s="5"/>
      <c r="Q1588" s="5"/>
      <c r="AL1588" s="7" t="str">
        <f>HYPERLINK("http://dx.doi.org/10.3354/meps306031","http://dx.doi.org/10.3354/meps306031")</f>
        <v>http://dx.doi.org/10.3354/meps306031</v>
      </c>
      <c r="AM1588" s="5">
        <v>17</v>
      </c>
      <c r="AN1588" s="5">
        <v>20</v>
      </c>
      <c r="AO1588" s="5">
        <v>306</v>
      </c>
      <c r="AP1588" s="5" t="s">
        <v>16</v>
      </c>
      <c r="AQ1588" s="5">
        <v>31</v>
      </c>
      <c r="AR1588" s="5">
        <v>40</v>
      </c>
      <c r="AS1588" s="5" t="s">
        <v>16</v>
      </c>
      <c r="AT1588" s="5" t="s">
        <v>9539</v>
      </c>
      <c r="AU1588" s="5" t="s">
        <v>9540</v>
      </c>
      <c r="AV1588" s="5" t="s">
        <v>9542</v>
      </c>
    </row>
    <row r="1589" spans="1:48" ht="45" customHeight="1" x14ac:dyDescent="0.15">
      <c r="A1589" s="5" t="s">
        <v>9543</v>
      </c>
      <c r="B1589" s="5">
        <v>2014</v>
      </c>
      <c r="C1589" s="5" t="s">
        <v>9544</v>
      </c>
      <c r="D1589" s="5" t="s">
        <v>62</v>
      </c>
      <c r="E1589" s="5" t="s">
        <v>18453</v>
      </c>
      <c r="F1589" s="5" t="s">
        <v>9547</v>
      </c>
      <c r="G1589" s="5"/>
      <c r="H1589" s="5"/>
      <c r="I1589" s="5"/>
      <c r="J1589" s="5"/>
      <c r="K1589" s="5"/>
      <c r="L1589" s="5"/>
      <c r="M1589" s="5"/>
      <c r="N1589" s="5"/>
      <c r="O1589" s="5"/>
      <c r="P1589" s="5"/>
      <c r="Q1589" s="5"/>
      <c r="AL1589" s="7" t="str">
        <f>HYPERLINK("http://dx.doi.org/10.1007/s10021-014-9777-1","http://dx.doi.org/10.1007/s10021-014-9777-1")</f>
        <v>http://dx.doi.org/10.1007/s10021-014-9777-1</v>
      </c>
      <c r="AM1589" s="5">
        <v>26</v>
      </c>
      <c r="AN1589" s="5">
        <v>27</v>
      </c>
      <c r="AO1589" s="5">
        <v>17</v>
      </c>
      <c r="AP1589" s="5">
        <v>6</v>
      </c>
      <c r="AQ1589" s="5">
        <v>1014</v>
      </c>
      <c r="AR1589" s="5">
        <v>1025</v>
      </c>
      <c r="AS1589" s="5" t="s">
        <v>16</v>
      </c>
      <c r="AT1589" s="5" t="s">
        <v>9545</v>
      </c>
      <c r="AU1589" s="5" t="s">
        <v>9546</v>
      </c>
      <c r="AV1589" s="5" t="s">
        <v>9548</v>
      </c>
    </row>
    <row r="1590" spans="1:48" ht="45" customHeight="1" x14ac:dyDescent="0.15">
      <c r="A1590" s="5" t="s">
        <v>9549</v>
      </c>
      <c r="B1590" s="5">
        <v>2009</v>
      </c>
      <c r="C1590" s="5" t="s">
        <v>9550</v>
      </c>
      <c r="D1590" s="5" t="s">
        <v>383</v>
      </c>
      <c r="E1590" s="5" t="s">
        <v>18453</v>
      </c>
      <c r="F1590" s="5" t="s">
        <v>9553</v>
      </c>
      <c r="G1590" s="5"/>
      <c r="H1590" s="5"/>
      <c r="I1590" s="5"/>
      <c r="J1590" s="5"/>
      <c r="K1590" s="5"/>
      <c r="L1590" s="5"/>
      <c r="M1590" s="5"/>
      <c r="N1590" s="5"/>
      <c r="O1590" s="5"/>
      <c r="P1590" s="5"/>
      <c r="Q1590" s="5"/>
      <c r="AL1590" s="7" t="str">
        <f>HYPERLINK("http://dx.doi.org/10.1007/s11284-008-0489-x","http://dx.doi.org/10.1007/s11284-008-0489-x")</f>
        <v>http://dx.doi.org/10.1007/s11284-008-0489-x</v>
      </c>
      <c r="AM1590" s="5">
        <v>25</v>
      </c>
      <c r="AN1590" s="5">
        <v>27</v>
      </c>
      <c r="AO1590" s="5">
        <v>24</v>
      </c>
      <c r="AP1590" s="5">
        <v>1</v>
      </c>
      <c r="AQ1590" s="5">
        <v>127</v>
      </c>
      <c r="AR1590" s="5">
        <v>136</v>
      </c>
      <c r="AS1590" s="5" t="s">
        <v>16</v>
      </c>
      <c r="AT1590" s="5" t="s">
        <v>9551</v>
      </c>
      <c r="AU1590" s="5" t="s">
        <v>9552</v>
      </c>
      <c r="AV1590" s="5" t="s">
        <v>9554</v>
      </c>
    </row>
    <row r="1591" spans="1:48" ht="45" customHeight="1" x14ac:dyDescent="0.15">
      <c r="A1591" s="5" t="s">
        <v>7079</v>
      </c>
      <c r="B1591" s="5">
        <v>2022</v>
      </c>
      <c r="C1591" s="5" t="s">
        <v>9555</v>
      </c>
      <c r="D1591" s="5" t="s">
        <v>2437</v>
      </c>
      <c r="E1591" s="5" t="s">
        <v>18453</v>
      </c>
      <c r="F1591" s="5" t="s">
        <v>9558</v>
      </c>
      <c r="G1591" s="5"/>
      <c r="H1591" s="5"/>
      <c r="I1591" s="5"/>
      <c r="J1591" s="5"/>
      <c r="K1591" s="5"/>
      <c r="L1591" s="5"/>
      <c r="M1591" s="5"/>
      <c r="N1591" s="5"/>
      <c r="O1591" s="5"/>
      <c r="P1591" s="5"/>
      <c r="Q1591" s="5"/>
      <c r="AL1591" s="7" t="str">
        <f>HYPERLINK("http://dx.doi.org/10.1002/ecm.1542","http://dx.doi.org/10.1002/ecm.1542")</f>
        <v>http://dx.doi.org/10.1002/ecm.1542</v>
      </c>
      <c r="AM1591" s="5">
        <v>3</v>
      </c>
      <c r="AN1591" s="5">
        <v>3</v>
      </c>
      <c r="AO1591" s="5">
        <v>92</v>
      </c>
      <c r="AP1591" s="5">
        <v>4</v>
      </c>
      <c r="AQ1591" s="5" t="s">
        <v>16</v>
      </c>
      <c r="AR1591" s="5" t="s">
        <v>16</v>
      </c>
      <c r="AS1591" s="5" t="s">
        <v>9559</v>
      </c>
      <c r="AT1591" s="5" t="s">
        <v>9556</v>
      </c>
      <c r="AU1591" s="5" t="s">
        <v>9557</v>
      </c>
      <c r="AV1591" s="5" t="s">
        <v>9560</v>
      </c>
    </row>
    <row r="1592" spans="1:48" ht="45" customHeight="1" x14ac:dyDescent="0.15">
      <c r="A1592" s="5" t="s">
        <v>9561</v>
      </c>
      <c r="B1592" s="5">
        <v>2020</v>
      </c>
      <c r="C1592" s="5" t="s">
        <v>9562</v>
      </c>
      <c r="D1592" s="5" t="s">
        <v>49</v>
      </c>
      <c r="E1592" s="5" t="s">
        <v>18453</v>
      </c>
      <c r="F1592" s="5" t="s">
        <v>9565</v>
      </c>
      <c r="G1592" s="5"/>
      <c r="H1592" s="5"/>
      <c r="I1592" s="5"/>
      <c r="J1592" s="5"/>
      <c r="K1592" s="5"/>
      <c r="L1592" s="5"/>
      <c r="M1592" s="5"/>
      <c r="N1592" s="5"/>
      <c r="O1592" s="5"/>
      <c r="P1592" s="5"/>
      <c r="Q1592" s="5"/>
      <c r="AL1592" s="7" t="str">
        <f>HYPERLINK("http://dx.doi.org/10.3354/meps13465","http://dx.doi.org/10.3354/meps13465")</f>
        <v>http://dx.doi.org/10.3354/meps13465</v>
      </c>
      <c r="AM1592" s="5">
        <v>5</v>
      </c>
      <c r="AN1592" s="5">
        <v>5</v>
      </c>
      <c r="AO1592" s="5">
        <v>651</v>
      </c>
      <c r="AP1592" s="5" t="s">
        <v>16</v>
      </c>
      <c r="AQ1592" s="5">
        <v>97</v>
      </c>
      <c r="AR1592" s="5">
        <v>110</v>
      </c>
      <c r="AS1592" s="5" t="s">
        <v>16</v>
      </c>
      <c r="AT1592" s="5" t="s">
        <v>9563</v>
      </c>
      <c r="AU1592" s="5" t="s">
        <v>9564</v>
      </c>
      <c r="AV1592" s="5" t="s">
        <v>9566</v>
      </c>
    </row>
    <row r="1593" spans="1:48" ht="45" customHeight="1" x14ac:dyDescent="0.15">
      <c r="A1593" s="5" t="s">
        <v>9567</v>
      </c>
      <c r="B1593" s="5">
        <v>2016</v>
      </c>
      <c r="C1593" s="5" t="s">
        <v>9568</v>
      </c>
      <c r="D1593" s="5" t="s">
        <v>17</v>
      </c>
      <c r="E1593" s="5" t="s">
        <v>18453</v>
      </c>
      <c r="F1593" s="5" t="s">
        <v>9571</v>
      </c>
      <c r="G1593" s="5"/>
      <c r="H1593" s="5"/>
      <c r="I1593" s="5"/>
      <c r="J1593" s="5"/>
      <c r="K1593" s="5"/>
      <c r="L1593" s="5"/>
      <c r="M1593" s="5"/>
      <c r="N1593" s="5"/>
      <c r="O1593" s="5"/>
      <c r="P1593" s="5"/>
      <c r="Q1593" s="5"/>
      <c r="AL1593" s="7" t="str">
        <f>HYPERLINK("http://dx.doi.org/10.1111/fwb.12771","http://dx.doi.org/10.1111/fwb.12771")</f>
        <v>http://dx.doi.org/10.1111/fwb.12771</v>
      </c>
      <c r="AM1593" s="5">
        <v>13</v>
      </c>
      <c r="AN1593" s="5">
        <v>13</v>
      </c>
      <c r="AO1593" s="5">
        <v>61</v>
      </c>
      <c r="AP1593" s="5">
        <v>7</v>
      </c>
      <c r="AQ1593" s="5">
        <v>1105</v>
      </c>
      <c r="AR1593" s="5">
        <v>1118</v>
      </c>
      <c r="AS1593" s="5" t="s">
        <v>16</v>
      </c>
      <c r="AT1593" s="5" t="s">
        <v>9569</v>
      </c>
      <c r="AU1593" s="5" t="s">
        <v>9570</v>
      </c>
      <c r="AV1593" s="5" t="s">
        <v>9572</v>
      </c>
    </row>
    <row r="1594" spans="1:48" ht="45" customHeight="1" x14ac:dyDescent="0.15">
      <c r="A1594" s="5" t="s">
        <v>9573</v>
      </c>
      <c r="B1594" s="5">
        <v>2018</v>
      </c>
      <c r="C1594" s="5" t="s">
        <v>9574</v>
      </c>
      <c r="D1594" s="5" t="s">
        <v>59</v>
      </c>
      <c r="E1594" s="5" t="s">
        <v>18453</v>
      </c>
      <c r="F1594" s="5" t="s">
        <v>9577</v>
      </c>
      <c r="G1594" s="5"/>
      <c r="H1594" s="5"/>
      <c r="I1594" s="5"/>
      <c r="J1594" s="5"/>
      <c r="K1594" s="5"/>
      <c r="L1594" s="5"/>
      <c r="M1594" s="5"/>
      <c r="N1594" s="5"/>
      <c r="O1594" s="5"/>
      <c r="P1594" s="5"/>
      <c r="Q1594" s="5"/>
      <c r="AL1594" s="7" t="str">
        <f>HYPERLINK("http://dx.doi.org/10.1111/ele.12973","http://dx.doi.org/10.1111/ele.12973")</f>
        <v>http://dx.doi.org/10.1111/ele.12973</v>
      </c>
      <c r="AM1594" s="5">
        <v>8</v>
      </c>
      <c r="AN1594" s="5">
        <v>8</v>
      </c>
      <c r="AO1594" s="5">
        <v>21</v>
      </c>
      <c r="AP1594" s="5">
        <v>7</v>
      </c>
      <c r="AQ1594" s="5">
        <v>1065</v>
      </c>
      <c r="AR1594" s="5">
        <v>1074</v>
      </c>
      <c r="AS1594" s="5" t="s">
        <v>16</v>
      </c>
      <c r="AT1594" s="5" t="s">
        <v>9575</v>
      </c>
      <c r="AU1594" s="5" t="s">
        <v>9576</v>
      </c>
      <c r="AV1594" s="5" t="s">
        <v>9578</v>
      </c>
    </row>
    <row r="1595" spans="1:48" ht="45" customHeight="1" x14ac:dyDescent="0.15">
      <c r="A1595" s="5" t="s">
        <v>9579</v>
      </c>
      <c r="B1595" s="5">
        <v>2014</v>
      </c>
      <c r="C1595" s="5" t="s">
        <v>9580</v>
      </c>
      <c r="D1595" s="5" t="s">
        <v>116</v>
      </c>
      <c r="E1595" s="5" t="s">
        <v>18453</v>
      </c>
      <c r="F1595" s="5" t="s">
        <v>9583</v>
      </c>
      <c r="G1595" s="5"/>
      <c r="H1595" s="5"/>
      <c r="I1595" s="5"/>
      <c r="J1595" s="5"/>
      <c r="K1595" s="5"/>
      <c r="L1595" s="5"/>
      <c r="M1595" s="5"/>
      <c r="N1595" s="5"/>
      <c r="O1595" s="5"/>
      <c r="P1595" s="5"/>
      <c r="Q1595" s="5"/>
      <c r="AL1595" s="7" t="str">
        <f>HYPERLINK("http://dx.doi.org/10.1007/s10641-013-0180-0","http://dx.doi.org/10.1007/s10641-013-0180-0")</f>
        <v>http://dx.doi.org/10.1007/s10641-013-0180-0</v>
      </c>
      <c r="AM1595" s="5">
        <v>10</v>
      </c>
      <c r="AN1595" s="5">
        <v>10</v>
      </c>
      <c r="AO1595" s="5">
        <v>97</v>
      </c>
      <c r="AP1595" s="5">
        <v>7</v>
      </c>
      <c r="AQ1595" s="5">
        <v>797</v>
      </c>
      <c r="AR1595" s="5">
        <v>812</v>
      </c>
      <c r="AS1595" s="5" t="s">
        <v>16</v>
      </c>
      <c r="AT1595" s="5" t="s">
        <v>9581</v>
      </c>
      <c r="AU1595" s="5" t="s">
        <v>9582</v>
      </c>
      <c r="AV1595" s="5" t="s">
        <v>9584</v>
      </c>
    </row>
    <row r="1596" spans="1:48" ht="45" customHeight="1" x14ac:dyDescent="0.15">
      <c r="A1596" s="5" t="s">
        <v>9585</v>
      </c>
      <c r="B1596" s="5">
        <v>2016</v>
      </c>
      <c r="C1596" s="5" t="s">
        <v>9586</v>
      </c>
      <c r="D1596" s="5" t="s">
        <v>2087</v>
      </c>
      <c r="E1596" s="5" t="s">
        <v>18453</v>
      </c>
      <c r="F1596" s="5" t="s">
        <v>9589</v>
      </c>
      <c r="G1596" s="5"/>
      <c r="H1596" s="5"/>
      <c r="I1596" s="5"/>
      <c r="J1596" s="5"/>
      <c r="K1596" s="5"/>
      <c r="L1596" s="5"/>
      <c r="M1596" s="5"/>
      <c r="N1596" s="5"/>
      <c r="O1596" s="5"/>
      <c r="P1596" s="5"/>
      <c r="Q1596" s="5"/>
      <c r="AL1596" s="7" t="str">
        <f>HYPERLINK("http://dx.doi.org/10.1002/eco.1624","http://dx.doi.org/10.1002/eco.1624")</f>
        <v>http://dx.doi.org/10.1002/eco.1624</v>
      </c>
      <c r="AM1596" s="5">
        <v>51</v>
      </c>
      <c r="AN1596" s="5">
        <v>56</v>
      </c>
      <c r="AO1596" s="5">
        <v>9</v>
      </c>
      <c r="AP1596" s="5">
        <v>2</v>
      </c>
      <c r="AQ1596" s="5">
        <v>218</v>
      </c>
      <c r="AR1596" s="5">
        <v>228</v>
      </c>
      <c r="AS1596" s="5" t="s">
        <v>16</v>
      </c>
      <c r="AT1596" s="5" t="s">
        <v>9587</v>
      </c>
      <c r="AU1596" s="5" t="s">
        <v>9588</v>
      </c>
      <c r="AV1596" s="5" t="s">
        <v>9590</v>
      </c>
    </row>
    <row r="1597" spans="1:48" ht="45" customHeight="1" x14ac:dyDescent="0.15">
      <c r="A1597" s="5" t="s">
        <v>9591</v>
      </c>
      <c r="B1597" s="5">
        <v>2014</v>
      </c>
      <c r="C1597" s="5" t="s">
        <v>9592</v>
      </c>
      <c r="D1597" s="5" t="s">
        <v>49</v>
      </c>
      <c r="E1597" s="5" t="s">
        <v>18453</v>
      </c>
      <c r="F1597" s="5" t="s">
        <v>9595</v>
      </c>
      <c r="G1597" s="5"/>
      <c r="H1597" s="5"/>
      <c r="I1597" s="5"/>
      <c r="J1597" s="5"/>
      <c r="K1597" s="5"/>
      <c r="L1597" s="5"/>
      <c r="M1597" s="5"/>
      <c r="N1597" s="5"/>
      <c r="O1597" s="5"/>
      <c r="P1597" s="5"/>
      <c r="Q1597" s="5"/>
      <c r="AL1597" s="7" t="str">
        <f>HYPERLINK("http://dx.doi.org/10.3354/meps10663","http://dx.doi.org/10.3354/meps10663")</f>
        <v>http://dx.doi.org/10.3354/meps10663</v>
      </c>
      <c r="AM1597" s="5">
        <v>15</v>
      </c>
      <c r="AN1597" s="5">
        <v>17</v>
      </c>
      <c r="AO1597" s="5">
        <v>500</v>
      </c>
      <c r="AP1597" s="5" t="s">
        <v>16</v>
      </c>
      <c r="AQ1597" s="5">
        <v>121</v>
      </c>
      <c r="AR1597" s="5">
        <v>137</v>
      </c>
      <c r="AS1597" s="5" t="s">
        <v>16</v>
      </c>
      <c r="AT1597" s="5" t="s">
        <v>9593</v>
      </c>
      <c r="AU1597" s="5" t="s">
        <v>9594</v>
      </c>
      <c r="AV1597" s="5" t="s">
        <v>9596</v>
      </c>
    </row>
    <row r="1598" spans="1:48" ht="45" customHeight="1" x14ac:dyDescent="0.15">
      <c r="A1598" s="5" t="s">
        <v>9597</v>
      </c>
      <c r="B1598" s="5">
        <v>2015</v>
      </c>
      <c r="C1598" s="5" t="s">
        <v>9598</v>
      </c>
      <c r="D1598" s="5" t="s">
        <v>172</v>
      </c>
      <c r="E1598" s="5" t="s">
        <v>18453</v>
      </c>
      <c r="F1598" s="5" t="s">
        <v>9601</v>
      </c>
      <c r="G1598" s="5"/>
      <c r="H1598" s="5"/>
      <c r="I1598" s="5"/>
      <c r="J1598" s="5"/>
      <c r="K1598" s="5"/>
      <c r="L1598" s="5"/>
      <c r="M1598" s="5"/>
      <c r="N1598" s="5"/>
      <c r="O1598" s="5"/>
      <c r="P1598" s="5"/>
      <c r="Q1598" s="5"/>
      <c r="AL1598" s="7" t="str">
        <f>HYPERLINK("http://dx.doi.org/10.1007/s00442-015-3294-6","http://dx.doi.org/10.1007/s00442-015-3294-6")</f>
        <v>http://dx.doi.org/10.1007/s00442-015-3294-6</v>
      </c>
      <c r="AM1598" s="5">
        <v>40</v>
      </c>
      <c r="AN1598" s="5">
        <v>40</v>
      </c>
      <c r="AO1598" s="5">
        <v>178</v>
      </c>
      <c r="AP1598" s="5">
        <v>4</v>
      </c>
      <c r="AQ1598" s="5">
        <v>967</v>
      </c>
      <c r="AR1598" s="5">
        <v>979</v>
      </c>
      <c r="AS1598" s="5" t="s">
        <v>16</v>
      </c>
      <c r="AT1598" s="5" t="s">
        <v>9599</v>
      </c>
      <c r="AU1598" s="5" t="s">
        <v>9600</v>
      </c>
      <c r="AV1598" s="5" t="s">
        <v>9602</v>
      </c>
    </row>
    <row r="1599" spans="1:48" ht="45" customHeight="1" x14ac:dyDescent="0.15">
      <c r="A1599" s="5" t="s">
        <v>9603</v>
      </c>
      <c r="B1599" s="5">
        <v>2014</v>
      </c>
      <c r="C1599" s="5" t="s">
        <v>9604</v>
      </c>
      <c r="D1599" s="5" t="s">
        <v>82</v>
      </c>
      <c r="E1599" s="5" t="s">
        <v>18453</v>
      </c>
      <c r="F1599" s="5" t="s">
        <v>9607</v>
      </c>
      <c r="G1599" s="5"/>
      <c r="H1599" s="5"/>
      <c r="I1599" s="5"/>
      <c r="J1599" s="5"/>
      <c r="K1599" s="5"/>
      <c r="L1599" s="5"/>
      <c r="M1599" s="5"/>
      <c r="N1599" s="5"/>
      <c r="O1599" s="5"/>
      <c r="P1599" s="5"/>
      <c r="Q1599" s="5"/>
      <c r="AL1599" s="7" t="str">
        <f>HYPERLINK("http://dx.doi.org/10.1890/13-0411.1","http://dx.doi.org/10.1890/13-0411.1")</f>
        <v>http://dx.doi.org/10.1890/13-0411.1</v>
      </c>
      <c r="AM1599" s="5">
        <v>26</v>
      </c>
      <c r="AN1599" s="5">
        <v>26</v>
      </c>
      <c r="AO1599" s="5">
        <v>24</v>
      </c>
      <c r="AP1599" s="5">
        <v>2</v>
      </c>
      <c r="AQ1599" s="5">
        <v>396</v>
      </c>
      <c r="AR1599" s="5">
        <v>412</v>
      </c>
      <c r="AS1599" s="5" t="s">
        <v>16</v>
      </c>
      <c r="AT1599" s="5" t="s">
        <v>9605</v>
      </c>
      <c r="AU1599" s="5" t="s">
        <v>9606</v>
      </c>
      <c r="AV1599" s="5" t="s">
        <v>9608</v>
      </c>
    </row>
    <row r="1600" spans="1:48" ht="45" customHeight="1" x14ac:dyDescent="0.15">
      <c r="A1600" s="5" t="s">
        <v>9609</v>
      </c>
      <c r="B1600" s="5">
        <v>2015</v>
      </c>
      <c r="C1600" s="5" t="s">
        <v>9610</v>
      </c>
      <c r="D1600" s="5" t="s">
        <v>973</v>
      </c>
      <c r="E1600" s="5" t="s">
        <v>18453</v>
      </c>
      <c r="F1600" s="5" t="s">
        <v>9612</v>
      </c>
      <c r="G1600" s="5"/>
      <c r="H1600" s="5"/>
      <c r="I1600" s="5"/>
      <c r="J1600" s="5"/>
      <c r="K1600" s="5"/>
      <c r="L1600" s="5"/>
      <c r="M1600" s="5"/>
      <c r="N1600" s="5"/>
      <c r="O1600" s="5"/>
      <c r="P1600" s="5"/>
      <c r="Q1600" s="5"/>
      <c r="AL1600" s="7" t="str">
        <f>HYPERLINK("http://dx.doi.org/10.5194/bg-12-3941-2015","http://dx.doi.org/10.5194/bg-12-3941-2015")</f>
        <v>http://dx.doi.org/10.5194/bg-12-3941-2015</v>
      </c>
      <c r="AM1600" s="5">
        <v>9</v>
      </c>
      <c r="AN1600" s="5">
        <v>9</v>
      </c>
      <c r="AO1600" s="5">
        <v>12</v>
      </c>
      <c r="AP1600" s="5">
        <v>13</v>
      </c>
      <c r="AQ1600" s="5">
        <v>3941</v>
      </c>
      <c r="AR1600" s="5">
        <v>3952</v>
      </c>
      <c r="AS1600" s="5" t="s">
        <v>16</v>
      </c>
      <c r="AT1600" s="5" t="s">
        <v>16</v>
      </c>
      <c r="AU1600" s="5" t="s">
        <v>9611</v>
      </c>
      <c r="AV1600" s="5" t="s">
        <v>9613</v>
      </c>
    </row>
    <row r="1601" spans="1:48" ht="45" customHeight="1" x14ac:dyDescent="0.15">
      <c r="A1601" s="5" t="s">
        <v>9614</v>
      </c>
      <c r="B1601" s="5">
        <v>2017</v>
      </c>
      <c r="C1601" s="5" t="s">
        <v>9615</v>
      </c>
      <c r="D1601" s="5" t="s">
        <v>2990</v>
      </c>
      <c r="E1601" s="5" t="s">
        <v>18453</v>
      </c>
      <c r="F1601" s="5" t="s">
        <v>9618</v>
      </c>
      <c r="G1601" s="5"/>
      <c r="H1601" s="5"/>
      <c r="I1601" s="5"/>
      <c r="J1601" s="5"/>
      <c r="K1601" s="5"/>
      <c r="L1601" s="5"/>
      <c r="M1601" s="5"/>
      <c r="N1601" s="5"/>
      <c r="O1601" s="5"/>
      <c r="P1601" s="5"/>
      <c r="Q1601" s="5"/>
      <c r="AL1601" s="7" t="str">
        <f>HYPERLINK("http://dx.doi.org/10.1111/rec.12511","http://dx.doi.org/10.1111/rec.12511")</f>
        <v>http://dx.doi.org/10.1111/rec.12511</v>
      </c>
      <c r="AM1601" s="5">
        <v>16</v>
      </c>
      <c r="AN1601" s="5">
        <v>16</v>
      </c>
      <c r="AO1601" s="5">
        <v>25</v>
      </c>
      <c r="AP1601" s="5">
        <v>6</v>
      </c>
      <c r="AQ1601" s="5">
        <v>1015</v>
      </c>
      <c r="AR1601" s="5">
        <v>1025</v>
      </c>
      <c r="AS1601" s="5" t="s">
        <v>16</v>
      </c>
      <c r="AT1601" s="5" t="s">
        <v>9616</v>
      </c>
      <c r="AU1601" s="5" t="s">
        <v>9617</v>
      </c>
      <c r="AV1601" s="5" t="s">
        <v>9619</v>
      </c>
    </row>
    <row r="1602" spans="1:48" ht="45" customHeight="1" x14ac:dyDescent="0.15">
      <c r="A1602" s="5" t="s">
        <v>9620</v>
      </c>
      <c r="B1602" s="5">
        <v>2020</v>
      </c>
      <c r="C1602" s="5" t="s">
        <v>9621</v>
      </c>
      <c r="D1602" s="5" t="s">
        <v>111</v>
      </c>
      <c r="E1602" s="5" t="s">
        <v>18453</v>
      </c>
      <c r="F1602" s="5" t="s">
        <v>9624</v>
      </c>
      <c r="G1602" s="5"/>
      <c r="H1602" s="5"/>
      <c r="I1602" s="5"/>
      <c r="J1602" s="5"/>
      <c r="K1602" s="5"/>
      <c r="L1602" s="5"/>
      <c r="M1602" s="5"/>
      <c r="N1602" s="5"/>
      <c r="O1602" s="5"/>
      <c r="P1602" s="5"/>
      <c r="Q1602" s="5"/>
      <c r="AL1602" s="7" t="str">
        <f>HYPERLINK("http://dx.doi.org/10.1007/s10452-019-09722-3","http://dx.doi.org/10.1007/s10452-019-09722-3")</f>
        <v>http://dx.doi.org/10.1007/s10452-019-09722-3</v>
      </c>
      <c r="AM1602" s="5">
        <v>8</v>
      </c>
      <c r="AN1602" s="5">
        <v>8</v>
      </c>
      <c r="AO1602" s="5">
        <v>54</v>
      </c>
      <c r="AP1602" s="5">
        <v>1</v>
      </c>
      <c r="AQ1602" s="5">
        <v>21</v>
      </c>
      <c r="AR1602" s="5">
        <v>34</v>
      </c>
      <c r="AS1602" s="5" t="s">
        <v>16</v>
      </c>
      <c r="AT1602" s="5" t="s">
        <v>9622</v>
      </c>
      <c r="AU1602" s="5" t="s">
        <v>9623</v>
      </c>
      <c r="AV1602" s="5" t="s">
        <v>9625</v>
      </c>
    </row>
    <row r="1603" spans="1:48" ht="45" customHeight="1" x14ac:dyDescent="0.15">
      <c r="A1603" s="5" t="s">
        <v>9626</v>
      </c>
      <c r="B1603" s="5">
        <v>1997</v>
      </c>
      <c r="C1603" s="5" t="s">
        <v>9627</v>
      </c>
      <c r="D1603" s="5" t="s">
        <v>49</v>
      </c>
      <c r="E1603" s="5" t="s">
        <v>18453</v>
      </c>
      <c r="F1603" s="5" t="s">
        <v>9630</v>
      </c>
      <c r="G1603" s="5"/>
      <c r="H1603" s="5"/>
      <c r="I1603" s="5"/>
      <c r="J1603" s="5"/>
      <c r="K1603" s="5"/>
      <c r="L1603" s="5"/>
      <c r="M1603" s="5"/>
      <c r="N1603" s="5"/>
      <c r="O1603" s="5"/>
      <c r="P1603" s="5"/>
      <c r="Q1603" s="5"/>
      <c r="AL1603" s="7" t="str">
        <f>HYPERLINK("http://dx.doi.org/10.3354/meps152067","http://dx.doi.org/10.3354/meps152067")</f>
        <v>http://dx.doi.org/10.3354/meps152067</v>
      </c>
      <c r="AM1603" s="5">
        <v>20</v>
      </c>
      <c r="AN1603" s="5">
        <v>21</v>
      </c>
      <c r="AO1603" s="5">
        <v>152</v>
      </c>
      <c r="AP1603" s="5" t="s">
        <v>2954</v>
      </c>
      <c r="AQ1603" s="5">
        <v>67</v>
      </c>
      <c r="AR1603" s="5">
        <v>78</v>
      </c>
      <c r="AS1603" s="5" t="s">
        <v>16</v>
      </c>
      <c r="AT1603" s="5" t="s">
        <v>9628</v>
      </c>
      <c r="AU1603" s="5" t="s">
        <v>9629</v>
      </c>
      <c r="AV1603" s="5" t="s">
        <v>9631</v>
      </c>
    </row>
    <row r="1604" spans="1:48" ht="45" customHeight="1" x14ac:dyDescent="0.15">
      <c r="A1604" s="5" t="s">
        <v>9632</v>
      </c>
      <c r="B1604" s="5">
        <v>2006</v>
      </c>
      <c r="C1604" s="5" t="s">
        <v>9633</v>
      </c>
      <c r="D1604" s="5" t="s">
        <v>17</v>
      </c>
      <c r="E1604" s="5" t="s">
        <v>18453</v>
      </c>
      <c r="F1604" s="5" t="s">
        <v>9636</v>
      </c>
      <c r="G1604" s="5"/>
      <c r="H1604" s="5"/>
      <c r="I1604" s="5"/>
      <c r="J1604" s="5"/>
      <c r="K1604" s="5"/>
      <c r="L1604" s="5"/>
      <c r="M1604" s="5"/>
      <c r="N1604" s="5"/>
      <c r="O1604" s="5"/>
      <c r="P1604" s="5"/>
      <c r="Q1604" s="5"/>
      <c r="AL1604" s="7" t="str">
        <f>HYPERLINK("http://dx.doi.org/10.1111/j.1365-2427.2006.01545.x","http://dx.doi.org/10.1111/j.1365-2427.2006.01545.x")</f>
        <v>http://dx.doi.org/10.1111/j.1365-2427.2006.01545.x</v>
      </c>
      <c r="AM1604" s="5">
        <v>20</v>
      </c>
      <c r="AN1604" s="5">
        <v>21</v>
      </c>
      <c r="AO1604" s="5">
        <v>51</v>
      </c>
      <c r="AP1604" s="5">
        <v>6</v>
      </c>
      <c r="AQ1604" s="5">
        <v>989</v>
      </c>
      <c r="AR1604" s="5">
        <v>998</v>
      </c>
      <c r="AS1604" s="5" t="s">
        <v>16</v>
      </c>
      <c r="AT1604" s="5" t="s">
        <v>9634</v>
      </c>
      <c r="AU1604" s="5" t="s">
        <v>9635</v>
      </c>
      <c r="AV1604" s="5" t="s">
        <v>9637</v>
      </c>
    </row>
    <row r="1605" spans="1:48" ht="45" customHeight="1" x14ac:dyDescent="0.15">
      <c r="A1605" s="5" t="s">
        <v>9638</v>
      </c>
      <c r="B1605" s="5">
        <v>2003</v>
      </c>
      <c r="C1605" s="5" t="s">
        <v>9639</v>
      </c>
      <c r="D1605" s="5" t="s">
        <v>172</v>
      </c>
      <c r="E1605" s="5" t="s">
        <v>18453</v>
      </c>
      <c r="F1605" s="5" t="s">
        <v>9642</v>
      </c>
      <c r="G1605" s="5"/>
      <c r="H1605" s="5"/>
      <c r="I1605" s="5"/>
      <c r="J1605" s="5"/>
      <c r="K1605" s="5"/>
      <c r="L1605" s="5"/>
      <c r="M1605" s="5"/>
      <c r="N1605" s="5"/>
      <c r="O1605" s="5"/>
      <c r="P1605" s="5"/>
      <c r="Q1605" s="5"/>
      <c r="AL1605" s="7" t="str">
        <f>HYPERLINK("http://dx.doi.org/10.1007/s00442-002-1084-4","http://dx.doi.org/10.1007/s00442-002-1084-4")</f>
        <v>http://dx.doi.org/10.1007/s00442-002-1084-4</v>
      </c>
      <c r="AM1605" s="5">
        <v>91</v>
      </c>
      <c r="AN1605" s="5">
        <v>105</v>
      </c>
      <c r="AO1605" s="5">
        <v>134</v>
      </c>
      <c r="AP1605" s="5">
        <v>1</v>
      </c>
      <c r="AQ1605" s="5">
        <v>46</v>
      </c>
      <c r="AR1605" s="5">
        <v>54</v>
      </c>
      <c r="AS1605" s="5" t="s">
        <v>16</v>
      </c>
      <c r="AT1605" s="5" t="s">
        <v>9640</v>
      </c>
      <c r="AU1605" s="5" t="s">
        <v>9641</v>
      </c>
      <c r="AV1605" s="5" t="s">
        <v>9643</v>
      </c>
    </row>
    <row r="1606" spans="1:48" ht="45" customHeight="1" x14ac:dyDescent="0.15">
      <c r="A1606" s="5" t="s">
        <v>9644</v>
      </c>
      <c r="B1606" s="5">
        <v>1994</v>
      </c>
      <c r="C1606" s="5" t="s">
        <v>9645</v>
      </c>
      <c r="D1606" s="5" t="s">
        <v>1765</v>
      </c>
      <c r="E1606" s="5" t="s">
        <v>18453</v>
      </c>
      <c r="F1606" s="5" t="s">
        <v>9648</v>
      </c>
      <c r="G1606" s="5"/>
      <c r="H1606" s="5"/>
      <c r="I1606" s="5"/>
      <c r="J1606" s="5"/>
      <c r="K1606" s="5"/>
      <c r="L1606" s="5"/>
      <c r="M1606" s="5"/>
      <c r="N1606" s="5"/>
      <c r="O1606" s="5"/>
      <c r="P1606" s="5"/>
      <c r="Q1606" s="5"/>
      <c r="AL1606" s="7" t="str">
        <f>HYPERLINK("http://dx.doi.org/10.1016/0167-8809(94)90047-7","http://dx.doi.org/10.1016/0167-8809(94)90047-7")</f>
        <v>http://dx.doi.org/10.1016/0167-8809(94)90047-7</v>
      </c>
      <c r="AM1606" s="5">
        <v>61</v>
      </c>
      <c r="AN1606" s="5">
        <v>68</v>
      </c>
      <c r="AO1606" s="5">
        <v>51</v>
      </c>
      <c r="AP1606" s="5" t="s">
        <v>778</v>
      </c>
      <c r="AQ1606" s="5">
        <v>239</v>
      </c>
      <c r="AR1606" s="5">
        <v>247</v>
      </c>
      <c r="AS1606" s="5" t="s">
        <v>16</v>
      </c>
      <c r="AT1606" s="5" t="s">
        <v>9646</v>
      </c>
      <c r="AU1606" s="5" t="s">
        <v>9647</v>
      </c>
      <c r="AV1606" s="5" t="s">
        <v>9649</v>
      </c>
    </row>
    <row r="1607" spans="1:48" ht="45" customHeight="1" x14ac:dyDescent="0.15">
      <c r="A1607" s="5" t="s">
        <v>9650</v>
      </c>
      <c r="B1607" s="5">
        <v>2010</v>
      </c>
      <c r="C1607" s="5" t="s">
        <v>9651</v>
      </c>
      <c r="D1607" s="5" t="s">
        <v>1109</v>
      </c>
      <c r="E1607" s="5" t="s">
        <v>18453</v>
      </c>
      <c r="F1607" s="5" t="s">
        <v>9654</v>
      </c>
      <c r="G1607" s="5"/>
      <c r="H1607" s="5"/>
      <c r="I1607" s="5"/>
      <c r="J1607" s="5"/>
      <c r="K1607" s="5"/>
      <c r="L1607" s="5"/>
      <c r="M1607" s="5"/>
      <c r="N1607" s="5"/>
      <c r="O1607" s="5"/>
      <c r="P1607" s="5"/>
      <c r="Q1607" s="5"/>
      <c r="AL1607" s="7" t="str">
        <f>HYPERLINK("http://dx.doi.org/10.1017/S0266467409990502","http://dx.doi.org/10.1017/S0266467409990502")</f>
        <v>http://dx.doi.org/10.1017/S0266467409990502</v>
      </c>
      <c r="AM1607" s="5">
        <v>52</v>
      </c>
      <c r="AN1607" s="5">
        <v>56</v>
      </c>
      <c r="AO1607" s="5">
        <v>26</v>
      </c>
      <c r="AP1607" s="5" t="s">
        <v>16</v>
      </c>
      <c r="AQ1607" s="5">
        <v>205</v>
      </c>
      <c r="AR1607" s="5">
        <v>214</v>
      </c>
      <c r="AS1607" s="5" t="s">
        <v>16</v>
      </c>
      <c r="AT1607" s="5" t="s">
        <v>9652</v>
      </c>
      <c r="AU1607" s="5" t="s">
        <v>9653</v>
      </c>
      <c r="AV1607" s="5" t="s">
        <v>9655</v>
      </c>
    </row>
    <row r="1608" spans="1:48" ht="45" customHeight="1" x14ac:dyDescent="0.15">
      <c r="A1608" s="5" t="s">
        <v>9656</v>
      </c>
      <c r="B1608" s="5">
        <v>2015</v>
      </c>
      <c r="C1608" s="5" t="s">
        <v>9657</v>
      </c>
      <c r="D1608" s="5" t="s">
        <v>9658</v>
      </c>
      <c r="E1608" s="5" t="s">
        <v>18453</v>
      </c>
      <c r="F1608" s="5" t="s">
        <v>9661</v>
      </c>
      <c r="G1608" s="5"/>
      <c r="H1608" s="5"/>
      <c r="I1608" s="5"/>
      <c r="J1608" s="5"/>
      <c r="K1608" s="5"/>
      <c r="L1608" s="5"/>
      <c r="M1608" s="5"/>
      <c r="N1608" s="5"/>
      <c r="O1608" s="5"/>
      <c r="P1608" s="5"/>
      <c r="Q1608" s="5"/>
      <c r="AL1608" s="7" t="str">
        <f>HYPERLINK("http://dx.doi.org/10.4067/S0717-92002015000300007","http://dx.doi.org/10.4067/S0717-92002015000300007")</f>
        <v>http://dx.doi.org/10.4067/S0717-92002015000300007</v>
      </c>
      <c r="AM1608" s="5">
        <v>15</v>
      </c>
      <c r="AN1608" s="5">
        <v>16</v>
      </c>
      <c r="AO1608" s="5">
        <v>36</v>
      </c>
      <c r="AP1608" s="5">
        <v>3</v>
      </c>
      <c r="AQ1608" s="5">
        <v>395</v>
      </c>
      <c r="AR1608" s="5">
        <v>407</v>
      </c>
      <c r="AS1608" s="5" t="s">
        <v>16</v>
      </c>
      <c r="AT1608" s="5" t="s">
        <v>9659</v>
      </c>
      <c r="AU1608" s="5" t="s">
        <v>9660</v>
      </c>
      <c r="AV1608" s="5" t="s">
        <v>9662</v>
      </c>
    </row>
    <row r="1609" spans="1:48" ht="45" customHeight="1" x14ac:dyDescent="0.15">
      <c r="A1609" s="5" t="s">
        <v>9663</v>
      </c>
      <c r="B1609" s="5">
        <v>2017</v>
      </c>
      <c r="C1609" s="5" t="s">
        <v>9664</v>
      </c>
      <c r="D1609" s="5" t="s">
        <v>49</v>
      </c>
      <c r="E1609" s="5" t="s">
        <v>18453</v>
      </c>
      <c r="F1609" s="5" t="s">
        <v>9667</v>
      </c>
      <c r="G1609" s="5"/>
      <c r="H1609" s="5"/>
      <c r="I1609" s="5"/>
      <c r="J1609" s="5"/>
      <c r="K1609" s="5"/>
      <c r="L1609" s="5"/>
      <c r="M1609" s="5"/>
      <c r="N1609" s="5"/>
      <c r="O1609" s="5"/>
      <c r="P1609" s="5"/>
      <c r="Q1609" s="5"/>
      <c r="AL1609" s="7" t="str">
        <f>HYPERLINK("http://dx.doi.org/10.3354/meps12256","http://dx.doi.org/10.3354/meps12256")</f>
        <v>http://dx.doi.org/10.3354/meps12256</v>
      </c>
      <c r="AM1609" s="5">
        <v>20</v>
      </c>
      <c r="AN1609" s="5">
        <v>21</v>
      </c>
      <c r="AO1609" s="5">
        <v>579</v>
      </c>
      <c r="AP1609" s="5" t="s">
        <v>16</v>
      </c>
      <c r="AQ1609" s="5">
        <v>213</v>
      </c>
      <c r="AR1609" s="5">
        <v>225</v>
      </c>
      <c r="AS1609" s="5" t="s">
        <v>16</v>
      </c>
      <c r="AT1609" s="5" t="s">
        <v>9665</v>
      </c>
      <c r="AU1609" s="5" t="s">
        <v>9666</v>
      </c>
      <c r="AV1609" s="5" t="s">
        <v>9668</v>
      </c>
    </row>
    <row r="1610" spans="1:48" ht="45" customHeight="1" x14ac:dyDescent="0.15">
      <c r="A1610" s="5" t="s">
        <v>9669</v>
      </c>
      <c r="B1610" s="5">
        <v>2022</v>
      </c>
      <c r="C1610" s="5" t="s">
        <v>9670</v>
      </c>
      <c r="D1610" s="5" t="s">
        <v>15</v>
      </c>
      <c r="E1610" s="5" t="s">
        <v>18453</v>
      </c>
      <c r="F1610" s="5" t="s">
        <v>9673</v>
      </c>
      <c r="G1610" s="5"/>
      <c r="H1610" s="5"/>
      <c r="I1610" s="5"/>
      <c r="J1610" s="5"/>
      <c r="K1610" s="5"/>
      <c r="L1610" s="5"/>
      <c r="M1610" s="5"/>
      <c r="N1610" s="5"/>
      <c r="O1610" s="5"/>
      <c r="P1610" s="5"/>
      <c r="Q1610" s="5"/>
      <c r="AL1610" s="7" t="str">
        <f>HYPERLINK("http://dx.doi.org/10.1002/ece3.9171","http://dx.doi.org/10.1002/ece3.9171")</f>
        <v>http://dx.doi.org/10.1002/ece3.9171</v>
      </c>
      <c r="AM1610" s="5">
        <v>0</v>
      </c>
      <c r="AN1610" s="5">
        <v>0</v>
      </c>
      <c r="AO1610" s="5">
        <v>12</v>
      </c>
      <c r="AP1610" s="5">
        <v>8</v>
      </c>
      <c r="AQ1610" s="5" t="s">
        <v>16</v>
      </c>
      <c r="AR1610" s="5" t="s">
        <v>16</v>
      </c>
      <c r="AS1610" s="5" t="s">
        <v>9674</v>
      </c>
      <c r="AT1610" s="5" t="s">
        <v>9671</v>
      </c>
      <c r="AU1610" s="5" t="s">
        <v>9672</v>
      </c>
      <c r="AV1610" s="5" t="s">
        <v>9675</v>
      </c>
    </row>
    <row r="1611" spans="1:48" ht="45" customHeight="1" x14ac:dyDescent="0.15">
      <c r="A1611" s="5" t="s">
        <v>9676</v>
      </c>
      <c r="B1611" s="5">
        <v>2013</v>
      </c>
      <c r="C1611" s="5" t="s">
        <v>9677</v>
      </c>
      <c r="D1611" s="5" t="s">
        <v>17</v>
      </c>
      <c r="E1611" s="5" t="s">
        <v>18453</v>
      </c>
      <c r="F1611" s="5" t="s">
        <v>9680</v>
      </c>
      <c r="G1611" s="5"/>
      <c r="H1611" s="5"/>
      <c r="I1611" s="5"/>
      <c r="J1611" s="5"/>
      <c r="K1611" s="5"/>
      <c r="L1611" s="5"/>
      <c r="M1611" s="5"/>
      <c r="N1611" s="5"/>
      <c r="O1611" s="5"/>
      <c r="P1611" s="5"/>
      <c r="Q1611" s="5"/>
      <c r="AL1611" s="7" t="str">
        <f>HYPERLINK("http://dx.doi.org/10.1111/fwb.12073","http://dx.doi.org/10.1111/fwb.12073")</f>
        <v>http://dx.doi.org/10.1111/fwb.12073</v>
      </c>
      <c r="AM1611" s="5">
        <v>15</v>
      </c>
      <c r="AN1611" s="5">
        <v>16</v>
      </c>
      <c r="AO1611" s="5">
        <v>58</v>
      </c>
      <c r="AP1611" s="5">
        <v>4</v>
      </c>
      <c r="AQ1611" s="5">
        <v>690</v>
      </c>
      <c r="AR1611" s="5">
        <v>704</v>
      </c>
      <c r="AS1611" s="5" t="s">
        <v>16</v>
      </c>
      <c r="AT1611" s="5" t="s">
        <v>9678</v>
      </c>
      <c r="AU1611" s="5" t="s">
        <v>9679</v>
      </c>
      <c r="AV1611" s="5" t="s">
        <v>9681</v>
      </c>
    </row>
    <row r="1612" spans="1:48" ht="45" customHeight="1" x14ac:dyDescent="0.15">
      <c r="A1612" s="5" t="s">
        <v>9682</v>
      </c>
      <c r="B1612" s="5">
        <v>2012</v>
      </c>
      <c r="C1612" s="5" t="s">
        <v>9683</v>
      </c>
      <c r="D1612" s="5" t="s">
        <v>190</v>
      </c>
      <c r="E1612" s="5" t="s">
        <v>18453</v>
      </c>
      <c r="F1612" s="5" t="s">
        <v>9686</v>
      </c>
      <c r="G1612" s="5"/>
      <c r="H1612" s="5"/>
      <c r="I1612" s="5"/>
      <c r="J1612" s="5"/>
      <c r="K1612" s="5"/>
      <c r="L1612" s="5"/>
      <c r="M1612" s="5"/>
      <c r="N1612" s="5"/>
      <c r="O1612" s="5"/>
      <c r="P1612" s="5"/>
      <c r="Q1612" s="5"/>
      <c r="AL1612" s="7" t="str">
        <f>HYPERLINK("http://dx.doi.org/10.1007/s10530-012-0258-1","http://dx.doi.org/10.1007/s10530-012-0258-1")</f>
        <v>http://dx.doi.org/10.1007/s10530-012-0258-1</v>
      </c>
      <c r="AM1612" s="5">
        <v>11</v>
      </c>
      <c r="AN1612" s="5">
        <v>12</v>
      </c>
      <c r="AO1612" s="5">
        <v>14</v>
      </c>
      <c r="AP1612" s="5">
        <v>12</v>
      </c>
      <c r="AQ1612" s="5">
        <v>2625</v>
      </c>
      <c r="AR1612" s="5">
        <v>2637</v>
      </c>
      <c r="AS1612" s="5" t="s">
        <v>16</v>
      </c>
      <c r="AT1612" s="5" t="s">
        <v>9684</v>
      </c>
      <c r="AU1612" s="5" t="s">
        <v>9685</v>
      </c>
      <c r="AV1612" s="5" t="s">
        <v>9687</v>
      </c>
    </row>
    <row r="1613" spans="1:48" ht="45" customHeight="1" x14ac:dyDescent="0.15">
      <c r="A1613" s="5" t="s">
        <v>9688</v>
      </c>
      <c r="B1613" s="5">
        <v>2012</v>
      </c>
      <c r="C1613" s="5" t="s">
        <v>9689</v>
      </c>
      <c r="D1613" s="5" t="s">
        <v>18</v>
      </c>
      <c r="E1613" s="5" t="s">
        <v>18453</v>
      </c>
      <c r="F1613" s="5" t="s">
        <v>9692</v>
      </c>
      <c r="G1613" s="5"/>
      <c r="H1613" s="5"/>
      <c r="I1613" s="5"/>
      <c r="J1613" s="5"/>
      <c r="K1613" s="5"/>
      <c r="L1613" s="5"/>
      <c r="M1613" s="5"/>
      <c r="N1613" s="5"/>
      <c r="O1613" s="5"/>
      <c r="P1613" s="5"/>
      <c r="Q1613" s="5"/>
      <c r="AL1613" s="7" t="str">
        <f>HYPERLINK("http://dx.doi.org/10.1890/ES12-00170.1","http://dx.doi.org/10.1890/ES12-00170.1")</f>
        <v>http://dx.doi.org/10.1890/ES12-00170.1</v>
      </c>
      <c r="AM1613" s="5">
        <v>28</v>
      </c>
      <c r="AN1613" s="5">
        <v>28</v>
      </c>
      <c r="AO1613" s="5">
        <v>3</v>
      </c>
      <c r="AP1613" s="5">
        <v>10</v>
      </c>
      <c r="AQ1613" s="5" t="s">
        <v>16</v>
      </c>
      <c r="AR1613" s="5" t="s">
        <v>16</v>
      </c>
      <c r="AS1613" s="5">
        <v>87</v>
      </c>
      <c r="AT1613" s="5" t="s">
        <v>9690</v>
      </c>
      <c r="AU1613" s="5" t="s">
        <v>9691</v>
      </c>
      <c r="AV1613" s="5" t="s">
        <v>9693</v>
      </c>
    </row>
    <row r="1614" spans="1:48" ht="45" customHeight="1" x14ac:dyDescent="0.15">
      <c r="A1614" s="5" t="s">
        <v>9694</v>
      </c>
      <c r="B1614" s="5">
        <v>2012</v>
      </c>
      <c r="C1614" s="5" t="s">
        <v>9695</v>
      </c>
      <c r="D1614" s="5" t="s">
        <v>15</v>
      </c>
      <c r="E1614" s="5" t="s">
        <v>18453</v>
      </c>
      <c r="F1614" s="5" t="s">
        <v>9698</v>
      </c>
      <c r="G1614" s="5"/>
      <c r="H1614" s="5"/>
      <c r="I1614" s="5"/>
      <c r="J1614" s="5"/>
      <c r="K1614" s="5"/>
      <c r="L1614" s="5"/>
      <c r="M1614" s="5"/>
      <c r="N1614" s="5"/>
      <c r="O1614" s="5"/>
      <c r="P1614" s="5"/>
      <c r="Q1614" s="5"/>
      <c r="AL1614" s="7" t="str">
        <f>HYPERLINK("http://dx.doi.org/10.1002/ece3.34","http://dx.doi.org/10.1002/ece3.34")</f>
        <v>http://dx.doi.org/10.1002/ece3.34</v>
      </c>
      <c r="AM1614" s="5">
        <v>29</v>
      </c>
      <c r="AN1614" s="5">
        <v>29</v>
      </c>
      <c r="AO1614" s="5">
        <v>2</v>
      </c>
      <c r="AP1614" s="5">
        <v>1</v>
      </c>
      <c r="AQ1614" s="5">
        <v>106</v>
      </c>
      <c r="AR1614" s="5">
        <v>127</v>
      </c>
      <c r="AS1614" s="5" t="s">
        <v>16</v>
      </c>
      <c r="AT1614" s="5" t="s">
        <v>9696</v>
      </c>
      <c r="AU1614" s="5" t="s">
        <v>9697</v>
      </c>
      <c r="AV1614" s="5" t="s">
        <v>9699</v>
      </c>
    </row>
    <row r="1615" spans="1:48" ht="45" customHeight="1" x14ac:dyDescent="0.15">
      <c r="A1615" s="5" t="s">
        <v>9700</v>
      </c>
      <c r="B1615" s="5">
        <v>2015</v>
      </c>
      <c r="C1615" s="5" t="s">
        <v>9701</v>
      </c>
      <c r="D1615" s="5" t="s">
        <v>49</v>
      </c>
      <c r="E1615" s="5" t="s">
        <v>18453</v>
      </c>
      <c r="F1615" s="5" t="s">
        <v>9704</v>
      </c>
      <c r="G1615" s="5"/>
      <c r="H1615" s="5"/>
      <c r="I1615" s="5"/>
      <c r="J1615" s="5"/>
      <c r="K1615" s="5"/>
      <c r="L1615" s="5"/>
      <c r="M1615" s="5"/>
      <c r="N1615" s="5"/>
      <c r="O1615" s="5"/>
      <c r="P1615" s="5"/>
      <c r="Q1615" s="5"/>
      <c r="AL1615" s="7" t="str">
        <f>HYPERLINK("http://dx.doi.org/10.3354/meps11440","http://dx.doi.org/10.3354/meps11440")</f>
        <v>http://dx.doi.org/10.3354/meps11440</v>
      </c>
      <c r="AM1615" s="5">
        <v>32</v>
      </c>
      <c r="AN1615" s="5">
        <v>32</v>
      </c>
      <c r="AO1615" s="5">
        <v>537</v>
      </c>
      <c r="AP1615" s="5" t="s">
        <v>16</v>
      </c>
      <c r="AQ1615" s="5">
        <v>247</v>
      </c>
      <c r="AR1615" s="5">
        <v>263</v>
      </c>
      <c r="AS1615" s="5" t="s">
        <v>16</v>
      </c>
      <c r="AT1615" s="5" t="s">
        <v>9702</v>
      </c>
      <c r="AU1615" s="5" t="s">
        <v>9703</v>
      </c>
      <c r="AV1615" s="5" t="s">
        <v>9705</v>
      </c>
    </row>
    <row r="1616" spans="1:48" ht="45" customHeight="1" x14ac:dyDescent="0.15">
      <c r="A1616" s="5" t="s">
        <v>9706</v>
      </c>
      <c r="B1616" s="5">
        <v>2022</v>
      </c>
      <c r="C1616" s="5" t="s">
        <v>9707</v>
      </c>
      <c r="D1616" s="5" t="s">
        <v>82</v>
      </c>
      <c r="E1616" s="5" t="s">
        <v>18453</v>
      </c>
      <c r="F1616" s="5" t="s">
        <v>9710</v>
      </c>
      <c r="G1616" s="5"/>
      <c r="H1616" s="5"/>
      <c r="I1616" s="5"/>
      <c r="J1616" s="5"/>
      <c r="K1616" s="5"/>
      <c r="L1616" s="5"/>
      <c r="M1616" s="5"/>
      <c r="N1616" s="5"/>
      <c r="O1616" s="5"/>
      <c r="P1616" s="5"/>
      <c r="Q1616" s="5"/>
      <c r="AL1616" s="7" t="str">
        <f>HYPERLINK("http://dx.doi.org/10.1002/eap.2583","http://dx.doi.org/10.1002/eap.2583")</f>
        <v>http://dx.doi.org/10.1002/eap.2583</v>
      </c>
      <c r="AM1616" s="5">
        <v>1</v>
      </c>
      <c r="AN1616" s="5">
        <v>1</v>
      </c>
      <c r="AO1616" s="5">
        <v>32</v>
      </c>
      <c r="AP1616" s="5">
        <v>6</v>
      </c>
      <c r="AQ1616" s="5" t="s">
        <v>16</v>
      </c>
      <c r="AR1616" s="5" t="s">
        <v>16</v>
      </c>
      <c r="AS1616" s="5" t="s">
        <v>9711</v>
      </c>
      <c r="AT1616" s="5" t="s">
        <v>9708</v>
      </c>
      <c r="AU1616" s="5" t="s">
        <v>9709</v>
      </c>
      <c r="AV1616" s="5" t="s">
        <v>9712</v>
      </c>
    </row>
    <row r="1617" spans="1:48" ht="45" customHeight="1" x14ac:dyDescent="0.15">
      <c r="A1617" s="5" t="s">
        <v>9713</v>
      </c>
      <c r="B1617" s="5">
        <v>2013</v>
      </c>
      <c r="C1617" s="5" t="s">
        <v>9714</v>
      </c>
      <c r="D1617" s="5" t="s">
        <v>295</v>
      </c>
      <c r="E1617" s="5" t="s">
        <v>18453</v>
      </c>
      <c r="F1617" s="5" t="s">
        <v>9717</v>
      </c>
      <c r="G1617" s="5"/>
      <c r="H1617" s="5"/>
      <c r="I1617" s="5"/>
      <c r="J1617" s="5"/>
      <c r="K1617" s="5"/>
      <c r="L1617" s="5"/>
      <c r="M1617" s="5"/>
      <c r="N1617" s="5"/>
      <c r="O1617" s="5"/>
      <c r="P1617" s="5"/>
      <c r="Q1617" s="5"/>
      <c r="AL1617" s="7" t="str">
        <f>HYPERLINK("http://dx.doi.org/10.1016/j.jembe.2013.09.011","http://dx.doi.org/10.1016/j.jembe.2013.09.011")</f>
        <v>http://dx.doi.org/10.1016/j.jembe.2013.09.011</v>
      </c>
      <c r="AM1617" s="5">
        <v>29</v>
      </c>
      <c r="AN1617" s="5">
        <v>29</v>
      </c>
      <c r="AO1617" s="5">
        <v>449</v>
      </c>
      <c r="AP1617" s="5" t="s">
        <v>16</v>
      </c>
      <c r="AQ1617" s="5">
        <v>186</v>
      </c>
      <c r="AR1617" s="5">
        <v>193</v>
      </c>
      <c r="AS1617" s="5" t="s">
        <v>16</v>
      </c>
      <c r="AT1617" s="5" t="s">
        <v>9715</v>
      </c>
      <c r="AU1617" s="5" t="s">
        <v>9716</v>
      </c>
      <c r="AV1617" s="5" t="s">
        <v>9718</v>
      </c>
    </row>
    <row r="1618" spans="1:48" ht="45" customHeight="1" x14ac:dyDescent="0.15">
      <c r="A1618" s="5" t="s">
        <v>9719</v>
      </c>
      <c r="B1618" s="5">
        <v>2022</v>
      </c>
      <c r="C1618" s="5" t="s">
        <v>9720</v>
      </c>
      <c r="D1618" s="5" t="s">
        <v>27</v>
      </c>
      <c r="E1618" s="5" t="s">
        <v>18453</v>
      </c>
      <c r="F1618" s="5" t="s">
        <v>9723</v>
      </c>
      <c r="G1618" s="5"/>
      <c r="H1618" s="5"/>
      <c r="I1618" s="5"/>
      <c r="J1618" s="5"/>
      <c r="K1618" s="5"/>
      <c r="L1618" s="5"/>
      <c r="M1618" s="5"/>
      <c r="N1618" s="5"/>
      <c r="O1618" s="5"/>
      <c r="P1618" s="5"/>
      <c r="Q1618" s="5"/>
      <c r="AL1618" s="7" t="str">
        <f>HYPERLINK("http://dx.doi.org/10.1002/ecy.3817","http://dx.doi.org/10.1002/ecy.3817")</f>
        <v>http://dx.doi.org/10.1002/ecy.3817</v>
      </c>
      <c r="AM1618" s="5">
        <v>1</v>
      </c>
      <c r="AN1618" s="5">
        <v>1</v>
      </c>
      <c r="AO1618" s="5">
        <v>103</v>
      </c>
      <c r="AP1618" s="5">
        <v>12</v>
      </c>
      <c r="AQ1618" s="5" t="s">
        <v>16</v>
      </c>
      <c r="AR1618" s="5" t="s">
        <v>16</v>
      </c>
      <c r="AS1618" s="5" t="s">
        <v>9724</v>
      </c>
      <c r="AT1618" s="5" t="s">
        <v>9721</v>
      </c>
      <c r="AU1618" s="5" t="s">
        <v>9722</v>
      </c>
      <c r="AV1618" s="5" t="s">
        <v>9725</v>
      </c>
    </row>
    <row r="1619" spans="1:48" ht="45" customHeight="1" x14ac:dyDescent="0.15">
      <c r="A1619" s="5" t="s">
        <v>9726</v>
      </c>
      <c r="B1619" s="5">
        <v>2013</v>
      </c>
      <c r="C1619" s="5" t="s">
        <v>9727</v>
      </c>
      <c r="D1619" s="5" t="s">
        <v>17</v>
      </c>
      <c r="E1619" s="5" t="s">
        <v>18453</v>
      </c>
      <c r="F1619" s="5" t="s">
        <v>9730</v>
      </c>
      <c r="G1619" s="5"/>
      <c r="H1619" s="5"/>
      <c r="I1619" s="5"/>
      <c r="J1619" s="5"/>
      <c r="K1619" s="5"/>
      <c r="L1619" s="5"/>
      <c r="M1619" s="5"/>
      <c r="N1619" s="5"/>
      <c r="O1619" s="5"/>
      <c r="P1619" s="5"/>
      <c r="Q1619" s="5"/>
      <c r="AL1619" s="7" t="str">
        <f>HYPERLINK("http://dx.doi.org/10.1111/fwb.12154","http://dx.doi.org/10.1111/fwb.12154")</f>
        <v>http://dx.doi.org/10.1111/fwb.12154</v>
      </c>
      <c r="AM1619" s="5">
        <v>32</v>
      </c>
      <c r="AN1619" s="5">
        <v>33</v>
      </c>
      <c r="AO1619" s="5">
        <v>58</v>
      </c>
      <c r="AP1619" s="5">
        <v>8</v>
      </c>
      <c r="AQ1619" s="5">
        <v>1614</v>
      </c>
      <c r="AR1619" s="5">
        <v>1630</v>
      </c>
      <c r="AS1619" s="5" t="s">
        <v>16</v>
      </c>
      <c r="AT1619" s="5" t="s">
        <v>9728</v>
      </c>
      <c r="AU1619" s="5" t="s">
        <v>9729</v>
      </c>
      <c r="AV1619" s="5" t="s">
        <v>9731</v>
      </c>
    </row>
    <row r="1620" spans="1:48" ht="45" customHeight="1" x14ac:dyDescent="0.15">
      <c r="A1620" s="5" t="s">
        <v>9732</v>
      </c>
      <c r="B1620" s="5">
        <v>2018</v>
      </c>
      <c r="C1620" s="5" t="s">
        <v>9733</v>
      </c>
      <c r="D1620" s="5" t="s">
        <v>160</v>
      </c>
      <c r="E1620" s="5" t="s">
        <v>18453</v>
      </c>
      <c r="F1620" s="5" t="s">
        <v>9736</v>
      </c>
      <c r="G1620" s="5"/>
      <c r="H1620" s="5"/>
      <c r="I1620" s="5"/>
      <c r="J1620" s="5"/>
      <c r="K1620" s="5"/>
      <c r="L1620" s="5"/>
      <c r="M1620" s="5"/>
      <c r="N1620" s="5"/>
      <c r="O1620" s="5"/>
      <c r="P1620" s="5"/>
      <c r="Q1620" s="5"/>
      <c r="AL1620" s="7" t="str">
        <f>HYPERLINK("http://dx.doi.org/10.1111/1365-2664.12987","http://dx.doi.org/10.1111/1365-2664.12987")</f>
        <v>http://dx.doi.org/10.1111/1365-2664.12987</v>
      </c>
      <c r="AM1620" s="5">
        <v>23</v>
      </c>
      <c r="AN1620" s="5">
        <v>23</v>
      </c>
      <c r="AO1620" s="5">
        <v>55</v>
      </c>
      <c r="AP1620" s="5">
        <v>2</v>
      </c>
      <c r="AQ1620" s="5">
        <v>905</v>
      </c>
      <c r="AR1620" s="5">
        <v>916</v>
      </c>
      <c r="AS1620" s="5" t="s">
        <v>16</v>
      </c>
      <c r="AT1620" s="5" t="s">
        <v>9734</v>
      </c>
      <c r="AU1620" s="5" t="s">
        <v>9735</v>
      </c>
      <c r="AV1620" s="5" t="s">
        <v>9737</v>
      </c>
    </row>
    <row r="1621" spans="1:48" ht="45" customHeight="1" x14ac:dyDescent="0.15">
      <c r="A1621" s="5" t="s">
        <v>9738</v>
      </c>
      <c r="B1621" s="5">
        <v>2014</v>
      </c>
      <c r="C1621" s="5" t="s">
        <v>9739</v>
      </c>
      <c r="D1621" s="5" t="s">
        <v>172</v>
      </c>
      <c r="E1621" s="5" t="s">
        <v>18453</v>
      </c>
      <c r="F1621" s="5" t="s">
        <v>9742</v>
      </c>
      <c r="G1621" s="5"/>
      <c r="H1621" s="5"/>
      <c r="I1621" s="5"/>
      <c r="J1621" s="5"/>
      <c r="K1621" s="5"/>
      <c r="L1621" s="5"/>
      <c r="M1621" s="5"/>
      <c r="N1621" s="5"/>
      <c r="O1621" s="5"/>
      <c r="P1621" s="5"/>
      <c r="Q1621" s="5"/>
      <c r="AL1621" s="7" t="str">
        <f>HYPERLINK("http://dx.doi.org/10.1007/s00442-014-2898-6","http://dx.doi.org/10.1007/s00442-014-2898-6")</f>
        <v>http://dx.doi.org/10.1007/s00442-014-2898-6</v>
      </c>
      <c r="AM1621" s="5">
        <v>10</v>
      </c>
      <c r="AN1621" s="5">
        <v>10</v>
      </c>
      <c r="AO1621" s="5">
        <v>175</v>
      </c>
      <c r="AP1621" s="5">
        <v>1</v>
      </c>
      <c r="AQ1621" s="5">
        <v>315</v>
      </c>
      <c r="AR1621" s="5">
        <v>324</v>
      </c>
      <c r="AS1621" s="5" t="s">
        <v>16</v>
      </c>
      <c r="AT1621" s="5" t="s">
        <v>9740</v>
      </c>
      <c r="AU1621" s="5" t="s">
        <v>9741</v>
      </c>
      <c r="AV1621" s="5" t="s">
        <v>9743</v>
      </c>
    </row>
    <row r="1622" spans="1:48" ht="45" customHeight="1" x14ac:dyDescent="0.15">
      <c r="A1622" s="5" t="s">
        <v>9744</v>
      </c>
      <c r="B1622" s="5">
        <v>2014</v>
      </c>
      <c r="C1622" s="5" t="s">
        <v>9745</v>
      </c>
      <c r="D1622" s="5" t="s">
        <v>17</v>
      </c>
      <c r="E1622" s="5" t="s">
        <v>18453</v>
      </c>
      <c r="F1622" s="5" t="s">
        <v>9748</v>
      </c>
      <c r="G1622" s="5"/>
      <c r="H1622" s="5"/>
      <c r="I1622" s="5"/>
      <c r="J1622" s="5"/>
      <c r="K1622" s="5"/>
      <c r="L1622" s="5"/>
      <c r="M1622" s="5"/>
      <c r="N1622" s="5"/>
      <c r="O1622" s="5"/>
      <c r="P1622" s="5"/>
      <c r="Q1622" s="5"/>
      <c r="AL1622" s="7" t="str">
        <f>HYPERLINK("http://dx.doi.org/10.1111/fwb.12415","http://dx.doi.org/10.1111/fwb.12415")</f>
        <v>http://dx.doi.org/10.1111/fwb.12415</v>
      </c>
      <c r="AM1622" s="5">
        <v>62</v>
      </c>
      <c r="AN1622" s="5">
        <v>62</v>
      </c>
      <c r="AO1622" s="5">
        <v>59</v>
      </c>
      <c r="AP1622" s="5">
        <v>10</v>
      </c>
      <c r="AQ1622" s="5">
        <v>2122</v>
      </c>
      <c r="AR1622" s="5">
        <v>2136</v>
      </c>
      <c r="AS1622" s="5" t="s">
        <v>16</v>
      </c>
      <c r="AT1622" s="5" t="s">
        <v>9746</v>
      </c>
      <c r="AU1622" s="5" t="s">
        <v>9747</v>
      </c>
      <c r="AV1622" s="5" t="s">
        <v>9749</v>
      </c>
    </row>
    <row r="1623" spans="1:48" ht="45" customHeight="1" x14ac:dyDescent="0.15">
      <c r="A1623" s="5" t="s">
        <v>9750</v>
      </c>
      <c r="B1623" s="5">
        <v>1994</v>
      </c>
      <c r="C1623" s="5" t="s">
        <v>9751</v>
      </c>
      <c r="D1623" s="5" t="s">
        <v>27</v>
      </c>
      <c r="E1623" s="5" t="s">
        <v>18453</v>
      </c>
      <c r="F1623" s="5" t="s">
        <v>9754</v>
      </c>
      <c r="G1623" s="5"/>
      <c r="H1623" s="5"/>
      <c r="I1623" s="5"/>
      <c r="J1623" s="5"/>
      <c r="K1623" s="5"/>
      <c r="L1623" s="5"/>
      <c r="M1623" s="5"/>
      <c r="N1623" s="5"/>
      <c r="O1623" s="5"/>
      <c r="P1623" s="5"/>
      <c r="Q1623" s="5"/>
      <c r="AL1623" s="7" t="str">
        <f>HYPERLINK("http://dx.doi.org/10.2307/1939553","http://dx.doi.org/10.2307/1939553")</f>
        <v>http://dx.doi.org/10.2307/1939553</v>
      </c>
      <c r="AM1623" s="5">
        <v>46</v>
      </c>
      <c r="AN1623" s="5">
        <v>48</v>
      </c>
      <c r="AO1623" s="5">
        <v>75</v>
      </c>
      <c r="AP1623" s="5">
        <v>2</v>
      </c>
      <c r="AQ1623" s="5">
        <v>498</v>
      </c>
      <c r="AR1623" s="5">
        <v>506</v>
      </c>
      <c r="AS1623" s="5" t="s">
        <v>16</v>
      </c>
      <c r="AT1623" s="5" t="s">
        <v>9752</v>
      </c>
      <c r="AU1623" s="5" t="s">
        <v>9753</v>
      </c>
      <c r="AV1623" s="5" t="s">
        <v>9755</v>
      </c>
    </row>
    <row r="1624" spans="1:48" ht="45" customHeight="1" x14ac:dyDescent="0.15">
      <c r="A1624" s="5" t="s">
        <v>9756</v>
      </c>
      <c r="B1624" s="5">
        <v>2017</v>
      </c>
      <c r="C1624" s="5" t="s">
        <v>9757</v>
      </c>
      <c r="D1624" s="5" t="s">
        <v>513</v>
      </c>
      <c r="E1624" s="5" t="s">
        <v>18453</v>
      </c>
      <c r="F1624" s="5" t="s">
        <v>9760</v>
      </c>
      <c r="G1624" s="5"/>
      <c r="H1624" s="5"/>
      <c r="I1624" s="5"/>
      <c r="J1624" s="5"/>
      <c r="K1624" s="5"/>
      <c r="L1624" s="5"/>
      <c r="M1624" s="5"/>
      <c r="N1624" s="5"/>
      <c r="O1624" s="5"/>
      <c r="P1624" s="5"/>
      <c r="Q1624" s="5"/>
      <c r="AL1624" s="7" t="str">
        <f>HYPERLINK("http://dx.doi.org/10.1016/j.ecoleng.2016.10.052","http://dx.doi.org/10.1016/j.ecoleng.2016.10.052")</f>
        <v>http://dx.doi.org/10.1016/j.ecoleng.2016.10.052</v>
      </c>
      <c r="AM1624" s="5">
        <v>37</v>
      </c>
      <c r="AN1624" s="5">
        <v>47</v>
      </c>
      <c r="AO1624" s="5">
        <v>98</v>
      </c>
      <c r="AP1624" s="5" t="s">
        <v>16</v>
      </c>
      <c r="AQ1624" s="5">
        <v>105</v>
      </c>
      <c r="AR1624" s="5">
        <v>113</v>
      </c>
      <c r="AS1624" s="5" t="s">
        <v>16</v>
      </c>
      <c r="AT1624" s="5" t="s">
        <v>9758</v>
      </c>
      <c r="AU1624" s="5" t="s">
        <v>9759</v>
      </c>
      <c r="AV1624" s="5" t="s">
        <v>9761</v>
      </c>
    </row>
    <row r="1625" spans="1:48" ht="45" customHeight="1" x14ac:dyDescent="0.15">
      <c r="A1625" s="5" t="s">
        <v>9762</v>
      </c>
      <c r="B1625" s="5">
        <v>2019</v>
      </c>
      <c r="C1625" s="5" t="s">
        <v>9763</v>
      </c>
      <c r="D1625" s="5" t="s">
        <v>17</v>
      </c>
      <c r="E1625" s="5" t="s">
        <v>18453</v>
      </c>
      <c r="F1625" s="5" t="s">
        <v>9766</v>
      </c>
      <c r="G1625" s="5"/>
      <c r="H1625" s="5"/>
      <c r="I1625" s="5"/>
      <c r="J1625" s="5"/>
      <c r="K1625" s="5"/>
      <c r="L1625" s="5"/>
      <c r="M1625" s="5"/>
      <c r="N1625" s="5"/>
      <c r="O1625" s="5"/>
      <c r="P1625" s="5"/>
      <c r="Q1625" s="5"/>
      <c r="AL1625" s="7" t="str">
        <f>HYPERLINK("http://dx.doi.org/10.1111/fwb.13250","http://dx.doi.org/10.1111/fwb.13250")</f>
        <v>http://dx.doi.org/10.1111/fwb.13250</v>
      </c>
      <c r="AM1625" s="5">
        <v>14</v>
      </c>
      <c r="AN1625" s="5">
        <v>14</v>
      </c>
      <c r="AO1625" s="5">
        <v>64</v>
      </c>
      <c r="AP1625" s="5">
        <v>4</v>
      </c>
      <c r="AQ1625" s="5">
        <v>643</v>
      </c>
      <c r="AR1625" s="5">
        <v>658</v>
      </c>
      <c r="AS1625" s="5" t="s">
        <v>16</v>
      </c>
      <c r="AT1625" s="5" t="s">
        <v>9764</v>
      </c>
      <c r="AU1625" s="5" t="s">
        <v>9765</v>
      </c>
      <c r="AV1625" s="5" t="s">
        <v>9767</v>
      </c>
    </row>
    <row r="1626" spans="1:48" ht="45" customHeight="1" x14ac:dyDescent="0.15">
      <c r="A1626" s="5" t="s">
        <v>9768</v>
      </c>
      <c r="B1626" s="5">
        <v>2013</v>
      </c>
      <c r="C1626" s="5" t="s">
        <v>9769</v>
      </c>
      <c r="D1626" s="5" t="s">
        <v>17</v>
      </c>
      <c r="E1626" s="5" t="s">
        <v>18453</v>
      </c>
      <c r="F1626" s="5" t="s">
        <v>9772</v>
      </c>
      <c r="G1626" s="5"/>
      <c r="H1626" s="5"/>
      <c r="I1626" s="5"/>
      <c r="J1626" s="5"/>
      <c r="K1626" s="5"/>
      <c r="L1626" s="5"/>
      <c r="M1626" s="5"/>
      <c r="N1626" s="5"/>
      <c r="O1626" s="5"/>
      <c r="P1626" s="5"/>
      <c r="Q1626" s="5"/>
      <c r="AL1626" s="7" t="str">
        <f>HYPERLINK("http://dx.doi.org/10.1111/fwb.12098","http://dx.doi.org/10.1111/fwb.12098")</f>
        <v>http://dx.doi.org/10.1111/fwb.12098</v>
      </c>
      <c r="AM1626" s="5">
        <v>19</v>
      </c>
      <c r="AN1626" s="5">
        <v>20</v>
      </c>
      <c r="AO1626" s="5">
        <v>58</v>
      </c>
      <c r="AP1626" s="5">
        <v>5</v>
      </c>
      <c r="AQ1626" s="5">
        <v>938</v>
      </c>
      <c r="AR1626" s="5">
        <v>950</v>
      </c>
      <c r="AS1626" s="5" t="s">
        <v>16</v>
      </c>
      <c r="AT1626" s="5" t="s">
        <v>9770</v>
      </c>
      <c r="AU1626" s="5" t="s">
        <v>9771</v>
      </c>
      <c r="AV1626" s="5" t="s">
        <v>9773</v>
      </c>
    </row>
    <row r="1627" spans="1:48" ht="45" customHeight="1" x14ac:dyDescent="0.15">
      <c r="A1627" s="5" t="s">
        <v>9774</v>
      </c>
      <c r="B1627" s="5">
        <v>2023</v>
      </c>
      <c r="C1627" s="5" t="s">
        <v>9775</v>
      </c>
      <c r="D1627" s="5" t="s">
        <v>44</v>
      </c>
      <c r="E1627" s="5" t="s">
        <v>18453</v>
      </c>
      <c r="F1627" s="5" t="s">
        <v>9778</v>
      </c>
      <c r="G1627" s="5"/>
      <c r="H1627" s="5"/>
      <c r="I1627" s="5"/>
      <c r="J1627" s="5"/>
      <c r="K1627" s="5"/>
      <c r="L1627" s="5"/>
      <c r="M1627" s="5"/>
      <c r="N1627" s="5"/>
      <c r="O1627" s="5"/>
      <c r="P1627" s="5"/>
      <c r="Q1627" s="5"/>
      <c r="AL1627" s="7" t="str">
        <f>HYPERLINK("http://dx.doi.org/10.3389/fevo.2023.1060689","http://dx.doi.org/10.3389/fevo.2023.1060689")</f>
        <v>http://dx.doi.org/10.3389/fevo.2023.1060689</v>
      </c>
      <c r="AM1627" s="5">
        <v>0</v>
      </c>
      <c r="AN1627" s="5">
        <v>0</v>
      </c>
      <c r="AO1627" s="5">
        <v>11</v>
      </c>
      <c r="AP1627" s="5" t="s">
        <v>16</v>
      </c>
      <c r="AQ1627" s="5" t="s">
        <v>16</v>
      </c>
      <c r="AR1627" s="5" t="s">
        <v>16</v>
      </c>
      <c r="AS1627" s="5">
        <v>1060689</v>
      </c>
      <c r="AT1627" s="5" t="s">
        <v>9776</v>
      </c>
      <c r="AU1627" s="5" t="s">
        <v>9777</v>
      </c>
      <c r="AV1627" s="5" t="s">
        <v>9779</v>
      </c>
    </row>
    <row r="1628" spans="1:48" ht="45" customHeight="1" x14ac:dyDescent="0.15">
      <c r="A1628" s="5" t="s">
        <v>9780</v>
      </c>
      <c r="B1628" s="5">
        <v>2016</v>
      </c>
      <c r="C1628" s="5" t="s">
        <v>9781</v>
      </c>
      <c r="D1628" s="5" t="s">
        <v>2450</v>
      </c>
      <c r="E1628" s="5" t="s">
        <v>18453</v>
      </c>
      <c r="F1628" s="5" t="s">
        <v>9784</v>
      </c>
      <c r="G1628" s="5"/>
      <c r="H1628" s="5"/>
      <c r="I1628" s="5"/>
      <c r="J1628" s="5"/>
      <c r="K1628" s="5"/>
      <c r="L1628" s="5"/>
      <c r="M1628" s="5"/>
      <c r="N1628" s="5"/>
      <c r="O1628" s="5"/>
      <c r="P1628" s="5"/>
      <c r="Q1628" s="5"/>
      <c r="AL1628" s="7" t="str">
        <f>HYPERLINK("http://dx.doi.org/10.1016/j.baae.2016.01.003","http://dx.doi.org/10.1016/j.baae.2016.01.003")</f>
        <v>http://dx.doi.org/10.1016/j.baae.2016.01.003</v>
      </c>
      <c r="AM1628" s="5">
        <v>8</v>
      </c>
      <c r="AN1628" s="5">
        <v>8</v>
      </c>
      <c r="AO1628" s="5">
        <v>17</v>
      </c>
      <c r="AP1628" s="5">
        <v>5</v>
      </c>
      <c r="AQ1628" s="5">
        <v>428</v>
      </c>
      <c r="AR1628" s="5">
        <v>437</v>
      </c>
      <c r="AS1628" s="5" t="s">
        <v>16</v>
      </c>
      <c r="AT1628" s="5" t="s">
        <v>9782</v>
      </c>
      <c r="AU1628" s="5" t="s">
        <v>9783</v>
      </c>
      <c r="AV1628" s="5" t="s">
        <v>9785</v>
      </c>
    </row>
    <row r="1629" spans="1:48" ht="45" customHeight="1" x14ac:dyDescent="0.15">
      <c r="A1629" s="5" t="s">
        <v>9786</v>
      </c>
      <c r="B1629" s="5">
        <v>2020</v>
      </c>
      <c r="C1629" s="5" t="s">
        <v>9787</v>
      </c>
      <c r="D1629" s="5" t="s">
        <v>2976</v>
      </c>
      <c r="E1629" s="5" t="s">
        <v>18453</v>
      </c>
      <c r="F1629" s="5" t="s">
        <v>9790</v>
      </c>
      <c r="G1629" s="5"/>
      <c r="H1629" s="5"/>
      <c r="I1629" s="5"/>
      <c r="J1629" s="5"/>
      <c r="K1629" s="5"/>
      <c r="L1629" s="5"/>
      <c r="M1629" s="5"/>
      <c r="N1629" s="5"/>
      <c r="O1629" s="5"/>
      <c r="P1629" s="5"/>
      <c r="Q1629" s="5"/>
      <c r="AL1629" s="7" t="str">
        <f>HYPERLINK("http://dx.doi.org/10.1016/j.gecco.2020.e01073","http://dx.doi.org/10.1016/j.gecco.2020.e01073")</f>
        <v>http://dx.doi.org/10.1016/j.gecco.2020.e01073</v>
      </c>
      <c r="AM1629" s="5">
        <v>2</v>
      </c>
      <c r="AN1629" s="5">
        <v>3</v>
      </c>
      <c r="AO1629" s="5">
        <v>23</v>
      </c>
      <c r="AP1629" s="5" t="s">
        <v>16</v>
      </c>
      <c r="AQ1629" s="5" t="s">
        <v>16</v>
      </c>
      <c r="AR1629" s="5" t="s">
        <v>16</v>
      </c>
      <c r="AS1629" s="5" t="s">
        <v>9791</v>
      </c>
      <c r="AT1629" s="5" t="s">
        <v>9788</v>
      </c>
      <c r="AU1629" s="5" t="s">
        <v>9789</v>
      </c>
      <c r="AV1629" s="5" t="s">
        <v>9792</v>
      </c>
    </row>
    <row r="1630" spans="1:48" ht="45" customHeight="1" x14ac:dyDescent="0.15">
      <c r="A1630" s="5" t="s">
        <v>337</v>
      </c>
      <c r="B1630" s="5">
        <v>2021</v>
      </c>
      <c r="C1630" s="5" t="s">
        <v>9793</v>
      </c>
      <c r="D1630" s="5" t="s">
        <v>15</v>
      </c>
      <c r="E1630" s="5" t="s">
        <v>18453</v>
      </c>
      <c r="F1630" s="5" t="s">
        <v>9796</v>
      </c>
      <c r="G1630" s="5"/>
      <c r="H1630" s="5"/>
      <c r="I1630" s="5"/>
      <c r="J1630" s="5"/>
      <c r="K1630" s="5"/>
      <c r="L1630" s="5"/>
      <c r="M1630" s="5"/>
      <c r="N1630" s="5"/>
      <c r="O1630" s="5"/>
      <c r="P1630" s="5"/>
      <c r="Q1630" s="5"/>
      <c r="AL1630" s="7" t="str">
        <f>HYPERLINK("http://dx.doi.org/10.1002/ece3.7500","http://dx.doi.org/10.1002/ece3.7500")</f>
        <v>http://dx.doi.org/10.1002/ece3.7500</v>
      </c>
      <c r="AM1630" s="5">
        <v>4</v>
      </c>
      <c r="AN1630" s="5">
        <v>4</v>
      </c>
      <c r="AO1630" s="5">
        <v>11</v>
      </c>
      <c r="AP1630" s="5">
        <v>14</v>
      </c>
      <c r="AQ1630" s="5">
        <v>9241</v>
      </c>
      <c r="AR1630" s="5">
        <v>9253</v>
      </c>
      <c r="AS1630" s="5" t="s">
        <v>16</v>
      </c>
      <c r="AT1630" s="5" t="s">
        <v>9794</v>
      </c>
      <c r="AU1630" s="5" t="s">
        <v>9795</v>
      </c>
      <c r="AV1630" s="5" t="s">
        <v>9797</v>
      </c>
    </row>
    <row r="1631" spans="1:48" ht="45" customHeight="1" x14ac:dyDescent="0.15">
      <c r="A1631" s="5" t="s">
        <v>9798</v>
      </c>
      <c r="B1631" s="5">
        <v>2013</v>
      </c>
      <c r="C1631" s="5" t="s">
        <v>9799</v>
      </c>
      <c r="D1631" s="5" t="s">
        <v>2437</v>
      </c>
      <c r="E1631" s="5" t="s">
        <v>18453</v>
      </c>
      <c r="F1631" s="5" t="s">
        <v>9802</v>
      </c>
      <c r="G1631" s="5"/>
      <c r="H1631" s="5"/>
      <c r="I1631" s="5"/>
      <c r="J1631" s="5"/>
      <c r="K1631" s="5"/>
      <c r="L1631" s="5"/>
      <c r="M1631" s="5"/>
      <c r="N1631" s="5"/>
      <c r="O1631" s="5"/>
      <c r="P1631" s="5"/>
      <c r="Q1631" s="5"/>
      <c r="AL1631" s="7" t="str">
        <f>HYPERLINK("http://dx.doi.org/10.1890/12-1727.1","http://dx.doi.org/10.1890/12-1727.1")</f>
        <v>http://dx.doi.org/10.1890/12-1727.1</v>
      </c>
      <c r="AM1631" s="5">
        <v>131</v>
      </c>
      <c r="AN1631" s="5">
        <v>133</v>
      </c>
      <c r="AO1631" s="5">
        <v>83</v>
      </c>
      <c r="AP1631" s="5">
        <v>3</v>
      </c>
      <c r="AQ1631" s="5">
        <v>311</v>
      </c>
      <c r="AR1631" s="5">
        <v>337</v>
      </c>
      <c r="AS1631" s="5" t="s">
        <v>16</v>
      </c>
      <c r="AT1631" s="5" t="s">
        <v>9800</v>
      </c>
      <c r="AU1631" s="5" t="s">
        <v>9801</v>
      </c>
      <c r="AV1631" s="5" t="s">
        <v>9803</v>
      </c>
    </row>
    <row r="1632" spans="1:48" ht="45" customHeight="1" x14ac:dyDescent="0.15">
      <c r="A1632" s="5" t="s">
        <v>9804</v>
      </c>
      <c r="B1632" s="5">
        <v>2022</v>
      </c>
      <c r="C1632" s="5" t="s">
        <v>9805</v>
      </c>
      <c r="D1632" s="5" t="s">
        <v>77</v>
      </c>
      <c r="E1632" s="5" t="s">
        <v>18453</v>
      </c>
      <c r="F1632" s="5" t="s">
        <v>9808</v>
      </c>
      <c r="G1632" s="5"/>
      <c r="H1632" s="5"/>
      <c r="I1632" s="5"/>
      <c r="J1632" s="5"/>
      <c r="K1632" s="5"/>
      <c r="L1632" s="5"/>
      <c r="M1632" s="5"/>
      <c r="N1632" s="5"/>
      <c r="O1632" s="5"/>
      <c r="P1632" s="5"/>
      <c r="Q1632" s="5"/>
      <c r="AL1632" s="7" t="str">
        <f>HYPERLINK("http://dx.doi.org/10.1111/1365-2656.13611","http://dx.doi.org/10.1111/1365-2656.13611")</f>
        <v>http://dx.doi.org/10.1111/1365-2656.13611</v>
      </c>
      <c r="AM1632" s="5">
        <v>1</v>
      </c>
      <c r="AN1632" s="5">
        <v>1</v>
      </c>
      <c r="AO1632" s="5">
        <v>91</v>
      </c>
      <c r="AP1632" s="5">
        <v>1</v>
      </c>
      <c r="AQ1632" s="5">
        <v>154</v>
      </c>
      <c r="AR1632" s="5">
        <v>169</v>
      </c>
      <c r="AS1632" s="5" t="s">
        <v>16</v>
      </c>
      <c r="AT1632" s="5" t="s">
        <v>9806</v>
      </c>
      <c r="AU1632" s="5" t="s">
        <v>9807</v>
      </c>
      <c r="AV1632" s="5" t="s">
        <v>9809</v>
      </c>
    </row>
    <row r="1633" spans="1:48" ht="45" customHeight="1" x14ac:dyDescent="0.15">
      <c r="A1633" s="5" t="s">
        <v>9810</v>
      </c>
      <c r="B1633" s="5">
        <v>2017</v>
      </c>
      <c r="C1633" s="5" t="s">
        <v>9811</v>
      </c>
      <c r="D1633" s="5" t="s">
        <v>17</v>
      </c>
      <c r="E1633" s="5" t="s">
        <v>18453</v>
      </c>
      <c r="F1633" s="5" t="s">
        <v>9814</v>
      </c>
      <c r="G1633" s="5"/>
      <c r="H1633" s="5"/>
      <c r="I1633" s="5"/>
      <c r="J1633" s="5"/>
      <c r="K1633" s="5"/>
      <c r="L1633" s="5"/>
      <c r="M1633" s="5"/>
      <c r="N1633" s="5"/>
      <c r="O1633" s="5"/>
      <c r="P1633" s="5"/>
      <c r="Q1633" s="5"/>
      <c r="AL1633" s="7" t="str">
        <f>HYPERLINK("http://dx.doi.org/10.1111/fwb.12921","http://dx.doi.org/10.1111/fwb.12921")</f>
        <v>http://dx.doi.org/10.1111/fwb.12921</v>
      </c>
      <c r="AM1633" s="5">
        <v>53</v>
      </c>
      <c r="AN1633" s="5">
        <v>58</v>
      </c>
      <c r="AO1633" s="5">
        <v>62</v>
      </c>
      <c r="AP1633" s="5">
        <v>6</v>
      </c>
      <c r="AQ1633" s="5">
        <v>1012</v>
      </c>
      <c r="AR1633" s="5">
        <v>1023</v>
      </c>
      <c r="AS1633" s="5" t="s">
        <v>16</v>
      </c>
      <c r="AT1633" s="5" t="s">
        <v>9812</v>
      </c>
      <c r="AU1633" s="5" t="s">
        <v>9813</v>
      </c>
      <c r="AV1633" s="5" t="s">
        <v>9815</v>
      </c>
    </row>
    <row r="1634" spans="1:48" ht="45" customHeight="1" x14ac:dyDescent="0.15">
      <c r="A1634" s="5" t="s">
        <v>9816</v>
      </c>
      <c r="B1634" s="5">
        <v>2019</v>
      </c>
      <c r="C1634" s="5" t="s">
        <v>9817</v>
      </c>
      <c r="D1634" s="5" t="s">
        <v>62</v>
      </c>
      <c r="E1634" s="5" t="s">
        <v>18453</v>
      </c>
      <c r="F1634" s="5" t="s">
        <v>9820</v>
      </c>
      <c r="G1634" s="5"/>
      <c r="H1634" s="5"/>
      <c r="I1634" s="5"/>
      <c r="J1634" s="5"/>
      <c r="K1634" s="5"/>
      <c r="L1634" s="5"/>
      <c r="M1634" s="5"/>
      <c r="N1634" s="5"/>
      <c r="O1634" s="5"/>
      <c r="P1634" s="5"/>
      <c r="Q1634" s="5"/>
      <c r="AL1634" s="7" t="str">
        <f>HYPERLINK("http://dx.doi.org/10.1007/s10021-018-0327-0","http://dx.doi.org/10.1007/s10021-018-0327-0")</f>
        <v>http://dx.doi.org/10.1007/s10021-018-0327-0</v>
      </c>
      <c r="AM1634" s="5">
        <v>11</v>
      </c>
      <c r="AN1634" s="5">
        <v>11</v>
      </c>
      <c r="AO1634" s="5">
        <v>22</v>
      </c>
      <c r="AP1634" s="5">
        <v>5</v>
      </c>
      <c r="AQ1634" s="5">
        <v>1126</v>
      </c>
      <c r="AR1634" s="5">
        <v>1144</v>
      </c>
      <c r="AS1634" s="5" t="s">
        <v>16</v>
      </c>
      <c r="AT1634" s="5" t="s">
        <v>9818</v>
      </c>
      <c r="AU1634" s="5" t="s">
        <v>9819</v>
      </c>
      <c r="AV1634" s="5" t="s">
        <v>9821</v>
      </c>
    </row>
    <row r="1635" spans="1:48" ht="45" customHeight="1" x14ac:dyDescent="0.15">
      <c r="A1635" s="5" t="s">
        <v>9822</v>
      </c>
      <c r="B1635" s="5">
        <v>2003</v>
      </c>
      <c r="C1635" s="5" t="s">
        <v>9823</v>
      </c>
      <c r="D1635" s="5" t="s">
        <v>172</v>
      </c>
      <c r="E1635" s="5" t="s">
        <v>18453</v>
      </c>
      <c r="F1635" s="5" t="s">
        <v>9826</v>
      </c>
      <c r="G1635" s="5"/>
      <c r="H1635" s="5"/>
      <c r="I1635" s="5"/>
      <c r="J1635" s="5"/>
      <c r="K1635" s="5"/>
      <c r="L1635" s="5"/>
      <c r="M1635" s="5"/>
      <c r="N1635" s="5"/>
      <c r="O1635" s="5"/>
      <c r="P1635" s="5"/>
      <c r="Q1635" s="5"/>
      <c r="AL1635" s="7" t="str">
        <f>HYPERLINK("http://dx.doi.org/10.1007/s00442-002-1169-0","http://dx.doi.org/10.1007/s00442-002-1169-0")</f>
        <v>http://dx.doi.org/10.1007/s00442-002-1169-0</v>
      </c>
      <c r="AM1635" s="5">
        <v>46</v>
      </c>
      <c r="AN1635" s="5">
        <v>49</v>
      </c>
      <c r="AO1635" s="5">
        <v>135</v>
      </c>
      <c r="AP1635" s="5">
        <v>2</v>
      </c>
      <c r="AQ1635" s="5">
        <v>234</v>
      </c>
      <c r="AR1635" s="5">
        <v>241</v>
      </c>
      <c r="AS1635" s="5" t="s">
        <v>16</v>
      </c>
      <c r="AT1635" s="5" t="s">
        <v>9824</v>
      </c>
      <c r="AU1635" s="5" t="s">
        <v>9825</v>
      </c>
      <c r="AV1635" s="5" t="s">
        <v>9827</v>
      </c>
    </row>
    <row r="1636" spans="1:48" ht="45" customHeight="1" x14ac:dyDescent="0.15">
      <c r="A1636" s="5" t="s">
        <v>9828</v>
      </c>
      <c r="B1636" s="5">
        <v>2021</v>
      </c>
      <c r="C1636" s="5" t="s">
        <v>9829</v>
      </c>
      <c r="D1636" s="5" t="s">
        <v>1257</v>
      </c>
      <c r="E1636" s="5" t="s">
        <v>18453</v>
      </c>
      <c r="F1636" s="5" t="s">
        <v>9832</v>
      </c>
      <c r="G1636" s="5"/>
      <c r="H1636" s="5"/>
      <c r="I1636" s="5"/>
      <c r="J1636" s="5"/>
      <c r="K1636" s="5"/>
      <c r="L1636" s="5"/>
      <c r="M1636" s="5"/>
      <c r="N1636" s="5"/>
      <c r="O1636" s="5"/>
      <c r="P1636" s="5"/>
      <c r="Q1636" s="5"/>
      <c r="AL1636" s="7" t="str">
        <f>HYPERLINK("http://dx.doi.org/10.3389/ffgc.2021.689335","http://dx.doi.org/10.3389/ffgc.2021.689335")</f>
        <v>http://dx.doi.org/10.3389/ffgc.2021.689335</v>
      </c>
      <c r="AM1636" s="5">
        <v>2</v>
      </c>
      <c r="AN1636" s="5">
        <v>2</v>
      </c>
      <c r="AO1636" s="5">
        <v>4</v>
      </c>
      <c r="AP1636" s="5" t="s">
        <v>16</v>
      </c>
      <c r="AQ1636" s="5" t="s">
        <v>16</v>
      </c>
      <c r="AR1636" s="5" t="s">
        <v>16</v>
      </c>
      <c r="AS1636" s="5">
        <v>689335</v>
      </c>
      <c r="AT1636" s="5" t="s">
        <v>9830</v>
      </c>
      <c r="AU1636" s="5" t="s">
        <v>9831</v>
      </c>
      <c r="AV1636" s="5" t="s">
        <v>9833</v>
      </c>
    </row>
    <row r="1637" spans="1:48" ht="45" customHeight="1" x14ac:dyDescent="0.15">
      <c r="A1637" s="5" t="s">
        <v>9834</v>
      </c>
      <c r="B1637" s="5">
        <v>2020</v>
      </c>
      <c r="C1637" s="5" t="s">
        <v>9835</v>
      </c>
      <c r="D1637" s="5" t="s">
        <v>1765</v>
      </c>
      <c r="E1637" s="5" t="s">
        <v>18453</v>
      </c>
      <c r="F1637" s="5" t="s">
        <v>9838</v>
      </c>
      <c r="G1637" s="5"/>
      <c r="H1637" s="5"/>
      <c r="I1637" s="5"/>
      <c r="J1637" s="5"/>
      <c r="K1637" s="5"/>
      <c r="L1637" s="5"/>
      <c r="M1637" s="5"/>
      <c r="N1637" s="5"/>
      <c r="O1637" s="5"/>
      <c r="P1637" s="5"/>
      <c r="Q1637" s="5"/>
      <c r="AL1637" s="7" t="str">
        <f>HYPERLINK("http://dx.doi.org/10.1016/j.agee.2020.107027","http://dx.doi.org/10.1016/j.agee.2020.107027")</f>
        <v>http://dx.doi.org/10.1016/j.agee.2020.107027</v>
      </c>
      <c r="AM1637" s="5">
        <v>89</v>
      </c>
      <c r="AN1637" s="5">
        <v>93</v>
      </c>
      <c r="AO1637" s="5">
        <v>301</v>
      </c>
      <c r="AP1637" s="5" t="s">
        <v>16</v>
      </c>
      <c r="AQ1637" s="5" t="s">
        <v>16</v>
      </c>
      <c r="AR1637" s="5" t="s">
        <v>16</v>
      </c>
      <c r="AS1637" s="5">
        <v>107027</v>
      </c>
      <c r="AT1637" s="5" t="s">
        <v>9836</v>
      </c>
      <c r="AU1637" s="5" t="s">
        <v>9837</v>
      </c>
      <c r="AV1637" s="5" t="s">
        <v>9839</v>
      </c>
    </row>
    <row r="1638" spans="1:48" ht="45" customHeight="1" x14ac:dyDescent="0.15">
      <c r="A1638" s="5" t="s">
        <v>9840</v>
      </c>
      <c r="B1638" s="5">
        <v>2021</v>
      </c>
      <c r="C1638" s="5" t="s">
        <v>9841</v>
      </c>
      <c r="D1638" s="5" t="s">
        <v>18</v>
      </c>
      <c r="E1638" s="5" t="s">
        <v>18453</v>
      </c>
      <c r="F1638" s="5" t="s">
        <v>9844</v>
      </c>
      <c r="G1638" s="5"/>
      <c r="H1638" s="5"/>
      <c r="I1638" s="5"/>
      <c r="J1638" s="5"/>
      <c r="K1638" s="5"/>
      <c r="L1638" s="5"/>
      <c r="M1638" s="5"/>
      <c r="N1638" s="5"/>
      <c r="O1638" s="5"/>
      <c r="P1638" s="5"/>
      <c r="Q1638" s="5"/>
      <c r="AL1638" s="7" t="str">
        <f>HYPERLINK("http://dx.doi.org/10.1002/ecs2.3441","http://dx.doi.org/10.1002/ecs2.3441")</f>
        <v>http://dx.doi.org/10.1002/ecs2.3441</v>
      </c>
      <c r="AM1638" s="5">
        <v>4</v>
      </c>
      <c r="AN1638" s="5">
        <v>4</v>
      </c>
      <c r="AO1638" s="5">
        <v>12</v>
      </c>
      <c r="AP1638" s="5">
        <v>3</v>
      </c>
      <c r="AQ1638" s="5" t="s">
        <v>16</v>
      </c>
      <c r="AR1638" s="5" t="s">
        <v>16</v>
      </c>
      <c r="AS1638" s="5" t="s">
        <v>9845</v>
      </c>
      <c r="AT1638" s="5" t="s">
        <v>9842</v>
      </c>
      <c r="AU1638" s="5" t="s">
        <v>9843</v>
      </c>
      <c r="AV1638" s="5" t="s">
        <v>9846</v>
      </c>
    </row>
    <row r="1639" spans="1:48" ht="45" customHeight="1" x14ac:dyDescent="0.15">
      <c r="A1639" s="5" t="s">
        <v>9847</v>
      </c>
      <c r="B1639" s="5">
        <v>2019</v>
      </c>
      <c r="C1639" s="5" t="s">
        <v>9848</v>
      </c>
      <c r="D1639" s="5" t="s">
        <v>49</v>
      </c>
      <c r="E1639" s="5" t="s">
        <v>18453</v>
      </c>
      <c r="F1639" s="5" t="s">
        <v>9851</v>
      </c>
      <c r="G1639" s="5"/>
      <c r="H1639" s="5"/>
      <c r="I1639" s="5"/>
      <c r="J1639" s="5"/>
      <c r="K1639" s="5"/>
      <c r="L1639" s="5"/>
      <c r="M1639" s="5"/>
      <c r="N1639" s="5"/>
      <c r="O1639" s="5"/>
      <c r="P1639" s="5"/>
      <c r="Q1639" s="5"/>
      <c r="AL1639" s="7" t="str">
        <f>HYPERLINK("http://dx.doi.org/10.3354/meps12497","http://dx.doi.org/10.3354/meps12497")</f>
        <v>http://dx.doi.org/10.3354/meps12497</v>
      </c>
      <c r="AM1639" s="5">
        <v>35</v>
      </c>
      <c r="AN1639" s="5">
        <v>35</v>
      </c>
      <c r="AO1639" s="5">
        <v>617</v>
      </c>
      <c r="AP1639" s="5" t="s">
        <v>16</v>
      </c>
      <c r="AQ1639" s="5">
        <v>149</v>
      </c>
      <c r="AR1639" s="5">
        <v>163</v>
      </c>
      <c r="AS1639" s="5" t="s">
        <v>16</v>
      </c>
      <c r="AT1639" s="5" t="s">
        <v>9849</v>
      </c>
      <c r="AU1639" s="5" t="s">
        <v>9850</v>
      </c>
      <c r="AV1639" s="5" t="s">
        <v>9852</v>
      </c>
    </row>
    <row r="1640" spans="1:48" ht="45" customHeight="1" x14ac:dyDescent="0.15">
      <c r="A1640" s="5" t="s">
        <v>9853</v>
      </c>
      <c r="B1640" s="5">
        <v>2007</v>
      </c>
      <c r="C1640" s="5" t="s">
        <v>9854</v>
      </c>
      <c r="D1640" s="5" t="s">
        <v>160</v>
      </c>
      <c r="E1640" s="5" t="s">
        <v>18453</v>
      </c>
      <c r="F1640" s="5" t="s">
        <v>9857</v>
      </c>
      <c r="G1640" s="5"/>
      <c r="H1640" s="5"/>
      <c r="I1640" s="5"/>
      <c r="J1640" s="5"/>
      <c r="K1640" s="5"/>
      <c r="L1640" s="5"/>
      <c r="M1640" s="5"/>
      <c r="N1640" s="5"/>
      <c r="O1640" s="5"/>
      <c r="P1640" s="5"/>
      <c r="Q1640" s="5"/>
      <c r="AL1640" s="7" t="str">
        <f>HYPERLINK("http://dx.doi.org/10.1111/j.1365-2664.2007.01329.x","http://dx.doi.org/10.1111/j.1365-2664.2007.01329.x")</f>
        <v>http://dx.doi.org/10.1111/j.1365-2664.2007.01329.x</v>
      </c>
      <c r="AM1640" s="5">
        <v>64</v>
      </c>
      <c r="AN1640" s="5">
        <v>72</v>
      </c>
      <c r="AO1640" s="5">
        <v>44</v>
      </c>
      <c r="AP1640" s="5">
        <v>4</v>
      </c>
      <c r="AQ1640" s="5">
        <v>875</v>
      </c>
      <c r="AR1640" s="5">
        <v>884</v>
      </c>
      <c r="AS1640" s="5" t="s">
        <v>16</v>
      </c>
      <c r="AT1640" s="5" t="s">
        <v>9855</v>
      </c>
      <c r="AU1640" s="5" t="s">
        <v>9856</v>
      </c>
      <c r="AV1640" s="5" t="s">
        <v>9858</v>
      </c>
    </row>
    <row r="1641" spans="1:48" ht="45" customHeight="1" x14ac:dyDescent="0.15">
      <c r="A1641" s="5" t="s">
        <v>9859</v>
      </c>
      <c r="B1641" s="5">
        <v>2012</v>
      </c>
      <c r="C1641" s="5" t="s">
        <v>9860</v>
      </c>
      <c r="D1641" s="5" t="s">
        <v>172</v>
      </c>
      <c r="E1641" s="5" t="s">
        <v>18453</v>
      </c>
      <c r="F1641" s="5" t="s">
        <v>9863</v>
      </c>
      <c r="G1641" s="5"/>
      <c r="H1641" s="5"/>
      <c r="I1641" s="5"/>
      <c r="J1641" s="5"/>
      <c r="K1641" s="5"/>
      <c r="L1641" s="5"/>
      <c r="M1641" s="5"/>
      <c r="N1641" s="5"/>
      <c r="O1641" s="5"/>
      <c r="P1641" s="5"/>
      <c r="Q1641" s="5"/>
      <c r="AL1641" s="7" t="str">
        <f>HYPERLINK("http://dx.doi.org/10.1007/s00442-011-2148-0","http://dx.doi.org/10.1007/s00442-011-2148-0")</f>
        <v>http://dx.doi.org/10.1007/s00442-011-2148-0</v>
      </c>
      <c r="AM1641" s="5">
        <v>96</v>
      </c>
      <c r="AN1641" s="5">
        <v>98</v>
      </c>
      <c r="AO1641" s="5">
        <v>168</v>
      </c>
      <c r="AP1641" s="5">
        <v>3</v>
      </c>
      <c r="AQ1641" s="5">
        <v>829</v>
      </c>
      <c r="AR1641" s="5">
        <v>838</v>
      </c>
      <c r="AS1641" s="5" t="s">
        <v>16</v>
      </c>
      <c r="AT1641" s="5" t="s">
        <v>9861</v>
      </c>
      <c r="AU1641" s="5" t="s">
        <v>9862</v>
      </c>
      <c r="AV1641" s="5" t="s">
        <v>9864</v>
      </c>
    </row>
    <row r="1642" spans="1:48" ht="45" customHeight="1" x14ac:dyDescent="0.15">
      <c r="A1642" s="5" t="s">
        <v>9865</v>
      </c>
      <c r="B1642" s="5">
        <v>2022</v>
      </c>
      <c r="C1642" s="5" t="s">
        <v>9866</v>
      </c>
      <c r="D1642" s="5" t="s">
        <v>17</v>
      </c>
      <c r="E1642" s="5" t="s">
        <v>18453</v>
      </c>
      <c r="F1642" s="5" t="s">
        <v>9869</v>
      </c>
      <c r="G1642" s="5"/>
      <c r="H1642" s="5"/>
      <c r="I1642" s="5"/>
      <c r="J1642" s="5"/>
      <c r="K1642" s="5"/>
      <c r="L1642" s="5"/>
      <c r="M1642" s="5"/>
      <c r="N1642" s="5"/>
      <c r="O1642" s="5"/>
      <c r="P1642" s="5"/>
      <c r="Q1642" s="5"/>
      <c r="AL1642" s="7" t="str">
        <f>HYPERLINK("http://dx.doi.org/10.1111/fwb.13901","http://dx.doi.org/10.1111/fwb.13901")</f>
        <v>http://dx.doi.org/10.1111/fwb.13901</v>
      </c>
      <c r="AM1642" s="5">
        <v>6</v>
      </c>
      <c r="AN1642" s="5">
        <v>6</v>
      </c>
      <c r="AO1642" s="5">
        <v>67</v>
      </c>
      <c r="AP1642" s="5">
        <v>6</v>
      </c>
      <c r="AQ1642" s="5">
        <v>1063</v>
      </c>
      <c r="AR1642" s="5">
        <v>1078</v>
      </c>
      <c r="AS1642" s="5" t="s">
        <v>16</v>
      </c>
      <c r="AT1642" s="5" t="s">
        <v>9867</v>
      </c>
      <c r="AU1642" s="5" t="s">
        <v>9868</v>
      </c>
      <c r="AV1642" s="5" t="s">
        <v>9870</v>
      </c>
    </row>
    <row r="1643" spans="1:48" ht="45" customHeight="1" x14ac:dyDescent="0.15">
      <c r="A1643" s="5" t="s">
        <v>9871</v>
      </c>
      <c r="B1643" s="5">
        <v>2021</v>
      </c>
      <c r="C1643" s="5" t="s">
        <v>9872</v>
      </c>
      <c r="D1643" s="5" t="s">
        <v>77</v>
      </c>
      <c r="E1643" s="5" t="s">
        <v>18453</v>
      </c>
      <c r="F1643" s="5" t="s">
        <v>9875</v>
      </c>
      <c r="G1643" s="5"/>
      <c r="H1643" s="5"/>
      <c r="I1643" s="5"/>
      <c r="J1643" s="5"/>
      <c r="K1643" s="5"/>
      <c r="L1643" s="5"/>
      <c r="M1643" s="5"/>
      <c r="N1643" s="5"/>
      <c r="O1643" s="5"/>
      <c r="P1643" s="5"/>
      <c r="Q1643" s="5"/>
      <c r="AL1643" s="7" t="str">
        <f>HYPERLINK("http://dx.doi.org/10.1111/1365-2656.13413","http://dx.doi.org/10.1111/1365-2656.13413")</f>
        <v>http://dx.doi.org/10.1111/1365-2656.13413</v>
      </c>
      <c r="AM1643" s="5">
        <v>2</v>
      </c>
      <c r="AN1643" s="5">
        <v>2</v>
      </c>
      <c r="AO1643" s="5">
        <v>90</v>
      </c>
      <c r="AP1643" s="5">
        <v>4</v>
      </c>
      <c r="AQ1643" s="5">
        <v>834</v>
      </c>
      <c r="AR1643" s="5">
        <v>845</v>
      </c>
      <c r="AS1643" s="5" t="s">
        <v>16</v>
      </c>
      <c r="AT1643" s="5" t="s">
        <v>9873</v>
      </c>
      <c r="AU1643" s="5" t="s">
        <v>9874</v>
      </c>
      <c r="AV1643" s="5" t="s">
        <v>9876</v>
      </c>
    </row>
    <row r="1644" spans="1:48" ht="45" customHeight="1" x14ac:dyDescent="0.15">
      <c r="A1644" s="5" t="s">
        <v>9877</v>
      </c>
      <c r="B1644" s="5">
        <v>2014</v>
      </c>
      <c r="C1644" s="5" t="s">
        <v>9878</v>
      </c>
      <c r="D1644" s="5" t="s">
        <v>172</v>
      </c>
      <c r="E1644" s="5" t="s">
        <v>18453</v>
      </c>
      <c r="F1644" s="5" t="s">
        <v>9881</v>
      </c>
      <c r="G1644" s="5"/>
      <c r="H1644" s="5"/>
      <c r="I1644" s="5"/>
      <c r="J1644" s="5"/>
      <c r="K1644" s="5"/>
      <c r="L1644" s="5"/>
      <c r="M1644" s="5"/>
      <c r="N1644" s="5"/>
      <c r="O1644" s="5"/>
      <c r="P1644" s="5"/>
      <c r="Q1644" s="5"/>
      <c r="AL1644" s="7" t="str">
        <f>HYPERLINK("http://dx.doi.org/10.1007/s00442-014-3001-z","http://dx.doi.org/10.1007/s00442-014-3001-z")</f>
        <v>http://dx.doi.org/10.1007/s00442-014-3001-z</v>
      </c>
      <c r="AM1644" s="5">
        <v>12</v>
      </c>
      <c r="AN1644" s="5">
        <v>12</v>
      </c>
      <c r="AO1644" s="5">
        <v>176</v>
      </c>
      <c r="AP1644" s="5">
        <v>1</v>
      </c>
      <c r="AQ1644" s="5">
        <v>259</v>
      </c>
      <c r="AR1644" s="5">
        <v>271</v>
      </c>
      <c r="AS1644" s="5" t="s">
        <v>16</v>
      </c>
      <c r="AT1644" s="5" t="s">
        <v>9879</v>
      </c>
      <c r="AU1644" s="5" t="s">
        <v>9880</v>
      </c>
      <c r="AV1644" s="5" t="s">
        <v>9882</v>
      </c>
    </row>
    <row r="1645" spans="1:48" ht="45" customHeight="1" x14ac:dyDescent="0.15">
      <c r="A1645" s="5" t="s">
        <v>9883</v>
      </c>
      <c r="B1645" s="5">
        <v>2006</v>
      </c>
      <c r="C1645" s="5" t="s">
        <v>9884</v>
      </c>
      <c r="D1645" s="5" t="s">
        <v>33</v>
      </c>
      <c r="E1645" s="5" t="s">
        <v>18453</v>
      </c>
      <c r="F1645" s="5" t="s">
        <v>9887</v>
      </c>
      <c r="G1645" s="5"/>
      <c r="H1645" s="5"/>
      <c r="I1645" s="5"/>
      <c r="J1645" s="5"/>
      <c r="K1645" s="5"/>
      <c r="L1645" s="5"/>
      <c r="M1645" s="5"/>
      <c r="N1645" s="5"/>
      <c r="O1645" s="5"/>
      <c r="P1645" s="5"/>
      <c r="Q1645" s="5"/>
      <c r="AL1645" s="7" t="str">
        <f>HYPERLINK("http://dx.doi.org/10.1111/j.1365-2486.2006.01147.x","http://dx.doi.org/10.1111/j.1365-2486.2006.01147.x")</f>
        <v>http://dx.doi.org/10.1111/j.1365-2486.2006.01147.x</v>
      </c>
      <c r="AM1645" s="5">
        <v>66</v>
      </c>
      <c r="AN1645" s="5">
        <v>72</v>
      </c>
      <c r="AO1645" s="5">
        <v>12</v>
      </c>
      <c r="AP1645" s="5">
        <v>6</v>
      </c>
      <c r="AQ1645" s="5">
        <v>983</v>
      </c>
      <c r="AR1645" s="5">
        <v>994</v>
      </c>
      <c r="AS1645" s="5" t="s">
        <v>16</v>
      </c>
      <c r="AT1645" s="5" t="s">
        <v>9885</v>
      </c>
      <c r="AU1645" s="5" t="s">
        <v>9886</v>
      </c>
      <c r="AV1645" s="5" t="s">
        <v>9888</v>
      </c>
    </row>
    <row r="1646" spans="1:48" ht="45" customHeight="1" x14ac:dyDescent="0.15">
      <c r="A1646" s="5" t="s">
        <v>9889</v>
      </c>
      <c r="B1646" s="5">
        <v>2021</v>
      </c>
      <c r="C1646" s="5" t="s">
        <v>9890</v>
      </c>
      <c r="D1646" s="5" t="s">
        <v>162</v>
      </c>
      <c r="E1646" s="5" t="s">
        <v>18453</v>
      </c>
      <c r="F1646" s="5" t="s">
        <v>9893</v>
      </c>
      <c r="G1646" s="5"/>
      <c r="H1646" s="5"/>
      <c r="I1646" s="5"/>
      <c r="J1646" s="5"/>
      <c r="K1646" s="5"/>
      <c r="L1646" s="5"/>
      <c r="M1646" s="5"/>
      <c r="N1646" s="5"/>
      <c r="O1646" s="5"/>
      <c r="P1646" s="5"/>
      <c r="Q1646" s="5"/>
      <c r="AL1646" s="7" t="str">
        <f>HYPERLINK("http://dx.doi.org/10.1111/1365-2435.13765","http://dx.doi.org/10.1111/1365-2435.13765")</f>
        <v>http://dx.doi.org/10.1111/1365-2435.13765</v>
      </c>
      <c r="AM1646" s="5">
        <v>6</v>
      </c>
      <c r="AN1646" s="5">
        <v>6</v>
      </c>
      <c r="AO1646" s="5">
        <v>35</v>
      </c>
      <c r="AP1646" s="5">
        <v>4</v>
      </c>
      <c r="AQ1646" s="5">
        <v>930</v>
      </c>
      <c r="AR1646" s="5">
        <v>941</v>
      </c>
      <c r="AS1646" s="5" t="s">
        <v>16</v>
      </c>
      <c r="AT1646" s="5" t="s">
        <v>9891</v>
      </c>
      <c r="AU1646" s="5" t="s">
        <v>9892</v>
      </c>
      <c r="AV1646" s="5" t="s">
        <v>9894</v>
      </c>
    </row>
    <row r="1647" spans="1:48" ht="45" customHeight="1" x14ac:dyDescent="0.15">
      <c r="A1647" s="5" t="s">
        <v>9895</v>
      </c>
      <c r="B1647" s="5">
        <v>2014</v>
      </c>
      <c r="C1647" s="5" t="s">
        <v>9896</v>
      </c>
      <c r="D1647" s="5" t="s">
        <v>18</v>
      </c>
      <c r="E1647" s="5" t="s">
        <v>18453</v>
      </c>
      <c r="F1647" s="5" t="s">
        <v>9899</v>
      </c>
      <c r="G1647" s="5"/>
      <c r="H1647" s="5"/>
      <c r="I1647" s="5"/>
      <c r="J1647" s="5"/>
      <c r="K1647" s="5"/>
      <c r="L1647" s="5"/>
      <c r="M1647" s="5"/>
      <c r="N1647" s="5"/>
      <c r="O1647" s="5"/>
      <c r="P1647" s="5"/>
      <c r="Q1647" s="5"/>
      <c r="AL1647" s="7" t="str">
        <f>HYPERLINK("http://dx.doi.org/10.1890/ES13-00297.1","http://dx.doi.org/10.1890/ES13-00297.1")</f>
        <v>http://dx.doi.org/10.1890/ES13-00297.1</v>
      </c>
      <c r="AM1647" s="5">
        <v>18</v>
      </c>
      <c r="AN1647" s="5">
        <v>18</v>
      </c>
      <c r="AO1647" s="5">
        <v>5</v>
      </c>
      <c r="AP1647" s="5">
        <v>4</v>
      </c>
      <c r="AQ1647" s="5" t="s">
        <v>16</v>
      </c>
      <c r="AR1647" s="5" t="s">
        <v>16</v>
      </c>
      <c r="AS1647" s="5">
        <v>38</v>
      </c>
      <c r="AT1647" s="5" t="s">
        <v>9897</v>
      </c>
      <c r="AU1647" s="5" t="s">
        <v>9898</v>
      </c>
      <c r="AV1647" s="5" t="s">
        <v>9900</v>
      </c>
    </row>
    <row r="1648" spans="1:48" ht="45" customHeight="1" x14ac:dyDescent="0.15">
      <c r="A1648" s="5" t="s">
        <v>9901</v>
      </c>
      <c r="B1648" s="5">
        <v>1999</v>
      </c>
      <c r="C1648" s="5" t="s">
        <v>9902</v>
      </c>
      <c r="D1648" s="5" t="s">
        <v>27</v>
      </c>
      <c r="E1648" s="5" t="s">
        <v>18453</v>
      </c>
      <c r="F1648" s="5" t="s">
        <v>9905</v>
      </c>
      <c r="G1648" s="5"/>
      <c r="H1648" s="5"/>
      <c r="I1648" s="5"/>
      <c r="J1648" s="5"/>
      <c r="K1648" s="5"/>
      <c r="L1648" s="5"/>
      <c r="M1648" s="5"/>
      <c r="N1648" s="5"/>
      <c r="O1648" s="5"/>
      <c r="P1648" s="5"/>
      <c r="Q1648" s="5"/>
      <c r="AL1648" s="7" t="str">
        <f>HYPERLINK("http://dx.doi.org/10.2307/176986","http://dx.doi.org/10.2307/176986")</f>
        <v>http://dx.doi.org/10.2307/176986</v>
      </c>
      <c r="AM1648" s="5">
        <v>195</v>
      </c>
      <c r="AN1648" s="5">
        <v>219</v>
      </c>
      <c r="AO1648" s="5">
        <v>80</v>
      </c>
      <c r="AP1648" s="5">
        <v>1</v>
      </c>
      <c r="AQ1648" s="5">
        <v>150</v>
      </c>
      <c r="AR1648" s="5">
        <v>160</v>
      </c>
      <c r="AS1648" s="5" t="s">
        <v>16</v>
      </c>
      <c r="AT1648" s="5" t="s">
        <v>9903</v>
      </c>
      <c r="AU1648" s="5" t="s">
        <v>9904</v>
      </c>
      <c r="AV1648" s="5" t="s">
        <v>9906</v>
      </c>
    </row>
    <row r="1649" spans="1:48" ht="45" customHeight="1" x14ac:dyDescent="0.15">
      <c r="A1649" s="5" t="s">
        <v>9907</v>
      </c>
      <c r="B1649" s="5">
        <v>2008</v>
      </c>
      <c r="C1649" s="5" t="s">
        <v>9908</v>
      </c>
      <c r="D1649" s="5" t="s">
        <v>172</v>
      </c>
      <c r="E1649" s="5" t="s">
        <v>18453</v>
      </c>
      <c r="F1649" s="5" t="s">
        <v>9911</v>
      </c>
      <c r="G1649" s="5"/>
      <c r="H1649" s="5"/>
      <c r="I1649" s="5"/>
      <c r="J1649" s="5"/>
      <c r="K1649" s="5"/>
      <c r="L1649" s="5"/>
      <c r="M1649" s="5"/>
      <c r="N1649" s="5"/>
      <c r="O1649" s="5"/>
      <c r="P1649" s="5"/>
      <c r="Q1649" s="5"/>
      <c r="AL1649" s="7" t="str">
        <f>HYPERLINK("http://dx.doi.org/10.1007/s00442-008-1144-5","http://dx.doi.org/10.1007/s00442-008-1144-5")</f>
        <v>http://dx.doi.org/10.1007/s00442-008-1144-5</v>
      </c>
      <c r="AM1649" s="5">
        <v>29</v>
      </c>
      <c r="AN1649" s="5">
        <v>29</v>
      </c>
      <c r="AO1649" s="5">
        <v>158</v>
      </c>
      <c r="AP1649" s="5">
        <v>2</v>
      </c>
      <c r="AQ1649" s="5">
        <v>259</v>
      </c>
      <c r="AR1649" s="5">
        <v>272</v>
      </c>
      <c r="AS1649" s="5" t="s">
        <v>16</v>
      </c>
      <c r="AT1649" s="5" t="s">
        <v>9909</v>
      </c>
      <c r="AU1649" s="5" t="s">
        <v>9910</v>
      </c>
      <c r="AV1649" s="5" t="s">
        <v>9912</v>
      </c>
    </row>
    <row r="1650" spans="1:48" ht="45" customHeight="1" x14ac:dyDescent="0.15">
      <c r="A1650" s="5" t="s">
        <v>9913</v>
      </c>
      <c r="B1650" s="5">
        <v>2014</v>
      </c>
      <c r="C1650" s="5" t="s">
        <v>9914</v>
      </c>
      <c r="D1650" s="5" t="s">
        <v>262</v>
      </c>
      <c r="E1650" s="5" t="s">
        <v>18453</v>
      </c>
      <c r="F1650" s="5" t="s">
        <v>9916</v>
      </c>
      <c r="G1650" s="5"/>
      <c r="H1650" s="5"/>
      <c r="I1650" s="5"/>
      <c r="J1650" s="5"/>
      <c r="K1650" s="5"/>
      <c r="L1650" s="5"/>
      <c r="M1650" s="5"/>
      <c r="N1650" s="5"/>
      <c r="O1650" s="5"/>
      <c r="P1650" s="5"/>
      <c r="Q1650" s="5"/>
      <c r="AL1650" s="7" t="str">
        <f>HYPERLINK("http://dx.doi.org/10.1111/j.1600-0706.2013.00827.x","http://dx.doi.org/10.1111/j.1600-0706.2013.00827.x")</f>
        <v>http://dx.doi.org/10.1111/j.1600-0706.2013.00827.x</v>
      </c>
      <c r="AM1650" s="5">
        <v>9</v>
      </c>
      <c r="AN1650" s="5">
        <v>9</v>
      </c>
      <c r="AO1650" s="5">
        <v>123</v>
      </c>
      <c r="AP1650" s="5">
        <v>6</v>
      </c>
      <c r="AQ1650" s="5">
        <v>751</v>
      </c>
      <c r="AR1650" s="5">
        <v>761</v>
      </c>
      <c r="AS1650" s="5" t="s">
        <v>16</v>
      </c>
      <c r="AT1650" s="5" t="s">
        <v>16</v>
      </c>
      <c r="AU1650" s="5" t="s">
        <v>9915</v>
      </c>
      <c r="AV1650" s="5" t="s">
        <v>9917</v>
      </c>
    </row>
    <row r="1651" spans="1:48" ht="45" customHeight="1" x14ac:dyDescent="0.15">
      <c r="A1651" s="5" t="s">
        <v>9918</v>
      </c>
      <c r="B1651" s="5">
        <v>2021</v>
      </c>
      <c r="C1651" s="5" t="s">
        <v>9919</v>
      </c>
      <c r="D1651" s="5" t="s">
        <v>249</v>
      </c>
      <c r="E1651" s="5" t="s">
        <v>18453</v>
      </c>
      <c r="F1651" s="5" t="s">
        <v>9922</v>
      </c>
      <c r="G1651" s="5"/>
      <c r="H1651" s="5"/>
      <c r="I1651" s="5"/>
      <c r="J1651" s="5"/>
      <c r="K1651" s="5"/>
      <c r="L1651" s="5"/>
      <c r="M1651" s="5"/>
      <c r="N1651" s="5"/>
      <c r="O1651" s="5"/>
      <c r="P1651" s="5"/>
      <c r="Q1651" s="5"/>
      <c r="AL1651" s="7" t="str">
        <f>HYPERLINK("http://dx.doi.org/10.1016/j.jaridenv.2020.104418","http://dx.doi.org/10.1016/j.jaridenv.2020.104418")</f>
        <v>http://dx.doi.org/10.1016/j.jaridenv.2020.104418</v>
      </c>
      <c r="AM1651" s="5">
        <v>4</v>
      </c>
      <c r="AN1651" s="5">
        <v>4</v>
      </c>
      <c r="AO1651" s="5">
        <v>186</v>
      </c>
      <c r="AP1651" s="5" t="s">
        <v>16</v>
      </c>
      <c r="AQ1651" s="5" t="s">
        <v>16</v>
      </c>
      <c r="AR1651" s="5" t="s">
        <v>16</v>
      </c>
      <c r="AS1651" s="5">
        <v>104418</v>
      </c>
      <c r="AT1651" s="5" t="s">
        <v>9920</v>
      </c>
      <c r="AU1651" s="5" t="s">
        <v>9921</v>
      </c>
      <c r="AV1651" s="5" t="s">
        <v>9923</v>
      </c>
    </row>
    <row r="1652" spans="1:48" ht="45" customHeight="1" x14ac:dyDescent="0.15">
      <c r="A1652" s="5" t="s">
        <v>9924</v>
      </c>
      <c r="B1652" s="5">
        <v>2008</v>
      </c>
      <c r="C1652" s="5" t="s">
        <v>9925</v>
      </c>
      <c r="D1652" s="5" t="s">
        <v>49</v>
      </c>
      <c r="E1652" s="5" t="s">
        <v>18453</v>
      </c>
      <c r="F1652" s="5" t="s">
        <v>9928</v>
      </c>
      <c r="G1652" s="5"/>
      <c r="H1652" s="5"/>
      <c r="I1652" s="5"/>
      <c r="J1652" s="5"/>
      <c r="K1652" s="5"/>
      <c r="L1652" s="5"/>
      <c r="M1652" s="5"/>
      <c r="N1652" s="5"/>
      <c r="O1652" s="5"/>
      <c r="P1652" s="5"/>
      <c r="Q1652" s="5"/>
      <c r="AL1652" s="7" t="str">
        <f>HYPERLINK("http://dx.doi.org/10.3354/meps07421","http://dx.doi.org/10.3354/meps07421")</f>
        <v>http://dx.doi.org/10.3354/meps07421</v>
      </c>
      <c r="AM1652" s="5">
        <v>51</v>
      </c>
      <c r="AN1652" s="5">
        <v>52</v>
      </c>
      <c r="AO1652" s="5">
        <v>361</v>
      </c>
      <c r="AP1652" s="5" t="s">
        <v>16</v>
      </c>
      <c r="AQ1652" s="5">
        <v>35</v>
      </c>
      <c r="AR1652" s="5">
        <v>45</v>
      </c>
      <c r="AS1652" s="5" t="s">
        <v>16</v>
      </c>
      <c r="AT1652" s="5" t="s">
        <v>9926</v>
      </c>
      <c r="AU1652" s="5" t="s">
        <v>9927</v>
      </c>
      <c r="AV1652" s="5" t="s">
        <v>9929</v>
      </c>
    </row>
    <row r="1653" spans="1:48" ht="45" customHeight="1" x14ac:dyDescent="0.15">
      <c r="A1653" s="5" t="s">
        <v>9930</v>
      </c>
      <c r="B1653" s="5">
        <v>2016</v>
      </c>
      <c r="C1653" s="5" t="s">
        <v>9931</v>
      </c>
      <c r="D1653" s="5" t="s">
        <v>1765</v>
      </c>
      <c r="E1653" s="5" t="s">
        <v>18453</v>
      </c>
      <c r="F1653" s="5" t="s">
        <v>9934</v>
      </c>
      <c r="G1653" s="5"/>
      <c r="H1653" s="5"/>
      <c r="I1653" s="5"/>
      <c r="J1653" s="5"/>
      <c r="K1653" s="5"/>
      <c r="L1653" s="5"/>
      <c r="M1653" s="5"/>
      <c r="N1653" s="5"/>
      <c r="O1653" s="5"/>
      <c r="P1653" s="5"/>
      <c r="Q1653" s="5"/>
      <c r="AL1653" s="7" t="str">
        <f>HYPERLINK("http://dx.doi.org/10.1016/j.agee.2016.02.014","http://dx.doi.org/10.1016/j.agee.2016.02.014")</f>
        <v>http://dx.doi.org/10.1016/j.agee.2016.02.014</v>
      </c>
      <c r="AM1653" s="5">
        <v>18</v>
      </c>
      <c r="AN1653" s="5">
        <v>18</v>
      </c>
      <c r="AO1653" s="5">
        <v>222</v>
      </c>
      <c r="AP1653" s="5" t="s">
        <v>16</v>
      </c>
      <c r="AQ1653" s="5">
        <v>185</v>
      </c>
      <c r="AR1653" s="5">
        <v>192</v>
      </c>
      <c r="AS1653" s="5" t="s">
        <v>16</v>
      </c>
      <c r="AT1653" s="5" t="s">
        <v>9932</v>
      </c>
      <c r="AU1653" s="5" t="s">
        <v>9933</v>
      </c>
      <c r="AV1653" s="5" t="s">
        <v>9935</v>
      </c>
    </row>
    <row r="1654" spans="1:48" ht="45" customHeight="1" x14ac:dyDescent="0.15">
      <c r="A1654" s="5" t="s">
        <v>9936</v>
      </c>
      <c r="B1654" s="5">
        <v>2019</v>
      </c>
      <c r="C1654" s="5" t="s">
        <v>9937</v>
      </c>
      <c r="D1654" s="5" t="s">
        <v>33</v>
      </c>
      <c r="E1654" s="5" t="s">
        <v>18453</v>
      </c>
      <c r="F1654" s="5" t="s">
        <v>9940</v>
      </c>
      <c r="G1654" s="5"/>
      <c r="H1654" s="5"/>
      <c r="I1654" s="5"/>
      <c r="J1654" s="5"/>
      <c r="K1654" s="5"/>
      <c r="L1654" s="5"/>
      <c r="M1654" s="5"/>
      <c r="N1654" s="5"/>
      <c r="O1654" s="5"/>
      <c r="P1654" s="5"/>
      <c r="Q1654" s="5"/>
      <c r="AL1654" s="7" t="str">
        <f>HYPERLINK("http://dx.doi.org/10.1111/gcb.14832","http://dx.doi.org/10.1111/gcb.14832")</f>
        <v>http://dx.doi.org/10.1111/gcb.14832</v>
      </c>
      <c r="AM1654" s="5">
        <v>39</v>
      </c>
      <c r="AN1654" s="5">
        <v>39</v>
      </c>
      <c r="AO1654" s="5">
        <v>25</v>
      </c>
      <c r="AP1654" s="5">
        <v>12</v>
      </c>
      <c r="AQ1654" s="5">
        <v>4116</v>
      </c>
      <c r="AR1654" s="5">
        <v>4130</v>
      </c>
      <c r="AS1654" s="5" t="s">
        <v>16</v>
      </c>
      <c r="AT1654" s="5" t="s">
        <v>9938</v>
      </c>
      <c r="AU1654" s="5" t="s">
        <v>9939</v>
      </c>
      <c r="AV1654" s="5" t="s">
        <v>9941</v>
      </c>
    </row>
    <row r="1655" spans="1:48" ht="45" customHeight="1" x14ac:dyDescent="0.15">
      <c r="A1655" s="5" t="s">
        <v>9942</v>
      </c>
      <c r="B1655" s="5">
        <v>2006</v>
      </c>
      <c r="C1655" s="5" t="s">
        <v>9943</v>
      </c>
      <c r="D1655" s="5" t="s">
        <v>312</v>
      </c>
      <c r="E1655" s="5" t="s">
        <v>18453</v>
      </c>
      <c r="F1655" s="5" t="s">
        <v>9946</v>
      </c>
      <c r="G1655" s="5"/>
      <c r="H1655" s="5"/>
      <c r="I1655" s="5"/>
      <c r="J1655" s="5"/>
      <c r="K1655" s="5"/>
      <c r="L1655" s="5"/>
      <c r="M1655" s="5"/>
      <c r="N1655" s="5"/>
      <c r="O1655" s="5"/>
      <c r="P1655" s="5"/>
      <c r="Q1655" s="5"/>
      <c r="AL1655" s="7" t="str">
        <f>HYPERLINK("http://dx.doi.org/10.1016/j.ecolmodel.2005.08.006","http://dx.doi.org/10.1016/j.ecolmodel.2005.08.006")</f>
        <v>http://dx.doi.org/10.1016/j.ecolmodel.2005.08.006</v>
      </c>
      <c r="AM1655" s="5">
        <v>8</v>
      </c>
      <c r="AN1655" s="5">
        <v>12</v>
      </c>
      <c r="AO1655" s="5">
        <v>193</v>
      </c>
      <c r="AP1655" s="5" t="s">
        <v>639</v>
      </c>
      <c r="AQ1655" s="5">
        <v>801</v>
      </c>
      <c r="AR1655" s="5">
        <v>808</v>
      </c>
      <c r="AS1655" s="5" t="s">
        <v>16</v>
      </c>
      <c r="AT1655" s="5" t="s">
        <v>9944</v>
      </c>
      <c r="AU1655" s="5" t="s">
        <v>9945</v>
      </c>
      <c r="AV1655" s="5" t="s">
        <v>9947</v>
      </c>
    </row>
    <row r="1656" spans="1:48" ht="45" customHeight="1" x14ac:dyDescent="0.15">
      <c r="A1656" s="5" t="s">
        <v>9948</v>
      </c>
      <c r="B1656" s="5">
        <v>2007</v>
      </c>
      <c r="C1656" s="5" t="s">
        <v>9949</v>
      </c>
      <c r="D1656" s="5" t="s">
        <v>82</v>
      </c>
      <c r="E1656" s="5" t="s">
        <v>18453</v>
      </c>
      <c r="F1656" s="5" t="s">
        <v>9952</v>
      </c>
      <c r="G1656" s="5"/>
      <c r="H1656" s="5"/>
      <c r="I1656" s="5"/>
      <c r="J1656" s="5"/>
      <c r="K1656" s="5"/>
      <c r="L1656" s="5"/>
      <c r="M1656" s="5"/>
      <c r="N1656" s="5"/>
      <c r="O1656" s="5"/>
      <c r="P1656" s="5"/>
      <c r="Q1656" s="5"/>
      <c r="AL1656" s="7" t="str">
        <f>HYPERLINK("http://dx.doi.org/10.1890/07-0245.1","http://dx.doi.org/10.1890/07-0245.1")</f>
        <v>http://dx.doi.org/10.1890/07-0245.1</v>
      </c>
      <c r="AM1656" s="5">
        <v>64</v>
      </c>
      <c r="AN1656" s="5">
        <v>68</v>
      </c>
      <c r="AO1656" s="5">
        <v>17</v>
      </c>
      <c r="AP1656" s="5">
        <v>8</v>
      </c>
      <c r="AQ1656" s="5">
        <v>2323</v>
      </c>
      <c r="AR1656" s="5">
        <v>2332</v>
      </c>
      <c r="AS1656" s="5" t="s">
        <v>16</v>
      </c>
      <c r="AT1656" s="5" t="s">
        <v>9950</v>
      </c>
      <c r="AU1656" s="5" t="s">
        <v>9951</v>
      </c>
      <c r="AV1656" s="5" t="s">
        <v>9953</v>
      </c>
    </row>
    <row r="1657" spans="1:48" ht="45" customHeight="1" x14ac:dyDescent="0.15">
      <c r="A1657" s="5" t="s">
        <v>9954</v>
      </c>
      <c r="B1657" s="5">
        <v>1997</v>
      </c>
      <c r="C1657" s="5" t="s">
        <v>9955</v>
      </c>
      <c r="D1657" s="5" t="s">
        <v>9956</v>
      </c>
      <c r="E1657" s="5" t="s">
        <v>18453</v>
      </c>
      <c r="F1657" s="5" t="s">
        <v>9958</v>
      </c>
      <c r="G1657" s="5"/>
      <c r="H1657" s="5"/>
      <c r="I1657" s="5"/>
      <c r="J1657" s="5"/>
      <c r="K1657" s="5"/>
      <c r="L1657" s="5"/>
      <c r="M1657" s="5"/>
      <c r="N1657" s="5"/>
      <c r="O1657" s="5"/>
      <c r="P1657" s="5"/>
      <c r="Q1657" s="5"/>
      <c r="AL1657" s="5" t="s">
        <v>16</v>
      </c>
      <c r="AM1657" s="5">
        <v>27</v>
      </c>
      <c r="AN1657" s="5">
        <v>29</v>
      </c>
      <c r="AO1657" s="5">
        <v>5</v>
      </c>
      <c r="AP1657" s="5">
        <v>2</v>
      </c>
      <c r="AQ1657" s="5">
        <v>47</v>
      </c>
      <c r="AR1657" s="5">
        <v>52</v>
      </c>
      <c r="AS1657" s="5" t="s">
        <v>16</v>
      </c>
      <c r="AT1657" s="5" t="s">
        <v>16</v>
      </c>
      <c r="AU1657" s="5" t="s">
        <v>9957</v>
      </c>
      <c r="AV1657" s="5" t="s">
        <v>16</v>
      </c>
    </row>
    <row r="1658" spans="1:48" ht="45" customHeight="1" x14ac:dyDescent="0.15">
      <c r="A1658" s="5" t="s">
        <v>9959</v>
      </c>
      <c r="B1658" s="5">
        <v>2016</v>
      </c>
      <c r="C1658" s="5" t="s">
        <v>9960</v>
      </c>
      <c r="D1658" s="5" t="s">
        <v>18</v>
      </c>
      <c r="E1658" s="5" t="s">
        <v>18453</v>
      </c>
      <c r="F1658" s="5" t="s">
        <v>9963</v>
      </c>
      <c r="G1658" s="5"/>
      <c r="H1658" s="5"/>
      <c r="I1658" s="5"/>
      <c r="J1658" s="5"/>
      <c r="K1658" s="5"/>
      <c r="L1658" s="5"/>
      <c r="M1658" s="5"/>
      <c r="N1658" s="5"/>
      <c r="O1658" s="5"/>
      <c r="P1658" s="5"/>
      <c r="Q1658" s="5"/>
      <c r="AL1658" s="7" t="str">
        <f>HYPERLINK("http://dx.doi.org/10.1002/ecs2.1282","http://dx.doi.org/10.1002/ecs2.1282")</f>
        <v>http://dx.doi.org/10.1002/ecs2.1282</v>
      </c>
      <c r="AM1658" s="5">
        <v>16</v>
      </c>
      <c r="AN1658" s="5">
        <v>17</v>
      </c>
      <c r="AO1658" s="5">
        <v>7</v>
      </c>
      <c r="AP1658" s="5">
        <v>5</v>
      </c>
      <c r="AQ1658" s="5" t="s">
        <v>16</v>
      </c>
      <c r="AR1658" s="5" t="s">
        <v>16</v>
      </c>
      <c r="AS1658" s="5" t="s">
        <v>9964</v>
      </c>
      <c r="AT1658" s="5" t="s">
        <v>9961</v>
      </c>
      <c r="AU1658" s="5" t="s">
        <v>9962</v>
      </c>
      <c r="AV1658" s="5" t="s">
        <v>9965</v>
      </c>
    </row>
    <row r="1659" spans="1:48" ht="45" customHeight="1" x14ac:dyDescent="0.15">
      <c r="A1659" s="5" t="s">
        <v>9966</v>
      </c>
      <c r="B1659" s="5">
        <v>2001</v>
      </c>
      <c r="C1659" s="5" t="s">
        <v>9967</v>
      </c>
      <c r="D1659" s="5" t="s">
        <v>33</v>
      </c>
      <c r="E1659" s="5" t="s">
        <v>18453</v>
      </c>
      <c r="F1659" s="5" t="s">
        <v>9970</v>
      </c>
      <c r="G1659" s="5"/>
      <c r="H1659" s="5"/>
      <c r="I1659" s="5"/>
      <c r="J1659" s="5"/>
      <c r="K1659" s="5"/>
      <c r="L1659" s="5"/>
      <c r="M1659" s="5"/>
      <c r="N1659" s="5"/>
      <c r="O1659" s="5"/>
      <c r="P1659" s="5"/>
      <c r="Q1659" s="5"/>
      <c r="AL1659" s="7" t="str">
        <f>HYPERLINK("http://dx.doi.org/10.1046/j.1365-2486.2001.00400.x","http://dx.doi.org/10.1046/j.1365-2486.2001.00400.x")</f>
        <v>http://dx.doi.org/10.1046/j.1365-2486.2001.00400.x</v>
      </c>
      <c r="AM1659" s="5">
        <v>152</v>
      </c>
      <c r="AN1659" s="5">
        <v>166</v>
      </c>
      <c r="AO1659" s="5">
        <v>7</v>
      </c>
      <c r="AP1659" s="5">
        <v>2</v>
      </c>
      <c r="AQ1659" s="5">
        <v>127</v>
      </c>
      <c r="AR1659" s="5">
        <v>145</v>
      </c>
      <c r="AS1659" s="5" t="s">
        <v>16</v>
      </c>
      <c r="AT1659" s="5" t="s">
        <v>9968</v>
      </c>
      <c r="AU1659" s="5" t="s">
        <v>9969</v>
      </c>
      <c r="AV1659" s="5" t="s">
        <v>9971</v>
      </c>
    </row>
    <row r="1660" spans="1:48" ht="45" customHeight="1" x14ac:dyDescent="0.15">
      <c r="A1660" s="5" t="s">
        <v>9972</v>
      </c>
      <c r="B1660" s="5">
        <v>2020</v>
      </c>
      <c r="C1660" s="5" t="s">
        <v>9973</v>
      </c>
      <c r="D1660" s="5" t="s">
        <v>116</v>
      </c>
      <c r="E1660" s="5" t="s">
        <v>18453</v>
      </c>
      <c r="F1660" s="5" t="s">
        <v>9976</v>
      </c>
      <c r="G1660" s="5"/>
      <c r="H1660" s="5"/>
      <c r="I1660" s="5"/>
      <c r="J1660" s="5"/>
      <c r="K1660" s="5"/>
      <c r="L1660" s="5"/>
      <c r="M1660" s="5"/>
      <c r="N1660" s="5"/>
      <c r="O1660" s="5"/>
      <c r="P1660" s="5"/>
      <c r="Q1660" s="5"/>
      <c r="AL1660" s="7" t="str">
        <f>HYPERLINK("http://dx.doi.org/10.1007/s10641-020-00947-y","http://dx.doi.org/10.1007/s10641-020-00947-y")</f>
        <v>http://dx.doi.org/10.1007/s10641-020-00947-y</v>
      </c>
      <c r="AM1660" s="5">
        <v>10</v>
      </c>
      <c r="AN1660" s="5">
        <v>10</v>
      </c>
      <c r="AO1660" s="5">
        <v>103</v>
      </c>
      <c r="AP1660" s="5">
        <v>2</v>
      </c>
      <c r="AQ1660" s="5">
        <v>185</v>
      </c>
      <c r="AR1660" s="5">
        <v>200</v>
      </c>
      <c r="AS1660" s="5" t="s">
        <v>16</v>
      </c>
      <c r="AT1660" s="5" t="s">
        <v>9974</v>
      </c>
      <c r="AU1660" s="5" t="s">
        <v>9975</v>
      </c>
      <c r="AV1660" s="5" t="s">
        <v>9977</v>
      </c>
    </row>
    <row r="1661" spans="1:48" ht="45" customHeight="1" x14ac:dyDescent="0.15">
      <c r="A1661" s="5" t="s">
        <v>9978</v>
      </c>
      <c r="B1661" s="5">
        <v>2014</v>
      </c>
      <c r="C1661" s="5" t="s">
        <v>9979</v>
      </c>
      <c r="D1661" s="5" t="s">
        <v>162</v>
      </c>
      <c r="E1661" s="5" t="s">
        <v>18453</v>
      </c>
      <c r="F1661" s="5" t="s">
        <v>9982</v>
      </c>
      <c r="G1661" s="5"/>
      <c r="H1661" s="5"/>
      <c r="I1661" s="5"/>
      <c r="J1661" s="5"/>
      <c r="K1661" s="5"/>
      <c r="L1661" s="5"/>
      <c r="M1661" s="5"/>
      <c r="N1661" s="5"/>
      <c r="O1661" s="5"/>
      <c r="P1661" s="5"/>
      <c r="Q1661" s="5"/>
      <c r="AL1661" s="7" t="str">
        <f>HYPERLINK("http://dx.doi.org/10.1111/1365-2435.12251","http://dx.doi.org/10.1111/1365-2435.12251")</f>
        <v>http://dx.doi.org/10.1111/1365-2435.12251</v>
      </c>
      <c r="AM1661" s="5">
        <v>17</v>
      </c>
      <c r="AN1661" s="5">
        <v>17</v>
      </c>
      <c r="AO1661" s="5">
        <v>28</v>
      </c>
      <c r="AP1661" s="5">
        <v>5</v>
      </c>
      <c r="AQ1661" s="5">
        <v>1107</v>
      </c>
      <c r="AR1661" s="5">
        <v>1116</v>
      </c>
      <c r="AS1661" s="5" t="s">
        <v>16</v>
      </c>
      <c r="AT1661" s="5" t="s">
        <v>9980</v>
      </c>
      <c r="AU1661" s="5" t="s">
        <v>9981</v>
      </c>
      <c r="AV1661" s="5" t="s">
        <v>9983</v>
      </c>
    </row>
    <row r="1662" spans="1:48" ht="45" customHeight="1" x14ac:dyDescent="0.15">
      <c r="A1662" s="5" t="s">
        <v>9984</v>
      </c>
      <c r="B1662" s="5">
        <v>2015</v>
      </c>
      <c r="C1662" s="5" t="s">
        <v>9985</v>
      </c>
      <c r="D1662" s="5" t="s">
        <v>2087</v>
      </c>
      <c r="E1662" s="5" t="s">
        <v>18453</v>
      </c>
      <c r="F1662" s="5" t="s">
        <v>9988</v>
      </c>
      <c r="G1662" s="5"/>
      <c r="H1662" s="5"/>
      <c r="I1662" s="5"/>
      <c r="J1662" s="5"/>
      <c r="K1662" s="5"/>
      <c r="L1662" s="5"/>
      <c r="M1662" s="5"/>
      <c r="N1662" s="5"/>
      <c r="O1662" s="5"/>
      <c r="P1662" s="5"/>
      <c r="Q1662" s="5"/>
      <c r="AL1662" s="7" t="str">
        <f>HYPERLINK("http://dx.doi.org/10.1002/eco.1523","http://dx.doi.org/10.1002/eco.1523")</f>
        <v>http://dx.doi.org/10.1002/eco.1523</v>
      </c>
      <c r="AM1662" s="5">
        <v>75</v>
      </c>
      <c r="AN1662" s="5">
        <v>78</v>
      </c>
      <c r="AO1662" s="5">
        <v>8</v>
      </c>
      <c r="AP1662" s="5">
        <v>4</v>
      </c>
      <c r="AQ1662" s="5">
        <v>538</v>
      </c>
      <c r="AR1662" s="5">
        <v>551</v>
      </c>
      <c r="AS1662" s="5" t="s">
        <v>16</v>
      </c>
      <c r="AT1662" s="5" t="s">
        <v>9986</v>
      </c>
      <c r="AU1662" s="5" t="s">
        <v>9987</v>
      </c>
      <c r="AV1662" s="5" t="s">
        <v>9989</v>
      </c>
    </row>
    <row r="1663" spans="1:48" ht="45" customHeight="1" x14ac:dyDescent="0.15">
      <c r="A1663" s="5" t="s">
        <v>9990</v>
      </c>
      <c r="B1663" s="5">
        <v>2014</v>
      </c>
      <c r="C1663" s="5" t="s">
        <v>9991</v>
      </c>
      <c r="D1663" s="5" t="s">
        <v>27</v>
      </c>
      <c r="E1663" s="5" t="s">
        <v>18453</v>
      </c>
      <c r="F1663" s="5" t="s">
        <v>9994</v>
      </c>
      <c r="G1663" s="5"/>
      <c r="H1663" s="5"/>
      <c r="I1663" s="5"/>
      <c r="J1663" s="5"/>
      <c r="K1663" s="5"/>
      <c r="L1663" s="5"/>
      <c r="M1663" s="5"/>
      <c r="N1663" s="5"/>
      <c r="O1663" s="5"/>
      <c r="P1663" s="5"/>
      <c r="Q1663" s="5"/>
      <c r="AL1663" s="7" t="str">
        <f>HYPERLINK("http://dx.doi.org/10.1890/13-1141.1","http://dx.doi.org/10.1890/13-1141.1")</f>
        <v>http://dx.doi.org/10.1890/13-1141.1</v>
      </c>
      <c r="AM1663" s="5">
        <v>49</v>
      </c>
      <c r="AN1663" s="5">
        <v>49</v>
      </c>
      <c r="AO1663" s="5">
        <v>95</v>
      </c>
      <c r="AP1663" s="5">
        <v>6</v>
      </c>
      <c r="AQ1663" s="5">
        <v>1506</v>
      </c>
      <c r="AR1663" s="5">
        <v>1519</v>
      </c>
      <c r="AS1663" s="5" t="s">
        <v>16</v>
      </c>
      <c r="AT1663" s="5" t="s">
        <v>9992</v>
      </c>
      <c r="AU1663" s="5" t="s">
        <v>9993</v>
      </c>
      <c r="AV1663" s="5" t="s">
        <v>9995</v>
      </c>
    </row>
    <row r="1664" spans="1:48" ht="45" customHeight="1" x14ac:dyDescent="0.15">
      <c r="A1664" s="5" t="s">
        <v>9996</v>
      </c>
      <c r="B1664" s="5">
        <v>2008</v>
      </c>
      <c r="C1664" s="5" t="s">
        <v>9997</v>
      </c>
      <c r="D1664" s="5" t="s">
        <v>172</v>
      </c>
      <c r="E1664" s="5" t="s">
        <v>18453</v>
      </c>
      <c r="F1664" s="5" t="s">
        <v>10000</v>
      </c>
      <c r="G1664" s="5"/>
      <c r="H1664" s="5"/>
      <c r="I1664" s="5"/>
      <c r="J1664" s="5"/>
      <c r="K1664" s="5"/>
      <c r="L1664" s="5"/>
      <c r="M1664" s="5"/>
      <c r="N1664" s="5"/>
      <c r="O1664" s="5"/>
      <c r="P1664" s="5"/>
      <c r="Q1664" s="5"/>
      <c r="AL1664" s="7" t="str">
        <f>HYPERLINK("http://dx.doi.org/10.1007/s00442-007-0916-7","http://dx.doi.org/10.1007/s00442-007-0916-7")</f>
        <v>http://dx.doi.org/10.1007/s00442-007-0916-7</v>
      </c>
      <c r="AM1664" s="5">
        <v>32</v>
      </c>
      <c r="AN1664" s="5">
        <v>35</v>
      </c>
      <c r="AO1664" s="5">
        <v>155</v>
      </c>
      <c r="AP1664" s="5">
        <v>2</v>
      </c>
      <c r="AQ1664" s="5">
        <v>337</v>
      </c>
      <c r="AR1664" s="5">
        <v>345</v>
      </c>
      <c r="AS1664" s="5" t="s">
        <v>16</v>
      </c>
      <c r="AT1664" s="5" t="s">
        <v>9998</v>
      </c>
      <c r="AU1664" s="5" t="s">
        <v>9999</v>
      </c>
      <c r="AV1664" s="5" t="s">
        <v>10001</v>
      </c>
    </row>
    <row r="1665" spans="1:48" ht="45" customHeight="1" x14ac:dyDescent="0.15">
      <c r="A1665" s="5" t="s">
        <v>10002</v>
      </c>
      <c r="B1665" s="5">
        <v>2002</v>
      </c>
      <c r="C1665" s="5" t="s">
        <v>10003</v>
      </c>
      <c r="D1665" s="5" t="s">
        <v>33</v>
      </c>
      <c r="E1665" s="5" t="s">
        <v>18453</v>
      </c>
      <c r="F1665" s="5" t="s">
        <v>10006</v>
      </c>
      <c r="G1665" s="5"/>
      <c r="H1665" s="5"/>
      <c r="I1665" s="5"/>
      <c r="J1665" s="5"/>
      <c r="K1665" s="5"/>
      <c r="L1665" s="5"/>
      <c r="M1665" s="5"/>
      <c r="N1665" s="5"/>
      <c r="O1665" s="5"/>
      <c r="P1665" s="5"/>
      <c r="Q1665" s="5"/>
      <c r="AL1665" s="7" t="str">
        <f>HYPERLINK("http://dx.doi.org/10.1046/j.1365-2486.2002.00425.x","http://dx.doi.org/10.1046/j.1365-2486.2002.00425.x")</f>
        <v>http://dx.doi.org/10.1046/j.1365-2486.2002.00425.x</v>
      </c>
      <c r="AM1665" s="5">
        <v>139</v>
      </c>
      <c r="AN1665" s="5">
        <v>154</v>
      </c>
      <c r="AO1665" s="5">
        <v>8</v>
      </c>
      <c r="AP1665" s="5">
        <v>1</v>
      </c>
      <c r="AQ1665" s="5">
        <v>33</v>
      </c>
      <c r="AR1665" s="5">
        <v>50</v>
      </c>
      <c r="AS1665" s="5" t="s">
        <v>16</v>
      </c>
      <c r="AT1665" s="5" t="s">
        <v>10004</v>
      </c>
      <c r="AU1665" s="5" t="s">
        <v>10005</v>
      </c>
      <c r="AV1665" s="5" t="s">
        <v>10007</v>
      </c>
    </row>
    <row r="1666" spans="1:48" ht="45" customHeight="1" x14ac:dyDescent="0.15">
      <c r="A1666" s="5" t="s">
        <v>10008</v>
      </c>
      <c r="B1666" s="5">
        <v>2015</v>
      </c>
      <c r="C1666" s="5" t="s">
        <v>10009</v>
      </c>
      <c r="D1666" s="5" t="s">
        <v>6380</v>
      </c>
      <c r="E1666" s="5" t="s">
        <v>18453</v>
      </c>
      <c r="F1666" s="5" t="s">
        <v>10011</v>
      </c>
      <c r="G1666" s="5"/>
      <c r="H1666" s="5"/>
      <c r="I1666" s="5"/>
      <c r="J1666" s="5"/>
      <c r="K1666" s="5"/>
      <c r="L1666" s="5"/>
      <c r="M1666" s="5"/>
      <c r="N1666" s="5"/>
      <c r="O1666" s="5"/>
      <c r="P1666" s="5"/>
      <c r="Q1666" s="5"/>
      <c r="AL1666" s="7" t="str">
        <f>HYPERLINK("http://dx.doi.org/10.1017/pab.2015.9","http://dx.doi.org/10.1017/pab.2015.9")</f>
        <v>http://dx.doi.org/10.1017/pab.2015.9</v>
      </c>
      <c r="AM1666" s="5">
        <v>17</v>
      </c>
      <c r="AN1666" s="5">
        <v>17</v>
      </c>
      <c r="AO1666" s="5">
        <v>41</v>
      </c>
      <c r="AP1666" s="5">
        <v>3</v>
      </c>
      <c r="AQ1666" s="5">
        <v>387</v>
      </c>
      <c r="AR1666" s="5">
        <v>401</v>
      </c>
      <c r="AS1666" s="5" t="s">
        <v>16</v>
      </c>
      <c r="AT1666" s="5" t="s">
        <v>16</v>
      </c>
      <c r="AU1666" s="5" t="s">
        <v>10010</v>
      </c>
      <c r="AV1666" s="5" t="s">
        <v>10012</v>
      </c>
    </row>
    <row r="1667" spans="1:48" ht="45" customHeight="1" x14ac:dyDescent="0.15">
      <c r="A1667" s="5" t="s">
        <v>10013</v>
      </c>
      <c r="B1667" s="5">
        <v>2010</v>
      </c>
      <c r="C1667" s="5" t="s">
        <v>10014</v>
      </c>
      <c r="D1667" s="5" t="s">
        <v>116</v>
      </c>
      <c r="E1667" s="5" t="s">
        <v>18453</v>
      </c>
      <c r="F1667" s="5" t="s">
        <v>10017</v>
      </c>
      <c r="G1667" s="5"/>
      <c r="H1667" s="5"/>
      <c r="I1667" s="5"/>
      <c r="J1667" s="5"/>
      <c r="K1667" s="5"/>
      <c r="L1667" s="5"/>
      <c r="M1667" s="5"/>
      <c r="N1667" s="5"/>
      <c r="O1667" s="5"/>
      <c r="P1667" s="5"/>
      <c r="Q1667" s="5"/>
      <c r="AL1667" s="7" t="str">
        <f>HYPERLINK("http://dx.doi.org/10.1007/s10641-010-9689-7","http://dx.doi.org/10.1007/s10641-010-9689-7")</f>
        <v>http://dx.doi.org/10.1007/s10641-010-9689-7</v>
      </c>
      <c r="AM1667" s="5">
        <v>30</v>
      </c>
      <c r="AN1667" s="5">
        <v>31</v>
      </c>
      <c r="AO1667" s="5">
        <v>89</v>
      </c>
      <c r="AP1667" s="5" t="s">
        <v>639</v>
      </c>
      <c r="AQ1667" s="5">
        <v>521</v>
      </c>
      <c r="AR1667" s="5">
        <v>532</v>
      </c>
      <c r="AS1667" s="5" t="s">
        <v>16</v>
      </c>
      <c r="AT1667" s="5" t="s">
        <v>10015</v>
      </c>
      <c r="AU1667" s="5" t="s">
        <v>10016</v>
      </c>
      <c r="AV1667" s="5" t="s">
        <v>10018</v>
      </c>
    </row>
    <row r="1668" spans="1:48" ht="45" customHeight="1" x14ac:dyDescent="0.15">
      <c r="A1668" s="5" t="s">
        <v>10019</v>
      </c>
      <c r="B1668" s="5">
        <v>1999</v>
      </c>
      <c r="C1668" s="5" t="s">
        <v>10020</v>
      </c>
      <c r="D1668" s="5" t="s">
        <v>49</v>
      </c>
      <c r="E1668" s="5" t="s">
        <v>18453</v>
      </c>
      <c r="F1668" s="5" t="s">
        <v>10023</v>
      </c>
      <c r="G1668" s="5"/>
      <c r="H1668" s="5"/>
      <c r="I1668" s="5"/>
      <c r="J1668" s="5"/>
      <c r="K1668" s="5"/>
      <c r="L1668" s="5"/>
      <c r="M1668" s="5"/>
      <c r="N1668" s="5"/>
      <c r="O1668" s="5"/>
      <c r="P1668" s="5"/>
      <c r="Q1668" s="5"/>
      <c r="AL1668" s="7" t="str">
        <f>HYPERLINK("http://dx.doi.org/10.3354/meps191257","http://dx.doi.org/10.3354/meps191257")</f>
        <v>http://dx.doi.org/10.3354/meps191257</v>
      </c>
      <c r="AM1668" s="5">
        <v>18</v>
      </c>
      <c r="AN1668" s="5">
        <v>19</v>
      </c>
      <c r="AO1668" s="5">
        <v>191</v>
      </c>
      <c r="AP1668" s="5" t="s">
        <v>16</v>
      </c>
      <c r="AQ1668" s="5">
        <v>257</v>
      </c>
      <c r="AR1668" s="5">
        <v>266</v>
      </c>
      <c r="AS1668" s="5" t="s">
        <v>16</v>
      </c>
      <c r="AT1668" s="5" t="s">
        <v>10021</v>
      </c>
      <c r="AU1668" s="5" t="s">
        <v>10022</v>
      </c>
      <c r="AV1668" s="5" t="s">
        <v>10024</v>
      </c>
    </row>
    <row r="1669" spans="1:48" ht="45" customHeight="1" x14ac:dyDescent="0.15">
      <c r="A1669" s="5" t="s">
        <v>10025</v>
      </c>
      <c r="B1669" s="5">
        <v>2016</v>
      </c>
      <c r="C1669" s="5" t="s">
        <v>10026</v>
      </c>
      <c r="D1669" s="5" t="s">
        <v>49</v>
      </c>
      <c r="E1669" s="5" t="s">
        <v>18453</v>
      </c>
      <c r="F1669" s="5" t="s">
        <v>10029</v>
      </c>
      <c r="G1669" s="5"/>
      <c r="H1669" s="5"/>
      <c r="I1669" s="5"/>
      <c r="J1669" s="5"/>
      <c r="K1669" s="5"/>
      <c r="L1669" s="5"/>
      <c r="M1669" s="5"/>
      <c r="N1669" s="5"/>
      <c r="O1669" s="5"/>
      <c r="P1669" s="5"/>
      <c r="Q1669" s="5"/>
      <c r="AL1669" s="7" t="str">
        <f>HYPERLINK("http://dx.doi.org/10.3354/meps11709","http://dx.doi.org/10.3354/meps11709")</f>
        <v>http://dx.doi.org/10.3354/meps11709</v>
      </c>
      <c r="AM1669" s="5">
        <v>21</v>
      </c>
      <c r="AN1669" s="5">
        <v>21</v>
      </c>
      <c r="AO1669" s="5">
        <v>549</v>
      </c>
      <c r="AP1669" s="5" t="s">
        <v>16</v>
      </c>
      <c r="AQ1669" s="5">
        <v>153</v>
      </c>
      <c r="AR1669" s="5">
        <v>166</v>
      </c>
      <c r="AS1669" s="5" t="s">
        <v>16</v>
      </c>
      <c r="AT1669" s="5" t="s">
        <v>10027</v>
      </c>
      <c r="AU1669" s="5" t="s">
        <v>10028</v>
      </c>
      <c r="AV1669" s="5" t="s">
        <v>10030</v>
      </c>
    </row>
    <row r="1670" spans="1:48" ht="45" customHeight="1" x14ac:dyDescent="0.15">
      <c r="A1670" s="5" t="s">
        <v>10031</v>
      </c>
      <c r="B1670" s="5">
        <v>2021</v>
      </c>
      <c r="C1670" s="5" t="s">
        <v>10032</v>
      </c>
      <c r="D1670" s="5" t="s">
        <v>312</v>
      </c>
      <c r="E1670" s="5" t="s">
        <v>18453</v>
      </c>
      <c r="F1670" s="5" t="s">
        <v>10035</v>
      </c>
      <c r="G1670" s="5"/>
      <c r="H1670" s="5"/>
      <c r="I1670" s="5"/>
      <c r="J1670" s="5"/>
      <c r="K1670" s="5"/>
      <c r="L1670" s="5"/>
      <c r="M1670" s="5"/>
      <c r="N1670" s="5"/>
      <c r="O1670" s="5"/>
      <c r="P1670" s="5"/>
      <c r="Q1670" s="5"/>
      <c r="AL1670" s="7" t="str">
        <f>HYPERLINK("http://dx.doi.org/10.1016/j.ecolmodel.2021.109794","http://dx.doi.org/10.1016/j.ecolmodel.2021.109794")</f>
        <v>http://dx.doi.org/10.1016/j.ecolmodel.2021.109794</v>
      </c>
      <c r="AM1670" s="5">
        <v>25</v>
      </c>
      <c r="AN1670" s="5">
        <v>25</v>
      </c>
      <c r="AO1670" s="5">
        <v>462</v>
      </c>
      <c r="AP1670" s="5" t="s">
        <v>16</v>
      </c>
      <c r="AQ1670" s="5" t="s">
        <v>16</v>
      </c>
      <c r="AR1670" s="5" t="s">
        <v>16</v>
      </c>
      <c r="AS1670" s="5">
        <v>109794</v>
      </c>
      <c r="AT1670" s="5" t="s">
        <v>10033</v>
      </c>
      <c r="AU1670" s="5" t="s">
        <v>10034</v>
      </c>
      <c r="AV1670" s="5" t="s">
        <v>10036</v>
      </c>
    </row>
    <row r="1671" spans="1:48" ht="45" customHeight="1" x14ac:dyDescent="0.15">
      <c r="A1671" s="5" t="s">
        <v>10037</v>
      </c>
      <c r="B1671" s="5">
        <v>2018</v>
      </c>
      <c r="C1671" s="5" t="s">
        <v>10038</v>
      </c>
      <c r="D1671" s="5" t="s">
        <v>2437</v>
      </c>
      <c r="E1671" s="5" t="s">
        <v>18453</v>
      </c>
      <c r="F1671" s="5" t="s">
        <v>10041</v>
      </c>
      <c r="G1671" s="5"/>
      <c r="H1671" s="5"/>
      <c r="I1671" s="5"/>
      <c r="J1671" s="5"/>
      <c r="K1671" s="5"/>
      <c r="L1671" s="5"/>
      <c r="M1671" s="5"/>
      <c r="N1671" s="5"/>
      <c r="O1671" s="5"/>
      <c r="P1671" s="5"/>
      <c r="Q1671" s="5"/>
      <c r="AL1671" s="7" t="str">
        <f>HYPERLINK("http://dx.doi.org/10.1002/ecm.1280","http://dx.doi.org/10.1002/ecm.1280")</f>
        <v>http://dx.doi.org/10.1002/ecm.1280</v>
      </c>
      <c r="AM1671" s="5">
        <v>56</v>
      </c>
      <c r="AN1671" s="5">
        <v>57</v>
      </c>
      <c r="AO1671" s="5">
        <v>88</v>
      </c>
      <c r="AP1671" s="5">
        <v>1</v>
      </c>
      <c r="AQ1671" s="5">
        <v>120</v>
      </c>
      <c r="AR1671" s="5">
        <v>138</v>
      </c>
      <c r="AS1671" s="5" t="s">
        <v>16</v>
      </c>
      <c r="AT1671" s="5" t="s">
        <v>10039</v>
      </c>
      <c r="AU1671" s="5" t="s">
        <v>10040</v>
      </c>
      <c r="AV1671" s="5" t="s">
        <v>10042</v>
      </c>
    </row>
    <row r="1672" spans="1:48" ht="45" customHeight="1" x14ac:dyDescent="0.15">
      <c r="A1672" s="5" t="s">
        <v>10043</v>
      </c>
      <c r="B1672" s="5">
        <v>2016</v>
      </c>
      <c r="C1672" s="5" t="s">
        <v>10044</v>
      </c>
      <c r="D1672" s="5" t="s">
        <v>15</v>
      </c>
      <c r="E1672" s="5" t="s">
        <v>18453</v>
      </c>
      <c r="F1672" s="5" t="s">
        <v>10047</v>
      </c>
      <c r="G1672" s="5"/>
      <c r="H1672" s="5"/>
      <c r="I1672" s="5"/>
      <c r="J1672" s="5"/>
      <c r="K1672" s="5"/>
      <c r="L1672" s="5"/>
      <c r="M1672" s="5"/>
      <c r="N1672" s="5"/>
      <c r="O1672" s="5"/>
      <c r="P1672" s="5"/>
      <c r="Q1672" s="5"/>
      <c r="AL1672" s="7" t="str">
        <f>HYPERLINK("http://dx.doi.org/10.1002/ece3.2173","http://dx.doi.org/10.1002/ece3.2173")</f>
        <v>http://dx.doi.org/10.1002/ece3.2173</v>
      </c>
      <c r="AM1672" s="5">
        <v>26</v>
      </c>
      <c r="AN1672" s="5">
        <v>26</v>
      </c>
      <c r="AO1672" s="5">
        <v>6</v>
      </c>
      <c r="AP1672" s="5">
        <v>16</v>
      </c>
      <c r="AQ1672" s="5">
        <v>6005</v>
      </c>
      <c r="AR1672" s="5">
        <v>6018</v>
      </c>
      <c r="AS1672" s="5" t="s">
        <v>16</v>
      </c>
      <c r="AT1672" s="5" t="s">
        <v>10045</v>
      </c>
      <c r="AU1672" s="5" t="s">
        <v>10046</v>
      </c>
      <c r="AV1672" s="5" t="s">
        <v>10048</v>
      </c>
    </row>
    <row r="1673" spans="1:48" ht="45" customHeight="1" x14ac:dyDescent="0.15">
      <c r="A1673" s="5" t="s">
        <v>10049</v>
      </c>
      <c r="B1673" s="5">
        <v>2005</v>
      </c>
      <c r="C1673" s="5" t="s">
        <v>10050</v>
      </c>
      <c r="D1673" s="5" t="s">
        <v>33</v>
      </c>
      <c r="E1673" s="5" t="s">
        <v>18453</v>
      </c>
      <c r="F1673" s="5" t="s">
        <v>10053</v>
      </c>
      <c r="G1673" s="5"/>
      <c r="H1673" s="5"/>
      <c r="I1673" s="5"/>
      <c r="J1673" s="5"/>
      <c r="K1673" s="5"/>
      <c r="L1673" s="5"/>
      <c r="M1673" s="5"/>
      <c r="N1673" s="5"/>
      <c r="O1673" s="5"/>
      <c r="P1673" s="5"/>
      <c r="Q1673" s="5"/>
      <c r="AL1673" s="7" t="str">
        <f>HYPERLINK("http://dx.doi.org/10.1111/j.1365-2486.2005.00984.x","http://dx.doi.org/10.1111/j.1365-2486.2005.00984.x")</f>
        <v>http://dx.doi.org/10.1111/j.1365-2486.2005.00984.x</v>
      </c>
      <c r="AM1673" s="5">
        <v>67</v>
      </c>
      <c r="AN1673" s="5">
        <v>71</v>
      </c>
      <c r="AO1673" s="5">
        <v>11</v>
      </c>
      <c r="AP1673" s="5">
        <v>8</v>
      </c>
      <c r="AQ1673" s="5">
        <v>1258</v>
      </c>
      <c r="AR1673" s="5">
        <v>1271</v>
      </c>
      <c r="AS1673" s="5" t="s">
        <v>16</v>
      </c>
      <c r="AT1673" s="5" t="s">
        <v>10051</v>
      </c>
      <c r="AU1673" s="5" t="s">
        <v>10052</v>
      </c>
      <c r="AV1673" s="5" t="s">
        <v>10054</v>
      </c>
    </row>
    <row r="1674" spans="1:48" ht="45" customHeight="1" x14ac:dyDescent="0.15">
      <c r="A1674" s="5" t="s">
        <v>10055</v>
      </c>
      <c r="B1674" s="5">
        <v>2019</v>
      </c>
      <c r="C1674" s="5" t="s">
        <v>10056</v>
      </c>
      <c r="D1674" s="5" t="s">
        <v>49</v>
      </c>
      <c r="E1674" s="5" t="s">
        <v>18453</v>
      </c>
      <c r="F1674" s="5" t="s">
        <v>10059</v>
      </c>
      <c r="G1674" s="5"/>
      <c r="H1674" s="5"/>
      <c r="I1674" s="5"/>
      <c r="J1674" s="5"/>
      <c r="K1674" s="5"/>
      <c r="L1674" s="5"/>
      <c r="M1674" s="5"/>
      <c r="N1674" s="5"/>
      <c r="O1674" s="5"/>
      <c r="P1674" s="5"/>
      <c r="Q1674" s="5"/>
      <c r="AL1674" s="7" t="str">
        <f>HYPERLINK("http://dx.doi.org/10.3354/meps12990","http://dx.doi.org/10.3354/meps12990")</f>
        <v>http://dx.doi.org/10.3354/meps12990</v>
      </c>
      <c r="AM1674" s="5">
        <v>2</v>
      </c>
      <c r="AN1674" s="5">
        <v>3</v>
      </c>
      <c r="AO1674" s="5">
        <v>621</v>
      </c>
      <c r="AP1674" s="5" t="s">
        <v>16</v>
      </c>
      <c r="AQ1674" s="5">
        <v>143</v>
      </c>
      <c r="AR1674" s="5">
        <v>154</v>
      </c>
      <c r="AS1674" s="5" t="s">
        <v>16</v>
      </c>
      <c r="AT1674" s="5" t="s">
        <v>10057</v>
      </c>
      <c r="AU1674" s="5" t="s">
        <v>10058</v>
      </c>
      <c r="AV1674" s="5" t="s">
        <v>10060</v>
      </c>
    </row>
    <row r="1675" spans="1:48" ht="45" customHeight="1" x14ac:dyDescent="0.15">
      <c r="A1675" s="5" t="s">
        <v>10061</v>
      </c>
      <c r="B1675" s="5">
        <v>2019</v>
      </c>
      <c r="C1675" s="5" t="s">
        <v>10062</v>
      </c>
      <c r="D1675" s="5" t="s">
        <v>49</v>
      </c>
      <c r="E1675" s="5" t="s">
        <v>18453</v>
      </c>
      <c r="F1675" s="5" t="s">
        <v>10065</v>
      </c>
      <c r="G1675" s="5"/>
      <c r="H1675" s="5"/>
      <c r="I1675" s="5"/>
      <c r="J1675" s="5"/>
      <c r="K1675" s="5"/>
      <c r="L1675" s="5"/>
      <c r="M1675" s="5"/>
      <c r="N1675" s="5"/>
      <c r="O1675" s="5"/>
      <c r="P1675" s="5"/>
      <c r="Q1675" s="5"/>
      <c r="AL1675" s="7" t="str">
        <f>HYPERLINK("http://dx.doi.org/10.3354/meps12884","http://dx.doi.org/10.3354/meps12884")</f>
        <v>http://dx.doi.org/10.3354/meps12884</v>
      </c>
      <c r="AM1675" s="5">
        <v>24</v>
      </c>
      <c r="AN1675" s="5">
        <v>24</v>
      </c>
      <c r="AO1675" s="5">
        <v>613</v>
      </c>
      <c r="AP1675" s="5" t="s">
        <v>16</v>
      </c>
      <c r="AQ1675" s="5">
        <v>107</v>
      </c>
      <c r="AR1675" s="5">
        <v>124</v>
      </c>
      <c r="AS1675" s="5" t="s">
        <v>16</v>
      </c>
      <c r="AT1675" s="5" t="s">
        <v>10063</v>
      </c>
      <c r="AU1675" s="5" t="s">
        <v>10064</v>
      </c>
      <c r="AV1675" s="5" t="s">
        <v>10066</v>
      </c>
    </row>
    <row r="1676" spans="1:48" ht="45" customHeight="1" x14ac:dyDescent="0.15">
      <c r="A1676" s="5" t="s">
        <v>10067</v>
      </c>
      <c r="B1676" s="5">
        <v>2020</v>
      </c>
      <c r="C1676" s="5" t="s">
        <v>10068</v>
      </c>
      <c r="D1676" s="5" t="s">
        <v>124</v>
      </c>
      <c r="E1676" s="5" t="s">
        <v>18453</v>
      </c>
      <c r="F1676" s="5" t="s">
        <v>10071</v>
      </c>
      <c r="G1676" s="5"/>
      <c r="H1676" s="5"/>
      <c r="I1676" s="5"/>
      <c r="J1676" s="5"/>
      <c r="K1676" s="5"/>
      <c r="L1676" s="5"/>
      <c r="M1676" s="5"/>
      <c r="N1676" s="5"/>
      <c r="O1676" s="5"/>
      <c r="P1676" s="5"/>
      <c r="Q1676" s="5"/>
      <c r="AL1676" s="7" t="str">
        <f>HYPERLINK("http://dx.doi.org/10.1086/710040","http://dx.doi.org/10.1086/710040")</f>
        <v>http://dx.doi.org/10.1086/710040</v>
      </c>
      <c r="AM1676" s="5">
        <v>3</v>
      </c>
      <c r="AN1676" s="5">
        <v>3</v>
      </c>
      <c r="AO1676" s="5">
        <v>196</v>
      </c>
      <c r="AP1676" s="5">
        <v>3</v>
      </c>
      <c r="AQ1676" s="5">
        <v>369</v>
      </c>
      <c r="AR1676" s="5">
        <v>381</v>
      </c>
      <c r="AS1676" s="5" t="s">
        <v>16</v>
      </c>
      <c r="AT1676" s="5" t="s">
        <v>10069</v>
      </c>
      <c r="AU1676" s="5" t="s">
        <v>10070</v>
      </c>
      <c r="AV1676" s="5" t="s">
        <v>10072</v>
      </c>
    </row>
    <row r="1677" spans="1:48" ht="45" customHeight="1" x14ac:dyDescent="0.15">
      <c r="A1677" s="5" t="s">
        <v>10073</v>
      </c>
      <c r="B1677" s="5">
        <v>2009</v>
      </c>
      <c r="C1677" s="5" t="s">
        <v>10074</v>
      </c>
      <c r="D1677" s="5" t="s">
        <v>269</v>
      </c>
      <c r="E1677" s="5" t="s">
        <v>18453</v>
      </c>
      <c r="F1677" s="5" t="s">
        <v>10076</v>
      </c>
      <c r="G1677" s="5"/>
      <c r="H1677" s="5"/>
      <c r="I1677" s="5"/>
      <c r="J1677" s="5"/>
      <c r="K1677" s="5"/>
      <c r="L1677" s="5"/>
      <c r="M1677" s="5"/>
      <c r="N1677" s="5"/>
      <c r="O1677" s="5"/>
      <c r="P1677" s="5"/>
      <c r="Q1677" s="5"/>
      <c r="AL1677" s="7" t="str">
        <f>HYPERLINK("http://dx.doi.org/10.1080/14634980903354767","http://dx.doi.org/10.1080/14634980903354767")</f>
        <v>http://dx.doi.org/10.1080/14634980903354767</v>
      </c>
      <c r="AM1677" s="5">
        <v>0</v>
      </c>
      <c r="AN1677" s="5">
        <v>0</v>
      </c>
      <c r="AO1677" s="5">
        <v>12</v>
      </c>
      <c r="AP1677" s="5">
        <v>4</v>
      </c>
      <c r="AQ1677" s="5">
        <v>409</v>
      </c>
      <c r="AR1677" s="5">
        <v>417</v>
      </c>
      <c r="AS1677" s="5" t="s">
        <v>16</v>
      </c>
      <c r="AT1677" s="5" t="s">
        <v>10075</v>
      </c>
      <c r="AU1677" s="5" t="s">
        <v>16</v>
      </c>
      <c r="AV1677" s="5" t="s">
        <v>10077</v>
      </c>
    </row>
    <row r="1678" spans="1:48" ht="45" customHeight="1" x14ac:dyDescent="0.15">
      <c r="A1678" s="5" t="s">
        <v>10078</v>
      </c>
      <c r="B1678" s="5">
        <v>2014</v>
      </c>
      <c r="C1678" s="5" t="s">
        <v>10079</v>
      </c>
      <c r="D1678" s="5" t="s">
        <v>17</v>
      </c>
      <c r="E1678" s="5" t="s">
        <v>18453</v>
      </c>
      <c r="F1678" s="5" t="s">
        <v>10082</v>
      </c>
      <c r="G1678" s="5"/>
      <c r="H1678" s="5"/>
      <c r="I1678" s="5"/>
      <c r="J1678" s="5"/>
      <c r="K1678" s="5"/>
      <c r="L1678" s="5"/>
      <c r="M1678" s="5"/>
      <c r="N1678" s="5"/>
      <c r="O1678" s="5"/>
      <c r="P1678" s="5"/>
      <c r="Q1678" s="5"/>
      <c r="AL1678" s="7" t="str">
        <f>HYPERLINK("http://dx.doi.org/10.1111/fwb.12263","http://dx.doi.org/10.1111/fwb.12263")</f>
        <v>http://dx.doi.org/10.1111/fwb.12263</v>
      </c>
      <c r="AM1678" s="5">
        <v>29</v>
      </c>
      <c r="AN1678" s="5">
        <v>30</v>
      </c>
      <c r="AO1678" s="5">
        <v>59</v>
      </c>
      <c r="AP1678" s="5">
        <v>2</v>
      </c>
      <c r="AQ1678" s="5">
        <v>272</v>
      </c>
      <c r="AR1678" s="5">
        <v>285</v>
      </c>
      <c r="AS1678" s="5" t="s">
        <v>16</v>
      </c>
      <c r="AT1678" s="5" t="s">
        <v>10080</v>
      </c>
      <c r="AU1678" s="5" t="s">
        <v>10081</v>
      </c>
      <c r="AV1678" s="5" t="s">
        <v>10083</v>
      </c>
    </row>
    <row r="1679" spans="1:48" ht="45" customHeight="1" x14ac:dyDescent="0.15">
      <c r="A1679" s="5" t="s">
        <v>10084</v>
      </c>
      <c r="B1679" s="5">
        <v>2019</v>
      </c>
      <c r="C1679" s="5" t="s">
        <v>10085</v>
      </c>
      <c r="D1679" s="5" t="s">
        <v>49</v>
      </c>
      <c r="E1679" s="5" t="s">
        <v>18453</v>
      </c>
      <c r="F1679" s="5" t="s">
        <v>10088</v>
      </c>
      <c r="G1679" s="5"/>
      <c r="H1679" s="5"/>
      <c r="I1679" s="5"/>
      <c r="J1679" s="5"/>
      <c r="K1679" s="5"/>
      <c r="L1679" s="5"/>
      <c r="M1679" s="5"/>
      <c r="N1679" s="5"/>
      <c r="O1679" s="5"/>
      <c r="P1679" s="5"/>
      <c r="Q1679" s="5"/>
      <c r="AL1679" s="7" t="str">
        <f>HYPERLINK("http://dx.doi.org/10.3354/meps13131","http://dx.doi.org/10.3354/meps13131")</f>
        <v>http://dx.doi.org/10.3354/meps13131</v>
      </c>
      <c r="AM1679" s="5">
        <v>6</v>
      </c>
      <c r="AN1679" s="5">
        <v>6</v>
      </c>
      <c r="AO1679" s="5">
        <v>632</v>
      </c>
      <c r="AP1679" s="5" t="s">
        <v>16</v>
      </c>
      <c r="AQ1679" s="5">
        <v>13</v>
      </c>
      <c r="AR1679" s="5">
        <v>25</v>
      </c>
      <c r="AS1679" s="5" t="s">
        <v>16</v>
      </c>
      <c r="AT1679" s="5" t="s">
        <v>10086</v>
      </c>
      <c r="AU1679" s="5" t="s">
        <v>10087</v>
      </c>
      <c r="AV1679" s="5" t="s">
        <v>10089</v>
      </c>
    </row>
    <row r="1680" spans="1:48" ht="45" customHeight="1" x14ac:dyDescent="0.15">
      <c r="A1680" s="5" t="s">
        <v>10090</v>
      </c>
      <c r="B1680" s="5">
        <v>2022</v>
      </c>
      <c r="C1680" s="5" t="s">
        <v>10091</v>
      </c>
      <c r="D1680" s="5" t="s">
        <v>44</v>
      </c>
      <c r="E1680" s="5" t="s">
        <v>18453</v>
      </c>
      <c r="F1680" s="5" t="s">
        <v>10094</v>
      </c>
      <c r="G1680" s="5"/>
      <c r="H1680" s="5"/>
      <c r="I1680" s="5"/>
      <c r="J1680" s="5"/>
      <c r="K1680" s="5"/>
      <c r="L1680" s="5"/>
      <c r="M1680" s="5"/>
      <c r="N1680" s="5"/>
      <c r="O1680" s="5"/>
      <c r="P1680" s="5"/>
      <c r="Q1680" s="5"/>
      <c r="AL1680" s="7" t="str">
        <f>HYPERLINK("http://dx.doi.org/10.3389/fevo.2021.816557","http://dx.doi.org/10.3389/fevo.2021.816557")</f>
        <v>http://dx.doi.org/10.3389/fevo.2021.816557</v>
      </c>
      <c r="AM1680" s="5">
        <v>0</v>
      </c>
      <c r="AN1680" s="5">
        <v>0</v>
      </c>
      <c r="AO1680" s="5">
        <v>9</v>
      </c>
      <c r="AP1680" s="5" t="s">
        <v>16</v>
      </c>
      <c r="AQ1680" s="5" t="s">
        <v>16</v>
      </c>
      <c r="AR1680" s="5" t="s">
        <v>16</v>
      </c>
      <c r="AS1680" s="5">
        <v>816557</v>
      </c>
      <c r="AT1680" s="5" t="s">
        <v>10092</v>
      </c>
      <c r="AU1680" s="5" t="s">
        <v>10093</v>
      </c>
      <c r="AV1680" s="5" t="s">
        <v>10095</v>
      </c>
    </row>
    <row r="1681" spans="1:48" ht="45" customHeight="1" x14ac:dyDescent="0.15">
      <c r="A1681" s="5" t="s">
        <v>10096</v>
      </c>
      <c r="B1681" s="5">
        <v>2019</v>
      </c>
      <c r="C1681" s="5" t="s">
        <v>10097</v>
      </c>
      <c r="D1681" s="5" t="s">
        <v>15</v>
      </c>
      <c r="E1681" s="5" t="s">
        <v>18453</v>
      </c>
      <c r="F1681" s="5" t="s">
        <v>10100</v>
      </c>
      <c r="G1681" s="5"/>
      <c r="H1681" s="5"/>
      <c r="I1681" s="5"/>
      <c r="J1681" s="5"/>
      <c r="K1681" s="5"/>
      <c r="L1681" s="5"/>
      <c r="M1681" s="5"/>
      <c r="N1681" s="5"/>
      <c r="O1681" s="5"/>
      <c r="P1681" s="5"/>
      <c r="Q1681" s="5"/>
      <c r="AL1681" s="7" t="str">
        <f>HYPERLINK("http://dx.doi.org/10.1002/ece3.5058","http://dx.doi.org/10.1002/ece3.5058")</f>
        <v>http://dx.doi.org/10.1002/ece3.5058</v>
      </c>
      <c r="AM1681" s="5">
        <v>8</v>
      </c>
      <c r="AN1681" s="5">
        <v>8</v>
      </c>
      <c r="AO1681" s="5">
        <v>9</v>
      </c>
      <c r="AP1681" s="5">
        <v>7</v>
      </c>
      <c r="AQ1681" s="5">
        <v>4264</v>
      </c>
      <c r="AR1681" s="5">
        <v>4274</v>
      </c>
      <c r="AS1681" s="5" t="s">
        <v>16</v>
      </c>
      <c r="AT1681" s="5" t="s">
        <v>10098</v>
      </c>
      <c r="AU1681" s="5" t="s">
        <v>10099</v>
      </c>
      <c r="AV1681" s="5" t="s">
        <v>10101</v>
      </c>
    </row>
    <row r="1682" spans="1:48" ht="45" customHeight="1" x14ac:dyDescent="0.15">
      <c r="A1682" s="5" t="s">
        <v>10102</v>
      </c>
      <c r="B1682" s="5">
        <v>2020</v>
      </c>
      <c r="C1682" s="5" t="s">
        <v>10103</v>
      </c>
      <c r="D1682" s="5" t="s">
        <v>6309</v>
      </c>
      <c r="E1682" s="5" t="s">
        <v>18453</v>
      </c>
      <c r="F1682" s="5" t="s">
        <v>10106</v>
      </c>
      <c r="G1682" s="5"/>
      <c r="H1682" s="5"/>
      <c r="I1682" s="5"/>
      <c r="J1682" s="5"/>
      <c r="K1682" s="5"/>
      <c r="L1682" s="5"/>
      <c r="M1682" s="5"/>
      <c r="N1682" s="5"/>
      <c r="O1682" s="5"/>
      <c r="P1682" s="5"/>
      <c r="Q1682" s="5"/>
      <c r="AL1682" s="7" t="str">
        <f>HYPERLINK("http://dx.doi.org/10.1007/s11252-020-00927-1","http://dx.doi.org/10.1007/s11252-020-00927-1")</f>
        <v>http://dx.doi.org/10.1007/s11252-020-00927-1</v>
      </c>
      <c r="AM1682" s="5">
        <v>20</v>
      </c>
      <c r="AN1682" s="5">
        <v>22</v>
      </c>
      <c r="AO1682" s="5">
        <v>23</v>
      </c>
      <c r="AP1682" s="5">
        <v>3</v>
      </c>
      <c r="AQ1682" s="5">
        <v>457</v>
      </c>
      <c r="AR1682" s="5">
        <v>470</v>
      </c>
      <c r="AS1682" s="5" t="s">
        <v>16</v>
      </c>
      <c r="AT1682" s="5" t="s">
        <v>10104</v>
      </c>
      <c r="AU1682" s="5" t="s">
        <v>10105</v>
      </c>
      <c r="AV1682" s="5" t="s">
        <v>10107</v>
      </c>
    </row>
    <row r="1683" spans="1:48" ht="45" customHeight="1" x14ac:dyDescent="0.15">
      <c r="A1683" s="5" t="s">
        <v>10108</v>
      </c>
      <c r="B1683" s="5">
        <v>2020</v>
      </c>
      <c r="C1683" s="5" t="s">
        <v>10109</v>
      </c>
      <c r="D1683" s="5" t="s">
        <v>10110</v>
      </c>
      <c r="E1683" s="5" t="s">
        <v>18453</v>
      </c>
      <c r="F1683" s="5" t="s">
        <v>10113</v>
      </c>
      <c r="G1683" s="5"/>
      <c r="H1683" s="5"/>
      <c r="I1683" s="5"/>
      <c r="J1683" s="5"/>
      <c r="K1683" s="5"/>
      <c r="L1683" s="5"/>
      <c r="M1683" s="5"/>
      <c r="N1683" s="5"/>
      <c r="O1683" s="5"/>
      <c r="P1683" s="5"/>
      <c r="Q1683" s="5"/>
      <c r="AL1683" s="7" t="str">
        <f>HYPERLINK("http://dx.doi.org/10.1017/S0030605319001388","http://dx.doi.org/10.1017/S0030605319001388")</f>
        <v>http://dx.doi.org/10.1017/S0030605319001388</v>
      </c>
      <c r="AM1683" s="5">
        <v>10</v>
      </c>
      <c r="AN1683" s="5">
        <v>10</v>
      </c>
      <c r="AO1683" s="5">
        <v>54</v>
      </c>
      <c r="AP1683" s="5">
        <v>6</v>
      </c>
      <c r="AQ1683" s="5">
        <v>803</v>
      </c>
      <c r="AR1683" s="5">
        <v>813</v>
      </c>
      <c r="AS1683" s="5" t="s">
        <v>10114</v>
      </c>
      <c r="AT1683" s="5" t="s">
        <v>10111</v>
      </c>
      <c r="AU1683" s="5" t="s">
        <v>10112</v>
      </c>
      <c r="AV1683" s="5" t="s">
        <v>10115</v>
      </c>
    </row>
    <row r="1684" spans="1:48" ht="45" customHeight="1" x14ac:dyDescent="0.15">
      <c r="A1684" s="5" t="s">
        <v>10116</v>
      </c>
      <c r="B1684" s="5">
        <v>1994</v>
      </c>
      <c r="C1684" s="5" t="s">
        <v>10117</v>
      </c>
      <c r="D1684" s="5" t="s">
        <v>116</v>
      </c>
      <c r="E1684" s="5" t="s">
        <v>18453</v>
      </c>
      <c r="F1684" s="5" t="s">
        <v>10120</v>
      </c>
      <c r="G1684" s="5"/>
      <c r="H1684" s="5"/>
      <c r="I1684" s="5"/>
      <c r="J1684" s="5"/>
      <c r="K1684" s="5"/>
      <c r="L1684" s="5"/>
      <c r="M1684" s="5"/>
      <c r="N1684" s="5"/>
      <c r="O1684" s="5"/>
      <c r="P1684" s="5"/>
      <c r="Q1684" s="5"/>
      <c r="AL1684" s="7" t="str">
        <f>HYPERLINK("http://dx.doi.org/10.1007/BF00002543","http://dx.doi.org/10.1007/BF00002543")</f>
        <v>http://dx.doi.org/10.1007/BF00002543</v>
      </c>
      <c r="AM1684" s="5">
        <v>26</v>
      </c>
      <c r="AN1684" s="5">
        <v>29</v>
      </c>
      <c r="AO1684" s="5">
        <v>40</v>
      </c>
      <c r="AP1684" s="5">
        <v>2</v>
      </c>
      <c r="AQ1684" s="5">
        <v>159</v>
      </c>
      <c r="AR1684" s="5">
        <v>174</v>
      </c>
      <c r="AS1684" s="5" t="s">
        <v>16</v>
      </c>
      <c r="AT1684" s="5" t="s">
        <v>10118</v>
      </c>
      <c r="AU1684" s="5" t="s">
        <v>10119</v>
      </c>
      <c r="AV1684" s="5" t="s">
        <v>10121</v>
      </c>
    </row>
    <row r="1685" spans="1:48" ht="45" customHeight="1" x14ac:dyDescent="0.15">
      <c r="A1685" s="5" t="s">
        <v>10122</v>
      </c>
      <c r="B1685" s="5">
        <v>2008</v>
      </c>
      <c r="C1685" s="5" t="s">
        <v>10123</v>
      </c>
      <c r="D1685" s="5" t="s">
        <v>1765</v>
      </c>
      <c r="E1685" s="5" t="s">
        <v>18453</v>
      </c>
      <c r="F1685" s="5" t="s">
        <v>10126</v>
      </c>
      <c r="G1685" s="5"/>
      <c r="H1685" s="5"/>
      <c r="I1685" s="5"/>
      <c r="J1685" s="5"/>
      <c r="K1685" s="5"/>
      <c r="L1685" s="5"/>
      <c r="M1685" s="5"/>
      <c r="N1685" s="5"/>
      <c r="O1685" s="5"/>
      <c r="P1685" s="5"/>
      <c r="Q1685" s="5"/>
      <c r="AL1685" s="7" t="str">
        <f>HYPERLINK("http://dx.doi.org/10.1016/j.agee.2008.04.012","http://dx.doi.org/10.1016/j.agee.2008.04.012")</f>
        <v>http://dx.doi.org/10.1016/j.agee.2008.04.012</v>
      </c>
      <c r="AM1685" s="5">
        <v>48</v>
      </c>
      <c r="AN1685" s="5">
        <v>49</v>
      </c>
      <c r="AO1685" s="5">
        <v>127</v>
      </c>
      <c r="AP1685" s="5" t="s">
        <v>639</v>
      </c>
      <c r="AQ1685" s="5">
        <v>265</v>
      </c>
      <c r="AR1685" s="5">
        <v>272</v>
      </c>
      <c r="AS1685" s="5" t="s">
        <v>16</v>
      </c>
      <c r="AT1685" s="5" t="s">
        <v>10124</v>
      </c>
      <c r="AU1685" s="5" t="s">
        <v>10125</v>
      </c>
      <c r="AV1685" s="5" t="s">
        <v>10127</v>
      </c>
    </row>
    <row r="1686" spans="1:48" ht="45" customHeight="1" x14ac:dyDescent="0.15">
      <c r="A1686" s="5" t="s">
        <v>10128</v>
      </c>
      <c r="B1686" s="5">
        <v>2017</v>
      </c>
      <c r="C1686" s="5" t="s">
        <v>10129</v>
      </c>
      <c r="D1686" s="5" t="s">
        <v>3980</v>
      </c>
      <c r="E1686" s="5" t="s">
        <v>18453</v>
      </c>
      <c r="F1686" s="5" t="s">
        <v>10132</v>
      </c>
      <c r="G1686" s="5"/>
      <c r="H1686" s="5"/>
      <c r="I1686" s="5"/>
      <c r="J1686" s="5"/>
      <c r="K1686" s="5"/>
      <c r="L1686" s="5"/>
      <c r="M1686" s="5"/>
      <c r="N1686" s="5"/>
      <c r="O1686" s="5"/>
      <c r="P1686" s="5"/>
      <c r="Q1686" s="5"/>
      <c r="AL1686" s="7" t="str">
        <f>HYPERLINK("http://dx.doi.org/10.1111/btp.12466","http://dx.doi.org/10.1111/btp.12466")</f>
        <v>http://dx.doi.org/10.1111/btp.12466</v>
      </c>
      <c r="AM1686" s="5">
        <v>1</v>
      </c>
      <c r="AN1686" s="5">
        <v>1</v>
      </c>
      <c r="AO1686" s="5">
        <v>49</v>
      </c>
      <c r="AP1686" s="5">
        <v>6</v>
      </c>
      <c r="AQ1686" s="5">
        <v>811</v>
      </c>
      <c r="AR1686" s="5">
        <v>820</v>
      </c>
      <c r="AS1686" s="5" t="s">
        <v>16</v>
      </c>
      <c r="AT1686" s="5" t="s">
        <v>10130</v>
      </c>
      <c r="AU1686" s="5" t="s">
        <v>10131</v>
      </c>
      <c r="AV1686" s="5" t="s">
        <v>10133</v>
      </c>
    </row>
    <row r="1687" spans="1:48" ht="45" customHeight="1" x14ac:dyDescent="0.15">
      <c r="A1687" s="5" t="s">
        <v>10134</v>
      </c>
      <c r="B1687" s="5">
        <v>2015</v>
      </c>
      <c r="C1687" s="5" t="s">
        <v>10135</v>
      </c>
      <c r="D1687" s="5" t="s">
        <v>77</v>
      </c>
      <c r="E1687" s="5" t="s">
        <v>18453</v>
      </c>
      <c r="F1687" s="5" t="s">
        <v>10138</v>
      </c>
      <c r="G1687" s="5"/>
      <c r="H1687" s="5"/>
      <c r="I1687" s="5"/>
      <c r="J1687" s="5"/>
      <c r="K1687" s="5"/>
      <c r="L1687" s="5"/>
      <c r="M1687" s="5"/>
      <c r="N1687" s="5"/>
      <c r="O1687" s="5"/>
      <c r="P1687" s="5"/>
      <c r="Q1687" s="5"/>
      <c r="AL1687" s="7" t="str">
        <f>HYPERLINK("http://dx.doi.org/10.1111/1365-2656.12317","http://dx.doi.org/10.1111/1365-2656.12317")</f>
        <v>http://dx.doi.org/10.1111/1365-2656.12317</v>
      </c>
      <c r="AM1687" s="5">
        <v>20</v>
      </c>
      <c r="AN1687" s="5">
        <v>21</v>
      </c>
      <c r="AO1687" s="5">
        <v>84</v>
      </c>
      <c r="AP1687" s="5">
        <v>3</v>
      </c>
      <c r="AQ1687" s="5">
        <v>723</v>
      </c>
      <c r="AR1687" s="5">
        <v>733</v>
      </c>
      <c r="AS1687" s="5" t="s">
        <v>16</v>
      </c>
      <c r="AT1687" s="5" t="s">
        <v>10136</v>
      </c>
      <c r="AU1687" s="5" t="s">
        <v>10137</v>
      </c>
      <c r="AV1687" s="5" t="s">
        <v>10139</v>
      </c>
    </row>
    <row r="1688" spans="1:48" ht="45" customHeight="1" x14ac:dyDescent="0.15">
      <c r="A1688" s="5" t="s">
        <v>10140</v>
      </c>
      <c r="B1688" s="5">
        <v>2019</v>
      </c>
      <c r="C1688" s="5" t="s">
        <v>10141</v>
      </c>
      <c r="D1688" s="5" t="s">
        <v>6328</v>
      </c>
      <c r="E1688" s="5" t="s">
        <v>18453</v>
      </c>
      <c r="F1688" s="5" t="s">
        <v>10144</v>
      </c>
      <c r="G1688" s="5"/>
      <c r="H1688" s="5"/>
      <c r="I1688" s="5"/>
      <c r="J1688" s="5"/>
      <c r="K1688" s="5"/>
      <c r="L1688" s="5"/>
      <c r="M1688" s="5"/>
      <c r="N1688" s="5"/>
      <c r="O1688" s="5"/>
      <c r="P1688" s="5"/>
      <c r="Q1688" s="5"/>
      <c r="AL1688" s="7" t="str">
        <f>HYPERLINK("http://dx.doi.org/10.15666/aeer/1701_271284","http://dx.doi.org/10.15666/aeer/1701_271284")</f>
        <v>http://dx.doi.org/10.15666/aeer/1701_271284</v>
      </c>
      <c r="AM1688" s="5">
        <v>1</v>
      </c>
      <c r="AN1688" s="5">
        <v>1</v>
      </c>
      <c r="AO1688" s="5">
        <v>17</v>
      </c>
      <c r="AP1688" s="5">
        <v>1</v>
      </c>
      <c r="AQ1688" s="5">
        <v>271</v>
      </c>
      <c r="AR1688" s="5">
        <v>284</v>
      </c>
      <c r="AS1688" s="5" t="s">
        <v>16</v>
      </c>
      <c r="AT1688" s="5" t="s">
        <v>10142</v>
      </c>
      <c r="AU1688" s="5" t="s">
        <v>10143</v>
      </c>
      <c r="AV1688" s="5" t="s">
        <v>10145</v>
      </c>
    </row>
    <row r="1689" spans="1:48" ht="45" customHeight="1" x14ac:dyDescent="0.15">
      <c r="A1689" s="5" t="s">
        <v>10146</v>
      </c>
      <c r="B1689" s="5">
        <v>2021</v>
      </c>
      <c r="C1689" s="5" t="s">
        <v>10147</v>
      </c>
      <c r="D1689" s="5" t="s">
        <v>383</v>
      </c>
      <c r="E1689" s="5" t="s">
        <v>18453</v>
      </c>
      <c r="F1689" s="5" t="s">
        <v>10149</v>
      </c>
      <c r="G1689" s="5"/>
      <c r="H1689" s="5"/>
      <c r="I1689" s="5"/>
      <c r="J1689" s="5"/>
      <c r="K1689" s="5"/>
      <c r="L1689" s="5"/>
      <c r="M1689" s="5"/>
      <c r="N1689" s="5"/>
      <c r="O1689" s="5"/>
      <c r="P1689" s="5"/>
      <c r="Q1689" s="5"/>
      <c r="AL1689" s="7" t="str">
        <f>HYPERLINK("http://dx.doi.org/10.1111/1440-1703.12208","http://dx.doi.org/10.1111/1440-1703.12208")</f>
        <v>http://dx.doi.org/10.1111/1440-1703.12208</v>
      </c>
      <c r="AM1689" s="5">
        <v>4</v>
      </c>
      <c r="AN1689" s="5">
        <v>4</v>
      </c>
      <c r="AO1689" s="5">
        <v>36</v>
      </c>
      <c r="AP1689" s="5">
        <v>3</v>
      </c>
      <c r="AQ1689" s="5">
        <v>420</v>
      </c>
      <c r="AR1689" s="5">
        <v>429</v>
      </c>
      <c r="AS1689" s="5" t="s">
        <v>16</v>
      </c>
      <c r="AT1689" s="5" t="s">
        <v>10148</v>
      </c>
      <c r="AU1689" s="5" t="s">
        <v>16</v>
      </c>
      <c r="AV1689" s="5" t="s">
        <v>10150</v>
      </c>
    </row>
    <row r="1690" spans="1:48" ht="45" customHeight="1" x14ac:dyDescent="0.15">
      <c r="A1690" s="5" t="s">
        <v>10151</v>
      </c>
      <c r="B1690" s="5">
        <v>2019</v>
      </c>
      <c r="C1690" s="5" t="s">
        <v>10152</v>
      </c>
      <c r="D1690" s="5" t="s">
        <v>1419</v>
      </c>
      <c r="E1690" s="5" t="s">
        <v>18453</v>
      </c>
      <c r="F1690" s="5" t="s">
        <v>10155</v>
      </c>
      <c r="G1690" s="5"/>
      <c r="H1690" s="5"/>
      <c r="I1690" s="5"/>
      <c r="J1690" s="5"/>
      <c r="K1690" s="5"/>
      <c r="L1690" s="5"/>
      <c r="M1690" s="5"/>
      <c r="N1690" s="5"/>
      <c r="O1690" s="5"/>
      <c r="P1690" s="5"/>
      <c r="Q1690" s="5"/>
      <c r="AL1690" s="7" t="str">
        <f>HYPERLINK("http://dx.doi.org/10.1016/j.fooweb.2019.e00124","http://dx.doi.org/10.1016/j.fooweb.2019.e00124")</f>
        <v>http://dx.doi.org/10.1016/j.fooweb.2019.e00124</v>
      </c>
      <c r="AM1690" s="5">
        <v>7</v>
      </c>
      <c r="AN1690" s="5">
        <v>7</v>
      </c>
      <c r="AO1690" s="5">
        <v>21</v>
      </c>
      <c r="AP1690" s="5" t="s">
        <v>16</v>
      </c>
      <c r="AQ1690" s="5" t="s">
        <v>16</v>
      </c>
      <c r="AR1690" s="5" t="s">
        <v>16</v>
      </c>
      <c r="AS1690" s="5" t="s">
        <v>10156</v>
      </c>
      <c r="AT1690" s="5" t="s">
        <v>10153</v>
      </c>
      <c r="AU1690" s="5" t="s">
        <v>10154</v>
      </c>
      <c r="AV1690" s="5" t="s">
        <v>10157</v>
      </c>
    </row>
    <row r="1691" spans="1:48" ht="45" customHeight="1" x14ac:dyDescent="0.15">
      <c r="A1691" s="5" t="s">
        <v>10158</v>
      </c>
      <c r="B1691" s="5">
        <v>2011</v>
      </c>
      <c r="C1691" s="5" t="s">
        <v>10159</v>
      </c>
      <c r="D1691" s="5" t="s">
        <v>33</v>
      </c>
      <c r="E1691" s="5" t="s">
        <v>18453</v>
      </c>
      <c r="F1691" s="5" t="s">
        <v>10162</v>
      </c>
      <c r="G1691" s="5"/>
      <c r="H1691" s="5"/>
      <c r="I1691" s="5"/>
      <c r="J1691" s="5"/>
      <c r="K1691" s="5"/>
      <c r="L1691" s="5"/>
      <c r="M1691" s="5"/>
      <c r="N1691" s="5"/>
      <c r="O1691" s="5"/>
      <c r="P1691" s="5"/>
      <c r="Q1691" s="5"/>
      <c r="AL1691" s="7" t="str">
        <f>HYPERLINK("http://dx.doi.org/10.1111/j.1365-2486.2010.02373.x","http://dx.doi.org/10.1111/j.1365-2486.2010.02373.x")</f>
        <v>http://dx.doi.org/10.1111/j.1365-2486.2010.02373.x</v>
      </c>
      <c r="AM1691" s="5">
        <v>161</v>
      </c>
      <c r="AN1691" s="5">
        <v>166</v>
      </c>
      <c r="AO1691" s="5">
        <v>17</v>
      </c>
      <c r="AP1691" s="5">
        <v>6</v>
      </c>
      <c r="AQ1691" s="5">
        <v>2095</v>
      </c>
      <c r="AR1691" s="5">
        <v>2112</v>
      </c>
      <c r="AS1691" s="5" t="s">
        <v>16</v>
      </c>
      <c r="AT1691" s="5" t="s">
        <v>10160</v>
      </c>
      <c r="AU1691" s="5" t="s">
        <v>10161</v>
      </c>
      <c r="AV1691" s="5" t="s">
        <v>10163</v>
      </c>
    </row>
    <row r="1692" spans="1:48" ht="45" customHeight="1" x14ac:dyDescent="0.15">
      <c r="A1692" s="5" t="s">
        <v>7369</v>
      </c>
      <c r="B1692" s="5">
        <v>2014</v>
      </c>
      <c r="C1692" s="5" t="s">
        <v>10164</v>
      </c>
      <c r="D1692" s="5" t="s">
        <v>212</v>
      </c>
      <c r="E1692" s="5" t="s">
        <v>18453</v>
      </c>
      <c r="F1692" s="5" t="s">
        <v>10167</v>
      </c>
      <c r="G1692" s="5"/>
      <c r="H1692" s="5"/>
      <c r="I1692" s="5"/>
      <c r="J1692" s="5"/>
      <c r="K1692" s="5"/>
      <c r="L1692" s="5"/>
      <c r="M1692" s="5"/>
      <c r="N1692" s="5"/>
      <c r="O1692" s="5"/>
      <c r="P1692" s="5"/>
      <c r="Q1692" s="5"/>
      <c r="AL1692" s="7" t="str">
        <f>HYPERLINK("http://dx.doi.org/10.1007/s00300-014-1460-7","http://dx.doi.org/10.1007/s00300-014-1460-7")</f>
        <v>http://dx.doi.org/10.1007/s00300-014-1460-7</v>
      </c>
      <c r="AM1692" s="5">
        <v>6</v>
      </c>
      <c r="AN1692" s="5">
        <v>6</v>
      </c>
      <c r="AO1692" s="5">
        <v>37</v>
      </c>
      <c r="AP1692" s="5">
        <v>5</v>
      </c>
      <c r="AQ1692" s="5">
        <v>597</v>
      </c>
      <c r="AR1692" s="5">
        <v>609</v>
      </c>
      <c r="AS1692" s="5" t="s">
        <v>16</v>
      </c>
      <c r="AT1692" s="5" t="s">
        <v>10165</v>
      </c>
      <c r="AU1692" s="5" t="s">
        <v>10166</v>
      </c>
      <c r="AV1692" s="5" t="s">
        <v>10168</v>
      </c>
    </row>
    <row r="1693" spans="1:48" ht="45" customHeight="1" x14ac:dyDescent="0.15">
      <c r="A1693" s="5" t="s">
        <v>10169</v>
      </c>
      <c r="B1693" s="5">
        <v>2003</v>
      </c>
      <c r="C1693" s="5" t="s">
        <v>10170</v>
      </c>
      <c r="D1693" s="5" t="s">
        <v>10171</v>
      </c>
      <c r="E1693" s="5" t="s">
        <v>18453</v>
      </c>
      <c r="F1693" s="5" t="s">
        <v>10174</v>
      </c>
      <c r="G1693" s="5"/>
      <c r="H1693" s="5"/>
      <c r="I1693" s="5"/>
      <c r="J1693" s="5"/>
      <c r="K1693" s="5"/>
      <c r="L1693" s="5"/>
      <c r="M1693" s="5"/>
      <c r="N1693" s="5"/>
      <c r="O1693" s="5"/>
      <c r="P1693" s="5"/>
      <c r="Q1693" s="5"/>
      <c r="AL1693" s="7" t="str">
        <f>HYPERLINK("http://dx.doi.org/10.2981/wlb.2003.032","http://dx.doi.org/10.2981/wlb.2003.032")</f>
        <v>http://dx.doi.org/10.2981/wlb.2003.032</v>
      </c>
      <c r="AM1693" s="5">
        <v>98</v>
      </c>
      <c r="AN1693" s="5">
        <v>104</v>
      </c>
      <c r="AO1693" s="5">
        <v>9</v>
      </c>
      <c r="AP1693" s="5">
        <v>2</v>
      </c>
      <c r="AQ1693" s="5">
        <v>103</v>
      </c>
      <c r="AR1693" s="5">
        <v>111</v>
      </c>
      <c r="AS1693" s="5" t="s">
        <v>16</v>
      </c>
      <c r="AT1693" s="5" t="s">
        <v>10172</v>
      </c>
      <c r="AU1693" s="5" t="s">
        <v>10173</v>
      </c>
      <c r="AV1693" s="5" t="s">
        <v>10175</v>
      </c>
    </row>
    <row r="1694" spans="1:48" ht="45" customHeight="1" x14ac:dyDescent="0.15">
      <c r="A1694" s="5" t="s">
        <v>10176</v>
      </c>
      <c r="B1694" s="5">
        <v>2020</v>
      </c>
      <c r="C1694" s="5" t="s">
        <v>10177</v>
      </c>
      <c r="D1694" s="5" t="s">
        <v>296</v>
      </c>
      <c r="E1694" s="5" t="s">
        <v>18453</v>
      </c>
      <c r="F1694" s="5" t="s">
        <v>10180</v>
      </c>
      <c r="G1694" s="5"/>
      <c r="H1694" s="5"/>
      <c r="I1694" s="5"/>
      <c r="J1694" s="5"/>
      <c r="K1694" s="5"/>
      <c r="L1694" s="5"/>
      <c r="M1694" s="5"/>
      <c r="N1694" s="5"/>
      <c r="O1694" s="5"/>
      <c r="P1694" s="5"/>
      <c r="Q1694" s="5"/>
      <c r="AL1694" s="7" t="str">
        <f>HYPERLINK("http://dx.doi.org/10.1098/rspb.2020.1544","http://dx.doi.org/10.1098/rspb.2020.1544")</f>
        <v>http://dx.doi.org/10.1098/rspb.2020.1544</v>
      </c>
      <c r="AM1694" s="5">
        <v>5</v>
      </c>
      <c r="AN1694" s="5">
        <v>5</v>
      </c>
      <c r="AO1694" s="5">
        <v>287</v>
      </c>
      <c r="AP1694" s="5">
        <v>1933</v>
      </c>
      <c r="AQ1694" s="5" t="s">
        <v>16</v>
      </c>
      <c r="AR1694" s="5" t="s">
        <v>16</v>
      </c>
      <c r="AS1694" s="5">
        <v>20201544</v>
      </c>
      <c r="AT1694" s="5" t="s">
        <v>10178</v>
      </c>
      <c r="AU1694" s="5" t="s">
        <v>10179</v>
      </c>
      <c r="AV1694" s="5" t="s">
        <v>10181</v>
      </c>
    </row>
    <row r="1695" spans="1:48" ht="45" customHeight="1" x14ac:dyDescent="0.15">
      <c r="A1695" s="5" t="s">
        <v>10182</v>
      </c>
      <c r="B1695" s="5">
        <v>2019</v>
      </c>
      <c r="C1695" s="5" t="s">
        <v>10183</v>
      </c>
      <c r="D1695" s="5" t="s">
        <v>49</v>
      </c>
      <c r="E1695" s="5" t="s">
        <v>18453</v>
      </c>
      <c r="F1695" s="5" t="s">
        <v>10186</v>
      </c>
      <c r="G1695" s="5"/>
      <c r="H1695" s="5"/>
      <c r="I1695" s="5"/>
      <c r="J1695" s="5"/>
      <c r="K1695" s="5"/>
      <c r="L1695" s="5"/>
      <c r="M1695" s="5"/>
      <c r="N1695" s="5"/>
      <c r="O1695" s="5"/>
      <c r="P1695" s="5"/>
      <c r="Q1695" s="5"/>
      <c r="AL1695" s="7" t="str">
        <f>HYPERLINK("http://dx.doi.org/10.3354/meps13048","http://dx.doi.org/10.3354/meps13048")</f>
        <v>http://dx.doi.org/10.3354/meps13048</v>
      </c>
      <c r="AM1695" s="5">
        <v>12</v>
      </c>
      <c r="AN1695" s="5">
        <v>14</v>
      </c>
      <c r="AO1695" s="5">
        <v>626</v>
      </c>
      <c r="AP1695" s="5" t="s">
        <v>16</v>
      </c>
      <c r="AQ1695" s="5">
        <v>177</v>
      </c>
      <c r="AR1695" s="5">
        <v>196</v>
      </c>
      <c r="AS1695" s="5" t="s">
        <v>16</v>
      </c>
      <c r="AT1695" s="5" t="s">
        <v>10184</v>
      </c>
      <c r="AU1695" s="5" t="s">
        <v>10185</v>
      </c>
      <c r="AV1695" s="5" t="s">
        <v>10187</v>
      </c>
    </row>
    <row r="1696" spans="1:48" ht="45" customHeight="1" x14ac:dyDescent="0.15">
      <c r="A1696" s="5" t="s">
        <v>10188</v>
      </c>
      <c r="B1696" s="5">
        <v>2016</v>
      </c>
      <c r="C1696" s="5" t="s">
        <v>10189</v>
      </c>
      <c r="D1696" s="5" t="s">
        <v>15</v>
      </c>
      <c r="E1696" s="5" t="s">
        <v>18453</v>
      </c>
      <c r="F1696" s="5" t="s">
        <v>10192</v>
      </c>
      <c r="G1696" s="5"/>
      <c r="H1696" s="5"/>
      <c r="I1696" s="5"/>
      <c r="J1696" s="5"/>
      <c r="K1696" s="5"/>
      <c r="L1696" s="5"/>
      <c r="M1696" s="5"/>
      <c r="N1696" s="5"/>
      <c r="O1696" s="5"/>
      <c r="P1696" s="5"/>
      <c r="Q1696" s="5"/>
      <c r="AL1696" s="7" t="str">
        <f>HYPERLINK("http://dx.doi.org/10.1002/ece3.2506","http://dx.doi.org/10.1002/ece3.2506")</f>
        <v>http://dx.doi.org/10.1002/ece3.2506</v>
      </c>
      <c r="AM1696" s="5">
        <v>13</v>
      </c>
      <c r="AN1696" s="5">
        <v>13</v>
      </c>
      <c r="AO1696" s="5">
        <v>6</v>
      </c>
      <c r="AP1696" s="5">
        <v>21</v>
      </c>
      <c r="AQ1696" s="5">
        <v>7727</v>
      </c>
      <c r="AR1696" s="5">
        <v>7741</v>
      </c>
      <c r="AS1696" s="5" t="s">
        <v>16</v>
      </c>
      <c r="AT1696" s="5" t="s">
        <v>10190</v>
      </c>
      <c r="AU1696" s="5" t="s">
        <v>10191</v>
      </c>
      <c r="AV1696" s="5" t="s">
        <v>10193</v>
      </c>
    </row>
    <row r="1697" spans="1:48" ht="45" customHeight="1" x14ac:dyDescent="0.15">
      <c r="A1697" s="5" t="s">
        <v>10194</v>
      </c>
      <c r="B1697" s="5">
        <v>2010</v>
      </c>
      <c r="C1697" s="5" t="s">
        <v>10195</v>
      </c>
      <c r="D1697" s="5" t="s">
        <v>33</v>
      </c>
      <c r="E1697" s="5" t="s">
        <v>18453</v>
      </c>
      <c r="F1697" s="5" t="s">
        <v>10198</v>
      </c>
      <c r="G1697" s="5"/>
      <c r="H1697" s="5"/>
      <c r="I1697" s="5"/>
      <c r="J1697" s="5"/>
      <c r="K1697" s="5"/>
      <c r="L1697" s="5"/>
      <c r="M1697" s="5"/>
      <c r="N1697" s="5"/>
      <c r="O1697" s="5"/>
      <c r="P1697" s="5"/>
      <c r="Q1697" s="5"/>
      <c r="AL1697" s="7" t="str">
        <f>HYPERLINK("http://dx.doi.org/10.1111/j.1365-2486.2009.01981.x","http://dx.doi.org/10.1111/j.1365-2486.2009.01981.x")</f>
        <v>http://dx.doi.org/10.1111/j.1365-2486.2009.01981.x</v>
      </c>
      <c r="AM1697" s="5">
        <v>79</v>
      </c>
      <c r="AN1697" s="5">
        <v>85</v>
      </c>
      <c r="AO1697" s="5">
        <v>16</v>
      </c>
      <c r="AP1697" s="5">
        <v>1</v>
      </c>
      <c r="AQ1697" s="5">
        <v>427</v>
      </c>
      <c r="AR1697" s="5">
        <v>438</v>
      </c>
      <c r="AS1697" s="5" t="s">
        <v>16</v>
      </c>
      <c r="AT1697" s="5" t="s">
        <v>10196</v>
      </c>
      <c r="AU1697" s="5" t="s">
        <v>10197</v>
      </c>
      <c r="AV1697" s="5" t="s">
        <v>10199</v>
      </c>
    </row>
    <row r="1698" spans="1:48" ht="45" customHeight="1" x14ac:dyDescent="0.15">
      <c r="A1698" s="5" t="s">
        <v>10200</v>
      </c>
      <c r="B1698" s="5">
        <v>2022</v>
      </c>
      <c r="C1698" s="5" t="s">
        <v>10201</v>
      </c>
      <c r="D1698" s="5" t="s">
        <v>159</v>
      </c>
      <c r="E1698" s="5" t="s">
        <v>18453</v>
      </c>
      <c r="F1698" s="5" t="s">
        <v>10204</v>
      </c>
      <c r="G1698" s="5"/>
      <c r="H1698" s="5"/>
      <c r="I1698" s="5"/>
      <c r="J1698" s="5"/>
      <c r="K1698" s="5"/>
      <c r="L1698" s="5"/>
      <c r="M1698" s="5"/>
      <c r="N1698" s="5"/>
      <c r="O1698" s="5"/>
      <c r="P1698" s="5"/>
      <c r="Q1698" s="5"/>
      <c r="AL1698" s="7" t="str">
        <f>HYPERLINK("http://dx.doi.org/10.3390/d14020061","http://dx.doi.org/10.3390/d14020061")</f>
        <v>http://dx.doi.org/10.3390/d14020061</v>
      </c>
      <c r="AM1698" s="5">
        <v>4</v>
      </c>
      <c r="AN1698" s="5">
        <v>4</v>
      </c>
      <c r="AO1698" s="5">
        <v>14</v>
      </c>
      <c r="AP1698" s="5">
        <v>2</v>
      </c>
      <c r="AQ1698" s="5" t="s">
        <v>16</v>
      </c>
      <c r="AR1698" s="5" t="s">
        <v>16</v>
      </c>
      <c r="AS1698" s="5">
        <v>61</v>
      </c>
      <c r="AT1698" s="5" t="s">
        <v>10202</v>
      </c>
      <c r="AU1698" s="5" t="s">
        <v>10203</v>
      </c>
      <c r="AV1698" s="5" t="s">
        <v>10205</v>
      </c>
    </row>
    <row r="1699" spans="1:48" ht="45" customHeight="1" x14ac:dyDescent="0.15">
      <c r="A1699" s="5" t="s">
        <v>10206</v>
      </c>
      <c r="B1699" s="5">
        <v>2020</v>
      </c>
      <c r="C1699" s="5" t="s">
        <v>10207</v>
      </c>
      <c r="D1699" s="5" t="s">
        <v>67</v>
      </c>
      <c r="E1699" s="5" t="s">
        <v>18453</v>
      </c>
      <c r="F1699" s="5" t="s">
        <v>10210</v>
      </c>
      <c r="G1699" s="5"/>
      <c r="H1699" s="5"/>
      <c r="I1699" s="5"/>
      <c r="J1699" s="5"/>
      <c r="K1699" s="5"/>
      <c r="L1699" s="5"/>
      <c r="M1699" s="5"/>
      <c r="N1699" s="5"/>
      <c r="O1699" s="5"/>
      <c r="P1699" s="5"/>
      <c r="Q1699" s="5"/>
      <c r="AL1699" s="7" t="str">
        <f>HYPERLINK("http://dx.doi.org/10.1111/jbi.13761","http://dx.doi.org/10.1111/jbi.13761")</f>
        <v>http://dx.doi.org/10.1111/jbi.13761</v>
      </c>
      <c r="AM1699" s="5">
        <v>17</v>
      </c>
      <c r="AN1699" s="5">
        <v>17</v>
      </c>
      <c r="AO1699" s="5">
        <v>47</v>
      </c>
      <c r="AP1699" s="5">
        <v>3</v>
      </c>
      <c r="AQ1699" s="5">
        <v>686</v>
      </c>
      <c r="AR1699" s="5">
        <v>697</v>
      </c>
      <c r="AS1699" s="5" t="s">
        <v>16</v>
      </c>
      <c r="AT1699" s="5" t="s">
        <v>10208</v>
      </c>
      <c r="AU1699" s="5" t="s">
        <v>10209</v>
      </c>
      <c r="AV1699" s="5" t="s">
        <v>10211</v>
      </c>
    </row>
    <row r="1700" spans="1:48" ht="45" customHeight="1" x14ac:dyDescent="0.15">
      <c r="A1700" s="5" t="s">
        <v>10212</v>
      </c>
      <c r="B1700" s="5">
        <v>2018</v>
      </c>
      <c r="C1700" s="5" t="s">
        <v>10213</v>
      </c>
      <c r="D1700" s="5" t="s">
        <v>15</v>
      </c>
      <c r="E1700" s="5" t="s">
        <v>18453</v>
      </c>
      <c r="F1700" s="5" t="s">
        <v>10216</v>
      </c>
      <c r="G1700" s="5"/>
      <c r="H1700" s="5"/>
      <c r="I1700" s="5"/>
      <c r="J1700" s="5"/>
      <c r="K1700" s="5"/>
      <c r="L1700" s="5"/>
      <c r="M1700" s="5"/>
      <c r="N1700" s="5"/>
      <c r="O1700" s="5"/>
      <c r="P1700" s="5"/>
      <c r="Q1700" s="5"/>
      <c r="AL1700" s="7" t="str">
        <f>HYPERLINK("http://dx.doi.org/10.1002/ece3.3791","http://dx.doi.org/10.1002/ece3.3791")</f>
        <v>http://dx.doi.org/10.1002/ece3.3791</v>
      </c>
      <c r="AM1700" s="5">
        <v>13</v>
      </c>
      <c r="AN1700" s="5">
        <v>15</v>
      </c>
      <c r="AO1700" s="5">
        <v>8</v>
      </c>
      <c r="AP1700" s="5">
        <v>3</v>
      </c>
      <c r="AQ1700" s="5">
        <v>1736</v>
      </c>
      <c r="AR1700" s="5">
        <v>1745</v>
      </c>
      <c r="AS1700" s="5" t="s">
        <v>16</v>
      </c>
      <c r="AT1700" s="5" t="s">
        <v>10214</v>
      </c>
      <c r="AU1700" s="5" t="s">
        <v>10215</v>
      </c>
      <c r="AV1700" s="5" t="s">
        <v>10217</v>
      </c>
    </row>
    <row r="1701" spans="1:48" ht="45" customHeight="1" x14ac:dyDescent="0.15">
      <c r="A1701" s="5" t="s">
        <v>10218</v>
      </c>
      <c r="B1701" s="5">
        <v>2018</v>
      </c>
      <c r="C1701" s="5" t="s">
        <v>10219</v>
      </c>
      <c r="D1701" s="5" t="s">
        <v>59</v>
      </c>
      <c r="E1701" s="5" t="s">
        <v>18453</v>
      </c>
      <c r="F1701" s="5" t="s">
        <v>10222</v>
      </c>
      <c r="G1701" s="5"/>
      <c r="H1701" s="5"/>
      <c r="I1701" s="5"/>
      <c r="J1701" s="5"/>
      <c r="K1701" s="5"/>
      <c r="L1701" s="5"/>
      <c r="M1701" s="5"/>
      <c r="N1701" s="5"/>
      <c r="O1701" s="5"/>
      <c r="P1701" s="5"/>
      <c r="Q1701" s="5"/>
      <c r="AL1701" s="7" t="str">
        <f>HYPERLINK("http://dx.doi.org/10.1111/ele.13147","http://dx.doi.org/10.1111/ele.13147")</f>
        <v>http://dx.doi.org/10.1111/ele.13147</v>
      </c>
      <c r="AM1701" s="5">
        <v>21</v>
      </c>
      <c r="AN1701" s="5">
        <v>22</v>
      </c>
      <c r="AO1701" s="5">
        <v>21</v>
      </c>
      <c r="AP1701" s="5">
        <v>12</v>
      </c>
      <c r="AQ1701" s="5">
        <v>1771</v>
      </c>
      <c r="AR1701" s="5">
        <v>1780</v>
      </c>
      <c r="AS1701" s="5" t="s">
        <v>16</v>
      </c>
      <c r="AT1701" s="5" t="s">
        <v>10220</v>
      </c>
      <c r="AU1701" s="5" t="s">
        <v>10221</v>
      </c>
      <c r="AV1701" s="5" t="s">
        <v>10223</v>
      </c>
    </row>
    <row r="1702" spans="1:48" ht="45" customHeight="1" x14ac:dyDescent="0.15">
      <c r="A1702" s="5" t="s">
        <v>10224</v>
      </c>
      <c r="B1702" s="5">
        <v>2010</v>
      </c>
      <c r="C1702" s="5" t="s">
        <v>10225</v>
      </c>
      <c r="D1702" s="5" t="s">
        <v>116</v>
      </c>
      <c r="E1702" s="5" t="s">
        <v>18453</v>
      </c>
      <c r="F1702" s="5" t="s">
        <v>10228</v>
      </c>
      <c r="G1702" s="5"/>
      <c r="H1702" s="5"/>
      <c r="I1702" s="5"/>
      <c r="J1702" s="5"/>
      <c r="K1702" s="5"/>
      <c r="L1702" s="5"/>
      <c r="M1702" s="5"/>
      <c r="N1702" s="5"/>
      <c r="O1702" s="5"/>
      <c r="P1702" s="5"/>
      <c r="Q1702" s="5"/>
      <c r="AL1702" s="7" t="str">
        <f>HYPERLINK("http://dx.doi.org/10.1007/s10641-010-9692-z","http://dx.doi.org/10.1007/s10641-010-9692-z")</f>
        <v>http://dx.doi.org/10.1007/s10641-010-9692-z</v>
      </c>
      <c r="AM1702" s="5">
        <v>55</v>
      </c>
      <c r="AN1702" s="5">
        <v>56</v>
      </c>
      <c r="AO1702" s="5">
        <v>89</v>
      </c>
      <c r="AP1702" s="5">
        <v>1</v>
      </c>
      <c r="AQ1702" s="5">
        <v>79</v>
      </c>
      <c r="AR1702" s="5">
        <v>93</v>
      </c>
      <c r="AS1702" s="5" t="s">
        <v>16</v>
      </c>
      <c r="AT1702" s="5" t="s">
        <v>10226</v>
      </c>
      <c r="AU1702" s="5" t="s">
        <v>10227</v>
      </c>
      <c r="AV1702" s="5" t="s">
        <v>10229</v>
      </c>
    </row>
    <row r="1703" spans="1:48" ht="45" customHeight="1" x14ac:dyDescent="0.15">
      <c r="A1703" s="5" t="s">
        <v>10230</v>
      </c>
      <c r="B1703" s="5">
        <v>2011</v>
      </c>
      <c r="C1703" s="5" t="s">
        <v>10231</v>
      </c>
      <c r="D1703" s="5" t="s">
        <v>82</v>
      </c>
      <c r="E1703" s="5" t="s">
        <v>18453</v>
      </c>
      <c r="F1703" s="5" t="s">
        <v>10234</v>
      </c>
      <c r="G1703" s="5"/>
      <c r="H1703" s="5"/>
      <c r="I1703" s="5"/>
      <c r="J1703" s="5"/>
      <c r="K1703" s="5"/>
      <c r="L1703" s="5"/>
      <c r="M1703" s="5"/>
      <c r="N1703" s="5"/>
      <c r="O1703" s="5"/>
      <c r="P1703" s="5"/>
      <c r="Q1703" s="5"/>
      <c r="AL1703" s="7" t="str">
        <f>HYPERLINK("http://dx.doi.org/10.1890/10-2076.1","http://dx.doi.org/10.1890/10-2076.1")</f>
        <v>http://dx.doi.org/10.1890/10-2076.1</v>
      </c>
      <c r="AM1703" s="5">
        <v>38</v>
      </c>
      <c r="AN1703" s="5">
        <v>39</v>
      </c>
      <c r="AO1703" s="5">
        <v>21</v>
      </c>
      <c r="AP1703" s="5">
        <v>7</v>
      </c>
      <c r="AQ1703" s="5">
        <v>2413</v>
      </c>
      <c r="AR1703" s="5">
        <v>2424</v>
      </c>
      <c r="AS1703" s="5" t="s">
        <v>16</v>
      </c>
      <c r="AT1703" s="5" t="s">
        <v>10232</v>
      </c>
      <c r="AU1703" s="5" t="s">
        <v>10233</v>
      </c>
      <c r="AV1703" s="5" t="s">
        <v>10235</v>
      </c>
    </row>
    <row r="1704" spans="1:48" ht="45" customHeight="1" x14ac:dyDescent="0.15">
      <c r="A1704" s="5" t="s">
        <v>10236</v>
      </c>
      <c r="B1704" s="5">
        <v>2002</v>
      </c>
      <c r="C1704" s="5" t="s">
        <v>10237</v>
      </c>
      <c r="D1704" s="5" t="s">
        <v>17</v>
      </c>
      <c r="E1704" s="5" t="s">
        <v>18453</v>
      </c>
      <c r="F1704" s="5" t="s">
        <v>10240</v>
      </c>
      <c r="G1704" s="5"/>
      <c r="H1704" s="5"/>
      <c r="I1704" s="5"/>
      <c r="J1704" s="5"/>
      <c r="K1704" s="5"/>
      <c r="L1704" s="5"/>
      <c r="M1704" s="5"/>
      <c r="N1704" s="5"/>
      <c r="O1704" s="5"/>
      <c r="P1704" s="5"/>
      <c r="Q1704" s="5"/>
      <c r="AL1704" s="7" t="str">
        <f>HYPERLINK("http://dx.doi.org/10.1046/j.1365-2427.2002.01002.x","http://dx.doi.org/10.1046/j.1365-2427.2002.01002.x")</f>
        <v>http://dx.doi.org/10.1046/j.1365-2427.2002.01002.x</v>
      </c>
      <c r="AM1704" s="5">
        <v>43</v>
      </c>
      <c r="AN1704" s="5">
        <v>43</v>
      </c>
      <c r="AO1704" s="5">
        <v>47</v>
      </c>
      <c r="AP1704" s="5">
        <v>12</v>
      </c>
      <c r="AQ1704" s="5">
        <v>2345</v>
      </c>
      <c r="AR1704" s="5">
        <v>2358</v>
      </c>
      <c r="AS1704" s="5" t="s">
        <v>16</v>
      </c>
      <c r="AT1704" s="5" t="s">
        <v>10238</v>
      </c>
      <c r="AU1704" s="5" t="s">
        <v>10239</v>
      </c>
      <c r="AV1704" s="5" t="s">
        <v>10241</v>
      </c>
    </row>
    <row r="1705" spans="1:48" ht="45" customHeight="1" x14ac:dyDescent="0.15">
      <c r="A1705" s="5" t="s">
        <v>10242</v>
      </c>
      <c r="B1705" s="5">
        <v>2006</v>
      </c>
      <c r="C1705" s="5" t="s">
        <v>10243</v>
      </c>
      <c r="D1705" s="5" t="s">
        <v>33</v>
      </c>
      <c r="E1705" s="5" t="s">
        <v>18453</v>
      </c>
      <c r="F1705" s="5" t="s">
        <v>10246</v>
      </c>
      <c r="G1705" s="5"/>
      <c r="H1705" s="5"/>
      <c r="I1705" s="5"/>
      <c r="J1705" s="5"/>
      <c r="K1705" s="5"/>
      <c r="L1705" s="5"/>
      <c r="M1705" s="5"/>
      <c r="N1705" s="5"/>
      <c r="O1705" s="5"/>
      <c r="P1705" s="5"/>
      <c r="Q1705" s="5"/>
      <c r="AL1705" s="7" t="str">
        <f>HYPERLINK("http://dx.doi.org/10.1111/j.1365-2486.2006.01133.x","http://dx.doi.org/10.1111/j.1365-2486.2006.01133.x")</f>
        <v>http://dx.doi.org/10.1111/j.1365-2486.2006.01133.x</v>
      </c>
      <c r="AM1705" s="5">
        <v>100</v>
      </c>
      <c r="AN1705" s="5">
        <v>105</v>
      </c>
      <c r="AO1705" s="5">
        <v>12</v>
      </c>
      <c r="AP1705" s="5">
        <v>5</v>
      </c>
      <c r="AQ1705" s="5">
        <v>848</v>
      </c>
      <c r="AR1705" s="5">
        <v>861</v>
      </c>
      <c r="AS1705" s="5" t="s">
        <v>16</v>
      </c>
      <c r="AT1705" s="5" t="s">
        <v>10244</v>
      </c>
      <c r="AU1705" s="5" t="s">
        <v>10245</v>
      </c>
      <c r="AV1705" s="5" t="s">
        <v>10247</v>
      </c>
    </row>
    <row r="1706" spans="1:48" ht="45" customHeight="1" x14ac:dyDescent="0.15">
      <c r="A1706" s="5" t="s">
        <v>10248</v>
      </c>
      <c r="B1706" s="5">
        <v>2022</v>
      </c>
      <c r="C1706" s="5" t="s">
        <v>10249</v>
      </c>
      <c r="D1706" s="5" t="s">
        <v>44</v>
      </c>
      <c r="E1706" s="5" t="s">
        <v>18453</v>
      </c>
      <c r="F1706" s="5" t="s">
        <v>10252</v>
      </c>
      <c r="G1706" s="5"/>
      <c r="H1706" s="5"/>
      <c r="I1706" s="5"/>
      <c r="J1706" s="5"/>
      <c r="K1706" s="5"/>
      <c r="L1706" s="5"/>
      <c r="M1706" s="5"/>
      <c r="N1706" s="5"/>
      <c r="O1706" s="5"/>
      <c r="P1706" s="5"/>
      <c r="Q1706" s="5"/>
      <c r="AL1706" s="7" t="str">
        <f>HYPERLINK("http://dx.doi.org/10.3389/fevo.2022.1059005","http://dx.doi.org/10.3389/fevo.2022.1059005")</f>
        <v>http://dx.doi.org/10.3389/fevo.2022.1059005</v>
      </c>
      <c r="AM1706" s="5">
        <v>1</v>
      </c>
      <c r="AN1706" s="5">
        <v>1</v>
      </c>
      <c r="AO1706" s="5">
        <v>10</v>
      </c>
      <c r="AP1706" s="5" t="s">
        <v>16</v>
      </c>
      <c r="AQ1706" s="5" t="s">
        <v>16</v>
      </c>
      <c r="AR1706" s="5" t="s">
        <v>16</v>
      </c>
      <c r="AS1706" s="5">
        <v>1059005</v>
      </c>
      <c r="AT1706" s="5" t="s">
        <v>10250</v>
      </c>
      <c r="AU1706" s="5" t="s">
        <v>10251</v>
      </c>
      <c r="AV1706" s="5" t="s">
        <v>10253</v>
      </c>
    </row>
    <row r="1707" spans="1:48" ht="45" customHeight="1" x14ac:dyDescent="0.15">
      <c r="A1707" s="5" t="s">
        <v>10254</v>
      </c>
      <c r="B1707" s="5">
        <v>2018</v>
      </c>
      <c r="C1707" s="5" t="s">
        <v>10255</v>
      </c>
      <c r="D1707" s="5" t="s">
        <v>49</v>
      </c>
      <c r="E1707" s="5" t="s">
        <v>18453</v>
      </c>
      <c r="F1707" s="5" t="s">
        <v>10258</v>
      </c>
      <c r="G1707" s="5"/>
      <c r="H1707" s="5"/>
      <c r="I1707" s="5"/>
      <c r="J1707" s="5"/>
      <c r="K1707" s="5"/>
      <c r="L1707" s="5"/>
      <c r="M1707" s="5"/>
      <c r="N1707" s="5"/>
      <c r="O1707" s="5"/>
      <c r="P1707" s="5"/>
      <c r="Q1707" s="5"/>
      <c r="AL1707" s="7" t="str">
        <f>HYPERLINK("http://dx.doi.org/10.3354/meps12372","http://dx.doi.org/10.3354/meps12372")</f>
        <v>http://dx.doi.org/10.3354/meps12372</v>
      </c>
      <c r="AM1707" s="5">
        <v>27</v>
      </c>
      <c r="AN1707" s="5">
        <v>28</v>
      </c>
      <c r="AO1707" s="5">
        <v>587</v>
      </c>
      <c r="AP1707" s="5" t="s">
        <v>16</v>
      </c>
      <c r="AQ1707" s="5">
        <v>217</v>
      </c>
      <c r="AR1707" s="5">
        <v>234</v>
      </c>
      <c r="AS1707" s="5" t="s">
        <v>16</v>
      </c>
      <c r="AT1707" s="5" t="s">
        <v>10256</v>
      </c>
      <c r="AU1707" s="5" t="s">
        <v>10257</v>
      </c>
      <c r="AV1707" s="5" t="s">
        <v>10259</v>
      </c>
    </row>
    <row r="1708" spans="1:48" ht="45" customHeight="1" x14ac:dyDescent="0.15">
      <c r="A1708" s="5" t="s">
        <v>10260</v>
      </c>
      <c r="B1708" s="5">
        <v>2015</v>
      </c>
      <c r="C1708" s="5" t="s">
        <v>10261</v>
      </c>
      <c r="D1708" s="5" t="s">
        <v>7104</v>
      </c>
      <c r="E1708" s="5" t="s">
        <v>18453</v>
      </c>
      <c r="F1708" s="5" t="s">
        <v>10264</v>
      </c>
      <c r="G1708" s="5"/>
      <c r="H1708" s="5"/>
      <c r="I1708" s="5"/>
      <c r="J1708" s="5"/>
      <c r="K1708" s="5"/>
      <c r="L1708" s="5"/>
      <c r="M1708" s="5"/>
      <c r="N1708" s="5"/>
      <c r="O1708" s="5"/>
      <c r="P1708" s="5"/>
      <c r="Q1708" s="5"/>
      <c r="AL1708" s="7" t="str">
        <f>HYPERLINK("http://dx.doi.org/10.1016/j.ecocom.2015.04.005","http://dx.doi.org/10.1016/j.ecocom.2015.04.005")</f>
        <v>http://dx.doi.org/10.1016/j.ecocom.2015.04.005</v>
      </c>
      <c r="AM1708" s="5">
        <v>38</v>
      </c>
      <c r="AN1708" s="5">
        <v>40</v>
      </c>
      <c r="AO1708" s="5">
        <v>23</v>
      </c>
      <c r="AP1708" s="5" t="s">
        <v>16</v>
      </c>
      <c r="AQ1708" s="5">
        <v>14</v>
      </c>
      <c r="AR1708" s="5">
        <v>24</v>
      </c>
      <c r="AS1708" s="5" t="s">
        <v>16</v>
      </c>
      <c r="AT1708" s="5" t="s">
        <v>10262</v>
      </c>
      <c r="AU1708" s="5" t="s">
        <v>10263</v>
      </c>
      <c r="AV1708" s="5" t="s">
        <v>10265</v>
      </c>
    </row>
    <row r="1709" spans="1:48" ht="45" customHeight="1" x14ac:dyDescent="0.15">
      <c r="A1709" s="5" t="s">
        <v>10266</v>
      </c>
      <c r="B1709" s="5">
        <v>2019</v>
      </c>
      <c r="C1709" s="5" t="s">
        <v>10267</v>
      </c>
      <c r="D1709" s="5" t="s">
        <v>62</v>
      </c>
      <c r="E1709" s="5" t="s">
        <v>18453</v>
      </c>
      <c r="F1709" s="5" t="s">
        <v>10270</v>
      </c>
      <c r="G1709" s="5"/>
      <c r="H1709" s="5"/>
      <c r="I1709" s="5"/>
      <c r="J1709" s="5"/>
      <c r="K1709" s="5"/>
      <c r="L1709" s="5"/>
      <c r="M1709" s="5"/>
      <c r="N1709" s="5"/>
      <c r="O1709" s="5"/>
      <c r="P1709" s="5"/>
      <c r="Q1709" s="5"/>
      <c r="AL1709" s="7" t="str">
        <f>HYPERLINK("http://dx.doi.org/10.1007/s10021-018-0303-8","http://dx.doi.org/10.1007/s10021-018-0303-8")</f>
        <v>http://dx.doi.org/10.1007/s10021-018-0303-8</v>
      </c>
      <c r="AM1709" s="5">
        <v>9</v>
      </c>
      <c r="AN1709" s="5">
        <v>9</v>
      </c>
      <c r="AO1709" s="5">
        <v>22</v>
      </c>
      <c r="AP1709" s="5">
        <v>4</v>
      </c>
      <c r="AQ1709" s="5">
        <v>796</v>
      </c>
      <c r="AR1709" s="5">
        <v>804</v>
      </c>
      <c r="AS1709" s="5" t="s">
        <v>16</v>
      </c>
      <c r="AT1709" s="5" t="s">
        <v>10268</v>
      </c>
      <c r="AU1709" s="5" t="s">
        <v>10269</v>
      </c>
      <c r="AV1709" s="5" t="s">
        <v>10271</v>
      </c>
    </row>
    <row r="1710" spans="1:48" ht="45" customHeight="1" x14ac:dyDescent="0.15">
      <c r="A1710" s="5" t="s">
        <v>10272</v>
      </c>
      <c r="B1710" s="5">
        <v>2020</v>
      </c>
      <c r="C1710" s="5" t="s">
        <v>10273</v>
      </c>
      <c r="D1710" s="5" t="s">
        <v>189</v>
      </c>
      <c r="E1710" s="5" t="s">
        <v>18453</v>
      </c>
      <c r="F1710" s="5" t="s">
        <v>10276</v>
      </c>
      <c r="G1710" s="5"/>
      <c r="H1710" s="5"/>
      <c r="I1710" s="5"/>
      <c r="J1710" s="5"/>
      <c r="K1710" s="5"/>
      <c r="L1710" s="5"/>
      <c r="M1710" s="5"/>
      <c r="N1710" s="5"/>
      <c r="O1710" s="5"/>
      <c r="P1710" s="5"/>
      <c r="Q1710" s="5"/>
      <c r="AL1710" s="7" t="str">
        <f>HYPERLINK("http://dx.doi.org/10.1111/ecog.04596","http://dx.doi.org/10.1111/ecog.04596")</f>
        <v>http://dx.doi.org/10.1111/ecog.04596</v>
      </c>
      <c r="AM1710" s="5">
        <v>9</v>
      </c>
      <c r="AN1710" s="5">
        <v>9</v>
      </c>
      <c r="AO1710" s="5">
        <v>43</v>
      </c>
      <c r="AP1710" s="5">
        <v>4</v>
      </c>
      <c r="AQ1710" s="5">
        <v>604</v>
      </c>
      <c r="AR1710" s="5">
        <v>619</v>
      </c>
      <c r="AS1710" s="5" t="s">
        <v>16</v>
      </c>
      <c r="AT1710" s="5" t="s">
        <v>10274</v>
      </c>
      <c r="AU1710" s="5" t="s">
        <v>10275</v>
      </c>
      <c r="AV1710" s="5" t="s">
        <v>10277</v>
      </c>
    </row>
    <row r="1711" spans="1:48" ht="45" customHeight="1" x14ac:dyDescent="0.15">
      <c r="A1711" s="5" t="s">
        <v>10278</v>
      </c>
      <c r="B1711" s="5">
        <v>2010</v>
      </c>
      <c r="C1711" s="5" t="s">
        <v>10279</v>
      </c>
      <c r="D1711" s="5" t="s">
        <v>49</v>
      </c>
      <c r="E1711" s="5" t="s">
        <v>18453</v>
      </c>
      <c r="F1711" s="5" t="s">
        <v>10282</v>
      </c>
      <c r="G1711" s="5"/>
      <c r="H1711" s="5"/>
      <c r="I1711" s="5"/>
      <c r="J1711" s="5"/>
      <c r="K1711" s="5"/>
      <c r="L1711" s="5"/>
      <c r="M1711" s="5"/>
      <c r="N1711" s="5"/>
      <c r="O1711" s="5"/>
      <c r="P1711" s="5"/>
      <c r="Q1711" s="5"/>
      <c r="AL1711" s="7" t="str">
        <f>HYPERLINK("http://dx.doi.org/10.3354/meps08383","http://dx.doi.org/10.3354/meps08383")</f>
        <v>http://dx.doi.org/10.3354/meps08383</v>
      </c>
      <c r="AM1711" s="5">
        <v>60</v>
      </c>
      <c r="AN1711" s="5">
        <v>70</v>
      </c>
      <c r="AO1711" s="5">
        <v>399</v>
      </c>
      <c r="AP1711" s="5" t="s">
        <v>16</v>
      </c>
      <c r="AQ1711" s="5">
        <v>187</v>
      </c>
      <c r="AR1711" s="5">
        <v>198</v>
      </c>
      <c r="AS1711" s="5" t="s">
        <v>16</v>
      </c>
      <c r="AT1711" s="5" t="s">
        <v>10280</v>
      </c>
      <c r="AU1711" s="5" t="s">
        <v>10281</v>
      </c>
      <c r="AV1711" s="5" t="s">
        <v>10283</v>
      </c>
    </row>
    <row r="1712" spans="1:48" ht="45" customHeight="1" x14ac:dyDescent="0.15">
      <c r="A1712" s="5" t="s">
        <v>10284</v>
      </c>
      <c r="B1712" s="5">
        <v>1996</v>
      </c>
      <c r="C1712" s="5" t="s">
        <v>10285</v>
      </c>
      <c r="D1712" s="5" t="s">
        <v>82</v>
      </c>
      <c r="E1712" s="5" t="s">
        <v>18453</v>
      </c>
      <c r="F1712" s="5" t="s">
        <v>10288</v>
      </c>
      <c r="G1712" s="5"/>
      <c r="H1712" s="5"/>
      <c r="I1712" s="5"/>
      <c r="J1712" s="5"/>
      <c r="K1712" s="5"/>
      <c r="L1712" s="5"/>
      <c r="M1712" s="5"/>
      <c r="N1712" s="5"/>
      <c r="O1712" s="5"/>
      <c r="P1712" s="5"/>
      <c r="Q1712" s="5"/>
      <c r="AL1712" s="7" t="str">
        <f>HYPERLINK("http://dx.doi.org/10.2307/2269485","http://dx.doi.org/10.2307/2269485")</f>
        <v>http://dx.doi.org/10.2307/2269485</v>
      </c>
      <c r="AM1712" s="5">
        <v>12</v>
      </c>
      <c r="AN1712" s="5">
        <v>12</v>
      </c>
      <c r="AO1712" s="5">
        <v>6</v>
      </c>
      <c r="AP1712" s="5">
        <v>3</v>
      </c>
      <c r="AQ1712" s="5">
        <v>797</v>
      </c>
      <c r="AR1712" s="5">
        <v>805</v>
      </c>
      <c r="AS1712" s="5" t="s">
        <v>16</v>
      </c>
      <c r="AT1712" s="5" t="s">
        <v>10286</v>
      </c>
      <c r="AU1712" s="5" t="s">
        <v>10287</v>
      </c>
      <c r="AV1712" s="5" t="s">
        <v>10289</v>
      </c>
    </row>
    <row r="1713" spans="1:48" ht="45" customHeight="1" x14ac:dyDescent="0.15">
      <c r="A1713" s="5" t="s">
        <v>10290</v>
      </c>
      <c r="B1713" s="5">
        <v>2021</v>
      </c>
      <c r="C1713" s="5" t="s">
        <v>10291</v>
      </c>
      <c r="D1713" s="5" t="s">
        <v>33</v>
      </c>
      <c r="E1713" s="5" t="s">
        <v>18453</v>
      </c>
      <c r="F1713" s="5" t="s">
        <v>10294</v>
      </c>
      <c r="G1713" s="5"/>
      <c r="H1713" s="5"/>
      <c r="I1713" s="5"/>
      <c r="J1713" s="5"/>
      <c r="K1713" s="5"/>
      <c r="L1713" s="5"/>
      <c r="M1713" s="5"/>
      <c r="N1713" s="5"/>
      <c r="O1713" s="5"/>
      <c r="P1713" s="5"/>
      <c r="Q1713" s="5"/>
      <c r="AL1713" s="7" t="str">
        <f>HYPERLINK("http://dx.doi.org/10.1111/gcb.15771","http://dx.doi.org/10.1111/gcb.15771")</f>
        <v>http://dx.doi.org/10.1111/gcb.15771</v>
      </c>
      <c r="AM1713" s="5">
        <v>5</v>
      </c>
      <c r="AN1713" s="5">
        <v>5</v>
      </c>
      <c r="AO1713" s="5">
        <v>27</v>
      </c>
      <c r="AP1713" s="5">
        <v>20</v>
      </c>
      <c r="AQ1713" s="5">
        <v>4967</v>
      </c>
      <c r="AR1713" s="5">
        <v>4979</v>
      </c>
      <c r="AS1713" s="5" t="s">
        <v>16</v>
      </c>
      <c r="AT1713" s="5" t="s">
        <v>10292</v>
      </c>
      <c r="AU1713" s="5" t="s">
        <v>10293</v>
      </c>
      <c r="AV1713" s="5" t="s">
        <v>10295</v>
      </c>
    </row>
    <row r="1714" spans="1:48" ht="45" customHeight="1" x14ac:dyDescent="0.15">
      <c r="A1714" s="5" t="s">
        <v>10296</v>
      </c>
      <c r="B1714" s="5">
        <v>2011</v>
      </c>
      <c r="C1714" s="5" t="s">
        <v>10297</v>
      </c>
      <c r="D1714" s="5" t="s">
        <v>10298</v>
      </c>
      <c r="E1714" s="5" t="s">
        <v>18453</v>
      </c>
      <c r="F1714" s="5" t="s">
        <v>10301</v>
      </c>
      <c r="G1714" s="5"/>
      <c r="H1714" s="5"/>
      <c r="I1714" s="5"/>
      <c r="J1714" s="5"/>
      <c r="K1714" s="5"/>
      <c r="L1714" s="5"/>
      <c r="M1714" s="5"/>
      <c r="N1714" s="5"/>
      <c r="O1714" s="5"/>
      <c r="P1714" s="5"/>
      <c r="Q1714" s="5"/>
      <c r="AL1714" s="7" t="str">
        <f>HYPERLINK("http://dx.doi.org/10.1007/s10144-011-0265-6","http://dx.doi.org/10.1007/s10144-011-0265-6")</f>
        <v>http://dx.doi.org/10.1007/s10144-011-0265-6</v>
      </c>
      <c r="AM1714" s="5">
        <v>31</v>
      </c>
      <c r="AN1714" s="5">
        <v>32</v>
      </c>
      <c r="AO1714" s="5">
        <v>53</v>
      </c>
      <c r="AP1714" s="5">
        <v>4</v>
      </c>
      <c r="AQ1714" s="5">
        <v>535</v>
      </c>
      <c r="AR1714" s="5">
        <v>548</v>
      </c>
      <c r="AS1714" s="5" t="s">
        <v>16</v>
      </c>
      <c r="AT1714" s="5" t="s">
        <v>10299</v>
      </c>
      <c r="AU1714" s="5" t="s">
        <v>10300</v>
      </c>
      <c r="AV1714" s="5" t="s">
        <v>10302</v>
      </c>
    </row>
    <row r="1715" spans="1:48" ht="45" customHeight="1" x14ac:dyDescent="0.15">
      <c r="A1715" s="5" t="s">
        <v>10303</v>
      </c>
      <c r="B1715" s="5">
        <v>2005</v>
      </c>
      <c r="C1715" s="5" t="s">
        <v>10304</v>
      </c>
      <c r="D1715" s="5" t="s">
        <v>172</v>
      </c>
      <c r="E1715" s="5" t="s">
        <v>18453</v>
      </c>
      <c r="F1715" s="5" t="s">
        <v>10307</v>
      </c>
      <c r="G1715" s="5"/>
      <c r="H1715" s="5"/>
      <c r="I1715" s="5"/>
      <c r="J1715" s="5"/>
      <c r="K1715" s="5"/>
      <c r="L1715" s="5"/>
      <c r="M1715" s="5"/>
      <c r="N1715" s="5"/>
      <c r="O1715" s="5"/>
      <c r="P1715" s="5"/>
      <c r="Q1715" s="5"/>
      <c r="AL1715" s="7" t="str">
        <f>HYPERLINK("http://dx.doi.org/10.1007/s00442-005-0041-4","http://dx.doi.org/10.1007/s00442-005-0041-4")</f>
        <v>http://dx.doi.org/10.1007/s00442-005-0041-4</v>
      </c>
      <c r="AM1715" s="5">
        <v>96</v>
      </c>
      <c r="AN1715" s="5">
        <v>99</v>
      </c>
      <c r="AO1715" s="5">
        <v>144</v>
      </c>
      <c r="AP1715" s="5">
        <v>4</v>
      </c>
      <c r="AQ1715" s="5">
        <v>570</v>
      </c>
      <c r="AR1715" s="5">
        <v>584</v>
      </c>
      <c r="AS1715" s="5" t="s">
        <v>16</v>
      </c>
      <c r="AT1715" s="5" t="s">
        <v>10305</v>
      </c>
      <c r="AU1715" s="5" t="s">
        <v>10306</v>
      </c>
      <c r="AV1715" s="5" t="s">
        <v>10308</v>
      </c>
    </row>
    <row r="1716" spans="1:48" ht="45" customHeight="1" x14ac:dyDescent="0.15">
      <c r="A1716" s="5" t="s">
        <v>10309</v>
      </c>
      <c r="B1716" s="5">
        <v>2022</v>
      </c>
      <c r="C1716" s="5" t="s">
        <v>10310</v>
      </c>
      <c r="D1716" s="5" t="s">
        <v>159</v>
      </c>
      <c r="E1716" s="5" t="s">
        <v>18453</v>
      </c>
      <c r="F1716" s="5" t="s">
        <v>10313</v>
      </c>
      <c r="G1716" s="5"/>
      <c r="H1716" s="5"/>
      <c r="I1716" s="5"/>
      <c r="J1716" s="5"/>
      <c r="K1716" s="5"/>
      <c r="L1716" s="5"/>
      <c r="M1716" s="5"/>
      <c r="N1716" s="5"/>
      <c r="O1716" s="5"/>
      <c r="P1716" s="5"/>
      <c r="Q1716" s="5"/>
      <c r="AL1716" s="7" t="str">
        <f>HYPERLINK("http://dx.doi.org/10.3390/d14090735","http://dx.doi.org/10.3390/d14090735")</f>
        <v>http://dx.doi.org/10.3390/d14090735</v>
      </c>
      <c r="AM1716" s="5">
        <v>1</v>
      </c>
      <c r="AN1716" s="5">
        <v>1</v>
      </c>
      <c r="AO1716" s="5">
        <v>14</v>
      </c>
      <c r="AP1716" s="5">
        <v>9</v>
      </c>
      <c r="AQ1716" s="5" t="s">
        <v>16</v>
      </c>
      <c r="AR1716" s="5" t="s">
        <v>16</v>
      </c>
      <c r="AS1716" s="5">
        <v>735</v>
      </c>
      <c r="AT1716" s="5" t="s">
        <v>10311</v>
      </c>
      <c r="AU1716" s="5" t="s">
        <v>10312</v>
      </c>
      <c r="AV1716" s="5" t="s">
        <v>10314</v>
      </c>
    </row>
    <row r="1717" spans="1:48" ht="45" customHeight="1" x14ac:dyDescent="0.15">
      <c r="A1717" s="5" t="s">
        <v>10315</v>
      </c>
      <c r="B1717" s="5">
        <v>2023</v>
      </c>
      <c r="C1717" s="5" t="s">
        <v>10316</v>
      </c>
      <c r="D1717" s="5" t="s">
        <v>62</v>
      </c>
      <c r="E1717" s="5" t="s">
        <v>18453</v>
      </c>
      <c r="F1717" s="5" t="s">
        <v>10319</v>
      </c>
      <c r="G1717" s="5"/>
      <c r="H1717" s="5"/>
      <c r="I1717" s="5"/>
      <c r="J1717" s="5"/>
      <c r="K1717" s="5"/>
      <c r="L1717" s="5"/>
      <c r="M1717" s="5"/>
      <c r="N1717" s="5"/>
      <c r="O1717" s="5"/>
      <c r="P1717" s="5"/>
      <c r="Q1717" s="5"/>
      <c r="AL1717" s="7" t="str">
        <f>HYPERLINK("http://dx.doi.org/10.1007/s10021-023-00825-5","http://dx.doi.org/10.1007/s10021-023-00825-5")</f>
        <v>http://dx.doi.org/10.1007/s10021-023-00825-5</v>
      </c>
      <c r="AM1717" s="5">
        <v>0</v>
      </c>
      <c r="AN1717" s="5">
        <v>0</v>
      </c>
      <c r="AO1717" s="5" t="s">
        <v>16</v>
      </c>
      <c r="AP1717" s="5" t="s">
        <v>16</v>
      </c>
      <c r="AQ1717" s="5" t="s">
        <v>16</v>
      </c>
      <c r="AR1717" s="5" t="s">
        <v>16</v>
      </c>
      <c r="AS1717" s="5" t="s">
        <v>16</v>
      </c>
      <c r="AT1717" s="5" t="s">
        <v>10317</v>
      </c>
      <c r="AU1717" s="5" t="s">
        <v>10318</v>
      </c>
      <c r="AV1717" s="5" t="s">
        <v>10320</v>
      </c>
    </row>
    <row r="1718" spans="1:48" ht="45" customHeight="1" x14ac:dyDescent="0.15">
      <c r="A1718" s="5" t="s">
        <v>10321</v>
      </c>
      <c r="B1718" s="5">
        <v>2010</v>
      </c>
      <c r="C1718" s="5" t="s">
        <v>10322</v>
      </c>
      <c r="D1718" s="5" t="s">
        <v>160</v>
      </c>
      <c r="E1718" s="5" t="s">
        <v>18453</v>
      </c>
      <c r="F1718" s="5" t="s">
        <v>10325</v>
      </c>
      <c r="G1718" s="5"/>
      <c r="H1718" s="5"/>
      <c r="I1718" s="5"/>
      <c r="J1718" s="5"/>
      <c r="K1718" s="5"/>
      <c r="L1718" s="5"/>
      <c r="M1718" s="5"/>
      <c r="N1718" s="5"/>
      <c r="O1718" s="5"/>
      <c r="P1718" s="5"/>
      <c r="Q1718" s="5"/>
      <c r="AL1718" s="7" t="str">
        <f>HYPERLINK("http://dx.doi.org/10.1111/j.1365-2664.2009.01760.x","http://dx.doi.org/10.1111/j.1365-2664.2009.01760.x")</f>
        <v>http://dx.doi.org/10.1111/j.1365-2664.2009.01760.x</v>
      </c>
      <c r="AM1718" s="5">
        <v>18</v>
      </c>
      <c r="AN1718" s="5">
        <v>22</v>
      </c>
      <c r="AO1718" s="5">
        <v>47</v>
      </c>
      <c r="AP1718" s="5">
        <v>1</v>
      </c>
      <c r="AQ1718" s="5">
        <v>191</v>
      </c>
      <c r="AR1718" s="5">
        <v>199</v>
      </c>
      <c r="AS1718" s="5" t="s">
        <v>16</v>
      </c>
      <c r="AT1718" s="5" t="s">
        <v>10323</v>
      </c>
      <c r="AU1718" s="5" t="s">
        <v>10324</v>
      </c>
      <c r="AV1718" s="5" t="s">
        <v>10326</v>
      </c>
    </row>
    <row r="1719" spans="1:48" ht="45" customHeight="1" x14ac:dyDescent="0.15">
      <c r="A1719" s="5" t="s">
        <v>10327</v>
      </c>
      <c r="B1719" s="5">
        <v>2010</v>
      </c>
      <c r="C1719" s="5" t="s">
        <v>10328</v>
      </c>
      <c r="D1719" s="5" t="s">
        <v>269</v>
      </c>
      <c r="E1719" s="5" t="s">
        <v>18453</v>
      </c>
      <c r="F1719" s="5" t="s">
        <v>10331</v>
      </c>
      <c r="G1719" s="5"/>
      <c r="H1719" s="5"/>
      <c r="I1719" s="5"/>
      <c r="J1719" s="5"/>
      <c r="K1719" s="5"/>
      <c r="L1719" s="5"/>
      <c r="M1719" s="5"/>
      <c r="N1719" s="5"/>
      <c r="O1719" s="5"/>
      <c r="P1719" s="5"/>
      <c r="Q1719" s="5"/>
      <c r="AL1719" s="7" t="str">
        <f>HYPERLINK("http://dx.doi.org/10.1080/14634988.2010.483188","http://dx.doi.org/10.1080/14634988.2010.483188")</f>
        <v>http://dx.doi.org/10.1080/14634988.2010.483188</v>
      </c>
      <c r="AM1719" s="5">
        <v>5</v>
      </c>
      <c r="AN1719" s="5">
        <v>9</v>
      </c>
      <c r="AO1719" s="5">
        <v>13</v>
      </c>
      <c r="AP1719" s="5">
        <v>2</v>
      </c>
      <c r="AQ1719" s="5">
        <v>196</v>
      </c>
      <c r="AR1719" s="5">
        <v>202</v>
      </c>
      <c r="AS1719" s="5" t="s">
        <v>16</v>
      </c>
      <c r="AT1719" s="5" t="s">
        <v>10329</v>
      </c>
      <c r="AU1719" s="5" t="s">
        <v>10330</v>
      </c>
      <c r="AV1719" s="5" t="s">
        <v>10332</v>
      </c>
    </row>
    <row r="1720" spans="1:48" ht="45" customHeight="1" x14ac:dyDescent="0.15">
      <c r="A1720" s="5" t="s">
        <v>10333</v>
      </c>
      <c r="B1720" s="5">
        <v>2001</v>
      </c>
      <c r="C1720" s="5" t="s">
        <v>10334</v>
      </c>
      <c r="D1720" s="5" t="s">
        <v>383</v>
      </c>
      <c r="E1720" s="5" t="s">
        <v>18453</v>
      </c>
      <c r="F1720" s="5" t="s">
        <v>10337</v>
      </c>
      <c r="G1720" s="5"/>
      <c r="H1720" s="5"/>
      <c r="I1720" s="5"/>
      <c r="J1720" s="5"/>
      <c r="K1720" s="5"/>
      <c r="L1720" s="5"/>
      <c r="M1720" s="5"/>
      <c r="N1720" s="5"/>
      <c r="O1720" s="5"/>
      <c r="P1720" s="5"/>
      <c r="Q1720" s="5"/>
      <c r="AL1720" s="7" t="str">
        <f>HYPERLINK("http://dx.doi.org/10.1046/j.1440-1703.2001.00401.x","http://dx.doi.org/10.1046/j.1440-1703.2001.00401.x")</f>
        <v>http://dx.doi.org/10.1046/j.1440-1703.2001.00401.x</v>
      </c>
      <c r="AM1720" s="5">
        <v>11</v>
      </c>
      <c r="AN1720" s="5">
        <v>11</v>
      </c>
      <c r="AO1720" s="5">
        <v>16</v>
      </c>
      <c r="AP1720" s="5">
        <v>3</v>
      </c>
      <c r="AQ1720" s="5">
        <v>359</v>
      </c>
      <c r="AR1720" s="5">
        <v>368</v>
      </c>
      <c r="AS1720" s="5" t="s">
        <v>16</v>
      </c>
      <c r="AT1720" s="5" t="s">
        <v>10335</v>
      </c>
      <c r="AU1720" s="5" t="s">
        <v>10336</v>
      </c>
      <c r="AV1720" s="5" t="s">
        <v>10338</v>
      </c>
    </row>
    <row r="1721" spans="1:48" ht="45" customHeight="1" x14ac:dyDescent="0.15">
      <c r="A1721" s="5" t="s">
        <v>10339</v>
      </c>
      <c r="B1721" s="5">
        <v>2014</v>
      </c>
      <c r="C1721" s="5" t="s">
        <v>10340</v>
      </c>
      <c r="D1721" s="5" t="s">
        <v>172</v>
      </c>
      <c r="E1721" s="5" t="s">
        <v>18453</v>
      </c>
      <c r="F1721" s="5" t="s">
        <v>10343</v>
      </c>
      <c r="G1721" s="5"/>
      <c r="H1721" s="5"/>
      <c r="I1721" s="5"/>
      <c r="J1721" s="5"/>
      <c r="K1721" s="5"/>
      <c r="L1721" s="5"/>
      <c r="M1721" s="5"/>
      <c r="N1721" s="5"/>
      <c r="O1721" s="5"/>
      <c r="P1721" s="5"/>
      <c r="Q1721" s="5"/>
      <c r="AL1721" s="7" t="str">
        <f>HYPERLINK("http://dx.doi.org/10.1007/s00442-013-2774-9","http://dx.doi.org/10.1007/s00442-013-2774-9")</f>
        <v>http://dx.doi.org/10.1007/s00442-013-2774-9</v>
      </c>
      <c r="AM1721" s="5">
        <v>21</v>
      </c>
      <c r="AN1721" s="5">
        <v>21</v>
      </c>
      <c r="AO1721" s="5">
        <v>174</v>
      </c>
      <c r="AP1721" s="5">
        <v>2</v>
      </c>
      <c r="AQ1721" s="5">
        <v>427</v>
      </c>
      <c r="AR1721" s="5">
        <v>434</v>
      </c>
      <c r="AS1721" s="5" t="s">
        <v>16</v>
      </c>
      <c r="AT1721" s="5" t="s">
        <v>10341</v>
      </c>
      <c r="AU1721" s="5" t="s">
        <v>10342</v>
      </c>
      <c r="AV1721" s="5" t="s">
        <v>10344</v>
      </c>
    </row>
    <row r="1722" spans="1:48" ht="45" customHeight="1" x14ac:dyDescent="0.15">
      <c r="A1722" s="5" t="s">
        <v>10345</v>
      </c>
      <c r="B1722" s="5">
        <v>2012</v>
      </c>
      <c r="C1722" s="5" t="s">
        <v>10346</v>
      </c>
      <c r="D1722" s="5" t="s">
        <v>57</v>
      </c>
      <c r="E1722" s="5" t="s">
        <v>18453</v>
      </c>
      <c r="F1722" s="5" t="s">
        <v>10349</v>
      </c>
      <c r="G1722" s="5"/>
      <c r="H1722" s="5"/>
      <c r="I1722" s="5"/>
      <c r="J1722" s="5"/>
      <c r="K1722" s="5"/>
      <c r="L1722" s="5"/>
      <c r="M1722" s="5"/>
      <c r="N1722" s="5"/>
      <c r="O1722" s="5"/>
      <c r="P1722" s="5"/>
      <c r="Q1722" s="5"/>
      <c r="AL1722" s="7" t="str">
        <f>HYPERLINK("http://dx.doi.org/10.1098/rsbl.2012.0764","http://dx.doi.org/10.1098/rsbl.2012.0764")</f>
        <v>http://dx.doi.org/10.1098/rsbl.2012.0764</v>
      </c>
      <c r="AM1722" s="5">
        <v>80</v>
      </c>
      <c r="AN1722" s="5">
        <v>82</v>
      </c>
      <c r="AO1722" s="5">
        <v>8</v>
      </c>
      <c r="AP1722" s="5">
        <v>6</v>
      </c>
      <c r="AQ1722" s="5">
        <v>1002</v>
      </c>
      <c r="AR1722" s="5">
        <v>1005</v>
      </c>
      <c r="AS1722" s="5" t="s">
        <v>16</v>
      </c>
      <c r="AT1722" s="5" t="s">
        <v>10347</v>
      </c>
      <c r="AU1722" s="5" t="s">
        <v>10348</v>
      </c>
      <c r="AV1722" s="5" t="s">
        <v>10350</v>
      </c>
    </row>
    <row r="1723" spans="1:48" ht="45" customHeight="1" x14ac:dyDescent="0.15">
      <c r="A1723" s="5" t="s">
        <v>10351</v>
      </c>
      <c r="B1723" s="5">
        <v>2020</v>
      </c>
      <c r="C1723" s="5" t="s">
        <v>10352</v>
      </c>
      <c r="D1723" s="5" t="s">
        <v>2976</v>
      </c>
      <c r="E1723" s="5" t="s">
        <v>18453</v>
      </c>
      <c r="F1723" s="5" t="s">
        <v>10355</v>
      </c>
      <c r="G1723" s="5"/>
      <c r="H1723" s="5"/>
      <c r="I1723" s="5"/>
      <c r="J1723" s="5"/>
      <c r="K1723" s="5"/>
      <c r="L1723" s="5"/>
      <c r="M1723" s="5"/>
      <c r="N1723" s="5"/>
      <c r="O1723" s="5"/>
      <c r="P1723" s="5"/>
      <c r="Q1723" s="5"/>
      <c r="AL1723" s="7" t="str">
        <f>HYPERLINK("http://dx.doi.org/10.1016/j.gecco.2020.e01274","http://dx.doi.org/10.1016/j.gecco.2020.e01274")</f>
        <v>http://dx.doi.org/10.1016/j.gecco.2020.e01274</v>
      </c>
      <c r="AM1723" s="5">
        <v>5</v>
      </c>
      <c r="AN1723" s="5">
        <v>5</v>
      </c>
      <c r="AO1723" s="5">
        <v>24</v>
      </c>
      <c r="AP1723" s="5" t="s">
        <v>16</v>
      </c>
      <c r="AQ1723" s="5" t="s">
        <v>16</v>
      </c>
      <c r="AR1723" s="5" t="s">
        <v>16</v>
      </c>
      <c r="AS1723" s="5" t="s">
        <v>10356</v>
      </c>
      <c r="AT1723" s="5" t="s">
        <v>10353</v>
      </c>
      <c r="AU1723" s="5" t="s">
        <v>10354</v>
      </c>
      <c r="AV1723" s="5" t="s">
        <v>10357</v>
      </c>
    </row>
    <row r="1724" spans="1:48" ht="45" customHeight="1" x14ac:dyDescent="0.15">
      <c r="A1724" s="5" t="s">
        <v>10358</v>
      </c>
      <c r="B1724" s="5">
        <v>2005</v>
      </c>
      <c r="C1724" s="5" t="s">
        <v>10359</v>
      </c>
      <c r="D1724" s="5" t="s">
        <v>17</v>
      </c>
      <c r="E1724" s="5" t="s">
        <v>18453</v>
      </c>
      <c r="F1724" s="5" t="s">
        <v>10362</v>
      </c>
      <c r="G1724" s="5"/>
      <c r="H1724" s="5"/>
      <c r="I1724" s="5"/>
      <c r="J1724" s="5"/>
      <c r="K1724" s="5"/>
      <c r="L1724" s="5"/>
      <c r="M1724" s="5"/>
      <c r="N1724" s="5"/>
      <c r="O1724" s="5"/>
      <c r="P1724" s="5"/>
      <c r="Q1724" s="5"/>
      <c r="AL1724" s="7" t="str">
        <f>HYPERLINK("http://dx.doi.org/10.1111/j.1365-2427.2005.01438.x","http://dx.doi.org/10.1111/j.1365-2427.2005.01438.x")</f>
        <v>http://dx.doi.org/10.1111/j.1365-2427.2005.01438.x</v>
      </c>
      <c r="AM1724" s="5">
        <v>29</v>
      </c>
      <c r="AN1724" s="5">
        <v>31</v>
      </c>
      <c r="AO1724" s="5">
        <v>50</v>
      </c>
      <c r="AP1724" s="5">
        <v>12</v>
      </c>
      <c r="AQ1724" s="5">
        <v>1938</v>
      </c>
      <c r="AR1724" s="5">
        <v>1949</v>
      </c>
      <c r="AS1724" s="5" t="s">
        <v>16</v>
      </c>
      <c r="AT1724" s="5" t="s">
        <v>10360</v>
      </c>
      <c r="AU1724" s="5" t="s">
        <v>10361</v>
      </c>
      <c r="AV1724" s="5" t="s">
        <v>10363</v>
      </c>
    </row>
    <row r="1725" spans="1:48" ht="45" customHeight="1" x14ac:dyDescent="0.15">
      <c r="A1725" s="5" t="s">
        <v>10364</v>
      </c>
      <c r="B1725" s="5">
        <v>2020</v>
      </c>
      <c r="C1725" s="5" t="s">
        <v>10365</v>
      </c>
      <c r="D1725" s="5" t="s">
        <v>10366</v>
      </c>
      <c r="E1725" s="5" t="s">
        <v>18453</v>
      </c>
      <c r="F1725" s="5" t="s">
        <v>10368</v>
      </c>
      <c r="G1725" s="5"/>
      <c r="H1725" s="5"/>
      <c r="I1725" s="5"/>
      <c r="J1725" s="5"/>
      <c r="K1725" s="5"/>
      <c r="L1725" s="5"/>
      <c r="M1725" s="5"/>
      <c r="N1725" s="5"/>
      <c r="O1725" s="5"/>
      <c r="P1725" s="5"/>
      <c r="Q1725" s="5"/>
      <c r="AL1725" s="7" t="str">
        <f>HYPERLINK("http://dx.doi.org/10.1637/0003-0031-184.2.248","http://dx.doi.org/10.1637/0003-0031-184.2.248")</f>
        <v>http://dx.doi.org/10.1637/0003-0031-184.2.248</v>
      </c>
      <c r="AM1725" s="5">
        <v>1</v>
      </c>
      <c r="AN1725" s="5">
        <v>1</v>
      </c>
      <c r="AO1725" s="5">
        <v>184</v>
      </c>
      <c r="AP1725" s="5">
        <v>2</v>
      </c>
      <c r="AQ1725" s="5">
        <v>248</v>
      </c>
      <c r="AR1725" s="5">
        <v>267</v>
      </c>
      <c r="AS1725" s="5" t="s">
        <v>16</v>
      </c>
      <c r="AT1725" s="5" t="s">
        <v>16</v>
      </c>
      <c r="AU1725" s="5" t="s">
        <v>10367</v>
      </c>
      <c r="AV1725" s="5" t="s">
        <v>10369</v>
      </c>
    </row>
    <row r="1726" spans="1:48" ht="45" customHeight="1" x14ac:dyDescent="0.15">
      <c r="A1726" s="5" t="s">
        <v>10370</v>
      </c>
      <c r="B1726" s="5">
        <v>2010</v>
      </c>
      <c r="C1726" s="5" t="s">
        <v>10371</v>
      </c>
      <c r="D1726" s="5" t="s">
        <v>33</v>
      </c>
      <c r="E1726" s="5" t="s">
        <v>18453</v>
      </c>
      <c r="F1726" s="5" t="s">
        <v>10374</v>
      </c>
      <c r="G1726" s="5"/>
      <c r="H1726" s="5"/>
      <c r="I1726" s="5"/>
      <c r="J1726" s="5"/>
      <c r="K1726" s="5"/>
      <c r="L1726" s="5"/>
      <c r="M1726" s="5"/>
      <c r="N1726" s="5"/>
      <c r="O1726" s="5"/>
      <c r="P1726" s="5"/>
      <c r="Q1726" s="5"/>
      <c r="AL1726" s="7" t="str">
        <f>HYPERLINK("http://dx.doi.org/10.1111/j.1365-2486.2009.02015.x","http://dx.doi.org/10.1111/j.1365-2486.2009.02015.x")</f>
        <v>http://dx.doi.org/10.1111/j.1365-2486.2009.02015.x</v>
      </c>
      <c r="AM1726" s="5">
        <v>76</v>
      </c>
      <c r="AN1726" s="5">
        <v>80</v>
      </c>
      <c r="AO1726" s="5">
        <v>16</v>
      </c>
      <c r="AP1726" s="5">
        <v>1</v>
      </c>
      <c r="AQ1726" s="5">
        <v>220</v>
      </c>
      <c r="AR1726" s="5">
        <v>233</v>
      </c>
      <c r="AS1726" s="5" t="s">
        <v>16</v>
      </c>
      <c r="AT1726" s="5" t="s">
        <v>10372</v>
      </c>
      <c r="AU1726" s="5" t="s">
        <v>10373</v>
      </c>
      <c r="AV1726" s="5" t="s">
        <v>10375</v>
      </c>
    </row>
    <row r="1727" spans="1:48" ht="45" customHeight="1" x14ac:dyDescent="0.15">
      <c r="A1727" s="5" t="s">
        <v>10376</v>
      </c>
      <c r="B1727" s="5">
        <v>2003</v>
      </c>
      <c r="C1727" s="5" t="s">
        <v>10377</v>
      </c>
      <c r="D1727" s="5" t="s">
        <v>82</v>
      </c>
      <c r="E1727" s="5" t="s">
        <v>18453</v>
      </c>
      <c r="F1727" s="5" t="s">
        <v>10380</v>
      </c>
      <c r="G1727" s="5"/>
      <c r="H1727" s="5"/>
      <c r="I1727" s="5"/>
      <c r="J1727" s="5"/>
      <c r="K1727" s="5"/>
      <c r="L1727" s="5"/>
      <c r="M1727" s="5"/>
      <c r="N1727" s="5"/>
      <c r="O1727" s="5"/>
      <c r="P1727" s="5"/>
      <c r="Q1727" s="5"/>
      <c r="AL1727" s="7" t="str">
        <f>HYPERLINK("http://dx.doi.org/10.1890/1051-0761(2003)013[0337:WUONAP]2.0.CO;2","http://dx.doi.org/10.1890/1051-0761(2003)013[0337:WUONAP]2.0.CO;2")</f>
        <v>http://dx.doi.org/10.1890/1051-0761(2003)013[0337:WUONAP]2.0.CO;2</v>
      </c>
      <c r="AM1727" s="5">
        <v>68</v>
      </c>
      <c r="AN1727" s="5">
        <v>94</v>
      </c>
      <c r="AO1727" s="5">
        <v>13</v>
      </c>
      <c r="AP1727" s="5">
        <v>2</v>
      </c>
      <c r="AQ1727" s="5">
        <v>337</v>
      </c>
      <c r="AR1727" s="5">
        <v>351</v>
      </c>
      <c r="AS1727" s="5" t="s">
        <v>16</v>
      </c>
      <c r="AT1727" s="5" t="s">
        <v>10378</v>
      </c>
      <c r="AU1727" s="5" t="s">
        <v>10379</v>
      </c>
      <c r="AV1727" s="5" t="s">
        <v>10381</v>
      </c>
    </row>
    <row r="1728" spans="1:48" ht="45" customHeight="1" x14ac:dyDescent="0.15">
      <c r="A1728" s="5" t="s">
        <v>10382</v>
      </c>
      <c r="B1728" s="5">
        <v>2009</v>
      </c>
      <c r="C1728" s="5" t="s">
        <v>10383</v>
      </c>
      <c r="D1728" s="5" t="s">
        <v>49</v>
      </c>
      <c r="E1728" s="5" t="s">
        <v>18453</v>
      </c>
      <c r="F1728" s="5" t="s">
        <v>10386</v>
      </c>
      <c r="G1728" s="5"/>
      <c r="H1728" s="5"/>
      <c r="I1728" s="5"/>
      <c r="J1728" s="5"/>
      <c r="K1728" s="5"/>
      <c r="L1728" s="5"/>
      <c r="M1728" s="5"/>
      <c r="N1728" s="5"/>
      <c r="O1728" s="5"/>
      <c r="P1728" s="5"/>
      <c r="Q1728" s="5"/>
      <c r="AL1728" s="7" t="str">
        <f>HYPERLINK("http://dx.doi.org/10.3354/meps08096","http://dx.doi.org/10.3354/meps08096")</f>
        <v>http://dx.doi.org/10.3354/meps08096</v>
      </c>
      <c r="AM1728" s="5">
        <v>30</v>
      </c>
      <c r="AN1728" s="5">
        <v>30</v>
      </c>
      <c r="AO1728" s="5">
        <v>388</v>
      </c>
      <c r="AP1728" s="5" t="s">
        <v>16</v>
      </c>
      <c r="AQ1728" s="5">
        <v>169</v>
      </c>
      <c r="AR1728" s="5">
        <v>184</v>
      </c>
      <c r="AS1728" s="5" t="s">
        <v>16</v>
      </c>
      <c r="AT1728" s="5" t="s">
        <v>10384</v>
      </c>
      <c r="AU1728" s="5" t="s">
        <v>10385</v>
      </c>
      <c r="AV1728" s="5" t="s">
        <v>10387</v>
      </c>
    </row>
    <row r="1729" spans="1:48" ht="45" customHeight="1" x14ac:dyDescent="0.15">
      <c r="A1729" s="5" t="s">
        <v>10388</v>
      </c>
      <c r="B1729" s="5">
        <v>2021</v>
      </c>
      <c r="C1729" s="5" t="s">
        <v>10389</v>
      </c>
      <c r="D1729" s="5" t="s">
        <v>172</v>
      </c>
      <c r="E1729" s="5" t="s">
        <v>18453</v>
      </c>
      <c r="F1729" s="5" t="s">
        <v>10391</v>
      </c>
      <c r="G1729" s="5"/>
      <c r="H1729" s="5"/>
      <c r="I1729" s="5"/>
      <c r="J1729" s="5"/>
      <c r="K1729" s="5"/>
      <c r="L1729" s="5"/>
      <c r="M1729" s="5"/>
      <c r="N1729" s="5"/>
      <c r="O1729" s="5"/>
      <c r="P1729" s="5"/>
      <c r="Q1729" s="5"/>
      <c r="AL1729" s="7" t="str">
        <f>HYPERLINK("http://dx.doi.org/10.1007/s00442-021-04889-9","http://dx.doi.org/10.1007/s00442-021-04889-9")</f>
        <v>http://dx.doi.org/10.1007/s00442-021-04889-9</v>
      </c>
      <c r="AM1729" s="5">
        <v>5</v>
      </c>
      <c r="AN1729" s="5">
        <v>5</v>
      </c>
      <c r="AO1729" s="5">
        <v>195</v>
      </c>
      <c r="AP1729" s="5">
        <v>4</v>
      </c>
      <c r="AQ1729" s="5">
        <v>1041</v>
      </c>
      <c r="AR1729" s="5">
        <v>1052</v>
      </c>
      <c r="AS1729" s="5" t="s">
        <v>16</v>
      </c>
      <c r="AT1729" s="5" t="s">
        <v>10390</v>
      </c>
      <c r="AU1729" s="5" t="s">
        <v>16</v>
      </c>
      <c r="AV1729" s="5" t="s">
        <v>10392</v>
      </c>
    </row>
    <row r="1730" spans="1:48" ht="45" customHeight="1" x14ac:dyDescent="0.15">
      <c r="A1730" s="5" t="s">
        <v>10393</v>
      </c>
      <c r="B1730" s="5">
        <v>2014</v>
      </c>
      <c r="C1730" s="5" t="s">
        <v>10394</v>
      </c>
      <c r="D1730" s="5" t="s">
        <v>172</v>
      </c>
      <c r="E1730" s="5" t="s">
        <v>18453</v>
      </c>
      <c r="F1730" s="5" t="s">
        <v>10397</v>
      </c>
      <c r="G1730" s="5"/>
      <c r="H1730" s="5"/>
      <c r="I1730" s="5"/>
      <c r="J1730" s="5"/>
      <c r="K1730" s="5"/>
      <c r="L1730" s="5"/>
      <c r="M1730" s="5"/>
      <c r="N1730" s="5"/>
      <c r="O1730" s="5"/>
      <c r="P1730" s="5"/>
      <c r="Q1730" s="5"/>
      <c r="AL1730" s="7" t="str">
        <f>HYPERLINK("http://dx.doi.org/10.1007/s00442-014-2945-3","http://dx.doi.org/10.1007/s00442-014-2945-3")</f>
        <v>http://dx.doi.org/10.1007/s00442-014-2945-3</v>
      </c>
      <c r="AM1730" s="5">
        <v>21</v>
      </c>
      <c r="AN1730" s="5">
        <v>21</v>
      </c>
      <c r="AO1730" s="5">
        <v>175</v>
      </c>
      <c r="AP1730" s="5">
        <v>3</v>
      </c>
      <c r="AQ1730" s="5">
        <v>781</v>
      </c>
      <c r="AR1730" s="5">
        <v>789</v>
      </c>
      <c r="AS1730" s="5" t="s">
        <v>16</v>
      </c>
      <c r="AT1730" s="5" t="s">
        <v>10395</v>
      </c>
      <c r="AU1730" s="5" t="s">
        <v>10396</v>
      </c>
      <c r="AV1730" s="5" t="s">
        <v>10398</v>
      </c>
    </row>
    <row r="1731" spans="1:48" ht="45" customHeight="1" x14ac:dyDescent="0.15">
      <c r="A1731" s="5" t="s">
        <v>10399</v>
      </c>
      <c r="B1731" s="5">
        <v>2016</v>
      </c>
      <c r="C1731" s="5" t="s">
        <v>10400</v>
      </c>
      <c r="D1731" s="5" t="s">
        <v>10401</v>
      </c>
      <c r="E1731" s="5" t="s">
        <v>18453</v>
      </c>
      <c r="F1731" s="5" t="s">
        <v>10404</v>
      </c>
      <c r="G1731" s="5"/>
      <c r="H1731" s="5"/>
      <c r="I1731" s="5"/>
      <c r="J1731" s="5"/>
      <c r="K1731" s="5"/>
      <c r="L1731" s="5"/>
      <c r="M1731" s="5"/>
      <c r="N1731" s="5"/>
      <c r="O1731" s="5"/>
      <c r="P1731" s="5"/>
      <c r="Q1731" s="5"/>
      <c r="AL1731" s="7" t="str">
        <f>HYPERLINK("http://dx.doi.org/10.1111/evo.13072","http://dx.doi.org/10.1111/evo.13072")</f>
        <v>http://dx.doi.org/10.1111/evo.13072</v>
      </c>
      <c r="AM1731" s="5">
        <v>30</v>
      </c>
      <c r="AN1731" s="5">
        <v>32</v>
      </c>
      <c r="AO1731" s="5">
        <v>70</v>
      </c>
      <c r="AP1731" s="5">
        <v>12</v>
      </c>
      <c r="AQ1731" s="5">
        <v>2718</v>
      </c>
      <c r="AR1731" s="5">
        <v>2735</v>
      </c>
      <c r="AS1731" s="5" t="s">
        <v>16</v>
      </c>
      <c r="AT1731" s="5" t="s">
        <v>10402</v>
      </c>
      <c r="AU1731" s="5" t="s">
        <v>10403</v>
      </c>
      <c r="AV1731" s="5" t="s">
        <v>10405</v>
      </c>
    </row>
    <row r="1732" spans="1:48" ht="45" customHeight="1" x14ac:dyDescent="0.15">
      <c r="A1732" s="5" t="s">
        <v>10406</v>
      </c>
      <c r="B1732" s="5">
        <v>2022</v>
      </c>
      <c r="C1732" s="5" t="s">
        <v>10407</v>
      </c>
      <c r="D1732" s="5" t="s">
        <v>172</v>
      </c>
      <c r="E1732" s="5" t="s">
        <v>18453</v>
      </c>
      <c r="F1732" s="5" t="s">
        <v>10410</v>
      </c>
      <c r="G1732" s="5"/>
      <c r="H1732" s="5"/>
      <c r="I1732" s="5"/>
      <c r="J1732" s="5"/>
      <c r="K1732" s="5"/>
      <c r="L1732" s="5"/>
      <c r="M1732" s="5"/>
      <c r="N1732" s="5"/>
      <c r="O1732" s="5"/>
      <c r="P1732" s="5"/>
      <c r="Q1732" s="5"/>
      <c r="AL1732" s="7" t="str">
        <f>HYPERLINK("http://dx.doi.org/10.1007/s00442-022-05257-x","http://dx.doi.org/10.1007/s00442-022-05257-x")</f>
        <v>http://dx.doi.org/10.1007/s00442-022-05257-x</v>
      </c>
      <c r="AM1732" s="5">
        <v>1</v>
      </c>
      <c r="AN1732" s="5">
        <v>1</v>
      </c>
      <c r="AO1732" s="5">
        <v>200</v>
      </c>
      <c r="AP1732" s="5" t="s">
        <v>778</v>
      </c>
      <c r="AQ1732" s="5">
        <v>23</v>
      </c>
      <c r="AR1732" s="5">
        <v>35</v>
      </c>
      <c r="AS1732" s="5" t="s">
        <v>16</v>
      </c>
      <c r="AT1732" s="5" t="s">
        <v>10408</v>
      </c>
      <c r="AU1732" s="5" t="s">
        <v>10409</v>
      </c>
      <c r="AV1732" s="5" t="s">
        <v>10411</v>
      </c>
    </row>
    <row r="1733" spans="1:48" ht="45" customHeight="1" x14ac:dyDescent="0.15">
      <c r="A1733" s="5" t="s">
        <v>10412</v>
      </c>
      <c r="B1733" s="5">
        <v>2022</v>
      </c>
      <c r="C1733" s="5" t="s">
        <v>10413</v>
      </c>
      <c r="D1733" s="5" t="s">
        <v>15</v>
      </c>
      <c r="E1733" s="5" t="s">
        <v>18453</v>
      </c>
      <c r="F1733" s="5" t="s">
        <v>10416</v>
      </c>
      <c r="G1733" s="5"/>
      <c r="H1733" s="5"/>
      <c r="I1733" s="5"/>
      <c r="J1733" s="5"/>
      <c r="K1733" s="5"/>
      <c r="L1733" s="5"/>
      <c r="M1733" s="5"/>
      <c r="N1733" s="5"/>
      <c r="O1733" s="5"/>
      <c r="P1733" s="5"/>
      <c r="Q1733" s="5"/>
      <c r="AL1733" s="7" t="str">
        <f>HYPERLINK("http://dx.doi.org/10.1002/ece3.8588","http://dx.doi.org/10.1002/ece3.8588")</f>
        <v>http://dx.doi.org/10.1002/ece3.8588</v>
      </c>
      <c r="AM1733" s="5">
        <v>2</v>
      </c>
      <c r="AN1733" s="5">
        <v>2</v>
      </c>
      <c r="AO1733" s="5">
        <v>12</v>
      </c>
      <c r="AP1733" s="5">
        <v>2</v>
      </c>
      <c r="AQ1733" s="5" t="s">
        <v>16</v>
      </c>
      <c r="AR1733" s="5" t="s">
        <v>16</v>
      </c>
      <c r="AS1733" s="5" t="s">
        <v>10417</v>
      </c>
      <c r="AT1733" s="5" t="s">
        <v>10414</v>
      </c>
      <c r="AU1733" s="5" t="s">
        <v>10415</v>
      </c>
      <c r="AV1733" s="5" t="s">
        <v>10418</v>
      </c>
    </row>
    <row r="1734" spans="1:48" ht="45" customHeight="1" x14ac:dyDescent="0.15">
      <c r="A1734" s="5" t="s">
        <v>10419</v>
      </c>
      <c r="B1734" s="5">
        <v>2015</v>
      </c>
      <c r="C1734" s="5" t="s">
        <v>10420</v>
      </c>
      <c r="D1734" s="5" t="s">
        <v>77</v>
      </c>
      <c r="E1734" s="5" t="s">
        <v>18453</v>
      </c>
      <c r="F1734" s="5" t="s">
        <v>10423</v>
      </c>
      <c r="G1734" s="5"/>
      <c r="H1734" s="5"/>
      <c r="I1734" s="5"/>
      <c r="J1734" s="5"/>
      <c r="K1734" s="5"/>
      <c r="L1734" s="5"/>
      <c r="M1734" s="5"/>
      <c r="N1734" s="5"/>
      <c r="O1734" s="5"/>
      <c r="P1734" s="5"/>
      <c r="Q1734" s="5"/>
      <c r="AL1734" s="7" t="str">
        <f>HYPERLINK("http://dx.doi.org/10.1111/1365-2656.12410","http://dx.doi.org/10.1111/1365-2656.12410")</f>
        <v>http://dx.doi.org/10.1111/1365-2656.12410</v>
      </c>
      <c r="AM1734" s="5">
        <v>25</v>
      </c>
      <c r="AN1734" s="5">
        <v>25</v>
      </c>
      <c r="AO1734" s="5">
        <v>84</v>
      </c>
      <c r="AP1734" s="5">
        <v>6</v>
      </c>
      <c r="AQ1734" s="5">
        <v>1589</v>
      </c>
      <c r="AR1734" s="5">
        <v>1599</v>
      </c>
      <c r="AS1734" s="5" t="s">
        <v>16</v>
      </c>
      <c r="AT1734" s="5" t="s">
        <v>10421</v>
      </c>
      <c r="AU1734" s="5" t="s">
        <v>10422</v>
      </c>
      <c r="AV1734" s="5" t="s">
        <v>10424</v>
      </c>
    </row>
    <row r="1735" spans="1:48" ht="45" customHeight="1" x14ac:dyDescent="0.15">
      <c r="A1735" s="5" t="s">
        <v>10425</v>
      </c>
      <c r="B1735" s="5">
        <v>2007</v>
      </c>
      <c r="C1735" s="5" t="s">
        <v>10426</v>
      </c>
      <c r="D1735" s="5" t="s">
        <v>172</v>
      </c>
      <c r="E1735" s="5" t="s">
        <v>18453</v>
      </c>
      <c r="F1735" s="5" t="s">
        <v>10429</v>
      </c>
      <c r="G1735" s="5"/>
      <c r="H1735" s="5"/>
      <c r="I1735" s="5"/>
      <c r="J1735" s="5"/>
      <c r="K1735" s="5"/>
      <c r="L1735" s="5"/>
      <c r="M1735" s="5"/>
      <c r="N1735" s="5"/>
      <c r="O1735" s="5"/>
      <c r="P1735" s="5"/>
      <c r="Q1735" s="5"/>
      <c r="AL1735" s="7" t="str">
        <f>HYPERLINK("http://dx.doi.org/10.1007/s00442-006-0629-3","http://dx.doi.org/10.1007/s00442-006-0629-3")</f>
        <v>http://dx.doi.org/10.1007/s00442-006-0629-3</v>
      </c>
      <c r="AM1735" s="5">
        <v>156</v>
      </c>
      <c r="AN1735" s="5">
        <v>186</v>
      </c>
      <c r="AO1735" s="5">
        <v>152</v>
      </c>
      <c r="AP1735" s="5">
        <v>1</v>
      </c>
      <c r="AQ1735" s="5">
        <v>26</v>
      </c>
      <c r="AR1735" s="5">
        <v>36</v>
      </c>
      <c r="AS1735" s="5" t="s">
        <v>16</v>
      </c>
      <c r="AT1735" s="5" t="s">
        <v>10427</v>
      </c>
      <c r="AU1735" s="5" t="s">
        <v>10428</v>
      </c>
      <c r="AV1735" s="5" t="s">
        <v>10430</v>
      </c>
    </row>
    <row r="1736" spans="1:48" ht="45" customHeight="1" x14ac:dyDescent="0.15">
      <c r="A1736" s="5" t="s">
        <v>10431</v>
      </c>
      <c r="B1736" s="5">
        <v>2018</v>
      </c>
      <c r="C1736" s="5" t="s">
        <v>10432</v>
      </c>
      <c r="D1736" s="5" t="s">
        <v>942</v>
      </c>
      <c r="E1736" s="5" t="s">
        <v>18453</v>
      </c>
      <c r="F1736" s="5" t="s">
        <v>10435</v>
      </c>
      <c r="G1736" s="5"/>
      <c r="H1736" s="5"/>
      <c r="I1736" s="5"/>
      <c r="J1736" s="5"/>
      <c r="K1736" s="5"/>
      <c r="L1736" s="5"/>
      <c r="M1736" s="5"/>
      <c r="N1736" s="5"/>
      <c r="O1736" s="5"/>
      <c r="P1736" s="5"/>
      <c r="Q1736" s="5"/>
      <c r="AL1736" s="7" t="str">
        <f>HYPERLINK("http://dx.doi.org/10.1016/j.rsma.2017.12.001","http://dx.doi.org/10.1016/j.rsma.2017.12.001")</f>
        <v>http://dx.doi.org/10.1016/j.rsma.2017.12.001</v>
      </c>
      <c r="AM1736" s="5">
        <v>14</v>
      </c>
      <c r="AN1736" s="5">
        <v>14</v>
      </c>
      <c r="AO1736" s="5">
        <v>17</v>
      </c>
      <c r="AP1736" s="5" t="s">
        <v>16</v>
      </c>
      <c r="AQ1736" s="5">
        <v>87</v>
      </c>
      <c r="AR1736" s="5">
        <v>94</v>
      </c>
      <c r="AS1736" s="5" t="s">
        <v>16</v>
      </c>
      <c r="AT1736" s="5" t="s">
        <v>10433</v>
      </c>
      <c r="AU1736" s="5" t="s">
        <v>10434</v>
      </c>
      <c r="AV1736" s="5" t="s">
        <v>10436</v>
      </c>
    </row>
    <row r="1737" spans="1:48" ht="45" customHeight="1" x14ac:dyDescent="0.15">
      <c r="A1737" s="5" t="s">
        <v>10437</v>
      </c>
      <c r="B1737" s="5">
        <v>2020</v>
      </c>
      <c r="C1737" s="5" t="s">
        <v>10438</v>
      </c>
      <c r="D1737" s="5" t="s">
        <v>15</v>
      </c>
      <c r="E1737" s="5" t="s">
        <v>18453</v>
      </c>
      <c r="F1737" s="5" t="s">
        <v>10441</v>
      </c>
      <c r="G1737" s="5"/>
      <c r="H1737" s="5"/>
      <c r="I1737" s="5"/>
      <c r="J1737" s="5"/>
      <c r="K1737" s="5"/>
      <c r="L1737" s="5"/>
      <c r="M1737" s="5"/>
      <c r="N1737" s="5"/>
      <c r="O1737" s="5"/>
      <c r="P1737" s="5"/>
      <c r="Q1737" s="5"/>
      <c r="AL1737" s="7" t="str">
        <f>HYPERLINK("http://dx.doi.org/10.1002/ece3.7004","http://dx.doi.org/10.1002/ece3.7004")</f>
        <v>http://dx.doi.org/10.1002/ece3.7004</v>
      </c>
      <c r="AM1737" s="5">
        <v>11</v>
      </c>
      <c r="AN1737" s="5">
        <v>12</v>
      </c>
      <c r="AO1737" s="5">
        <v>10</v>
      </c>
      <c r="AP1737" s="5">
        <v>24</v>
      </c>
      <c r="AQ1737" s="5">
        <v>14122</v>
      </c>
      <c r="AR1737" s="5">
        <v>14136</v>
      </c>
      <c r="AS1737" s="5" t="s">
        <v>16</v>
      </c>
      <c r="AT1737" s="5" t="s">
        <v>10439</v>
      </c>
      <c r="AU1737" s="5" t="s">
        <v>10440</v>
      </c>
      <c r="AV1737" s="5" t="s">
        <v>10442</v>
      </c>
    </row>
    <row r="1738" spans="1:48" ht="45" customHeight="1" x14ac:dyDescent="0.15">
      <c r="A1738" s="5" t="s">
        <v>10443</v>
      </c>
      <c r="B1738" s="5">
        <v>1995</v>
      </c>
      <c r="C1738" s="5" t="s">
        <v>10444</v>
      </c>
      <c r="D1738" s="5" t="s">
        <v>116</v>
      </c>
      <c r="E1738" s="5" t="s">
        <v>18453</v>
      </c>
      <c r="F1738" s="5" t="s">
        <v>10447</v>
      </c>
      <c r="G1738" s="5"/>
      <c r="H1738" s="5"/>
      <c r="I1738" s="5"/>
      <c r="J1738" s="5"/>
      <c r="K1738" s="5"/>
      <c r="L1738" s="5"/>
      <c r="M1738" s="5"/>
      <c r="N1738" s="5"/>
      <c r="O1738" s="5"/>
      <c r="P1738" s="5"/>
      <c r="Q1738" s="5"/>
      <c r="AL1738" s="7" t="str">
        <f>HYPERLINK("http://dx.doi.org/10.1007/BF00008255","http://dx.doi.org/10.1007/BF00008255")</f>
        <v>http://dx.doi.org/10.1007/BF00008255</v>
      </c>
      <c r="AM1738" s="5">
        <v>10</v>
      </c>
      <c r="AN1738" s="5">
        <v>10</v>
      </c>
      <c r="AO1738" s="5">
        <v>44</v>
      </c>
      <c r="AP1738" s="5">
        <v>4</v>
      </c>
      <c r="AQ1738" s="5">
        <v>403</v>
      </c>
      <c r="AR1738" s="5">
        <v>416</v>
      </c>
      <c r="AS1738" s="5" t="s">
        <v>16</v>
      </c>
      <c r="AT1738" s="5" t="s">
        <v>10445</v>
      </c>
      <c r="AU1738" s="5" t="s">
        <v>10446</v>
      </c>
      <c r="AV1738" s="5" t="s">
        <v>10448</v>
      </c>
    </row>
    <row r="1739" spans="1:48" ht="45" customHeight="1" x14ac:dyDescent="0.15">
      <c r="A1739" s="5" t="s">
        <v>10449</v>
      </c>
      <c r="B1739" s="5">
        <v>2022</v>
      </c>
      <c r="C1739" s="5" t="s">
        <v>10450</v>
      </c>
      <c r="D1739" s="5" t="s">
        <v>49</v>
      </c>
      <c r="E1739" s="5" t="s">
        <v>18453</v>
      </c>
      <c r="F1739" s="5" t="s">
        <v>10453</v>
      </c>
      <c r="G1739" s="5"/>
      <c r="H1739" s="5"/>
      <c r="I1739" s="5"/>
      <c r="J1739" s="5"/>
      <c r="K1739" s="5"/>
      <c r="L1739" s="5"/>
      <c r="M1739" s="5"/>
      <c r="N1739" s="5"/>
      <c r="O1739" s="5"/>
      <c r="P1739" s="5"/>
      <c r="Q1739" s="5"/>
      <c r="AL1739" s="7" t="str">
        <f>HYPERLINK("http://dx.doi.org/10.3354/meps13910","http://dx.doi.org/10.3354/meps13910")</f>
        <v>http://dx.doi.org/10.3354/meps13910</v>
      </c>
      <c r="AM1739" s="5">
        <v>2</v>
      </c>
      <c r="AN1739" s="5">
        <v>2</v>
      </c>
      <c r="AO1739" s="5">
        <v>681</v>
      </c>
      <c r="AP1739" s="5" t="s">
        <v>16</v>
      </c>
      <c r="AQ1739" s="5">
        <v>21</v>
      </c>
      <c r="AR1739" s="5">
        <v>35</v>
      </c>
      <c r="AS1739" s="5" t="s">
        <v>16</v>
      </c>
      <c r="AT1739" s="5" t="s">
        <v>10451</v>
      </c>
      <c r="AU1739" s="5" t="s">
        <v>10452</v>
      </c>
      <c r="AV1739" s="5" t="s">
        <v>10454</v>
      </c>
    </row>
    <row r="1740" spans="1:48" ht="45" customHeight="1" x14ac:dyDescent="0.15">
      <c r="A1740" s="5" t="s">
        <v>10455</v>
      </c>
      <c r="B1740" s="5">
        <v>2017</v>
      </c>
      <c r="C1740" s="5" t="s">
        <v>10456</v>
      </c>
      <c r="D1740" s="5" t="s">
        <v>49</v>
      </c>
      <c r="E1740" s="5" t="s">
        <v>18453</v>
      </c>
      <c r="F1740" s="5" t="s">
        <v>10459</v>
      </c>
      <c r="G1740" s="5"/>
      <c r="H1740" s="5"/>
      <c r="I1740" s="5"/>
      <c r="J1740" s="5"/>
      <c r="K1740" s="5"/>
      <c r="L1740" s="5"/>
      <c r="M1740" s="5"/>
      <c r="N1740" s="5"/>
      <c r="O1740" s="5"/>
      <c r="P1740" s="5"/>
      <c r="Q1740" s="5"/>
      <c r="AL1740" s="7" t="str">
        <f>HYPERLINK("http://dx.doi.org/10.3354/meps12045","http://dx.doi.org/10.3354/meps12045")</f>
        <v>http://dx.doi.org/10.3354/meps12045</v>
      </c>
      <c r="AM1740" s="5">
        <v>31</v>
      </c>
      <c r="AN1740" s="5">
        <v>31</v>
      </c>
      <c r="AO1740" s="5">
        <v>568</v>
      </c>
      <c r="AP1740" s="5" t="s">
        <v>16</v>
      </c>
      <c r="AQ1740" s="5">
        <v>31</v>
      </c>
      <c r="AR1740" s="5">
        <v>45</v>
      </c>
      <c r="AS1740" s="5" t="s">
        <v>16</v>
      </c>
      <c r="AT1740" s="5" t="s">
        <v>10457</v>
      </c>
      <c r="AU1740" s="5" t="s">
        <v>10458</v>
      </c>
      <c r="AV1740" s="5" t="s">
        <v>10460</v>
      </c>
    </row>
    <row r="1741" spans="1:48" ht="45" customHeight="1" x14ac:dyDescent="0.15">
      <c r="A1741" s="5" t="s">
        <v>10461</v>
      </c>
      <c r="B1741" s="5">
        <v>2020</v>
      </c>
      <c r="C1741" s="5" t="s">
        <v>10462</v>
      </c>
      <c r="D1741" s="5" t="s">
        <v>18</v>
      </c>
      <c r="E1741" s="5" t="s">
        <v>18453</v>
      </c>
      <c r="F1741" s="5" t="s">
        <v>10465</v>
      </c>
      <c r="G1741" s="5"/>
      <c r="H1741" s="5"/>
      <c r="I1741" s="5"/>
      <c r="J1741" s="5"/>
      <c r="K1741" s="5"/>
      <c r="L1741" s="5"/>
      <c r="M1741" s="5"/>
      <c r="N1741" s="5"/>
      <c r="O1741" s="5"/>
      <c r="P1741" s="5"/>
      <c r="Q1741" s="5"/>
      <c r="AL1741" s="7" t="str">
        <f>HYPERLINK("http://dx.doi.org/10.1002/ecs2.3006","http://dx.doi.org/10.1002/ecs2.3006")</f>
        <v>http://dx.doi.org/10.1002/ecs2.3006</v>
      </c>
      <c r="AM1741" s="5">
        <v>11</v>
      </c>
      <c r="AN1741" s="5">
        <v>11</v>
      </c>
      <c r="AO1741" s="5">
        <v>11</v>
      </c>
      <c r="AP1741" s="5">
        <v>1</v>
      </c>
      <c r="AQ1741" s="5" t="s">
        <v>16</v>
      </c>
      <c r="AR1741" s="5" t="s">
        <v>16</v>
      </c>
      <c r="AS1741" s="5" t="s">
        <v>16</v>
      </c>
      <c r="AT1741" s="5" t="s">
        <v>10463</v>
      </c>
      <c r="AU1741" s="5" t="s">
        <v>10464</v>
      </c>
      <c r="AV1741" s="5" t="s">
        <v>10466</v>
      </c>
    </row>
    <row r="1742" spans="1:48" ht="45" customHeight="1" x14ac:dyDescent="0.15">
      <c r="A1742" s="5" t="s">
        <v>10467</v>
      </c>
      <c r="B1742" s="5">
        <v>2020</v>
      </c>
      <c r="C1742" s="5" t="s">
        <v>10468</v>
      </c>
      <c r="D1742" s="5" t="s">
        <v>15</v>
      </c>
      <c r="E1742" s="5" t="s">
        <v>18453</v>
      </c>
      <c r="F1742" s="5" t="s">
        <v>10471</v>
      </c>
      <c r="G1742" s="5"/>
      <c r="H1742" s="5"/>
      <c r="I1742" s="5"/>
      <c r="J1742" s="5"/>
      <c r="K1742" s="5"/>
      <c r="L1742" s="5"/>
      <c r="M1742" s="5"/>
      <c r="N1742" s="5"/>
      <c r="O1742" s="5"/>
      <c r="P1742" s="5"/>
      <c r="Q1742" s="5"/>
      <c r="AL1742" s="7" t="str">
        <f>HYPERLINK("http://dx.doi.org/10.1002/ece3.6981","http://dx.doi.org/10.1002/ece3.6981")</f>
        <v>http://dx.doi.org/10.1002/ece3.6981</v>
      </c>
      <c r="AM1742" s="5">
        <v>0</v>
      </c>
      <c r="AN1742" s="5">
        <v>0</v>
      </c>
      <c r="AO1742" s="5">
        <v>10</v>
      </c>
      <c r="AP1742" s="5">
        <v>24</v>
      </c>
      <c r="AQ1742" s="5">
        <v>13583</v>
      </c>
      <c r="AR1742" s="5">
        <v>13592</v>
      </c>
      <c r="AS1742" s="5" t="s">
        <v>16</v>
      </c>
      <c r="AT1742" s="5" t="s">
        <v>10469</v>
      </c>
      <c r="AU1742" s="5" t="s">
        <v>10470</v>
      </c>
      <c r="AV1742" s="5" t="s">
        <v>10472</v>
      </c>
    </row>
    <row r="1743" spans="1:48" ht="45" customHeight="1" x14ac:dyDescent="0.15">
      <c r="A1743" s="5" t="s">
        <v>10473</v>
      </c>
      <c r="B1743" s="5">
        <v>2019</v>
      </c>
      <c r="C1743" s="5" t="s">
        <v>10474</v>
      </c>
      <c r="D1743" s="5" t="s">
        <v>33</v>
      </c>
      <c r="E1743" s="5" t="s">
        <v>18453</v>
      </c>
      <c r="F1743" s="5" t="s">
        <v>10477</v>
      </c>
      <c r="G1743" s="5"/>
      <c r="H1743" s="5"/>
      <c r="I1743" s="5"/>
      <c r="J1743" s="5"/>
      <c r="K1743" s="5"/>
      <c r="L1743" s="5"/>
      <c r="M1743" s="5"/>
      <c r="N1743" s="5"/>
      <c r="O1743" s="5"/>
      <c r="P1743" s="5"/>
      <c r="Q1743" s="5"/>
      <c r="AL1743" s="7" t="str">
        <f>HYPERLINK("http://dx.doi.org/10.1111/gcb.14560","http://dx.doi.org/10.1111/gcb.14560")</f>
        <v>http://dx.doi.org/10.1111/gcb.14560</v>
      </c>
      <c r="AM1743" s="5">
        <v>13</v>
      </c>
      <c r="AN1743" s="5">
        <v>14</v>
      </c>
      <c r="AO1743" s="5">
        <v>25</v>
      </c>
      <c r="AP1743" s="5">
        <v>4</v>
      </c>
      <c r="AQ1743" s="5">
        <v>1383</v>
      </c>
      <c r="AR1743" s="5">
        <v>1394</v>
      </c>
      <c r="AS1743" s="5" t="s">
        <v>16</v>
      </c>
      <c r="AT1743" s="5" t="s">
        <v>10475</v>
      </c>
      <c r="AU1743" s="5" t="s">
        <v>10476</v>
      </c>
      <c r="AV1743" s="5" t="s">
        <v>10478</v>
      </c>
    </row>
    <row r="1744" spans="1:48" ht="45" customHeight="1" x14ac:dyDescent="0.15">
      <c r="A1744" s="5" t="s">
        <v>10479</v>
      </c>
      <c r="B1744" s="5">
        <v>2021</v>
      </c>
      <c r="C1744" s="5" t="s">
        <v>10480</v>
      </c>
      <c r="D1744" s="5" t="s">
        <v>296</v>
      </c>
      <c r="E1744" s="5" t="s">
        <v>18453</v>
      </c>
      <c r="F1744" s="5" t="s">
        <v>10483</v>
      </c>
      <c r="G1744" s="5"/>
      <c r="H1744" s="5"/>
      <c r="I1744" s="5"/>
      <c r="J1744" s="5"/>
      <c r="K1744" s="5"/>
      <c r="L1744" s="5"/>
      <c r="M1744" s="5"/>
      <c r="N1744" s="5"/>
      <c r="O1744" s="5"/>
      <c r="P1744" s="5"/>
      <c r="Q1744" s="5"/>
      <c r="AL1744" s="7" t="str">
        <f>HYPERLINK("http://dx.doi.org/10.1098/rspb.2020.2817","http://dx.doi.org/10.1098/rspb.2020.2817")</f>
        <v>http://dx.doi.org/10.1098/rspb.2020.2817</v>
      </c>
      <c r="AM1744" s="5">
        <v>3</v>
      </c>
      <c r="AN1744" s="5">
        <v>3</v>
      </c>
      <c r="AO1744" s="5">
        <v>288</v>
      </c>
      <c r="AP1744" s="5">
        <v>1947</v>
      </c>
      <c r="AQ1744" s="5" t="s">
        <v>16</v>
      </c>
      <c r="AR1744" s="5" t="s">
        <v>16</v>
      </c>
      <c r="AS1744" s="5">
        <v>20202817</v>
      </c>
      <c r="AT1744" s="5" t="s">
        <v>10481</v>
      </c>
      <c r="AU1744" s="5" t="s">
        <v>10482</v>
      </c>
      <c r="AV1744" s="5" t="s">
        <v>10484</v>
      </c>
    </row>
    <row r="1745" spans="1:48" ht="45" customHeight="1" x14ac:dyDescent="0.15">
      <c r="A1745" s="5" t="s">
        <v>10485</v>
      </c>
      <c r="B1745" s="5">
        <v>2007</v>
      </c>
      <c r="C1745" s="5" t="s">
        <v>10486</v>
      </c>
      <c r="D1745" s="5" t="s">
        <v>2818</v>
      </c>
      <c r="E1745" s="5" t="s">
        <v>18453</v>
      </c>
      <c r="F1745" s="5" t="s">
        <v>10488</v>
      </c>
      <c r="G1745" s="5"/>
      <c r="H1745" s="5"/>
      <c r="I1745" s="5"/>
      <c r="J1745" s="5"/>
      <c r="K1745" s="5"/>
      <c r="L1745" s="5"/>
      <c r="M1745" s="5"/>
      <c r="N1745" s="5"/>
      <c r="O1745" s="5"/>
      <c r="P1745" s="5"/>
      <c r="Q1745" s="5"/>
      <c r="AL1745" s="7" t="str">
        <f>HYPERLINK("http://dx.doi.org/10.1071/WR05101","http://dx.doi.org/10.1071/WR05101")</f>
        <v>http://dx.doi.org/10.1071/WR05101</v>
      </c>
      <c r="AM1745" s="5">
        <v>35</v>
      </c>
      <c r="AN1745" s="5">
        <v>37</v>
      </c>
      <c r="AO1745" s="5">
        <v>34</v>
      </c>
      <c r="AP1745" s="5">
        <v>5</v>
      </c>
      <c r="AQ1745" s="5">
        <v>342</v>
      </c>
      <c r="AR1745" s="5">
        <v>351</v>
      </c>
      <c r="AS1745" s="5" t="s">
        <v>16</v>
      </c>
      <c r="AT1745" s="5" t="s">
        <v>16</v>
      </c>
      <c r="AU1745" s="5" t="s">
        <v>10487</v>
      </c>
      <c r="AV1745" s="5" t="s">
        <v>10489</v>
      </c>
    </row>
    <row r="1746" spans="1:48" ht="45" customHeight="1" x14ac:dyDescent="0.15">
      <c r="A1746" s="5" t="s">
        <v>10490</v>
      </c>
      <c r="B1746" s="5">
        <v>2010</v>
      </c>
      <c r="C1746" s="5" t="s">
        <v>10491</v>
      </c>
      <c r="D1746" s="5" t="s">
        <v>262</v>
      </c>
      <c r="E1746" s="5" t="s">
        <v>18453</v>
      </c>
      <c r="F1746" s="5" t="s">
        <v>10493</v>
      </c>
      <c r="G1746" s="5"/>
      <c r="H1746" s="5"/>
      <c r="I1746" s="5"/>
      <c r="J1746" s="5"/>
      <c r="K1746" s="5"/>
      <c r="L1746" s="5"/>
      <c r="M1746" s="5"/>
      <c r="N1746" s="5"/>
      <c r="O1746" s="5"/>
      <c r="P1746" s="5"/>
      <c r="Q1746" s="5"/>
      <c r="AL1746" s="7" t="str">
        <f>HYPERLINK("http://dx.doi.org/10.1111/j.1600-0706.2009.18076.x","http://dx.doi.org/10.1111/j.1600-0706.2009.18076.x")</f>
        <v>http://dx.doi.org/10.1111/j.1600-0706.2009.18076.x</v>
      </c>
      <c r="AM1746" s="5">
        <v>7</v>
      </c>
      <c r="AN1746" s="5">
        <v>7</v>
      </c>
      <c r="AO1746" s="5">
        <v>119</v>
      </c>
      <c r="AP1746" s="5">
        <v>6</v>
      </c>
      <c r="AQ1746" s="5">
        <v>964</v>
      </c>
      <c r="AR1746" s="5">
        <v>971</v>
      </c>
      <c r="AS1746" s="5" t="s">
        <v>16</v>
      </c>
      <c r="AT1746" s="5" t="s">
        <v>16</v>
      </c>
      <c r="AU1746" s="5" t="s">
        <v>10492</v>
      </c>
      <c r="AV1746" s="5" t="s">
        <v>10494</v>
      </c>
    </row>
    <row r="1747" spans="1:48" ht="45" customHeight="1" x14ac:dyDescent="0.15">
      <c r="A1747" s="5" t="s">
        <v>10495</v>
      </c>
      <c r="B1747" s="5">
        <v>2014</v>
      </c>
      <c r="C1747" s="5" t="s">
        <v>10496</v>
      </c>
      <c r="D1747" s="5" t="s">
        <v>2020</v>
      </c>
      <c r="E1747" s="5" t="s">
        <v>18453</v>
      </c>
      <c r="F1747" s="5" t="s">
        <v>10499</v>
      </c>
      <c r="G1747" s="5"/>
      <c r="H1747" s="5"/>
      <c r="I1747" s="5"/>
      <c r="J1747" s="5"/>
      <c r="K1747" s="5"/>
      <c r="L1747" s="5"/>
      <c r="M1747" s="5"/>
      <c r="N1747" s="5"/>
      <c r="O1747" s="5"/>
      <c r="P1747" s="5"/>
      <c r="Q1747" s="5"/>
      <c r="AL1747" s="7" t="str">
        <f>HYPERLINK("http://dx.doi.org/10.5751/ES-06395-190145","http://dx.doi.org/10.5751/ES-06395-190145")</f>
        <v>http://dx.doi.org/10.5751/ES-06395-190145</v>
      </c>
      <c r="AM1747" s="5">
        <v>6</v>
      </c>
      <c r="AN1747" s="5">
        <v>6</v>
      </c>
      <c r="AO1747" s="5">
        <v>19</v>
      </c>
      <c r="AP1747" s="5">
        <v>1</v>
      </c>
      <c r="AQ1747" s="5" t="s">
        <v>16</v>
      </c>
      <c r="AR1747" s="5" t="s">
        <v>16</v>
      </c>
      <c r="AS1747" s="5">
        <v>45</v>
      </c>
      <c r="AT1747" s="5" t="s">
        <v>10497</v>
      </c>
      <c r="AU1747" s="5" t="s">
        <v>10498</v>
      </c>
      <c r="AV1747" s="5" t="s">
        <v>10500</v>
      </c>
    </row>
    <row r="1748" spans="1:48" ht="45" customHeight="1" x14ac:dyDescent="0.15">
      <c r="A1748" s="5" t="s">
        <v>10501</v>
      </c>
      <c r="B1748" s="5">
        <v>2019</v>
      </c>
      <c r="C1748" s="5" t="s">
        <v>10502</v>
      </c>
      <c r="D1748" s="5" t="s">
        <v>172</v>
      </c>
      <c r="E1748" s="5" t="s">
        <v>18453</v>
      </c>
      <c r="F1748" s="5" t="s">
        <v>10505</v>
      </c>
      <c r="G1748" s="5"/>
      <c r="H1748" s="5"/>
      <c r="I1748" s="5"/>
      <c r="J1748" s="5"/>
      <c r="K1748" s="5"/>
      <c r="L1748" s="5"/>
      <c r="M1748" s="5"/>
      <c r="N1748" s="5"/>
      <c r="O1748" s="5"/>
      <c r="P1748" s="5"/>
      <c r="Q1748" s="5"/>
      <c r="AL1748" s="7" t="str">
        <f>HYPERLINK("http://dx.doi.org/10.1007/s00442-019-04340-0","http://dx.doi.org/10.1007/s00442-019-04340-0")</f>
        <v>http://dx.doi.org/10.1007/s00442-019-04340-0</v>
      </c>
      <c r="AM1748" s="5">
        <v>12</v>
      </c>
      <c r="AN1748" s="5">
        <v>14</v>
      </c>
      <c r="AO1748" s="5">
        <v>189</v>
      </c>
      <c r="AP1748" s="5">
        <v>2</v>
      </c>
      <c r="AQ1748" s="5">
        <v>375</v>
      </c>
      <c r="AR1748" s="5">
        <v>383</v>
      </c>
      <c r="AS1748" s="5" t="s">
        <v>16</v>
      </c>
      <c r="AT1748" s="5" t="s">
        <v>10503</v>
      </c>
      <c r="AU1748" s="5" t="s">
        <v>10504</v>
      </c>
      <c r="AV1748" s="5" t="s">
        <v>10506</v>
      </c>
    </row>
    <row r="1749" spans="1:48" ht="45" customHeight="1" x14ac:dyDescent="0.15">
      <c r="A1749" s="5" t="s">
        <v>10507</v>
      </c>
      <c r="B1749" s="5">
        <v>2017</v>
      </c>
      <c r="C1749" s="5" t="s">
        <v>10508</v>
      </c>
      <c r="D1749" s="5" t="s">
        <v>49</v>
      </c>
      <c r="E1749" s="5" t="s">
        <v>18453</v>
      </c>
      <c r="F1749" s="5" t="s">
        <v>10511</v>
      </c>
      <c r="G1749" s="5"/>
      <c r="H1749" s="5"/>
      <c r="I1749" s="5"/>
      <c r="J1749" s="5"/>
      <c r="K1749" s="5"/>
      <c r="L1749" s="5"/>
      <c r="M1749" s="5"/>
      <c r="N1749" s="5"/>
      <c r="O1749" s="5"/>
      <c r="P1749" s="5"/>
      <c r="Q1749" s="5"/>
      <c r="AL1749" s="7" t="str">
        <f>HYPERLINK("http://dx.doi.org/10.3354/meps12382","http://dx.doi.org/10.3354/meps12382")</f>
        <v>http://dx.doi.org/10.3354/meps12382</v>
      </c>
      <c r="AM1749" s="5">
        <v>4</v>
      </c>
      <c r="AN1749" s="5">
        <v>4</v>
      </c>
      <c r="AO1749" s="5">
        <v>585</v>
      </c>
      <c r="AP1749" s="5" t="s">
        <v>16</v>
      </c>
      <c r="AQ1749" s="5">
        <v>175</v>
      </c>
      <c r="AR1749" s="5">
        <v>183</v>
      </c>
      <c r="AS1749" s="5" t="s">
        <v>16</v>
      </c>
      <c r="AT1749" s="5" t="s">
        <v>10509</v>
      </c>
      <c r="AU1749" s="5" t="s">
        <v>10510</v>
      </c>
      <c r="AV1749" s="5" t="s">
        <v>10512</v>
      </c>
    </row>
    <row r="1750" spans="1:48" ht="45" customHeight="1" x14ac:dyDescent="0.15">
      <c r="A1750" s="5" t="s">
        <v>10513</v>
      </c>
      <c r="B1750" s="5">
        <v>2020</v>
      </c>
      <c r="C1750" s="5" t="s">
        <v>10514</v>
      </c>
      <c r="D1750" s="5" t="s">
        <v>312</v>
      </c>
      <c r="E1750" s="5" t="s">
        <v>18453</v>
      </c>
      <c r="F1750" s="5" t="s">
        <v>10517</v>
      </c>
      <c r="G1750" s="5"/>
      <c r="H1750" s="5"/>
      <c r="I1750" s="5"/>
      <c r="J1750" s="5"/>
      <c r="K1750" s="5"/>
      <c r="L1750" s="5"/>
      <c r="M1750" s="5"/>
      <c r="N1750" s="5"/>
      <c r="O1750" s="5"/>
      <c r="P1750" s="5"/>
      <c r="Q1750" s="5"/>
      <c r="AL1750" s="7" t="str">
        <f>HYPERLINK("http://dx.doi.org/10.1016/j.ecolmodel.2020.109196","http://dx.doi.org/10.1016/j.ecolmodel.2020.109196")</f>
        <v>http://dx.doi.org/10.1016/j.ecolmodel.2020.109196</v>
      </c>
      <c r="AM1750" s="5">
        <v>6</v>
      </c>
      <c r="AN1750" s="5">
        <v>6</v>
      </c>
      <c r="AO1750" s="5">
        <v>431</v>
      </c>
      <c r="AP1750" s="5" t="s">
        <v>16</v>
      </c>
      <c r="AQ1750" s="5" t="s">
        <v>16</v>
      </c>
      <c r="AR1750" s="5" t="s">
        <v>16</v>
      </c>
      <c r="AS1750" s="5">
        <v>109196</v>
      </c>
      <c r="AT1750" s="5" t="s">
        <v>10515</v>
      </c>
      <c r="AU1750" s="5" t="s">
        <v>10516</v>
      </c>
      <c r="AV1750" s="5" t="s">
        <v>10518</v>
      </c>
    </row>
    <row r="1751" spans="1:48" ht="45" customHeight="1" x14ac:dyDescent="0.15">
      <c r="A1751" s="5" t="s">
        <v>10519</v>
      </c>
      <c r="B1751" s="5">
        <v>2018</v>
      </c>
      <c r="C1751" s="5" t="s">
        <v>10520</v>
      </c>
      <c r="D1751" s="5" t="s">
        <v>18</v>
      </c>
      <c r="E1751" s="5" t="s">
        <v>18453</v>
      </c>
      <c r="F1751" s="5" t="s">
        <v>10523</v>
      </c>
      <c r="G1751" s="5"/>
      <c r="H1751" s="5"/>
      <c r="I1751" s="5"/>
      <c r="J1751" s="5"/>
      <c r="K1751" s="5"/>
      <c r="L1751" s="5"/>
      <c r="M1751" s="5"/>
      <c r="N1751" s="5"/>
      <c r="O1751" s="5"/>
      <c r="P1751" s="5"/>
      <c r="Q1751" s="5"/>
      <c r="AL1751" s="7" t="str">
        <f>HYPERLINK("http://dx.doi.org/10.1002/ecs2.2197","http://dx.doi.org/10.1002/ecs2.2197")</f>
        <v>http://dx.doi.org/10.1002/ecs2.2197</v>
      </c>
      <c r="AM1751" s="5">
        <v>7</v>
      </c>
      <c r="AN1751" s="5">
        <v>7</v>
      </c>
      <c r="AO1751" s="5">
        <v>9</v>
      </c>
      <c r="AP1751" s="5">
        <v>4</v>
      </c>
      <c r="AQ1751" s="5" t="s">
        <v>16</v>
      </c>
      <c r="AR1751" s="5" t="s">
        <v>16</v>
      </c>
      <c r="AS1751" s="5" t="s">
        <v>10524</v>
      </c>
      <c r="AT1751" s="5" t="s">
        <v>10521</v>
      </c>
      <c r="AU1751" s="5" t="s">
        <v>10522</v>
      </c>
      <c r="AV1751" s="5" t="s">
        <v>10525</v>
      </c>
    </row>
    <row r="1752" spans="1:48" ht="45" customHeight="1" x14ac:dyDescent="0.15">
      <c r="A1752" s="5" t="s">
        <v>10526</v>
      </c>
      <c r="B1752" s="5">
        <v>2010</v>
      </c>
      <c r="C1752" s="5" t="s">
        <v>10527</v>
      </c>
      <c r="D1752" s="5" t="s">
        <v>162</v>
      </c>
      <c r="E1752" s="5" t="s">
        <v>18453</v>
      </c>
      <c r="F1752" s="5" t="s">
        <v>10530</v>
      </c>
      <c r="G1752" s="5"/>
      <c r="H1752" s="5"/>
      <c r="I1752" s="5"/>
      <c r="J1752" s="5"/>
      <c r="K1752" s="5"/>
      <c r="L1752" s="5"/>
      <c r="M1752" s="5"/>
      <c r="N1752" s="5"/>
      <c r="O1752" s="5"/>
      <c r="P1752" s="5"/>
      <c r="Q1752" s="5"/>
      <c r="AL1752" s="7" t="str">
        <f>HYPERLINK("http://dx.doi.org/10.1111/j.1365-2435.2009.01617.x","http://dx.doi.org/10.1111/j.1365-2435.2009.01617.x")</f>
        <v>http://dx.doi.org/10.1111/j.1365-2435.2009.01617.x</v>
      </c>
      <c r="AM1752" s="5">
        <v>45</v>
      </c>
      <c r="AN1752" s="5">
        <v>46</v>
      </c>
      <c r="AO1752" s="5">
        <v>24</v>
      </c>
      <c r="AP1752" s="5">
        <v>1</v>
      </c>
      <c r="AQ1752" s="5">
        <v>18</v>
      </c>
      <c r="AR1752" s="5">
        <v>27</v>
      </c>
      <c r="AS1752" s="5" t="s">
        <v>16</v>
      </c>
      <c r="AT1752" s="5" t="s">
        <v>10528</v>
      </c>
      <c r="AU1752" s="5" t="s">
        <v>10529</v>
      </c>
      <c r="AV1752" s="5" t="s">
        <v>10531</v>
      </c>
    </row>
    <row r="1753" spans="1:48" ht="45" customHeight="1" x14ac:dyDescent="0.15">
      <c r="A1753" s="5" t="s">
        <v>10532</v>
      </c>
      <c r="B1753" s="5">
        <v>2017</v>
      </c>
      <c r="C1753" s="5" t="s">
        <v>10533</v>
      </c>
      <c r="D1753" s="5" t="s">
        <v>154</v>
      </c>
      <c r="E1753" s="5" t="s">
        <v>18453</v>
      </c>
      <c r="F1753" s="5" t="s">
        <v>10535</v>
      </c>
      <c r="G1753" s="5"/>
      <c r="H1753" s="5"/>
      <c r="I1753" s="5"/>
      <c r="J1753" s="5"/>
      <c r="K1753" s="5"/>
      <c r="L1753" s="5"/>
      <c r="M1753" s="5"/>
      <c r="N1753" s="5"/>
      <c r="O1753" s="5"/>
      <c r="P1753" s="5"/>
      <c r="Q1753" s="5"/>
      <c r="AL1753" s="7" t="str">
        <f>HYPERLINK("http://dx.doi.org/10.1186/s13717-017-0076-6","http://dx.doi.org/10.1186/s13717-017-0076-6")</f>
        <v>http://dx.doi.org/10.1186/s13717-017-0076-6</v>
      </c>
      <c r="AM1753" s="5">
        <v>21</v>
      </c>
      <c r="AN1753" s="5">
        <v>22</v>
      </c>
      <c r="AO1753" s="5">
        <v>6</v>
      </c>
      <c r="AP1753" s="5" t="s">
        <v>16</v>
      </c>
      <c r="AQ1753" s="5" t="s">
        <v>16</v>
      </c>
      <c r="AR1753" s="5" t="s">
        <v>16</v>
      </c>
      <c r="AS1753" s="5">
        <v>8</v>
      </c>
      <c r="AT1753" s="5" t="s">
        <v>10534</v>
      </c>
      <c r="AU1753" s="5" t="s">
        <v>16</v>
      </c>
      <c r="AV1753" s="5" t="s">
        <v>10536</v>
      </c>
    </row>
    <row r="1754" spans="1:48" ht="45" customHeight="1" x14ac:dyDescent="0.15">
      <c r="A1754" s="5" t="s">
        <v>10537</v>
      </c>
      <c r="B1754" s="5">
        <v>2018</v>
      </c>
      <c r="C1754" s="5" t="s">
        <v>10538</v>
      </c>
      <c r="D1754" s="5" t="s">
        <v>942</v>
      </c>
      <c r="E1754" s="5" t="s">
        <v>18453</v>
      </c>
      <c r="F1754" s="5" t="s">
        <v>10541</v>
      </c>
      <c r="G1754" s="5"/>
      <c r="H1754" s="5"/>
      <c r="I1754" s="5"/>
      <c r="J1754" s="5"/>
      <c r="K1754" s="5"/>
      <c r="L1754" s="5"/>
      <c r="M1754" s="5"/>
      <c r="N1754" s="5"/>
      <c r="O1754" s="5"/>
      <c r="P1754" s="5"/>
      <c r="Q1754" s="5"/>
      <c r="AL1754" s="7" t="str">
        <f>HYPERLINK("http://dx.doi.org/10.1016/j.rsma.2017.11.006","http://dx.doi.org/10.1016/j.rsma.2017.11.006")</f>
        <v>http://dx.doi.org/10.1016/j.rsma.2017.11.006</v>
      </c>
      <c r="AM1754" s="5">
        <v>1</v>
      </c>
      <c r="AN1754" s="5">
        <v>2</v>
      </c>
      <c r="AO1754" s="5">
        <v>17</v>
      </c>
      <c r="AP1754" s="5" t="s">
        <v>16</v>
      </c>
      <c r="AQ1754" s="5">
        <v>78</v>
      </c>
      <c r="AR1754" s="5">
        <v>86</v>
      </c>
      <c r="AS1754" s="5" t="s">
        <v>16</v>
      </c>
      <c r="AT1754" s="5" t="s">
        <v>10539</v>
      </c>
      <c r="AU1754" s="5" t="s">
        <v>10540</v>
      </c>
      <c r="AV1754" s="5" t="s">
        <v>10542</v>
      </c>
    </row>
    <row r="1755" spans="1:48" ht="45" customHeight="1" x14ac:dyDescent="0.15">
      <c r="A1755" s="5" t="s">
        <v>10543</v>
      </c>
      <c r="B1755" s="5">
        <v>2016</v>
      </c>
      <c r="C1755" s="5" t="s">
        <v>10544</v>
      </c>
      <c r="D1755" s="5" t="s">
        <v>17</v>
      </c>
      <c r="E1755" s="5" t="s">
        <v>18453</v>
      </c>
      <c r="F1755" s="5" t="s">
        <v>10547</v>
      </c>
      <c r="G1755" s="5"/>
      <c r="H1755" s="5"/>
      <c r="I1755" s="5"/>
      <c r="J1755" s="5"/>
      <c r="K1755" s="5"/>
      <c r="L1755" s="5"/>
      <c r="M1755" s="5"/>
      <c r="N1755" s="5"/>
      <c r="O1755" s="5"/>
      <c r="P1755" s="5"/>
      <c r="Q1755" s="5"/>
      <c r="AL1755" s="7" t="str">
        <f>HYPERLINK("http://dx.doi.org/10.1111/fwb.12725","http://dx.doi.org/10.1111/fwb.12725")</f>
        <v>http://dx.doi.org/10.1111/fwb.12725</v>
      </c>
      <c r="AM1755" s="5">
        <v>15</v>
      </c>
      <c r="AN1755" s="5">
        <v>15</v>
      </c>
      <c r="AO1755" s="5">
        <v>61</v>
      </c>
      <c r="AP1755" s="5">
        <v>4</v>
      </c>
      <c r="AQ1755" s="5">
        <v>518</v>
      </c>
      <c r="AR1755" s="5">
        <v>532</v>
      </c>
      <c r="AS1755" s="5" t="s">
        <v>16</v>
      </c>
      <c r="AT1755" s="5" t="s">
        <v>10545</v>
      </c>
      <c r="AU1755" s="5" t="s">
        <v>10546</v>
      </c>
      <c r="AV1755" s="5" t="s">
        <v>10548</v>
      </c>
    </row>
    <row r="1756" spans="1:48" ht="45" customHeight="1" x14ac:dyDescent="0.15">
      <c r="A1756" s="5" t="s">
        <v>10549</v>
      </c>
      <c r="B1756" s="5">
        <v>2022</v>
      </c>
      <c r="C1756" s="5" t="s">
        <v>10550</v>
      </c>
      <c r="D1756" s="5" t="s">
        <v>251</v>
      </c>
      <c r="E1756" s="5" t="s">
        <v>18453</v>
      </c>
      <c r="F1756" s="5" t="s">
        <v>10553</v>
      </c>
      <c r="G1756" s="5"/>
      <c r="H1756" s="5"/>
      <c r="I1756" s="5"/>
      <c r="J1756" s="5"/>
      <c r="K1756" s="5"/>
      <c r="L1756" s="5"/>
      <c r="M1756" s="5"/>
      <c r="N1756" s="5"/>
      <c r="O1756" s="5"/>
      <c r="P1756" s="5"/>
      <c r="Q1756" s="5"/>
      <c r="AL1756" s="7" t="str">
        <f>HYPERLINK("http://dx.doi.org/10.1016/j.biocon.2021.109379","http://dx.doi.org/10.1016/j.biocon.2021.109379")</f>
        <v>http://dx.doi.org/10.1016/j.biocon.2021.109379</v>
      </c>
      <c r="AM1756" s="5">
        <v>0</v>
      </c>
      <c r="AN1756" s="5">
        <v>0</v>
      </c>
      <c r="AO1756" s="5">
        <v>265</v>
      </c>
      <c r="AP1756" s="5" t="s">
        <v>16</v>
      </c>
      <c r="AQ1756" s="5" t="s">
        <v>16</v>
      </c>
      <c r="AR1756" s="5" t="s">
        <v>16</v>
      </c>
      <c r="AS1756" s="5">
        <v>109379</v>
      </c>
      <c r="AT1756" s="5" t="s">
        <v>10551</v>
      </c>
      <c r="AU1756" s="5" t="s">
        <v>10552</v>
      </c>
      <c r="AV1756" s="5" t="s">
        <v>10554</v>
      </c>
    </row>
    <row r="1757" spans="1:48" ht="45" customHeight="1" x14ac:dyDescent="0.15">
      <c r="A1757" s="5" t="s">
        <v>10555</v>
      </c>
      <c r="B1757" s="5">
        <v>2017</v>
      </c>
      <c r="C1757" s="5" t="s">
        <v>10556</v>
      </c>
      <c r="D1757" s="5" t="s">
        <v>973</v>
      </c>
      <c r="E1757" s="5" t="s">
        <v>18453</v>
      </c>
      <c r="F1757" s="5" t="s">
        <v>10558</v>
      </c>
      <c r="G1757" s="5"/>
      <c r="H1757" s="5"/>
      <c r="I1757" s="5"/>
      <c r="J1757" s="5"/>
      <c r="K1757" s="5"/>
      <c r="L1757" s="5"/>
      <c r="M1757" s="5"/>
      <c r="N1757" s="5"/>
      <c r="O1757" s="5"/>
      <c r="P1757" s="5"/>
      <c r="Q1757" s="5"/>
      <c r="AL1757" s="7" t="str">
        <f>HYPERLINK("http://dx.doi.org/10.5194/bg-14-2293-2017","http://dx.doi.org/10.5194/bg-14-2293-2017")</f>
        <v>http://dx.doi.org/10.5194/bg-14-2293-2017</v>
      </c>
      <c r="AM1757" s="5">
        <v>14</v>
      </c>
      <c r="AN1757" s="5">
        <v>19</v>
      </c>
      <c r="AO1757" s="5">
        <v>14</v>
      </c>
      <c r="AP1757" s="5">
        <v>9</v>
      </c>
      <c r="AQ1757" s="5">
        <v>2293</v>
      </c>
      <c r="AR1757" s="5">
        <v>2306</v>
      </c>
      <c r="AS1757" s="5" t="s">
        <v>16</v>
      </c>
      <c r="AT1757" s="5" t="s">
        <v>16</v>
      </c>
      <c r="AU1757" s="5" t="s">
        <v>10557</v>
      </c>
      <c r="AV1757" s="5" t="s">
        <v>10559</v>
      </c>
    </row>
    <row r="1758" spans="1:48" ht="45" customHeight="1" x14ac:dyDescent="0.15">
      <c r="A1758" s="5" t="s">
        <v>10560</v>
      </c>
      <c r="B1758" s="5">
        <v>2014</v>
      </c>
      <c r="C1758" s="5" t="s">
        <v>10561</v>
      </c>
      <c r="D1758" s="5" t="s">
        <v>259</v>
      </c>
      <c r="E1758" s="5" t="s">
        <v>18453</v>
      </c>
      <c r="F1758" s="5" t="s">
        <v>10564</v>
      </c>
      <c r="G1758" s="5"/>
      <c r="H1758" s="5"/>
      <c r="I1758" s="5"/>
      <c r="J1758" s="5"/>
      <c r="K1758" s="5"/>
      <c r="L1758" s="5"/>
      <c r="M1758" s="5"/>
      <c r="N1758" s="5"/>
      <c r="O1758" s="5"/>
      <c r="P1758" s="5"/>
      <c r="Q1758" s="5"/>
      <c r="AL1758" s="7" t="str">
        <f>HYPERLINK("http://dx.doi.org/10.1002/jwmg.761","http://dx.doi.org/10.1002/jwmg.761")</f>
        <v>http://dx.doi.org/10.1002/jwmg.761</v>
      </c>
      <c r="AM1758" s="5">
        <v>3</v>
      </c>
      <c r="AN1758" s="5">
        <v>3</v>
      </c>
      <c r="AO1758" s="5">
        <v>78</v>
      </c>
      <c r="AP1758" s="5">
        <v>7</v>
      </c>
      <c r="AQ1758" s="5">
        <v>1206</v>
      </c>
      <c r="AR1758" s="5">
        <v>1215</v>
      </c>
      <c r="AS1758" s="5" t="s">
        <v>16</v>
      </c>
      <c r="AT1758" s="5" t="s">
        <v>10562</v>
      </c>
      <c r="AU1758" s="5" t="s">
        <v>10563</v>
      </c>
      <c r="AV1758" s="5" t="s">
        <v>10565</v>
      </c>
    </row>
    <row r="1759" spans="1:48" ht="45" customHeight="1" x14ac:dyDescent="0.15">
      <c r="A1759" s="5" t="s">
        <v>10566</v>
      </c>
      <c r="B1759" s="5">
        <v>2013</v>
      </c>
      <c r="C1759" s="5" t="s">
        <v>10567</v>
      </c>
      <c r="D1759" s="5" t="s">
        <v>7759</v>
      </c>
      <c r="E1759" s="5" t="s">
        <v>18453</v>
      </c>
      <c r="F1759" s="5" t="s">
        <v>10570</v>
      </c>
      <c r="G1759" s="5"/>
      <c r="H1759" s="5"/>
      <c r="I1759" s="5"/>
      <c r="J1759" s="5"/>
      <c r="K1759" s="5"/>
      <c r="L1759" s="5"/>
      <c r="M1759" s="5"/>
      <c r="N1759" s="5"/>
      <c r="O1759" s="5"/>
      <c r="P1759" s="5"/>
      <c r="Q1759" s="5"/>
      <c r="AL1759" s="7" t="str">
        <f>HYPERLINK("http://dx.doi.org/10.1007/s11258-013-0176-z","http://dx.doi.org/10.1007/s11258-013-0176-z")</f>
        <v>http://dx.doi.org/10.1007/s11258-013-0176-z</v>
      </c>
      <c r="AM1759" s="5">
        <v>22</v>
      </c>
      <c r="AN1759" s="5">
        <v>24</v>
      </c>
      <c r="AO1759" s="5">
        <v>214</v>
      </c>
      <c r="AP1759" s="5">
        <v>3</v>
      </c>
      <c r="AQ1759" s="5">
        <v>385</v>
      </c>
      <c r="AR1759" s="5">
        <v>396</v>
      </c>
      <c r="AS1759" s="5" t="s">
        <v>16</v>
      </c>
      <c r="AT1759" s="5" t="s">
        <v>10568</v>
      </c>
      <c r="AU1759" s="5" t="s">
        <v>10569</v>
      </c>
      <c r="AV1759" s="5" t="s">
        <v>10571</v>
      </c>
    </row>
    <row r="1760" spans="1:48" ht="45" customHeight="1" x14ac:dyDescent="0.15">
      <c r="A1760" s="5" t="s">
        <v>10572</v>
      </c>
      <c r="B1760" s="5">
        <v>2011</v>
      </c>
      <c r="C1760" s="5" t="s">
        <v>10573</v>
      </c>
      <c r="D1760" s="5" t="s">
        <v>49</v>
      </c>
      <c r="E1760" s="5" t="s">
        <v>18453</v>
      </c>
      <c r="F1760" s="5" t="s">
        <v>10576</v>
      </c>
      <c r="G1760" s="5"/>
      <c r="H1760" s="5"/>
      <c r="I1760" s="5"/>
      <c r="J1760" s="5"/>
      <c r="K1760" s="5"/>
      <c r="L1760" s="5"/>
      <c r="M1760" s="5"/>
      <c r="N1760" s="5"/>
      <c r="O1760" s="5"/>
      <c r="P1760" s="5"/>
      <c r="Q1760" s="5"/>
      <c r="AL1760" s="7" t="str">
        <f>HYPERLINK("http://dx.doi.org/10.3354/meps09327","http://dx.doi.org/10.3354/meps09327")</f>
        <v>http://dx.doi.org/10.3354/meps09327</v>
      </c>
      <c r="AM1760" s="5">
        <v>74</v>
      </c>
      <c r="AN1760" s="5">
        <v>77</v>
      </c>
      <c r="AO1760" s="5">
        <v>439</v>
      </c>
      <c r="AP1760" s="5" t="s">
        <v>16</v>
      </c>
      <c r="AQ1760" s="5">
        <v>263</v>
      </c>
      <c r="AR1760" s="5">
        <v>276</v>
      </c>
      <c r="AS1760" s="5" t="s">
        <v>16</v>
      </c>
      <c r="AT1760" s="5" t="s">
        <v>10574</v>
      </c>
      <c r="AU1760" s="5" t="s">
        <v>10575</v>
      </c>
      <c r="AV1760" s="5" t="s">
        <v>10577</v>
      </c>
    </row>
    <row r="1761" spans="1:48" ht="45" customHeight="1" x14ac:dyDescent="0.15">
      <c r="A1761" s="5" t="s">
        <v>10578</v>
      </c>
      <c r="B1761" s="5">
        <v>2018</v>
      </c>
      <c r="C1761" s="5" t="s">
        <v>10579</v>
      </c>
      <c r="D1761" s="5" t="s">
        <v>49</v>
      </c>
      <c r="E1761" s="5" t="s">
        <v>18453</v>
      </c>
      <c r="F1761" s="5" t="s">
        <v>10582</v>
      </c>
      <c r="G1761" s="5"/>
      <c r="H1761" s="5"/>
      <c r="I1761" s="5"/>
      <c r="J1761" s="5"/>
      <c r="K1761" s="5"/>
      <c r="L1761" s="5"/>
      <c r="M1761" s="5"/>
      <c r="N1761" s="5"/>
      <c r="O1761" s="5"/>
      <c r="P1761" s="5"/>
      <c r="Q1761" s="5"/>
      <c r="AL1761" s="7" t="str">
        <f>HYPERLINK("http://dx.doi.org/10.3354/meps12576","http://dx.doi.org/10.3354/meps12576")</f>
        <v>http://dx.doi.org/10.3354/meps12576</v>
      </c>
      <c r="AM1761" s="5">
        <v>6</v>
      </c>
      <c r="AN1761" s="5">
        <v>6</v>
      </c>
      <c r="AO1761" s="5">
        <v>596</v>
      </c>
      <c r="AP1761" s="5" t="s">
        <v>16</v>
      </c>
      <c r="AQ1761" s="5">
        <v>165</v>
      </c>
      <c r="AR1761" s="5">
        <v>179</v>
      </c>
      <c r="AS1761" s="5" t="s">
        <v>16</v>
      </c>
      <c r="AT1761" s="5" t="s">
        <v>10580</v>
      </c>
      <c r="AU1761" s="5" t="s">
        <v>10581</v>
      </c>
      <c r="AV1761" s="5" t="s">
        <v>10583</v>
      </c>
    </row>
    <row r="1762" spans="1:48" ht="45" customHeight="1" x14ac:dyDescent="0.15">
      <c r="A1762" s="5" t="s">
        <v>10584</v>
      </c>
      <c r="B1762" s="5">
        <v>2016</v>
      </c>
      <c r="C1762" s="5" t="s">
        <v>10585</v>
      </c>
      <c r="D1762" s="5" t="s">
        <v>1765</v>
      </c>
      <c r="E1762" s="5" t="s">
        <v>18453</v>
      </c>
      <c r="F1762" s="5" t="s">
        <v>10588</v>
      </c>
      <c r="G1762" s="5"/>
      <c r="H1762" s="5"/>
      <c r="I1762" s="5"/>
      <c r="J1762" s="5"/>
      <c r="K1762" s="5"/>
      <c r="L1762" s="5"/>
      <c r="M1762" s="5"/>
      <c r="N1762" s="5"/>
      <c r="O1762" s="5"/>
      <c r="P1762" s="5"/>
      <c r="Q1762" s="5"/>
      <c r="AL1762" s="7" t="str">
        <f>HYPERLINK("http://dx.doi.org/10.1016/j.agee.2016.03.029","http://dx.doi.org/10.1016/j.agee.2016.03.029")</f>
        <v>http://dx.doi.org/10.1016/j.agee.2016.03.029</v>
      </c>
      <c r="AM1762" s="5">
        <v>19</v>
      </c>
      <c r="AN1762" s="5">
        <v>22</v>
      </c>
      <c r="AO1762" s="5">
        <v>225</v>
      </c>
      <c r="AP1762" s="5" t="s">
        <v>16</v>
      </c>
      <c r="AQ1762" s="5">
        <v>12</v>
      </c>
      <c r="AR1762" s="5">
        <v>21</v>
      </c>
      <c r="AS1762" s="5" t="s">
        <v>16</v>
      </c>
      <c r="AT1762" s="5" t="s">
        <v>10586</v>
      </c>
      <c r="AU1762" s="5" t="s">
        <v>10587</v>
      </c>
      <c r="AV1762" s="5" t="s">
        <v>10589</v>
      </c>
    </row>
    <row r="1763" spans="1:48" ht="45" customHeight="1" x14ac:dyDescent="0.15">
      <c r="A1763" s="5" t="s">
        <v>10590</v>
      </c>
      <c r="B1763" s="5">
        <v>2009</v>
      </c>
      <c r="C1763" s="5" t="s">
        <v>10591</v>
      </c>
      <c r="D1763" s="5" t="s">
        <v>10592</v>
      </c>
      <c r="E1763" s="5" t="s">
        <v>18453</v>
      </c>
      <c r="F1763" s="5" t="s">
        <v>10594</v>
      </c>
      <c r="G1763" s="5"/>
      <c r="H1763" s="5"/>
      <c r="I1763" s="5"/>
      <c r="J1763" s="5"/>
      <c r="K1763" s="5"/>
      <c r="L1763" s="5"/>
      <c r="M1763" s="5"/>
      <c r="N1763" s="5"/>
      <c r="O1763" s="5"/>
      <c r="P1763" s="5"/>
      <c r="Q1763" s="5"/>
      <c r="AL1763" s="7" t="str">
        <f>HYPERLINK("http://dx.doi.org/10.1656/045.016.n305","http://dx.doi.org/10.1656/045.016.n305")</f>
        <v>http://dx.doi.org/10.1656/045.016.n305</v>
      </c>
      <c r="AM1763" s="5">
        <v>11</v>
      </c>
      <c r="AN1763" s="5">
        <v>13</v>
      </c>
      <c r="AO1763" s="5">
        <v>16</v>
      </c>
      <c r="AP1763" s="5">
        <v>3</v>
      </c>
      <c r="AQ1763" s="5">
        <v>365</v>
      </c>
      <c r="AR1763" s="5">
        <v>374</v>
      </c>
      <c r="AS1763" s="5" t="s">
        <v>16</v>
      </c>
      <c r="AT1763" s="5" t="s">
        <v>16</v>
      </c>
      <c r="AU1763" s="5" t="s">
        <v>10593</v>
      </c>
      <c r="AV1763" s="5" t="s">
        <v>10595</v>
      </c>
    </row>
    <row r="1764" spans="1:48" ht="45" customHeight="1" x14ac:dyDescent="0.15">
      <c r="A1764" s="5" t="s">
        <v>10596</v>
      </c>
      <c r="B1764" s="5">
        <v>2018</v>
      </c>
      <c r="C1764" s="5" t="s">
        <v>10597</v>
      </c>
      <c r="D1764" s="5" t="s">
        <v>217</v>
      </c>
      <c r="E1764" s="5" t="s">
        <v>18453</v>
      </c>
      <c r="F1764" s="5" t="s">
        <v>10600</v>
      </c>
      <c r="G1764" s="5"/>
      <c r="H1764" s="5"/>
      <c r="I1764" s="5"/>
      <c r="J1764" s="5"/>
      <c r="K1764" s="5"/>
      <c r="L1764" s="5"/>
      <c r="M1764" s="5"/>
      <c r="N1764" s="5"/>
      <c r="O1764" s="5"/>
      <c r="P1764" s="5"/>
      <c r="Q1764" s="5"/>
      <c r="AL1764" s="7" t="str">
        <f>HYPERLINK("http://dx.doi.org/10.1111/2041-210X.13025","http://dx.doi.org/10.1111/2041-210X.13025")</f>
        <v>http://dx.doi.org/10.1111/2041-210X.13025</v>
      </c>
      <c r="AM1764" s="5">
        <v>38</v>
      </c>
      <c r="AN1764" s="5">
        <v>38</v>
      </c>
      <c r="AO1764" s="5">
        <v>9</v>
      </c>
      <c r="AP1764" s="5">
        <v>8</v>
      </c>
      <c r="AQ1764" s="5">
        <v>1799</v>
      </c>
      <c r="AR1764" s="5">
        <v>1809</v>
      </c>
      <c r="AS1764" s="5" t="s">
        <v>16</v>
      </c>
      <c r="AT1764" s="5" t="s">
        <v>10598</v>
      </c>
      <c r="AU1764" s="5" t="s">
        <v>10599</v>
      </c>
      <c r="AV1764" s="5" t="s">
        <v>10601</v>
      </c>
    </row>
    <row r="1765" spans="1:48" ht="45" customHeight="1" x14ac:dyDescent="0.15">
      <c r="A1765" s="5" t="s">
        <v>10602</v>
      </c>
      <c r="B1765" s="5">
        <v>2006</v>
      </c>
      <c r="C1765" s="5" t="s">
        <v>10603</v>
      </c>
      <c r="D1765" s="5" t="s">
        <v>249</v>
      </c>
      <c r="E1765" s="5" t="s">
        <v>18453</v>
      </c>
      <c r="F1765" s="5" t="s">
        <v>10606</v>
      </c>
      <c r="G1765" s="5"/>
      <c r="H1765" s="5"/>
      <c r="I1765" s="5"/>
      <c r="J1765" s="5"/>
      <c r="K1765" s="5"/>
      <c r="L1765" s="5"/>
      <c r="M1765" s="5"/>
      <c r="N1765" s="5"/>
      <c r="O1765" s="5"/>
      <c r="P1765" s="5"/>
      <c r="Q1765" s="5"/>
      <c r="AL1765" s="7" t="str">
        <f>HYPERLINK("http://dx.doi.org/10.1016/j.jaridenv.2005.10.018","http://dx.doi.org/10.1016/j.jaridenv.2005.10.018")</f>
        <v>http://dx.doi.org/10.1016/j.jaridenv.2005.10.018</v>
      </c>
      <c r="AM1765" s="5">
        <v>33</v>
      </c>
      <c r="AN1765" s="5">
        <v>34</v>
      </c>
      <c r="AO1765" s="5">
        <v>66</v>
      </c>
      <c r="AP1765" s="5">
        <v>2</v>
      </c>
      <c r="AQ1765" s="5">
        <v>272</v>
      </c>
      <c r="AR1765" s="5">
        <v>289</v>
      </c>
      <c r="AS1765" s="5" t="s">
        <v>16</v>
      </c>
      <c r="AT1765" s="5" t="s">
        <v>10604</v>
      </c>
      <c r="AU1765" s="5" t="s">
        <v>10605</v>
      </c>
      <c r="AV1765" s="5" t="s">
        <v>10607</v>
      </c>
    </row>
    <row r="1766" spans="1:48" ht="45" customHeight="1" x14ac:dyDescent="0.15">
      <c r="A1766" s="5" t="s">
        <v>10608</v>
      </c>
      <c r="B1766" s="5">
        <v>2016</v>
      </c>
      <c r="C1766" s="5" t="s">
        <v>10609</v>
      </c>
      <c r="D1766" s="5" t="s">
        <v>172</v>
      </c>
      <c r="E1766" s="5" t="s">
        <v>18453</v>
      </c>
      <c r="F1766" s="5" t="s">
        <v>10612</v>
      </c>
      <c r="G1766" s="5"/>
      <c r="H1766" s="5"/>
      <c r="I1766" s="5"/>
      <c r="J1766" s="5"/>
      <c r="K1766" s="5"/>
      <c r="L1766" s="5"/>
      <c r="M1766" s="5"/>
      <c r="N1766" s="5"/>
      <c r="O1766" s="5"/>
      <c r="P1766" s="5"/>
      <c r="Q1766" s="5"/>
      <c r="AL1766" s="7" t="str">
        <f>HYPERLINK("http://dx.doi.org/10.1007/s00442-016-3712-4","http://dx.doi.org/10.1007/s00442-016-3712-4")</f>
        <v>http://dx.doi.org/10.1007/s00442-016-3712-4</v>
      </c>
      <c r="AM1766" s="5">
        <v>26</v>
      </c>
      <c r="AN1766" s="5">
        <v>28</v>
      </c>
      <c r="AO1766" s="5">
        <v>182</v>
      </c>
      <c r="AP1766" s="5">
        <v>3</v>
      </c>
      <c r="AQ1766" s="5">
        <v>731</v>
      </c>
      <c r="AR1766" s="5">
        <v>742</v>
      </c>
      <c r="AS1766" s="5" t="s">
        <v>16</v>
      </c>
      <c r="AT1766" s="5" t="s">
        <v>10610</v>
      </c>
      <c r="AU1766" s="5" t="s">
        <v>10611</v>
      </c>
      <c r="AV1766" s="5" t="s">
        <v>10613</v>
      </c>
    </row>
    <row r="1767" spans="1:48" ht="45" customHeight="1" x14ac:dyDescent="0.15">
      <c r="A1767" s="5" t="s">
        <v>10614</v>
      </c>
      <c r="B1767" s="5">
        <v>2013</v>
      </c>
      <c r="C1767" s="5" t="s">
        <v>10615</v>
      </c>
      <c r="D1767" s="5" t="s">
        <v>49</v>
      </c>
      <c r="E1767" s="5" t="s">
        <v>18453</v>
      </c>
      <c r="F1767" s="5" t="s">
        <v>10618</v>
      </c>
      <c r="G1767" s="5"/>
      <c r="H1767" s="5"/>
      <c r="I1767" s="5"/>
      <c r="J1767" s="5"/>
      <c r="K1767" s="5"/>
      <c r="L1767" s="5"/>
      <c r="M1767" s="5"/>
      <c r="N1767" s="5"/>
      <c r="O1767" s="5"/>
      <c r="P1767" s="5"/>
      <c r="Q1767" s="5"/>
      <c r="AL1767" s="7" t="str">
        <f>HYPERLINK("http://dx.doi.org/10.3354/meps10214","http://dx.doi.org/10.3354/meps10214")</f>
        <v>http://dx.doi.org/10.3354/meps10214</v>
      </c>
      <c r="AM1767" s="5">
        <v>21</v>
      </c>
      <c r="AN1767" s="5">
        <v>21</v>
      </c>
      <c r="AO1767" s="5">
        <v>478</v>
      </c>
      <c r="AP1767" s="5" t="s">
        <v>16</v>
      </c>
      <c r="AQ1767" s="5">
        <v>27</v>
      </c>
      <c r="AR1767" s="5" t="s">
        <v>260</v>
      </c>
      <c r="AS1767" s="5" t="s">
        <v>16</v>
      </c>
      <c r="AT1767" s="5" t="s">
        <v>10616</v>
      </c>
      <c r="AU1767" s="5" t="s">
        <v>10617</v>
      </c>
      <c r="AV1767" s="5" t="s">
        <v>10619</v>
      </c>
    </row>
    <row r="1768" spans="1:48" ht="45" customHeight="1" x14ac:dyDescent="0.15">
      <c r="A1768" s="5" t="s">
        <v>10620</v>
      </c>
      <c r="B1768" s="5">
        <v>2018</v>
      </c>
      <c r="C1768" s="5" t="s">
        <v>10621</v>
      </c>
      <c r="D1768" s="5" t="s">
        <v>295</v>
      </c>
      <c r="E1768" s="5" t="s">
        <v>18453</v>
      </c>
      <c r="F1768" s="5" t="s">
        <v>10624</v>
      </c>
      <c r="G1768" s="5"/>
      <c r="H1768" s="5"/>
      <c r="I1768" s="5"/>
      <c r="J1768" s="5"/>
      <c r="K1768" s="5"/>
      <c r="L1768" s="5"/>
      <c r="M1768" s="5"/>
      <c r="N1768" s="5"/>
      <c r="O1768" s="5"/>
      <c r="P1768" s="5"/>
      <c r="Q1768" s="5"/>
      <c r="AL1768" s="7" t="str">
        <f>HYPERLINK("http://dx.doi.org/10.1016/j.jembe.2018.06.003","http://dx.doi.org/10.1016/j.jembe.2018.06.003")</f>
        <v>http://dx.doi.org/10.1016/j.jembe.2018.06.003</v>
      </c>
      <c r="AM1768" s="5">
        <v>24</v>
      </c>
      <c r="AN1768" s="5">
        <v>24</v>
      </c>
      <c r="AO1768" s="5">
        <v>506</v>
      </c>
      <c r="AP1768" s="5" t="s">
        <v>16</v>
      </c>
      <c r="AQ1768" s="5">
        <v>124</v>
      </c>
      <c r="AR1768" s="5">
        <v>134</v>
      </c>
      <c r="AS1768" s="5" t="s">
        <v>16</v>
      </c>
      <c r="AT1768" s="5" t="s">
        <v>10622</v>
      </c>
      <c r="AU1768" s="5" t="s">
        <v>10623</v>
      </c>
      <c r="AV1768" s="5" t="s">
        <v>10625</v>
      </c>
    </row>
    <row r="1769" spans="1:48" ht="45" customHeight="1" x14ac:dyDescent="0.15">
      <c r="A1769" s="5" t="s">
        <v>10626</v>
      </c>
      <c r="B1769" s="5">
        <v>2006</v>
      </c>
      <c r="C1769" s="5" t="s">
        <v>10627</v>
      </c>
      <c r="D1769" s="5" t="s">
        <v>172</v>
      </c>
      <c r="E1769" s="5" t="s">
        <v>18453</v>
      </c>
      <c r="F1769" s="5" t="s">
        <v>10630</v>
      </c>
      <c r="G1769" s="5"/>
      <c r="H1769" s="5"/>
      <c r="I1769" s="5"/>
      <c r="J1769" s="5"/>
      <c r="K1769" s="5"/>
      <c r="L1769" s="5"/>
      <c r="M1769" s="5"/>
      <c r="N1769" s="5"/>
      <c r="O1769" s="5"/>
      <c r="P1769" s="5"/>
      <c r="Q1769" s="5"/>
      <c r="AL1769" s="7" t="str">
        <f>HYPERLINK("http://dx.doi.org/10.1007/s00442-005-0352-5","http://dx.doi.org/10.1007/s00442-005-0352-5")</f>
        <v>http://dx.doi.org/10.1007/s00442-005-0352-5</v>
      </c>
      <c r="AM1769" s="5">
        <v>43</v>
      </c>
      <c r="AN1769" s="5">
        <v>46</v>
      </c>
      <c r="AO1769" s="5">
        <v>148</v>
      </c>
      <c r="AP1769" s="5">
        <v>1</v>
      </c>
      <c r="AQ1769" s="5">
        <v>88</v>
      </c>
      <c r="AR1769" s="5">
        <v>96</v>
      </c>
      <c r="AS1769" s="5" t="s">
        <v>16</v>
      </c>
      <c r="AT1769" s="5" t="s">
        <v>10628</v>
      </c>
      <c r="AU1769" s="5" t="s">
        <v>10629</v>
      </c>
      <c r="AV1769" s="5" t="s">
        <v>10631</v>
      </c>
    </row>
    <row r="1770" spans="1:48" ht="45" customHeight="1" x14ac:dyDescent="0.15">
      <c r="A1770" s="5" t="s">
        <v>10632</v>
      </c>
      <c r="B1770" s="5">
        <v>2013</v>
      </c>
      <c r="C1770" s="5" t="s">
        <v>10633</v>
      </c>
      <c r="D1770" s="5" t="s">
        <v>49</v>
      </c>
      <c r="E1770" s="5" t="s">
        <v>18453</v>
      </c>
      <c r="F1770" s="5" t="s">
        <v>10636</v>
      </c>
      <c r="G1770" s="5"/>
      <c r="H1770" s="5"/>
      <c r="I1770" s="5"/>
      <c r="J1770" s="5"/>
      <c r="K1770" s="5"/>
      <c r="L1770" s="5"/>
      <c r="M1770" s="5"/>
      <c r="N1770" s="5"/>
      <c r="O1770" s="5"/>
      <c r="P1770" s="5"/>
      <c r="Q1770" s="5"/>
      <c r="AL1770" s="7" t="str">
        <f>HYPERLINK("http://dx.doi.org/10.3354/meps10160","http://dx.doi.org/10.3354/meps10160")</f>
        <v>http://dx.doi.org/10.3354/meps10160</v>
      </c>
      <c r="AM1770" s="5">
        <v>5</v>
      </c>
      <c r="AN1770" s="5">
        <v>5</v>
      </c>
      <c r="AO1770" s="5">
        <v>477</v>
      </c>
      <c r="AP1770" s="5" t="s">
        <v>16</v>
      </c>
      <c r="AQ1770" s="5">
        <v>147</v>
      </c>
      <c r="AR1770" s="5">
        <v>159</v>
      </c>
      <c r="AS1770" s="5" t="s">
        <v>16</v>
      </c>
      <c r="AT1770" s="5" t="s">
        <v>10634</v>
      </c>
      <c r="AU1770" s="5" t="s">
        <v>10635</v>
      </c>
      <c r="AV1770" s="5" t="s">
        <v>10637</v>
      </c>
    </row>
    <row r="1771" spans="1:48" ht="45" customHeight="1" x14ac:dyDescent="0.15">
      <c r="A1771" s="5" t="s">
        <v>10638</v>
      </c>
      <c r="B1771" s="5">
        <v>2009</v>
      </c>
      <c r="C1771" s="5" t="s">
        <v>10639</v>
      </c>
      <c r="D1771" s="5" t="s">
        <v>27</v>
      </c>
      <c r="E1771" s="5" t="s">
        <v>18453</v>
      </c>
      <c r="F1771" s="5" t="s">
        <v>10642</v>
      </c>
      <c r="G1771" s="5"/>
      <c r="H1771" s="5"/>
      <c r="I1771" s="5"/>
      <c r="J1771" s="5"/>
      <c r="K1771" s="5"/>
      <c r="L1771" s="5"/>
      <c r="M1771" s="5"/>
      <c r="N1771" s="5"/>
      <c r="O1771" s="5"/>
      <c r="P1771" s="5"/>
      <c r="Q1771" s="5"/>
      <c r="AL1771" s="7" t="str">
        <f>HYPERLINK("http://dx.doi.org/10.1890/08-1051.1","http://dx.doi.org/10.1890/08-1051.1")</f>
        <v>http://dx.doi.org/10.1890/08-1051.1</v>
      </c>
      <c r="AM1771" s="5">
        <v>43</v>
      </c>
      <c r="AN1771" s="5">
        <v>45</v>
      </c>
      <c r="AO1771" s="5">
        <v>90</v>
      </c>
      <c r="AP1771" s="5">
        <v>9</v>
      </c>
      <c r="AQ1771" s="5">
        <v>2535</v>
      </c>
      <c r="AR1771" s="5">
        <v>2546</v>
      </c>
      <c r="AS1771" s="5" t="s">
        <v>16</v>
      </c>
      <c r="AT1771" s="5" t="s">
        <v>10640</v>
      </c>
      <c r="AU1771" s="5" t="s">
        <v>10641</v>
      </c>
      <c r="AV1771" s="5" t="s">
        <v>10643</v>
      </c>
    </row>
    <row r="1772" spans="1:48" ht="45" customHeight="1" x14ac:dyDescent="0.15">
      <c r="A1772" s="5" t="s">
        <v>10644</v>
      </c>
      <c r="B1772" s="5">
        <v>2010</v>
      </c>
      <c r="C1772" s="5" t="s">
        <v>10645</v>
      </c>
      <c r="D1772" s="5" t="s">
        <v>190</v>
      </c>
      <c r="E1772" s="5" t="s">
        <v>18453</v>
      </c>
      <c r="F1772" s="5" t="s">
        <v>10648</v>
      </c>
      <c r="G1772" s="5"/>
      <c r="H1772" s="5"/>
      <c r="I1772" s="5"/>
      <c r="J1772" s="5"/>
      <c r="K1772" s="5"/>
      <c r="L1772" s="5"/>
      <c r="M1772" s="5"/>
      <c r="N1772" s="5"/>
      <c r="O1772" s="5"/>
      <c r="P1772" s="5"/>
      <c r="Q1772" s="5"/>
      <c r="AL1772" s="7" t="str">
        <f>HYPERLINK("http://dx.doi.org/10.1007/s10530-010-9703-1","http://dx.doi.org/10.1007/s10530-010-9703-1")</f>
        <v>http://dx.doi.org/10.1007/s10530-010-9703-1</v>
      </c>
      <c r="AM1772" s="5">
        <v>27</v>
      </c>
      <c r="AN1772" s="5">
        <v>27</v>
      </c>
      <c r="AO1772" s="5">
        <v>12</v>
      </c>
      <c r="AP1772" s="5">
        <v>9</v>
      </c>
      <c r="AQ1772" s="5">
        <v>3123</v>
      </c>
      <c r="AR1772" s="5">
        <v>3133</v>
      </c>
      <c r="AS1772" s="5" t="s">
        <v>16</v>
      </c>
      <c r="AT1772" s="5" t="s">
        <v>10646</v>
      </c>
      <c r="AU1772" s="5" t="s">
        <v>10647</v>
      </c>
      <c r="AV1772" s="5" t="s">
        <v>10649</v>
      </c>
    </row>
    <row r="1773" spans="1:48" ht="45" customHeight="1" x14ac:dyDescent="0.15">
      <c r="A1773" s="5" t="s">
        <v>10650</v>
      </c>
      <c r="B1773" s="5">
        <v>2022</v>
      </c>
      <c r="C1773" s="5" t="s">
        <v>10651</v>
      </c>
      <c r="D1773" s="5" t="s">
        <v>27</v>
      </c>
      <c r="E1773" s="5" t="s">
        <v>18453</v>
      </c>
      <c r="F1773" s="5" t="s">
        <v>10654</v>
      </c>
      <c r="G1773" s="5"/>
      <c r="H1773" s="5"/>
      <c r="I1773" s="5"/>
      <c r="J1773" s="5"/>
      <c r="K1773" s="5"/>
      <c r="L1773" s="5"/>
      <c r="M1773" s="5"/>
      <c r="N1773" s="5"/>
      <c r="O1773" s="5"/>
      <c r="P1773" s="5"/>
      <c r="Q1773" s="5"/>
      <c r="AL1773" s="7" t="str">
        <f>HYPERLINK("http://dx.doi.org/10.1002/ecy.3699","http://dx.doi.org/10.1002/ecy.3699")</f>
        <v>http://dx.doi.org/10.1002/ecy.3699</v>
      </c>
      <c r="AM1773" s="5">
        <v>0</v>
      </c>
      <c r="AN1773" s="5">
        <v>0</v>
      </c>
      <c r="AO1773" s="5">
        <v>103</v>
      </c>
      <c r="AP1773" s="5">
        <v>7</v>
      </c>
      <c r="AQ1773" s="5" t="s">
        <v>16</v>
      </c>
      <c r="AR1773" s="5" t="s">
        <v>16</v>
      </c>
      <c r="AS1773" s="5" t="s">
        <v>10655</v>
      </c>
      <c r="AT1773" s="5" t="s">
        <v>10652</v>
      </c>
      <c r="AU1773" s="5" t="s">
        <v>10653</v>
      </c>
      <c r="AV1773" s="5" t="s">
        <v>10656</v>
      </c>
    </row>
    <row r="1774" spans="1:48" ht="45" customHeight="1" x14ac:dyDescent="0.15">
      <c r="A1774" s="5" t="s">
        <v>10657</v>
      </c>
      <c r="B1774" s="5">
        <v>2021</v>
      </c>
      <c r="C1774" s="5" t="s">
        <v>10658</v>
      </c>
      <c r="D1774" s="5" t="s">
        <v>10298</v>
      </c>
      <c r="E1774" s="5" t="s">
        <v>18453</v>
      </c>
      <c r="F1774" s="5" t="s">
        <v>10661</v>
      </c>
      <c r="G1774" s="5"/>
      <c r="H1774" s="5"/>
      <c r="I1774" s="5"/>
      <c r="J1774" s="5"/>
      <c r="K1774" s="5"/>
      <c r="L1774" s="5"/>
      <c r="M1774" s="5"/>
      <c r="N1774" s="5"/>
      <c r="O1774" s="5"/>
      <c r="P1774" s="5"/>
      <c r="Q1774" s="5"/>
      <c r="AL1774" s="7" t="str">
        <f>HYPERLINK("http://dx.doi.org/10.1002/1438-390X.12079","http://dx.doi.org/10.1002/1438-390X.12079")</f>
        <v>http://dx.doi.org/10.1002/1438-390X.12079</v>
      </c>
      <c r="AM1774" s="5">
        <v>2</v>
      </c>
      <c r="AN1774" s="5">
        <v>3</v>
      </c>
      <c r="AO1774" s="5">
        <v>63</v>
      </c>
      <c r="AP1774" s="5">
        <v>2</v>
      </c>
      <c r="AQ1774" s="5">
        <v>177</v>
      </c>
      <c r="AR1774" s="5">
        <v>188</v>
      </c>
      <c r="AS1774" s="5" t="s">
        <v>16</v>
      </c>
      <c r="AT1774" s="5" t="s">
        <v>10659</v>
      </c>
      <c r="AU1774" s="5" t="s">
        <v>10660</v>
      </c>
      <c r="AV1774" s="5" t="s">
        <v>10662</v>
      </c>
    </row>
    <row r="1775" spans="1:48" ht="45" customHeight="1" x14ac:dyDescent="0.15">
      <c r="A1775" s="5" t="s">
        <v>10663</v>
      </c>
      <c r="B1775" s="5">
        <v>2022</v>
      </c>
      <c r="C1775" s="5" t="s">
        <v>10664</v>
      </c>
      <c r="D1775" s="5" t="s">
        <v>49</v>
      </c>
      <c r="E1775" s="5" t="s">
        <v>18453</v>
      </c>
      <c r="F1775" s="5" t="s">
        <v>10667</v>
      </c>
      <c r="G1775" s="5"/>
      <c r="H1775" s="5"/>
      <c r="I1775" s="5"/>
      <c r="J1775" s="5"/>
      <c r="K1775" s="5"/>
      <c r="L1775" s="5"/>
      <c r="M1775" s="5"/>
      <c r="N1775" s="5"/>
      <c r="O1775" s="5"/>
      <c r="P1775" s="5"/>
      <c r="Q1775" s="5"/>
      <c r="AL1775" s="7" t="str">
        <f>HYPERLINK("http://dx.doi.org/10.3354/meps14134","http://dx.doi.org/10.3354/meps14134")</f>
        <v>http://dx.doi.org/10.3354/meps14134</v>
      </c>
      <c r="AM1775" s="5">
        <v>0</v>
      </c>
      <c r="AN1775" s="5">
        <v>0</v>
      </c>
      <c r="AO1775" s="5">
        <v>700</v>
      </c>
      <c r="AP1775" s="5" t="s">
        <v>16</v>
      </c>
      <c r="AQ1775" s="5">
        <v>125</v>
      </c>
      <c r="AR1775" s="5">
        <v>143</v>
      </c>
      <c r="AS1775" s="5" t="s">
        <v>16</v>
      </c>
      <c r="AT1775" s="5" t="s">
        <v>10665</v>
      </c>
      <c r="AU1775" s="5" t="s">
        <v>10666</v>
      </c>
      <c r="AV1775" s="5" t="s">
        <v>10668</v>
      </c>
    </row>
    <row r="1776" spans="1:48" ht="45" customHeight="1" x14ac:dyDescent="0.15">
      <c r="A1776" s="5" t="s">
        <v>10669</v>
      </c>
      <c r="B1776" s="5">
        <v>2003</v>
      </c>
      <c r="C1776" s="5" t="s">
        <v>10670</v>
      </c>
      <c r="D1776" s="5" t="s">
        <v>33</v>
      </c>
      <c r="E1776" s="5" t="s">
        <v>18453</v>
      </c>
      <c r="F1776" s="5" t="s">
        <v>10673</v>
      </c>
      <c r="G1776" s="5"/>
      <c r="H1776" s="5"/>
      <c r="I1776" s="5"/>
      <c r="J1776" s="5"/>
      <c r="K1776" s="5"/>
      <c r="L1776" s="5"/>
      <c r="M1776" s="5"/>
      <c r="N1776" s="5"/>
      <c r="O1776" s="5"/>
      <c r="P1776" s="5"/>
      <c r="Q1776" s="5"/>
      <c r="AL1776" s="7" t="str">
        <f>HYPERLINK("http://dx.doi.org/10.1046/j.1365-2486.2003.00579.x","http://dx.doi.org/10.1046/j.1365-2486.2003.00579.x")</f>
        <v>http://dx.doi.org/10.1046/j.1365-2486.2003.00579.x</v>
      </c>
      <c r="AM1776" s="5">
        <v>57</v>
      </c>
      <c r="AN1776" s="5">
        <v>58</v>
      </c>
      <c r="AO1776" s="5">
        <v>9</v>
      </c>
      <c r="AP1776" s="5">
        <v>3</v>
      </c>
      <c r="AQ1776" s="5">
        <v>452</v>
      </c>
      <c r="AR1776" s="5">
        <v>460</v>
      </c>
      <c r="AS1776" s="5" t="s">
        <v>16</v>
      </c>
      <c r="AT1776" s="5" t="s">
        <v>10671</v>
      </c>
      <c r="AU1776" s="5" t="s">
        <v>10672</v>
      </c>
      <c r="AV1776" s="5" t="s">
        <v>10674</v>
      </c>
    </row>
    <row r="1777" spans="1:48" ht="45" customHeight="1" x14ac:dyDescent="0.15">
      <c r="A1777" s="5" t="s">
        <v>10675</v>
      </c>
      <c r="B1777" s="5">
        <v>2008</v>
      </c>
      <c r="C1777" s="5" t="s">
        <v>10676</v>
      </c>
      <c r="D1777" s="5" t="s">
        <v>49</v>
      </c>
      <c r="E1777" s="5" t="s">
        <v>18453</v>
      </c>
      <c r="F1777" s="5" t="s">
        <v>10679</v>
      </c>
      <c r="G1777" s="5"/>
      <c r="H1777" s="5"/>
      <c r="I1777" s="5"/>
      <c r="J1777" s="5"/>
      <c r="K1777" s="5"/>
      <c r="L1777" s="5"/>
      <c r="M1777" s="5"/>
      <c r="N1777" s="5"/>
      <c r="O1777" s="5"/>
      <c r="P1777" s="5"/>
      <c r="Q1777" s="5"/>
      <c r="AL1777" s="7" t="str">
        <f>HYPERLINK("http://dx.doi.org/10.3354/meps07300","http://dx.doi.org/10.3354/meps07300")</f>
        <v>http://dx.doi.org/10.3354/meps07300</v>
      </c>
      <c r="AM1777" s="5">
        <v>21</v>
      </c>
      <c r="AN1777" s="5">
        <v>23</v>
      </c>
      <c r="AO1777" s="5">
        <v>358</v>
      </c>
      <c r="AP1777" s="5" t="s">
        <v>16</v>
      </c>
      <c r="AQ1777" s="5">
        <v>245</v>
      </c>
      <c r="AR1777" s="5">
        <v>256</v>
      </c>
      <c r="AS1777" s="5" t="s">
        <v>16</v>
      </c>
      <c r="AT1777" s="5" t="s">
        <v>10677</v>
      </c>
      <c r="AU1777" s="5" t="s">
        <v>10678</v>
      </c>
      <c r="AV1777" s="5" t="s">
        <v>10680</v>
      </c>
    </row>
    <row r="1778" spans="1:48" ht="45" customHeight="1" x14ac:dyDescent="0.15">
      <c r="A1778" s="5" t="s">
        <v>10681</v>
      </c>
      <c r="B1778" s="5">
        <v>2019</v>
      </c>
      <c r="C1778" s="5" t="s">
        <v>10682</v>
      </c>
      <c r="D1778" s="5" t="s">
        <v>145</v>
      </c>
      <c r="E1778" s="5" t="s">
        <v>18453</v>
      </c>
      <c r="F1778" s="5" t="s">
        <v>10685</v>
      </c>
      <c r="G1778" s="5"/>
      <c r="H1778" s="5"/>
      <c r="I1778" s="5"/>
      <c r="J1778" s="5"/>
      <c r="K1778" s="5"/>
      <c r="L1778" s="5"/>
      <c r="M1778" s="5"/>
      <c r="N1778" s="5"/>
      <c r="O1778" s="5"/>
      <c r="P1778" s="5"/>
      <c r="Q1778" s="5"/>
      <c r="AL1778" s="7" t="str">
        <f>HYPERLINK("http://dx.doi.org/10.1007/s12080-018-0394-z","http://dx.doi.org/10.1007/s12080-018-0394-z")</f>
        <v>http://dx.doi.org/10.1007/s12080-018-0394-z</v>
      </c>
      <c r="AM1778" s="5">
        <v>5</v>
      </c>
      <c r="AN1778" s="5">
        <v>5</v>
      </c>
      <c r="AO1778" s="5">
        <v>12</v>
      </c>
      <c r="AP1778" s="5">
        <v>3</v>
      </c>
      <c r="AQ1778" s="5">
        <v>285</v>
      </c>
      <c r="AR1778" s="5">
        <v>296</v>
      </c>
      <c r="AS1778" s="5" t="s">
        <v>16</v>
      </c>
      <c r="AT1778" s="5" t="s">
        <v>10683</v>
      </c>
      <c r="AU1778" s="5" t="s">
        <v>10684</v>
      </c>
      <c r="AV1778" s="5" t="s">
        <v>10686</v>
      </c>
    </row>
    <row r="1779" spans="1:48" ht="45" customHeight="1" x14ac:dyDescent="0.15">
      <c r="A1779" s="5" t="s">
        <v>10687</v>
      </c>
      <c r="B1779" s="5">
        <v>2014</v>
      </c>
      <c r="C1779" s="5" t="s">
        <v>10688</v>
      </c>
      <c r="D1779" s="5" t="s">
        <v>973</v>
      </c>
      <c r="E1779" s="5" t="s">
        <v>18453</v>
      </c>
      <c r="F1779" s="5" t="s">
        <v>10690</v>
      </c>
      <c r="G1779" s="5"/>
      <c r="H1779" s="5"/>
      <c r="I1779" s="5"/>
      <c r="J1779" s="5"/>
      <c r="K1779" s="5"/>
      <c r="L1779" s="5"/>
      <c r="M1779" s="5"/>
      <c r="N1779" s="5"/>
      <c r="O1779" s="5"/>
      <c r="P1779" s="5"/>
      <c r="Q1779" s="5"/>
      <c r="AL1779" s="7" t="str">
        <f>HYPERLINK("http://dx.doi.org/10.5194/bg-11-6147-2014","http://dx.doi.org/10.5194/bg-11-6147-2014")</f>
        <v>http://dx.doi.org/10.5194/bg-11-6147-2014</v>
      </c>
      <c r="AM1779" s="5">
        <v>25</v>
      </c>
      <c r="AN1779" s="5">
        <v>28</v>
      </c>
      <c r="AO1779" s="5">
        <v>11</v>
      </c>
      <c r="AP1779" s="5">
        <v>21</v>
      </c>
      <c r="AQ1779" s="5">
        <v>6147</v>
      </c>
      <c r="AR1779" s="5">
        <v>6157</v>
      </c>
      <c r="AS1779" s="5" t="s">
        <v>16</v>
      </c>
      <c r="AT1779" s="5" t="s">
        <v>16</v>
      </c>
      <c r="AU1779" s="5" t="s">
        <v>10689</v>
      </c>
      <c r="AV1779" s="5" t="s">
        <v>10691</v>
      </c>
    </row>
    <row r="1780" spans="1:48" ht="45" customHeight="1" x14ac:dyDescent="0.15">
      <c r="A1780" s="5" t="s">
        <v>10692</v>
      </c>
      <c r="B1780" s="5">
        <v>2018</v>
      </c>
      <c r="C1780" s="5" t="s">
        <v>10693</v>
      </c>
      <c r="D1780" s="5" t="s">
        <v>3939</v>
      </c>
      <c r="E1780" s="5" t="s">
        <v>18453</v>
      </c>
      <c r="F1780" s="5" t="s">
        <v>10696</v>
      </c>
      <c r="G1780" s="5"/>
      <c r="H1780" s="5"/>
      <c r="I1780" s="5"/>
      <c r="J1780" s="5"/>
      <c r="K1780" s="5"/>
      <c r="L1780" s="5"/>
      <c r="M1780" s="5"/>
      <c r="N1780" s="5"/>
      <c r="O1780" s="5"/>
      <c r="P1780" s="5"/>
      <c r="Q1780" s="5"/>
      <c r="AL1780" s="7" t="str">
        <f>HYPERLINK("http://dx.doi.org/10.1016/j.landurbplan.2018.07.002","http://dx.doi.org/10.1016/j.landurbplan.2018.07.002")</f>
        <v>http://dx.doi.org/10.1016/j.landurbplan.2018.07.002</v>
      </c>
      <c r="AM1780" s="5">
        <v>17</v>
      </c>
      <c r="AN1780" s="5">
        <v>18</v>
      </c>
      <c r="AO1780" s="5">
        <v>179</v>
      </c>
      <c r="AP1780" s="5" t="s">
        <v>16</v>
      </c>
      <c r="AQ1780" s="5">
        <v>1</v>
      </c>
      <c r="AR1780" s="5">
        <v>16</v>
      </c>
      <c r="AS1780" s="5" t="s">
        <v>16</v>
      </c>
      <c r="AT1780" s="5" t="s">
        <v>10694</v>
      </c>
      <c r="AU1780" s="5" t="s">
        <v>10695</v>
      </c>
      <c r="AV1780" s="5" t="s">
        <v>10697</v>
      </c>
    </row>
    <row r="1781" spans="1:48" ht="45" customHeight="1" x14ac:dyDescent="0.15">
      <c r="A1781" s="5" t="s">
        <v>10698</v>
      </c>
      <c r="B1781" s="5">
        <v>2013</v>
      </c>
      <c r="C1781" s="5" t="s">
        <v>10699</v>
      </c>
      <c r="D1781" s="5" t="s">
        <v>17</v>
      </c>
      <c r="E1781" s="5" t="s">
        <v>18453</v>
      </c>
      <c r="F1781" s="5" t="s">
        <v>10702</v>
      </c>
      <c r="G1781" s="5"/>
      <c r="H1781" s="5"/>
      <c r="I1781" s="5"/>
      <c r="J1781" s="5"/>
      <c r="K1781" s="5"/>
      <c r="L1781" s="5"/>
      <c r="M1781" s="5"/>
      <c r="N1781" s="5"/>
      <c r="O1781" s="5"/>
      <c r="P1781" s="5"/>
      <c r="Q1781" s="5"/>
      <c r="AL1781" s="7" t="str">
        <f>HYPERLINK("http://dx.doi.org/10.1111/fwb.12139","http://dx.doi.org/10.1111/fwb.12139")</f>
        <v>http://dx.doi.org/10.1111/fwb.12139</v>
      </c>
      <c r="AM1781" s="5">
        <v>3</v>
      </c>
      <c r="AN1781" s="5">
        <v>4</v>
      </c>
      <c r="AO1781" s="5">
        <v>58</v>
      </c>
      <c r="AP1781" s="5">
        <v>7</v>
      </c>
      <c r="AQ1781" s="5">
        <v>1425</v>
      </c>
      <c r="AR1781" s="5">
        <v>1435</v>
      </c>
      <c r="AS1781" s="5" t="s">
        <v>16</v>
      </c>
      <c r="AT1781" s="5" t="s">
        <v>10700</v>
      </c>
      <c r="AU1781" s="5" t="s">
        <v>10701</v>
      </c>
      <c r="AV1781" s="5" t="s">
        <v>10703</v>
      </c>
    </row>
    <row r="1782" spans="1:48" ht="45" customHeight="1" x14ac:dyDescent="0.15">
      <c r="A1782" s="5" t="s">
        <v>10704</v>
      </c>
      <c r="B1782" s="5">
        <v>2014</v>
      </c>
      <c r="C1782" s="5" t="s">
        <v>10705</v>
      </c>
      <c r="D1782" s="5" t="s">
        <v>17</v>
      </c>
      <c r="E1782" s="5" t="s">
        <v>18453</v>
      </c>
      <c r="F1782" s="5" t="s">
        <v>10708</v>
      </c>
      <c r="G1782" s="5"/>
      <c r="H1782" s="5"/>
      <c r="I1782" s="5"/>
      <c r="J1782" s="5"/>
      <c r="K1782" s="5"/>
      <c r="L1782" s="5"/>
      <c r="M1782" s="5"/>
      <c r="N1782" s="5"/>
      <c r="O1782" s="5"/>
      <c r="P1782" s="5"/>
      <c r="Q1782" s="5"/>
      <c r="AL1782" s="7" t="str">
        <f>HYPERLINK("http://dx.doi.org/10.1111/fwb.12325","http://dx.doi.org/10.1111/fwb.12325")</f>
        <v>http://dx.doi.org/10.1111/fwb.12325</v>
      </c>
      <c r="AM1782" s="5">
        <v>8</v>
      </c>
      <c r="AN1782" s="5">
        <v>8</v>
      </c>
      <c r="AO1782" s="5">
        <v>59</v>
      </c>
      <c r="AP1782" s="5">
        <v>5</v>
      </c>
      <c r="AQ1782" s="5">
        <v>1026</v>
      </c>
      <c r="AR1782" s="5">
        <v>1038</v>
      </c>
      <c r="AS1782" s="5" t="s">
        <v>16</v>
      </c>
      <c r="AT1782" s="5" t="s">
        <v>10706</v>
      </c>
      <c r="AU1782" s="5" t="s">
        <v>10707</v>
      </c>
      <c r="AV1782" s="5" t="s">
        <v>10709</v>
      </c>
    </row>
    <row r="1783" spans="1:48" ht="45" customHeight="1" x14ac:dyDescent="0.15">
      <c r="A1783" s="5" t="s">
        <v>10710</v>
      </c>
      <c r="B1783" s="5">
        <v>2007</v>
      </c>
      <c r="C1783" s="5" t="s">
        <v>10711</v>
      </c>
      <c r="D1783" s="5" t="s">
        <v>295</v>
      </c>
      <c r="E1783" s="5" t="s">
        <v>18453</v>
      </c>
      <c r="F1783" s="5" t="s">
        <v>10714</v>
      </c>
      <c r="G1783" s="5"/>
      <c r="H1783" s="5"/>
      <c r="I1783" s="5"/>
      <c r="J1783" s="5"/>
      <c r="K1783" s="5"/>
      <c r="L1783" s="5"/>
      <c r="M1783" s="5"/>
      <c r="N1783" s="5"/>
      <c r="O1783" s="5"/>
      <c r="P1783" s="5"/>
      <c r="Q1783" s="5"/>
      <c r="AL1783" s="7" t="str">
        <f>HYPERLINK("http://dx.doi.org/10.1016/j.jembe.2007.07.007","http://dx.doi.org/10.1016/j.jembe.2007.07.007")</f>
        <v>http://dx.doi.org/10.1016/j.jembe.2007.07.007</v>
      </c>
      <c r="AM1783" s="5">
        <v>110</v>
      </c>
      <c r="AN1783" s="5">
        <v>112</v>
      </c>
      <c r="AO1783" s="5">
        <v>352</v>
      </c>
      <c r="AP1783" s="5">
        <v>1</v>
      </c>
      <c r="AQ1783" s="5">
        <v>165</v>
      </c>
      <c r="AR1783" s="5">
        <v>176</v>
      </c>
      <c r="AS1783" s="5" t="s">
        <v>16</v>
      </c>
      <c r="AT1783" s="5" t="s">
        <v>10712</v>
      </c>
      <c r="AU1783" s="5" t="s">
        <v>10713</v>
      </c>
      <c r="AV1783" s="5" t="s">
        <v>10715</v>
      </c>
    </row>
    <row r="1784" spans="1:48" ht="45" customHeight="1" x14ac:dyDescent="0.15">
      <c r="A1784" s="5" t="s">
        <v>10716</v>
      </c>
      <c r="B1784" s="5">
        <v>2009</v>
      </c>
      <c r="C1784" s="5" t="s">
        <v>10717</v>
      </c>
      <c r="D1784" s="5" t="s">
        <v>295</v>
      </c>
      <c r="E1784" s="5" t="s">
        <v>18453</v>
      </c>
      <c r="F1784" s="5" t="s">
        <v>10720</v>
      </c>
      <c r="G1784" s="5"/>
      <c r="H1784" s="5"/>
      <c r="I1784" s="5"/>
      <c r="J1784" s="5"/>
      <c r="K1784" s="5"/>
      <c r="L1784" s="5"/>
      <c r="M1784" s="5"/>
      <c r="N1784" s="5"/>
      <c r="O1784" s="5"/>
      <c r="P1784" s="5"/>
      <c r="Q1784" s="5"/>
      <c r="AL1784" s="7" t="str">
        <f>HYPERLINK("http://dx.doi.org/10.1016/j.jembe.2009.08.018","http://dx.doi.org/10.1016/j.jembe.2009.08.018")</f>
        <v>http://dx.doi.org/10.1016/j.jembe.2009.08.018</v>
      </c>
      <c r="AM1784" s="5">
        <v>31</v>
      </c>
      <c r="AN1784" s="5">
        <v>33</v>
      </c>
      <c r="AO1784" s="5">
        <v>381</v>
      </c>
      <c r="AP1784" s="5">
        <v>1</v>
      </c>
      <c r="AQ1784" s="5">
        <v>33</v>
      </c>
      <c r="AR1784" s="5">
        <v>41</v>
      </c>
      <c r="AS1784" s="5" t="s">
        <v>16</v>
      </c>
      <c r="AT1784" s="5" t="s">
        <v>10718</v>
      </c>
      <c r="AU1784" s="5" t="s">
        <v>10719</v>
      </c>
      <c r="AV1784" s="5" t="s">
        <v>10721</v>
      </c>
    </row>
    <row r="1785" spans="1:48" ht="45" customHeight="1" x14ac:dyDescent="0.15">
      <c r="A1785" s="5" t="s">
        <v>10722</v>
      </c>
      <c r="B1785" s="5">
        <v>2018</v>
      </c>
      <c r="C1785" s="5" t="s">
        <v>10723</v>
      </c>
      <c r="D1785" s="5" t="s">
        <v>7935</v>
      </c>
      <c r="E1785" s="5" t="s">
        <v>18453</v>
      </c>
      <c r="F1785" s="5" t="s">
        <v>10726</v>
      </c>
      <c r="G1785" s="5"/>
      <c r="H1785" s="5"/>
      <c r="I1785" s="5"/>
      <c r="J1785" s="5"/>
      <c r="K1785" s="5"/>
      <c r="L1785" s="5"/>
      <c r="M1785" s="5"/>
      <c r="N1785" s="5"/>
      <c r="O1785" s="5"/>
      <c r="P1785" s="5"/>
      <c r="Q1785" s="5"/>
      <c r="AL1785" s="7" t="str">
        <f>HYPERLINK("http://dx.doi.org/10.3996/012018-JFWM-007","http://dx.doi.org/10.3996/012018-JFWM-007")</f>
        <v>http://dx.doi.org/10.3996/012018-JFWM-007</v>
      </c>
      <c r="AM1785" s="5">
        <v>1</v>
      </c>
      <c r="AN1785" s="5">
        <v>1</v>
      </c>
      <c r="AO1785" s="5">
        <v>9</v>
      </c>
      <c r="AP1785" s="5">
        <v>2</v>
      </c>
      <c r="AQ1785" s="5">
        <v>475</v>
      </c>
      <c r="AR1785" s="5">
        <v>484</v>
      </c>
      <c r="AS1785" s="5" t="s">
        <v>16</v>
      </c>
      <c r="AT1785" s="5" t="s">
        <v>10724</v>
      </c>
      <c r="AU1785" s="5" t="s">
        <v>10725</v>
      </c>
      <c r="AV1785" s="5" t="s">
        <v>10727</v>
      </c>
    </row>
    <row r="1786" spans="1:48" ht="45" customHeight="1" x14ac:dyDescent="0.15">
      <c r="A1786" s="5" t="s">
        <v>9579</v>
      </c>
      <c r="B1786" s="5">
        <v>2011</v>
      </c>
      <c r="C1786" s="5" t="s">
        <v>10728</v>
      </c>
      <c r="D1786" s="5" t="s">
        <v>116</v>
      </c>
      <c r="E1786" s="5" t="s">
        <v>18453</v>
      </c>
      <c r="F1786" s="5" t="s">
        <v>10731</v>
      </c>
      <c r="G1786" s="5"/>
      <c r="H1786" s="5"/>
      <c r="I1786" s="5"/>
      <c r="J1786" s="5"/>
      <c r="K1786" s="5"/>
      <c r="L1786" s="5"/>
      <c r="M1786" s="5"/>
      <c r="N1786" s="5"/>
      <c r="O1786" s="5"/>
      <c r="P1786" s="5"/>
      <c r="Q1786" s="5"/>
      <c r="AL1786" s="7" t="str">
        <f>HYPERLINK("http://dx.doi.org/10.1007/s10641-010-9706-x","http://dx.doi.org/10.1007/s10641-010-9706-x")</f>
        <v>http://dx.doi.org/10.1007/s10641-010-9706-x</v>
      </c>
      <c r="AM1786" s="5">
        <v>18</v>
      </c>
      <c r="AN1786" s="5">
        <v>22</v>
      </c>
      <c r="AO1786" s="5">
        <v>90</v>
      </c>
      <c r="AP1786" s="5">
        <v>1</v>
      </c>
      <c r="AQ1786" s="5">
        <v>1</v>
      </c>
      <c r="AR1786" s="5">
        <v>17</v>
      </c>
      <c r="AS1786" s="5" t="s">
        <v>16</v>
      </c>
      <c r="AT1786" s="5" t="s">
        <v>10729</v>
      </c>
      <c r="AU1786" s="5" t="s">
        <v>10730</v>
      </c>
      <c r="AV1786" s="5" t="s">
        <v>10732</v>
      </c>
    </row>
    <row r="1787" spans="1:48" ht="45" customHeight="1" x14ac:dyDescent="0.15">
      <c r="A1787" s="5" t="s">
        <v>10733</v>
      </c>
      <c r="B1787" s="5">
        <v>2023</v>
      </c>
      <c r="C1787" s="5" t="s">
        <v>10734</v>
      </c>
      <c r="D1787" s="5" t="s">
        <v>44</v>
      </c>
      <c r="E1787" s="5" t="s">
        <v>18453</v>
      </c>
      <c r="F1787" s="5" t="s">
        <v>10737</v>
      </c>
      <c r="G1787" s="5"/>
      <c r="H1787" s="5"/>
      <c r="I1787" s="5"/>
      <c r="J1787" s="5"/>
      <c r="K1787" s="5"/>
      <c r="L1787" s="5"/>
      <c r="M1787" s="5"/>
      <c r="N1787" s="5"/>
      <c r="O1787" s="5"/>
      <c r="P1787" s="5"/>
      <c r="Q1787" s="5"/>
      <c r="AL1787" s="7" t="str">
        <f>HYPERLINK("http://dx.doi.org/10.3389/fevo.2023.1058985","http://dx.doi.org/10.3389/fevo.2023.1058985")</f>
        <v>http://dx.doi.org/10.3389/fevo.2023.1058985</v>
      </c>
      <c r="AM1787" s="5">
        <v>0</v>
      </c>
      <c r="AN1787" s="5">
        <v>0</v>
      </c>
      <c r="AO1787" s="5">
        <v>11</v>
      </c>
      <c r="AP1787" s="5" t="s">
        <v>16</v>
      </c>
      <c r="AQ1787" s="5" t="s">
        <v>16</v>
      </c>
      <c r="AR1787" s="5" t="s">
        <v>16</v>
      </c>
      <c r="AS1787" s="5">
        <v>1058985</v>
      </c>
      <c r="AT1787" s="5" t="s">
        <v>10735</v>
      </c>
      <c r="AU1787" s="5" t="s">
        <v>10736</v>
      </c>
      <c r="AV1787" s="5" t="s">
        <v>10738</v>
      </c>
    </row>
    <row r="1788" spans="1:48" ht="45" customHeight="1" x14ac:dyDescent="0.15">
      <c r="A1788" s="5" t="s">
        <v>10739</v>
      </c>
      <c r="B1788" s="5">
        <v>2015</v>
      </c>
      <c r="C1788" s="5" t="s">
        <v>10740</v>
      </c>
      <c r="D1788" s="5" t="s">
        <v>49</v>
      </c>
      <c r="E1788" s="5" t="s">
        <v>18453</v>
      </c>
      <c r="F1788" s="5" t="s">
        <v>10743</v>
      </c>
      <c r="G1788" s="5"/>
      <c r="H1788" s="5"/>
      <c r="I1788" s="5"/>
      <c r="J1788" s="5"/>
      <c r="K1788" s="5"/>
      <c r="L1788" s="5"/>
      <c r="M1788" s="5"/>
      <c r="N1788" s="5"/>
      <c r="O1788" s="5"/>
      <c r="P1788" s="5"/>
      <c r="Q1788" s="5"/>
      <c r="AL1788" s="7" t="str">
        <f>HYPERLINK("http://dx.doi.org/10.3354/meps11216","http://dx.doi.org/10.3354/meps11216")</f>
        <v>http://dx.doi.org/10.3354/meps11216</v>
      </c>
      <c r="AM1788" s="5">
        <v>20</v>
      </c>
      <c r="AN1788" s="5">
        <v>20</v>
      </c>
      <c r="AO1788" s="5">
        <v>528</v>
      </c>
      <c r="AP1788" s="5" t="s">
        <v>16</v>
      </c>
      <c r="AQ1788" s="5">
        <v>19</v>
      </c>
      <c r="AR1788" s="5">
        <v>37</v>
      </c>
      <c r="AS1788" s="5" t="s">
        <v>16</v>
      </c>
      <c r="AT1788" s="5" t="s">
        <v>10741</v>
      </c>
      <c r="AU1788" s="5" t="s">
        <v>10742</v>
      </c>
      <c r="AV1788" s="5" t="s">
        <v>10744</v>
      </c>
    </row>
    <row r="1789" spans="1:48" ht="45" customHeight="1" x14ac:dyDescent="0.15">
      <c r="A1789" s="5" t="s">
        <v>10745</v>
      </c>
      <c r="B1789" s="5">
        <v>2018</v>
      </c>
      <c r="C1789" s="5" t="s">
        <v>10746</v>
      </c>
      <c r="D1789" s="5" t="s">
        <v>172</v>
      </c>
      <c r="E1789" s="5" t="s">
        <v>18453</v>
      </c>
      <c r="F1789" s="5" t="s">
        <v>10749</v>
      </c>
      <c r="G1789" s="5"/>
      <c r="H1789" s="5"/>
      <c r="I1789" s="5"/>
      <c r="J1789" s="5"/>
      <c r="K1789" s="5"/>
      <c r="L1789" s="5"/>
      <c r="M1789" s="5"/>
      <c r="N1789" s="5"/>
      <c r="O1789" s="5"/>
      <c r="P1789" s="5"/>
      <c r="Q1789" s="5"/>
      <c r="AL1789" s="7" t="str">
        <f>HYPERLINK("http://dx.doi.org/10.1007/s00442-018-4142-2","http://dx.doi.org/10.1007/s00442-018-4142-2")</f>
        <v>http://dx.doi.org/10.1007/s00442-018-4142-2</v>
      </c>
      <c r="AM1789" s="5">
        <v>4</v>
      </c>
      <c r="AN1789" s="5">
        <v>5</v>
      </c>
      <c r="AO1789" s="5">
        <v>187</v>
      </c>
      <c r="AP1789" s="5">
        <v>3</v>
      </c>
      <c r="AQ1789" s="5">
        <v>731</v>
      </c>
      <c r="AR1789" s="5">
        <v>744</v>
      </c>
      <c r="AS1789" s="5" t="s">
        <v>16</v>
      </c>
      <c r="AT1789" s="5" t="s">
        <v>10747</v>
      </c>
      <c r="AU1789" s="5" t="s">
        <v>10748</v>
      </c>
      <c r="AV1789" s="5" t="s">
        <v>10750</v>
      </c>
    </row>
    <row r="1790" spans="1:48" ht="45" customHeight="1" x14ac:dyDescent="0.15">
      <c r="A1790" s="5" t="s">
        <v>10751</v>
      </c>
      <c r="B1790" s="5">
        <v>2023</v>
      </c>
      <c r="C1790" s="5" t="s">
        <v>10752</v>
      </c>
      <c r="D1790" s="5" t="s">
        <v>33</v>
      </c>
      <c r="E1790" s="5" t="s">
        <v>18453</v>
      </c>
      <c r="F1790" s="5" t="s">
        <v>10755</v>
      </c>
      <c r="G1790" s="5"/>
      <c r="H1790" s="5"/>
      <c r="I1790" s="5"/>
      <c r="J1790" s="5"/>
      <c r="K1790" s="5"/>
      <c r="L1790" s="5"/>
      <c r="M1790" s="5"/>
      <c r="N1790" s="5"/>
      <c r="O1790" s="5"/>
      <c r="P1790" s="5"/>
      <c r="Q1790" s="5"/>
      <c r="AL1790" s="7" t="str">
        <f>HYPERLINK("http://dx.doi.org/10.1111/gcb.16447","http://dx.doi.org/10.1111/gcb.16447")</f>
        <v>http://dx.doi.org/10.1111/gcb.16447</v>
      </c>
      <c r="AM1790" s="5">
        <v>0</v>
      </c>
      <c r="AN1790" s="5">
        <v>0</v>
      </c>
      <c r="AO1790" s="5">
        <v>29</v>
      </c>
      <c r="AP1790" s="5">
        <v>1</v>
      </c>
      <c r="AQ1790" s="5">
        <v>189</v>
      </c>
      <c r="AR1790" s="5">
        <v>205</v>
      </c>
      <c r="AS1790" s="5" t="s">
        <v>16</v>
      </c>
      <c r="AT1790" s="5" t="s">
        <v>10753</v>
      </c>
      <c r="AU1790" s="5" t="s">
        <v>10754</v>
      </c>
      <c r="AV1790" s="5" t="s">
        <v>10756</v>
      </c>
    </row>
    <row r="1791" spans="1:48" ht="45" customHeight="1" x14ac:dyDescent="0.15">
      <c r="A1791" s="5" t="s">
        <v>10757</v>
      </c>
      <c r="B1791" s="5">
        <v>2021</v>
      </c>
      <c r="C1791" s="5" t="s">
        <v>10758</v>
      </c>
      <c r="D1791" s="5" t="s">
        <v>6683</v>
      </c>
      <c r="E1791" s="5" t="s">
        <v>18453</v>
      </c>
      <c r="F1791" s="5" t="s">
        <v>10760</v>
      </c>
      <c r="G1791" s="5"/>
      <c r="H1791" s="5"/>
      <c r="I1791" s="5"/>
      <c r="J1791" s="5"/>
      <c r="K1791" s="5"/>
      <c r="L1791" s="5"/>
      <c r="M1791" s="5"/>
      <c r="N1791" s="5"/>
      <c r="O1791" s="5"/>
      <c r="P1791" s="5"/>
      <c r="Q1791" s="5"/>
      <c r="AL1791" s="7" t="str">
        <f>HYPERLINK("http://dx.doi.org/10.1038/s41559-021-01401-7","http://dx.doi.org/10.1038/s41559-021-01401-7")</f>
        <v>http://dx.doi.org/10.1038/s41559-021-01401-7</v>
      </c>
      <c r="AM1791" s="5">
        <v>28</v>
      </c>
      <c r="AN1791" s="5">
        <v>29</v>
      </c>
      <c r="AO1791" s="5">
        <v>5</v>
      </c>
      <c r="AP1791" s="5">
        <v>4</v>
      </c>
      <c r="AQ1791" s="5">
        <v>504</v>
      </c>
      <c r="AR1791" s="5" t="s">
        <v>260</v>
      </c>
      <c r="AS1791" s="5" t="s">
        <v>16</v>
      </c>
      <c r="AT1791" s="5" t="s">
        <v>16</v>
      </c>
      <c r="AU1791" s="5" t="s">
        <v>10759</v>
      </c>
      <c r="AV1791" s="5" t="s">
        <v>10761</v>
      </c>
    </row>
    <row r="1792" spans="1:48" ht="45" customHeight="1" x14ac:dyDescent="0.15">
      <c r="A1792" s="5" t="s">
        <v>10762</v>
      </c>
      <c r="B1792" s="5">
        <v>2023</v>
      </c>
      <c r="C1792" s="5" t="s">
        <v>10763</v>
      </c>
      <c r="D1792" s="5" t="s">
        <v>2087</v>
      </c>
      <c r="E1792" s="5" t="s">
        <v>18453</v>
      </c>
      <c r="F1792" s="5" t="s">
        <v>10766</v>
      </c>
      <c r="G1792" s="5"/>
      <c r="H1792" s="5"/>
      <c r="I1792" s="5"/>
      <c r="J1792" s="5"/>
      <c r="K1792" s="5"/>
      <c r="L1792" s="5"/>
      <c r="M1792" s="5"/>
      <c r="N1792" s="5"/>
      <c r="O1792" s="5"/>
      <c r="P1792" s="5"/>
      <c r="Q1792" s="5"/>
      <c r="AL1792" s="7" t="str">
        <f>HYPERLINK("http://dx.doi.org/10.1002/eco.2540","http://dx.doi.org/10.1002/eco.2540")</f>
        <v>http://dx.doi.org/10.1002/eco.2540</v>
      </c>
      <c r="AM1792" s="5">
        <v>0</v>
      </c>
      <c r="AN1792" s="5">
        <v>0</v>
      </c>
      <c r="AO1792" s="5" t="s">
        <v>16</v>
      </c>
      <c r="AP1792" s="5" t="s">
        <v>16</v>
      </c>
      <c r="AQ1792" s="5" t="s">
        <v>16</v>
      </c>
      <c r="AR1792" s="5" t="s">
        <v>16</v>
      </c>
      <c r="AS1792" s="5" t="s">
        <v>16</v>
      </c>
      <c r="AT1792" s="5" t="s">
        <v>10764</v>
      </c>
      <c r="AU1792" s="5" t="s">
        <v>10765</v>
      </c>
      <c r="AV1792" s="5" t="s">
        <v>10767</v>
      </c>
    </row>
    <row r="1793" spans="1:48" ht="45" customHeight="1" x14ac:dyDescent="0.15">
      <c r="A1793" s="5" t="s">
        <v>10768</v>
      </c>
      <c r="B1793" s="5">
        <v>2018</v>
      </c>
      <c r="C1793" s="5" t="s">
        <v>10769</v>
      </c>
      <c r="D1793" s="5" t="s">
        <v>116</v>
      </c>
      <c r="E1793" s="5" t="s">
        <v>18453</v>
      </c>
      <c r="F1793" s="5" t="s">
        <v>10772</v>
      </c>
      <c r="G1793" s="5"/>
      <c r="H1793" s="5"/>
      <c r="I1793" s="5"/>
      <c r="J1793" s="5"/>
      <c r="K1793" s="5"/>
      <c r="L1793" s="5"/>
      <c r="M1793" s="5"/>
      <c r="N1793" s="5"/>
      <c r="O1793" s="5"/>
      <c r="P1793" s="5"/>
      <c r="Q1793" s="5"/>
      <c r="AL1793" s="7" t="str">
        <f>HYPERLINK("http://dx.doi.org/10.1007/s10641-017-0706-y","http://dx.doi.org/10.1007/s10641-017-0706-y")</f>
        <v>http://dx.doi.org/10.1007/s10641-017-0706-y</v>
      </c>
      <c r="AM1793" s="5">
        <v>18</v>
      </c>
      <c r="AN1793" s="5">
        <v>18</v>
      </c>
      <c r="AO1793" s="5">
        <v>101</v>
      </c>
      <c r="AP1793" s="5">
        <v>3</v>
      </c>
      <c r="AQ1793" s="5">
        <v>403</v>
      </c>
      <c r="AR1793" s="5">
        <v>415</v>
      </c>
      <c r="AS1793" s="5" t="s">
        <v>16</v>
      </c>
      <c r="AT1793" s="5" t="s">
        <v>10770</v>
      </c>
      <c r="AU1793" s="5" t="s">
        <v>10771</v>
      </c>
      <c r="AV1793" s="5" t="s">
        <v>10773</v>
      </c>
    </row>
    <row r="1794" spans="1:48" ht="45" customHeight="1" x14ac:dyDescent="0.15">
      <c r="A1794" s="5" t="s">
        <v>10774</v>
      </c>
      <c r="B1794" s="5">
        <v>2016</v>
      </c>
      <c r="C1794" s="5" t="s">
        <v>10775</v>
      </c>
      <c r="D1794" s="5" t="s">
        <v>15</v>
      </c>
      <c r="E1794" s="5" t="s">
        <v>18453</v>
      </c>
      <c r="F1794" s="5" t="s">
        <v>10778</v>
      </c>
      <c r="G1794" s="5"/>
      <c r="H1794" s="5"/>
      <c r="I1794" s="5"/>
      <c r="J1794" s="5"/>
      <c r="K1794" s="5"/>
      <c r="L1794" s="5"/>
      <c r="M1794" s="5"/>
      <c r="N1794" s="5"/>
      <c r="O1794" s="5"/>
      <c r="P1794" s="5"/>
      <c r="Q1794" s="5"/>
      <c r="AL1794" s="7" t="str">
        <f>HYPERLINK("http://dx.doi.org/10.1002/ece3.2328","http://dx.doi.org/10.1002/ece3.2328")</f>
        <v>http://dx.doi.org/10.1002/ece3.2328</v>
      </c>
      <c r="AM1794" s="5">
        <v>9</v>
      </c>
      <c r="AN1794" s="5">
        <v>9</v>
      </c>
      <c r="AO1794" s="5">
        <v>6</v>
      </c>
      <c r="AP1794" s="5">
        <v>19</v>
      </c>
      <c r="AQ1794" s="5">
        <v>7141</v>
      </c>
      <c r="AR1794" s="5">
        <v>7155</v>
      </c>
      <c r="AS1794" s="5" t="s">
        <v>16</v>
      </c>
      <c r="AT1794" s="5" t="s">
        <v>10776</v>
      </c>
      <c r="AU1794" s="5" t="s">
        <v>10777</v>
      </c>
      <c r="AV1794" s="5" t="s">
        <v>10779</v>
      </c>
    </row>
    <row r="1795" spans="1:48" ht="45" customHeight="1" x14ac:dyDescent="0.15">
      <c r="A1795" s="5" t="s">
        <v>10780</v>
      </c>
      <c r="B1795" s="5">
        <v>2011</v>
      </c>
      <c r="C1795" s="5" t="s">
        <v>10781</v>
      </c>
      <c r="D1795" s="5" t="s">
        <v>7759</v>
      </c>
      <c r="E1795" s="5" t="s">
        <v>18453</v>
      </c>
      <c r="F1795" s="5" t="s">
        <v>10784</v>
      </c>
      <c r="G1795" s="5"/>
      <c r="H1795" s="5"/>
      <c r="I1795" s="5"/>
      <c r="J1795" s="5"/>
      <c r="K1795" s="5"/>
      <c r="L1795" s="5"/>
      <c r="M1795" s="5"/>
      <c r="N1795" s="5"/>
      <c r="O1795" s="5"/>
      <c r="P1795" s="5"/>
      <c r="Q1795" s="5"/>
      <c r="AL1795" s="7" t="str">
        <f>HYPERLINK("http://dx.doi.org/10.1007/s11258-010-9838-2","http://dx.doi.org/10.1007/s11258-010-9838-2")</f>
        <v>http://dx.doi.org/10.1007/s11258-010-9838-2</v>
      </c>
      <c r="AM1795" s="5">
        <v>6</v>
      </c>
      <c r="AN1795" s="5">
        <v>6</v>
      </c>
      <c r="AO1795" s="5">
        <v>212</v>
      </c>
      <c r="AP1795" s="5">
        <v>3</v>
      </c>
      <c r="AQ1795" s="5">
        <v>471</v>
      </c>
      <c r="AR1795" s="5">
        <v>481</v>
      </c>
      <c r="AS1795" s="5" t="s">
        <v>16</v>
      </c>
      <c r="AT1795" s="5" t="s">
        <v>10782</v>
      </c>
      <c r="AU1795" s="5" t="s">
        <v>10783</v>
      </c>
      <c r="AV1795" s="5" t="s">
        <v>10785</v>
      </c>
    </row>
    <row r="1796" spans="1:48" ht="45" customHeight="1" x14ac:dyDescent="0.15">
      <c r="A1796" s="5" t="s">
        <v>10786</v>
      </c>
      <c r="B1796" s="5">
        <v>2015</v>
      </c>
      <c r="C1796" s="5" t="s">
        <v>10787</v>
      </c>
      <c r="D1796" s="5" t="s">
        <v>62</v>
      </c>
      <c r="E1796" s="5" t="s">
        <v>18453</v>
      </c>
      <c r="F1796" s="5" t="s">
        <v>10790</v>
      </c>
      <c r="G1796" s="5"/>
      <c r="H1796" s="5"/>
      <c r="I1796" s="5"/>
      <c r="J1796" s="5"/>
      <c r="K1796" s="5"/>
      <c r="L1796" s="5"/>
      <c r="M1796" s="5"/>
      <c r="N1796" s="5"/>
      <c r="O1796" s="5"/>
      <c r="P1796" s="5"/>
      <c r="Q1796" s="5"/>
      <c r="AL1796" s="7" t="str">
        <f>HYPERLINK("http://dx.doi.org/10.1007/s10021-015-9852-2","http://dx.doi.org/10.1007/s10021-015-9852-2")</f>
        <v>http://dx.doi.org/10.1007/s10021-015-9852-2</v>
      </c>
      <c r="AM1796" s="5">
        <v>10</v>
      </c>
      <c r="AN1796" s="5">
        <v>13</v>
      </c>
      <c r="AO1796" s="5">
        <v>18</v>
      </c>
      <c r="AP1796" s="5">
        <v>4</v>
      </c>
      <c r="AQ1796" s="5">
        <v>629</v>
      </c>
      <c r="AR1796" s="5">
        <v>642</v>
      </c>
      <c r="AS1796" s="5" t="s">
        <v>16</v>
      </c>
      <c r="AT1796" s="5" t="s">
        <v>10788</v>
      </c>
      <c r="AU1796" s="5" t="s">
        <v>10789</v>
      </c>
      <c r="AV1796" s="5" t="s">
        <v>10791</v>
      </c>
    </row>
    <row r="1797" spans="1:48" ht="45" customHeight="1" x14ac:dyDescent="0.15">
      <c r="A1797" s="5" t="s">
        <v>10792</v>
      </c>
      <c r="B1797" s="5">
        <v>2017</v>
      </c>
      <c r="C1797" s="5" t="s">
        <v>10793</v>
      </c>
      <c r="D1797" s="5" t="s">
        <v>1445</v>
      </c>
      <c r="E1797" s="5" t="s">
        <v>18453</v>
      </c>
      <c r="F1797" s="5" t="s">
        <v>10796</v>
      </c>
      <c r="G1797" s="5"/>
      <c r="H1797" s="5"/>
      <c r="I1797" s="5"/>
      <c r="J1797" s="5"/>
      <c r="K1797" s="5"/>
      <c r="L1797" s="5"/>
      <c r="M1797" s="5"/>
      <c r="N1797" s="5"/>
      <c r="O1797" s="5"/>
      <c r="P1797" s="5"/>
      <c r="Q1797" s="5"/>
      <c r="AL1797" s="7" t="str">
        <f>HYPERLINK("http://dx.doi.org/10.1080/02705060.2017.1298537","http://dx.doi.org/10.1080/02705060.2017.1298537")</f>
        <v>http://dx.doi.org/10.1080/02705060.2017.1298537</v>
      </c>
      <c r="AM1797" s="5">
        <v>2</v>
      </c>
      <c r="AN1797" s="5">
        <v>2</v>
      </c>
      <c r="AO1797" s="5">
        <v>32</v>
      </c>
      <c r="AP1797" s="5">
        <v>1</v>
      </c>
      <c r="AQ1797" s="5">
        <v>339</v>
      </c>
      <c r="AR1797" s="5">
        <v>351</v>
      </c>
      <c r="AS1797" s="5" t="s">
        <v>16</v>
      </c>
      <c r="AT1797" s="5" t="s">
        <v>10794</v>
      </c>
      <c r="AU1797" s="5" t="s">
        <v>10795</v>
      </c>
      <c r="AV1797" s="5" t="s">
        <v>10797</v>
      </c>
    </row>
    <row r="1798" spans="1:48" ht="45" customHeight="1" x14ac:dyDescent="0.15">
      <c r="A1798" s="5" t="s">
        <v>10798</v>
      </c>
      <c r="B1798" s="5">
        <v>2007</v>
      </c>
      <c r="C1798" s="5" t="s">
        <v>10799</v>
      </c>
      <c r="D1798" s="5" t="s">
        <v>27</v>
      </c>
      <c r="E1798" s="5" t="s">
        <v>18453</v>
      </c>
      <c r="F1798" s="5" t="s">
        <v>10802</v>
      </c>
      <c r="G1798" s="5"/>
      <c r="H1798" s="5"/>
      <c r="I1798" s="5"/>
      <c r="J1798" s="5"/>
      <c r="K1798" s="5"/>
      <c r="L1798" s="5"/>
      <c r="M1798" s="5"/>
      <c r="N1798" s="5"/>
      <c r="O1798" s="5"/>
      <c r="P1798" s="5"/>
      <c r="Q1798" s="5"/>
      <c r="AL1798" s="7" t="str">
        <f>HYPERLINK("http://dx.doi.org/10.1890/0012-9658(2007)88[87:GDADSI]2.0.CO;2","http://dx.doi.org/10.1890/0012-9658(2007)88[87:GDADSI]2.0.CO;2")</f>
        <v>http://dx.doi.org/10.1890/0012-9658(2007)88[87:GDADSI]2.0.CO;2</v>
      </c>
      <c r="AM1798" s="5">
        <v>22</v>
      </c>
      <c r="AN1798" s="5">
        <v>23</v>
      </c>
      <c r="AO1798" s="5">
        <v>88</v>
      </c>
      <c r="AP1798" s="5">
        <v>1</v>
      </c>
      <c r="AQ1798" s="5">
        <v>87</v>
      </c>
      <c r="AR1798" s="5">
        <v>95</v>
      </c>
      <c r="AS1798" s="5" t="s">
        <v>16</v>
      </c>
      <c r="AT1798" s="5" t="s">
        <v>10800</v>
      </c>
      <c r="AU1798" s="5" t="s">
        <v>10801</v>
      </c>
      <c r="AV1798" s="5" t="s">
        <v>10803</v>
      </c>
    </row>
    <row r="1799" spans="1:48" ht="45" customHeight="1" x14ac:dyDescent="0.15">
      <c r="A1799" s="5" t="s">
        <v>10804</v>
      </c>
      <c r="B1799" s="5">
        <v>2021</v>
      </c>
      <c r="C1799" s="5" t="s">
        <v>10805</v>
      </c>
      <c r="D1799" s="5" t="s">
        <v>77</v>
      </c>
      <c r="E1799" s="5" t="s">
        <v>18453</v>
      </c>
      <c r="F1799" s="5" t="s">
        <v>10808</v>
      </c>
      <c r="G1799" s="5"/>
      <c r="H1799" s="5"/>
      <c r="I1799" s="5"/>
      <c r="J1799" s="5"/>
      <c r="K1799" s="5"/>
      <c r="L1799" s="5"/>
      <c r="M1799" s="5"/>
      <c r="N1799" s="5"/>
      <c r="O1799" s="5"/>
      <c r="P1799" s="5"/>
      <c r="Q1799" s="5"/>
      <c r="AL1799" s="7" t="str">
        <f>HYPERLINK("http://dx.doi.org/10.1111/1365-2656.13509","http://dx.doi.org/10.1111/1365-2656.13509")</f>
        <v>http://dx.doi.org/10.1111/1365-2656.13509</v>
      </c>
      <c r="AM1799" s="5">
        <v>6</v>
      </c>
      <c r="AN1799" s="5">
        <v>6</v>
      </c>
      <c r="AO1799" s="5">
        <v>90</v>
      </c>
      <c r="AP1799" s="5">
        <v>8</v>
      </c>
      <c r="AQ1799" s="5">
        <v>1906</v>
      </c>
      <c r="AR1799" s="5">
        <v>1918</v>
      </c>
      <c r="AS1799" s="5" t="s">
        <v>16</v>
      </c>
      <c r="AT1799" s="5" t="s">
        <v>10806</v>
      </c>
      <c r="AU1799" s="5" t="s">
        <v>10807</v>
      </c>
      <c r="AV1799" s="5" t="s">
        <v>10809</v>
      </c>
    </row>
    <row r="1800" spans="1:48" ht="45" customHeight="1" x14ac:dyDescent="0.15">
      <c r="A1800" s="5" t="s">
        <v>10810</v>
      </c>
      <c r="B1800" s="5">
        <v>2005</v>
      </c>
      <c r="C1800" s="5" t="s">
        <v>10811</v>
      </c>
      <c r="D1800" s="5" t="s">
        <v>33</v>
      </c>
      <c r="E1800" s="5" t="s">
        <v>18453</v>
      </c>
      <c r="F1800" s="5" t="s">
        <v>10814</v>
      </c>
      <c r="G1800" s="5"/>
      <c r="H1800" s="5"/>
      <c r="I1800" s="5"/>
      <c r="J1800" s="5"/>
      <c r="K1800" s="5"/>
      <c r="L1800" s="5"/>
      <c r="M1800" s="5"/>
      <c r="N1800" s="5"/>
      <c r="O1800" s="5"/>
      <c r="P1800" s="5"/>
      <c r="Q1800" s="5"/>
      <c r="AL1800" s="7" t="str">
        <f>HYPERLINK("http://dx.doi.org/10.1111/j.1365-2486.2005.01076.x","http://dx.doi.org/10.1111/j.1365-2486.2005.01076.x")</f>
        <v>http://dx.doi.org/10.1111/j.1365-2486.2005.01076.x</v>
      </c>
      <c r="AM1800" s="5">
        <v>102</v>
      </c>
      <c r="AN1800" s="5">
        <v>103</v>
      </c>
      <c r="AO1800" s="5">
        <v>11</v>
      </c>
      <c r="AP1800" s="5">
        <v>12</v>
      </c>
      <c r="AQ1800" s="5">
        <v>2103</v>
      </c>
      <c r="AR1800" s="5">
        <v>2113</v>
      </c>
      <c r="AS1800" s="5" t="s">
        <v>16</v>
      </c>
      <c r="AT1800" s="5" t="s">
        <v>10812</v>
      </c>
      <c r="AU1800" s="5" t="s">
        <v>10813</v>
      </c>
      <c r="AV1800" s="5" t="s">
        <v>10815</v>
      </c>
    </row>
    <row r="1801" spans="1:48" ht="45" customHeight="1" x14ac:dyDescent="0.15">
      <c r="A1801" s="5" t="s">
        <v>10816</v>
      </c>
      <c r="B1801" s="5">
        <v>2022</v>
      </c>
      <c r="C1801" s="5" t="s">
        <v>10817</v>
      </c>
      <c r="D1801" s="5" t="s">
        <v>172</v>
      </c>
      <c r="E1801" s="5" t="s">
        <v>18453</v>
      </c>
      <c r="F1801" s="5" t="s">
        <v>10820</v>
      </c>
      <c r="G1801" s="5"/>
      <c r="H1801" s="5"/>
      <c r="I1801" s="5"/>
      <c r="J1801" s="5"/>
      <c r="K1801" s="5"/>
      <c r="L1801" s="5"/>
      <c r="M1801" s="5"/>
      <c r="N1801" s="5"/>
      <c r="O1801" s="5"/>
      <c r="P1801" s="5"/>
      <c r="Q1801" s="5"/>
      <c r="AL1801" s="7" t="str">
        <f>HYPERLINK("http://dx.doi.org/10.1007/s00442-022-05197-6","http://dx.doi.org/10.1007/s00442-022-05197-6")</f>
        <v>http://dx.doi.org/10.1007/s00442-022-05197-6</v>
      </c>
      <c r="AM1801" s="5">
        <v>2</v>
      </c>
      <c r="AN1801" s="5">
        <v>2</v>
      </c>
      <c r="AO1801" s="5">
        <v>199</v>
      </c>
      <c r="AP1801" s="5">
        <v>2</v>
      </c>
      <c r="AQ1801" s="5">
        <v>313</v>
      </c>
      <c r="AR1801" s="5">
        <v>328</v>
      </c>
      <c r="AS1801" s="5" t="s">
        <v>16</v>
      </c>
      <c r="AT1801" s="5" t="s">
        <v>10818</v>
      </c>
      <c r="AU1801" s="5" t="s">
        <v>10819</v>
      </c>
      <c r="AV1801" s="5" t="s">
        <v>10821</v>
      </c>
    </row>
    <row r="1802" spans="1:48" ht="45" customHeight="1" x14ac:dyDescent="0.15">
      <c r="A1802" s="5" t="s">
        <v>10822</v>
      </c>
      <c r="B1802" s="5">
        <v>2009</v>
      </c>
      <c r="C1802" s="5" t="s">
        <v>10823</v>
      </c>
      <c r="D1802" s="5" t="s">
        <v>82</v>
      </c>
      <c r="E1802" s="5" t="s">
        <v>18453</v>
      </c>
      <c r="F1802" s="5" t="s">
        <v>10826</v>
      </c>
      <c r="G1802" s="5"/>
      <c r="H1802" s="5"/>
      <c r="I1802" s="5"/>
      <c r="J1802" s="5"/>
      <c r="K1802" s="5"/>
      <c r="L1802" s="5"/>
      <c r="M1802" s="5"/>
      <c r="N1802" s="5"/>
      <c r="O1802" s="5"/>
      <c r="P1802" s="5"/>
      <c r="Q1802" s="5"/>
      <c r="AL1802" s="7" t="str">
        <f>HYPERLINK("http://dx.doi.org/10.1890/08-0983.1","http://dx.doi.org/10.1890/08-0983.1")</f>
        <v>http://dx.doi.org/10.1890/08-0983.1</v>
      </c>
      <c r="AM1802" s="5">
        <v>24</v>
      </c>
      <c r="AN1802" s="5">
        <v>25</v>
      </c>
      <c r="AO1802" s="5">
        <v>19</v>
      </c>
      <c r="AP1802" s="5">
        <v>6</v>
      </c>
      <c r="AQ1802" s="5">
        <v>1444</v>
      </c>
      <c r="AR1802" s="5">
        <v>1453</v>
      </c>
      <c r="AS1802" s="5" t="s">
        <v>16</v>
      </c>
      <c r="AT1802" s="5" t="s">
        <v>10824</v>
      </c>
      <c r="AU1802" s="5" t="s">
        <v>10825</v>
      </c>
      <c r="AV1802" s="5" t="s">
        <v>10827</v>
      </c>
    </row>
    <row r="1803" spans="1:48" ht="45" customHeight="1" x14ac:dyDescent="0.15">
      <c r="A1803" s="5" t="s">
        <v>10828</v>
      </c>
      <c r="B1803" s="5">
        <v>2015</v>
      </c>
      <c r="C1803" s="5" t="s">
        <v>10829</v>
      </c>
      <c r="D1803" s="5" t="s">
        <v>27</v>
      </c>
      <c r="E1803" s="5" t="s">
        <v>18453</v>
      </c>
      <c r="F1803" s="5" t="s">
        <v>10832</v>
      </c>
      <c r="G1803" s="5"/>
      <c r="H1803" s="5"/>
      <c r="I1803" s="5"/>
      <c r="J1803" s="5"/>
      <c r="K1803" s="5"/>
      <c r="L1803" s="5"/>
      <c r="M1803" s="5"/>
      <c r="N1803" s="5"/>
      <c r="O1803" s="5"/>
      <c r="P1803" s="5"/>
      <c r="Q1803" s="5"/>
      <c r="AL1803" s="7" t="str">
        <f>HYPERLINK("http://dx.doi.org/10.1890/14-1332.1","http://dx.doi.org/10.1890/14-1332.1")</f>
        <v>http://dx.doi.org/10.1890/14-1332.1</v>
      </c>
      <c r="AM1803" s="5">
        <v>39</v>
      </c>
      <c r="AN1803" s="5">
        <v>39</v>
      </c>
      <c r="AO1803" s="5">
        <v>96</v>
      </c>
      <c r="AP1803" s="5">
        <v>9</v>
      </c>
      <c r="AQ1803" s="5">
        <v>2544</v>
      </c>
      <c r="AR1803" s="5">
        <v>2554</v>
      </c>
      <c r="AS1803" s="5" t="s">
        <v>16</v>
      </c>
      <c r="AT1803" s="5" t="s">
        <v>10830</v>
      </c>
      <c r="AU1803" s="5" t="s">
        <v>10831</v>
      </c>
      <c r="AV1803" s="5" t="s">
        <v>10833</v>
      </c>
    </row>
    <row r="1804" spans="1:48" ht="45" customHeight="1" x14ac:dyDescent="0.15">
      <c r="A1804" s="5" t="s">
        <v>10834</v>
      </c>
      <c r="B1804" s="5">
        <v>2007</v>
      </c>
      <c r="C1804" s="5" t="s">
        <v>10835</v>
      </c>
      <c r="D1804" s="5" t="s">
        <v>49</v>
      </c>
      <c r="E1804" s="5" t="s">
        <v>18453</v>
      </c>
      <c r="F1804" s="5" t="s">
        <v>10838</v>
      </c>
      <c r="G1804" s="5"/>
      <c r="H1804" s="5"/>
      <c r="I1804" s="5"/>
      <c r="J1804" s="5"/>
      <c r="K1804" s="5"/>
      <c r="L1804" s="5"/>
      <c r="M1804" s="5"/>
      <c r="N1804" s="5"/>
      <c r="O1804" s="5"/>
      <c r="P1804" s="5"/>
      <c r="Q1804" s="5"/>
      <c r="AL1804" s="7" t="str">
        <f>HYPERLINK("http://dx.doi.org/10.3354/meps06991","http://dx.doi.org/10.3354/meps06991")</f>
        <v>http://dx.doi.org/10.3354/meps06991</v>
      </c>
      <c r="AM1804" s="5">
        <v>77</v>
      </c>
      <c r="AN1804" s="5">
        <v>82</v>
      </c>
      <c r="AO1804" s="5">
        <v>345</v>
      </c>
      <c r="AP1804" s="5" t="s">
        <v>16</v>
      </c>
      <c r="AQ1804" s="5">
        <v>281</v>
      </c>
      <c r="AR1804" s="5">
        <v>291</v>
      </c>
      <c r="AS1804" s="5" t="s">
        <v>16</v>
      </c>
      <c r="AT1804" s="5" t="s">
        <v>10836</v>
      </c>
      <c r="AU1804" s="5" t="s">
        <v>10837</v>
      </c>
      <c r="AV1804" s="5" t="s">
        <v>10839</v>
      </c>
    </row>
    <row r="1805" spans="1:48" ht="45" customHeight="1" x14ac:dyDescent="0.15">
      <c r="A1805" s="5" t="s">
        <v>10840</v>
      </c>
      <c r="B1805" s="5">
        <v>2023</v>
      </c>
      <c r="C1805" s="5" t="s">
        <v>10841</v>
      </c>
      <c r="D1805" s="5" t="s">
        <v>62</v>
      </c>
      <c r="E1805" s="5" t="s">
        <v>18453</v>
      </c>
      <c r="F1805" s="5" t="s">
        <v>10844</v>
      </c>
      <c r="G1805" s="5"/>
      <c r="H1805" s="5"/>
      <c r="I1805" s="5"/>
      <c r="J1805" s="5"/>
      <c r="K1805" s="5"/>
      <c r="L1805" s="5"/>
      <c r="M1805" s="5"/>
      <c r="N1805" s="5"/>
      <c r="O1805" s="5"/>
      <c r="P1805" s="5"/>
      <c r="Q1805" s="5"/>
      <c r="AL1805" s="7" t="str">
        <f>HYPERLINK("http://dx.doi.org/10.1007/s10021-023-00856-y","http://dx.doi.org/10.1007/s10021-023-00856-y")</f>
        <v>http://dx.doi.org/10.1007/s10021-023-00856-y</v>
      </c>
      <c r="AM1805" s="5">
        <v>0</v>
      </c>
      <c r="AN1805" s="5">
        <v>0</v>
      </c>
      <c r="AO1805" s="5" t="s">
        <v>16</v>
      </c>
      <c r="AP1805" s="5" t="s">
        <v>16</v>
      </c>
      <c r="AQ1805" s="5" t="s">
        <v>16</v>
      </c>
      <c r="AR1805" s="5" t="s">
        <v>16</v>
      </c>
      <c r="AS1805" s="5" t="s">
        <v>16</v>
      </c>
      <c r="AT1805" s="5" t="s">
        <v>10842</v>
      </c>
      <c r="AU1805" s="5" t="s">
        <v>10843</v>
      </c>
      <c r="AV1805" s="5" t="s">
        <v>10845</v>
      </c>
    </row>
    <row r="1806" spans="1:48" ht="45" customHeight="1" x14ac:dyDescent="0.15">
      <c r="A1806" s="5" t="s">
        <v>10846</v>
      </c>
      <c r="B1806" s="5">
        <v>2008</v>
      </c>
      <c r="C1806" s="5" t="s">
        <v>10847</v>
      </c>
      <c r="D1806" s="5" t="s">
        <v>27</v>
      </c>
      <c r="E1806" s="5" t="s">
        <v>18453</v>
      </c>
      <c r="F1806" s="5" t="s">
        <v>10850</v>
      </c>
      <c r="G1806" s="5"/>
      <c r="H1806" s="5"/>
      <c r="I1806" s="5"/>
      <c r="J1806" s="5"/>
      <c r="K1806" s="5"/>
      <c r="L1806" s="5"/>
      <c r="M1806" s="5"/>
      <c r="N1806" s="5"/>
      <c r="O1806" s="5"/>
      <c r="P1806" s="5"/>
      <c r="Q1806" s="5"/>
      <c r="AL1806" s="7" t="str">
        <f>HYPERLINK("http://dx.doi.org/10.1890/07-1064.1","http://dx.doi.org/10.1890/07-1064.1")</f>
        <v>http://dx.doi.org/10.1890/07-1064.1</v>
      </c>
      <c r="AM1806" s="5">
        <v>137</v>
      </c>
      <c r="AN1806" s="5">
        <v>145</v>
      </c>
      <c r="AO1806" s="5">
        <v>89</v>
      </c>
      <c r="AP1806" s="5">
        <v>6</v>
      </c>
      <c r="AQ1806" s="5">
        <v>1733</v>
      </c>
      <c r="AR1806" s="5">
        <v>1743</v>
      </c>
      <c r="AS1806" s="5" t="s">
        <v>16</v>
      </c>
      <c r="AT1806" s="5" t="s">
        <v>10848</v>
      </c>
      <c r="AU1806" s="5" t="s">
        <v>10849</v>
      </c>
      <c r="AV1806" s="5" t="s">
        <v>10851</v>
      </c>
    </row>
    <row r="1807" spans="1:48" ht="45" customHeight="1" x14ac:dyDescent="0.15">
      <c r="A1807" s="5" t="s">
        <v>10852</v>
      </c>
      <c r="B1807" s="5">
        <v>2009</v>
      </c>
      <c r="C1807" s="5" t="s">
        <v>10853</v>
      </c>
      <c r="D1807" s="5" t="s">
        <v>49</v>
      </c>
      <c r="E1807" s="5" t="s">
        <v>18453</v>
      </c>
      <c r="F1807" s="5" t="s">
        <v>10856</v>
      </c>
      <c r="G1807" s="5"/>
      <c r="H1807" s="5"/>
      <c r="I1807" s="5"/>
      <c r="J1807" s="5"/>
      <c r="K1807" s="5"/>
      <c r="L1807" s="5"/>
      <c r="M1807" s="5"/>
      <c r="N1807" s="5"/>
      <c r="O1807" s="5"/>
      <c r="P1807" s="5"/>
      <c r="Q1807" s="5"/>
      <c r="AL1807" s="7" t="str">
        <f>HYPERLINK("http://dx.doi.org/10.3354/meps08124","http://dx.doi.org/10.3354/meps08124")</f>
        <v>http://dx.doi.org/10.3354/meps08124</v>
      </c>
      <c r="AM1807" s="5">
        <v>92</v>
      </c>
      <c r="AN1807" s="5">
        <v>97</v>
      </c>
      <c r="AO1807" s="5">
        <v>391</v>
      </c>
      <c r="AP1807" s="5" t="s">
        <v>16</v>
      </c>
      <c r="AQ1807" s="5">
        <v>183</v>
      </c>
      <c r="AR1807" s="5">
        <v>197</v>
      </c>
      <c r="AS1807" s="5" t="s">
        <v>16</v>
      </c>
      <c r="AT1807" s="5" t="s">
        <v>10854</v>
      </c>
      <c r="AU1807" s="5" t="s">
        <v>10855</v>
      </c>
      <c r="AV1807" s="5" t="s">
        <v>10857</v>
      </c>
    </row>
    <row r="1808" spans="1:48" ht="45" customHeight="1" x14ac:dyDescent="0.15">
      <c r="A1808" s="5" t="s">
        <v>10858</v>
      </c>
      <c r="B1808" s="5">
        <v>2021</v>
      </c>
      <c r="C1808" s="5" t="s">
        <v>10859</v>
      </c>
      <c r="D1808" s="5" t="s">
        <v>942</v>
      </c>
      <c r="E1808" s="5" t="s">
        <v>18453</v>
      </c>
      <c r="F1808" s="5" t="s">
        <v>10862</v>
      </c>
      <c r="G1808" s="5"/>
      <c r="H1808" s="5"/>
      <c r="I1808" s="5"/>
      <c r="J1808" s="5"/>
      <c r="K1808" s="5"/>
      <c r="L1808" s="5"/>
      <c r="M1808" s="5"/>
      <c r="N1808" s="5"/>
      <c r="O1808" s="5"/>
      <c r="P1808" s="5"/>
      <c r="Q1808" s="5"/>
      <c r="AL1808" s="7" t="str">
        <f>HYPERLINK("http://dx.doi.org/10.1016/j.rsma.2021.101969","http://dx.doi.org/10.1016/j.rsma.2021.101969")</f>
        <v>http://dx.doi.org/10.1016/j.rsma.2021.101969</v>
      </c>
      <c r="AM1808" s="5">
        <v>4</v>
      </c>
      <c r="AN1808" s="5">
        <v>4</v>
      </c>
      <c r="AO1808" s="5">
        <v>47</v>
      </c>
      <c r="AP1808" s="5" t="s">
        <v>16</v>
      </c>
      <c r="AQ1808" s="5" t="s">
        <v>16</v>
      </c>
      <c r="AR1808" s="5" t="s">
        <v>16</v>
      </c>
      <c r="AS1808" s="5">
        <v>101969</v>
      </c>
      <c r="AT1808" s="5" t="s">
        <v>10860</v>
      </c>
      <c r="AU1808" s="5" t="s">
        <v>10861</v>
      </c>
      <c r="AV1808" s="5" t="s">
        <v>10863</v>
      </c>
    </row>
    <row r="1809" spans="1:48" ht="45" customHeight="1" x14ac:dyDescent="0.15">
      <c r="A1809" s="5" t="s">
        <v>10864</v>
      </c>
      <c r="B1809" s="5">
        <v>2020</v>
      </c>
      <c r="C1809" s="5" t="s">
        <v>10865</v>
      </c>
      <c r="D1809" s="5" t="s">
        <v>10866</v>
      </c>
      <c r="E1809" s="5" t="s">
        <v>18453</v>
      </c>
      <c r="F1809" s="5" t="s">
        <v>10869</v>
      </c>
      <c r="G1809" s="5"/>
      <c r="H1809" s="5"/>
      <c r="I1809" s="5"/>
      <c r="J1809" s="5"/>
      <c r="K1809" s="5"/>
      <c r="L1809" s="5"/>
      <c r="M1809" s="5"/>
      <c r="N1809" s="5"/>
      <c r="O1809" s="5"/>
      <c r="P1809" s="5"/>
      <c r="Q1809" s="5"/>
      <c r="AL1809" s="7" t="str">
        <f>HYPERLINK("http://dx.doi.org/10.1016/j.ijppaw.2020.05.011","http://dx.doi.org/10.1016/j.ijppaw.2020.05.011")</f>
        <v>http://dx.doi.org/10.1016/j.ijppaw.2020.05.011</v>
      </c>
      <c r="AM1809" s="5">
        <v>7</v>
      </c>
      <c r="AN1809" s="5">
        <v>7</v>
      </c>
      <c r="AO1809" s="5">
        <v>12</v>
      </c>
      <c r="AP1809" s="5" t="s">
        <v>16</v>
      </c>
      <c r="AQ1809" s="5">
        <v>134</v>
      </c>
      <c r="AR1809" s="5">
        <v>141</v>
      </c>
      <c r="AS1809" s="5" t="s">
        <v>16</v>
      </c>
      <c r="AT1809" s="5" t="s">
        <v>10867</v>
      </c>
      <c r="AU1809" s="5" t="s">
        <v>10868</v>
      </c>
      <c r="AV1809" s="5" t="s">
        <v>10870</v>
      </c>
    </row>
    <row r="1810" spans="1:48" ht="45" customHeight="1" x14ac:dyDescent="0.15">
      <c r="A1810" s="5" t="s">
        <v>10871</v>
      </c>
      <c r="B1810" s="5">
        <v>2018</v>
      </c>
      <c r="C1810" s="5" t="s">
        <v>10872</v>
      </c>
      <c r="D1810" s="5" t="s">
        <v>172</v>
      </c>
      <c r="E1810" s="5" t="s">
        <v>18453</v>
      </c>
      <c r="F1810" s="5" t="s">
        <v>10875</v>
      </c>
      <c r="G1810" s="5"/>
      <c r="H1810" s="5"/>
      <c r="I1810" s="5"/>
      <c r="J1810" s="5"/>
      <c r="K1810" s="5"/>
      <c r="L1810" s="5"/>
      <c r="M1810" s="5"/>
      <c r="N1810" s="5"/>
      <c r="O1810" s="5"/>
      <c r="P1810" s="5"/>
      <c r="Q1810" s="5"/>
      <c r="AL1810" s="7" t="str">
        <f>HYPERLINK("http://dx.doi.org/10.1007/s00442-018-4199-y","http://dx.doi.org/10.1007/s00442-018-4199-y")</f>
        <v>http://dx.doi.org/10.1007/s00442-018-4199-y</v>
      </c>
      <c r="AM1810" s="5">
        <v>15</v>
      </c>
      <c r="AN1810" s="5">
        <v>16</v>
      </c>
      <c r="AO1810" s="5">
        <v>187</v>
      </c>
      <c r="AP1810" s="5">
        <v>4</v>
      </c>
      <c r="AQ1810" s="5">
        <v>1041</v>
      </c>
      <c r="AR1810" s="5">
        <v>1051</v>
      </c>
      <c r="AS1810" s="5" t="s">
        <v>16</v>
      </c>
      <c r="AT1810" s="5" t="s">
        <v>10873</v>
      </c>
      <c r="AU1810" s="5" t="s">
        <v>10874</v>
      </c>
      <c r="AV1810" s="5" t="s">
        <v>10876</v>
      </c>
    </row>
    <row r="1811" spans="1:48" ht="45" customHeight="1" x14ac:dyDescent="0.15">
      <c r="A1811" s="5" t="s">
        <v>10877</v>
      </c>
      <c r="B1811" s="5">
        <v>2016</v>
      </c>
      <c r="C1811" s="5" t="s">
        <v>10878</v>
      </c>
      <c r="D1811" s="5" t="s">
        <v>18</v>
      </c>
      <c r="E1811" s="5" t="s">
        <v>18453</v>
      </c>
      <c r="F1811" s="5" t="s">
        <v>10881</v>
      </c>
      <c r="G1811" s="5"/>
      <c r="H1811" s="5"/>
      <c r="I1811" s="5"/>
      <c r="J1811" s="5"/>
      <c r="K1811" s="5"/>
      <c r="L1811" s="5"/>
      <c r="M1811" s="5"/>
      <c r="N1811" s="5"/>
      <c r="O1811" s="5"/>
      <c r="P1811" s="5"/>
      <c r="Q1811" s="5"/>
      <c r="AL1811" s="7" t="str">
        <f>HYPERLINK("http://dx.doi.org/10.1002/ecs2.1364","http://dx.doi.org/10.1002/ecs2.1364")</f>
        <v>http://dx.doi.org/10.1002/ecs2.1364</v>
      </c>
      <c r="AM1811" s="5">
        <v>26</v>
      </c>
      <c r="AN1811" s="5">
        <v>27</v>
      </c>
      <c r="AO1811" s="5">
        <v>7</v>
      </c>
      <c r="AP1811" s="5">
        <v>6</v>
      </c>
      <c r="AQ1811" s="5" t="s">
        <v>16</v>
      </c>
      <c r="AR1811" s="5" t="s">
        <v>16</v>
      </c>
      <c r="AS1811" s="5" t="s">
        <v>10882</v>
      </c>
      <c r="AT1811" s="5" t="s">
        <v>10879</v>
      </c>
      <c r="AU1811" s="5" t="s">
        <v>10880</v>
      </c>
      <c r="AV1811" s="5" t="s">
        <v>10883</v>
      </c>
    </row>
    <row r="1812" spans="1:48" ht="45" customHeight="1" x14ac:dyDescent="0.15">
      <c r="A1812" s="5" t="s">
        <v>10884</v>
      </c>
      <c r="B1812" s="5">
        <v>2011</v>
      </c>
      <c r="C1812" s="5" t="s">
        <v>10885</v>
      </c>
      <c r="D1812" s="5" t="s">
        <v>123</v>
      </c>
      <c r="E1812" s="5" t="s">
        <v>18453</v>
      </c>
      <c r="F1812" s="5" t="s">
        <v>10888</v>
      </c>
      <c r="G1812" s="5"/>
      <c r="H1812" s="5"/>
      <c r="I1812" s="5"/>
      <c r="J1812" s="5"/>
      <c r="K1812" s="5"/>
      <c r="L1812" s="5"/>
      <c r="M1812" s="5"/>
      <c r="N1812" s="5"/>
      <c r="O1812" s="5"/>
      <c r="P1812" s="5"/>
      <c r="Q1812" s="5"/>
      <c r="AL1812" s="7" t="str">
        <f>HYPERLINK("http://dx.doi.org/10.1111/j.1472-4642.2010.00736.x","http://dx.doi.org/10.1111/j.1472-4642.2010.00736.x")</f>
        <v>http://dx.doi.org/10.1111/j.1472-4642.2010.00736.x</v>
      </c>
      <c r="AM1812" s="5">
        <v>47</v>
      </c>
      <c r="AN1812" s="5">
        <v>49</v>
      </c>
      <c r="AO1812" s="5">
        <v>17</v>
      </c>
      <c r="AP1812" s="5">
        <v>2</v>
      </c>
      <c r="AQ1812" s="5">
        <v>338</v>
      </c>
      <c r="AR1812" s="5">
        <v>349</v>
      </c>
      <c r="AS1812" s="5" t="s">
        <v>16</v>
      </c>
      <c r="AT1812" s="5" t="s">
        <v>10886</v>
      </c>
      <c r="AU1812" s="5" t="s">
        <v>10887</v>
      </c>
      <c r="AV1812" s="5" t="s">
        <v>10889</v>
      </c>
    </row>
    <row r="1813" spans="1:48" ht="45" customHeight="1" x14ac:dyDescent="0.15">
      <c r="A1813" s="5" t="s">
        <v>10890</v>
      </c>
      <c r="B1813" s="5">
        <v>2013</v>
      </c>
      <c r="C1813" s="5" t="s">
        <v>10891</v>
      </c>
      <c r="D1813" s="5" t="s">
        <v>49</v>
      </c>
      <c r="E1813" s="5" t="s">
        <v>18453</v>
      </c>
      <c r="F1813" s="5" t="s">
        <v>10894</v>
      </c>
      <c r="G1813" s="5"/>
      <c r="H1813" s="5"/>
      <c r="I1813" s="5"/>
      <c r="J1813" s="5"/>
      <c r="K1813" s="5"/>
      <c r="L1813" s="5"/>
      <c r="M1813" s="5"/>
      <c r="N1813" s="5"/>
      <c r="O1813" s="5"/>
      <c r="P1813" s="5"/>
      <c r="Q1813" s="5"/>
      <c r="AL1813" s="7" t="str">
        <f>HYPERLINK("http://dx.doi.org/10.3354/meps10180","http://dx.doi.org/10.3354/meps10180")</f>
        <v>http://dx.doi.org/10.3354/meps10180</v>
      </c>
      <c r="AM1813" s="5">
        <v>46</v>
      </c>
      <c r="AN1813" s="5">
        <v>46</v>
      </c>
      <c r="AO1813" s="5">
        <v>477</v>
      </c>
      <c r="AP1813" s="5" t="s">
        <v>16</v>
      </c>
      <c r="AQ1813" s="5">
        <v>15</v>
      </c>
      <c r="AR1813" s="5">
        <v>28</v>
      </c>
      <c r="AS1813" s="5" t="s">
        <v>16</v>
      </c>
      <c r="AT1813" s="5" t="s">
        <v>10892</v>
      </c>
      <c r="AU1813" s="5" t="s">
        <v>10893</v>
      </c>
      <c r="AV1813" s="5" t="s">
        <v>10895</v>
      </c>
    </row>
    <row r="1814" spans="1:48" ht="45" customHeight="1" x14ac:dyDescent="0.15">
      <c r="A1814" s="5" t="s">
        <v>10896</v>
      </c>
      <c r="B1814" s="5">
        <v>2018</v>
      </c>
      <c r="C1814" s="5" t="s">
        <v>10897</v>
      </c>
      <c r="D1814" s="5" t="s">
        <v>57</v>
      </c>
      <c r="E1814" s="5" t="s">
        <v>18453</v>
      </c>
      <c r="F1814" s="5" t="s">
        <v>10900</v>
      </c>
      <c r="G1814" s="5"/>
      <c r="H1814" s="5"/>
      <c r="I1814" s="5"/>
      <c r="J1814" s="5"/>
      <c r="K1814" s="5"/>
      <c r="L1814" s="5"/>
      <c r="M1814" s="5"/>
      <c r="N1814" s="5"/>
      <c r="O1814" s="5"/>
      <c r="P1814" s="5"/>
      <c r="Q1814" s="5"/>
      <c r="AL1814" s="7" t="str">
        <f>HYPERLINK("http://dx.doi.org/10.1098/rsbl.2018.0529","http://dx.doi.org/10.1098/rsbl.2018.0529")</f>
        <v>http://dx.doi.org/10.1098/rsbl.2018.0529</v>
      </c>
      <c r="AM1814" s="5">
        <v>13</v>
      </c>
      <c r="AN1814" s="5">
        <v>13</v>
      </c>
      <c r="AO1814" s="5">
        <v>14</v>
      </c>
      <c r="AP1814" s="5">
        <v>12</v>
      </c>
      <c r="AQ1814" s="5" t="s">
        <v>16</v>
      </c>
      <c r="AR1814" s="5" t="s">
        <v>16</v>
      </c>
      <c r="AS1814" s="5">
        <v>20180529</v>
      </c>
      <c r="AT1814" s="5" t="s">
        <v>10898</v>
      </c>
      <c r="AU1814" s="5" t="s">
        <v>10899</v>
      </c>
      <c r="AV1814" s="5" t="s">
        <v>10901</v>
      </c>
    </row>
    <row r="1815" spans="1:48" ht="45" customHeight="1" x14ac:dyDescent="0.15">
      <c r="A1815" s="5" t="s">
        <v>10902</v>
      </c>
      <c r="B1815" s="5">
        <v>2010</v>
      </c>
      <c r="C1815" s="5" t="s">
        <v>10903</v>
      </c>
      <c r="D1815" s="5" t="s">
        <v>249</v>
      </c>
      <c r="E1815" s="5" t="s">
        <v>18453</v>
      </c>
      <c r="F1815" s="5" t="s">
        <v>10906</v>
      </c>
      <c r="G1815" s="5"/>
      <c r="H1815" s="5"/>
      <c r="I1815" s="5"/>
      <c r="J1815" s="5"/>
      <c r="K1815" s="5"/>
      <c r="L1815" s="5"/>
      <c r="M1815" s="5"/>
      <c r="N1815" s="5"/>
      <c r="O1815" s="5"/>
      <c r="P1815" s="5"/>
      <c r="Q1815" s="5"/>
      <c r="AL1815" s="7" t="str">
        <f>HYPERLINK("http://dx.doi.org/10.1016/j.jaridenv.2010.05.027","http://dx.doi.org/10.1016/j.jaridenv.2010.05.027")</f>
        <v>http://dx.doi.org/10.1016/j.jaridenv.2010.05.027</v>
      </c>
      <c r="AM1815" s="5">
        <v>37</v>
      </c>
      <c r="AN1815" s="5">
        <v>46</v>
      </c>
      <c r="AO1815" s="5">
        <v>74</v>
      </c>
      <c r="AP1815" s="5">
        <v>12</v>
      </c>
      <c r="AQ1815" s="5">
        <v>1632</v>
      </c>
      <c r="AR1815" s="5">
        <v>1637</v>
      </c>
      <c r="AS1815" s="5" t="s">
        <v>16</v>
      </c>
      <c r="AT1815" s="5" t="s">
        <v>10904</v>
      </c>
      <c r="AU1815" s="5" t="s">
        <v>10905</v>
      </c>
      <c r="AV1815" s="5" t="s">
        <v>10907</v>
      </c>
    </row>
    <row r="1816" spans="1:48" ht="45" customHeight="1" x14ac:dyDescent="0.15">
      <c r="A1816" s="5" t="s">
        <v>10908</v>
      </c>
      <c r="B1816" s="5">
        <v>2019</v>
      </c>
      <c r="C1816" s="5" t="s">
        <v>10909</v>
      </c>
      <c r="D1816" s="5" t="s">
        <v>41</v>
      </c>
      <c r="E1816" s="5" t="s">
        <v>18453</v>
      </c>
      <c r="F1816" s="5" t="s">
        <v>10912</v>
      </c>
      <c r="G1816" s="5"/>
      <c r="H1816" s="5"/>
      <c r="I1816" s="5"/>
      <c r="J1816" s="5"/>
      <c r="K1816" s="5"/>
      <c r="L1816" s="5"/>
      <c r="M1816" s="5"/>
      <c r="N1816" s="5"/>
      <c r="O1816" s="5"/>
      <c r="P1816" s="5"/>
      <c r="Q1816" s="5"/>
      <c r="AL1816" s="7" t="str">
        <f>HYPERLINK("http://dx.doi.org/10.1016/j.actao.2019.103466","http://dx.doi.org/10.1016/j.actao.2019.103466")</f>
        <v>http://dx.doi.org/10.1016/j.actao.2019.103466</v>
      </c>
      <c r="AM1816" s="5">
        <v>12</v>
      </c>
      <c r="AN1816" s="5">
        <v>13</v>
      </c>
      <c r="AO1816" s="5">
        <v>100</v>
      </c>
      <c r="AP1816" s="5" t="s">
        <v>16</v>
      </c>
      <c r="AQ1816" s="5" t="s">
        <v>16</v>
      </c>
      <c r="AR1816" s="5" t="s">
        <v>16</v>
      </c>
      <c r="AS1816" s="5">
        <v>103466</v>
      </c>
      <c r="AT1816" s="5" t="s">
        <v>10910</v>
      </c>
      <c r="AU1816" s="5" t="s">
        <v>10911</v>
      </c>
      <c r="AV1816" s="5" t="s">
        <v>10913</v>
      </c>
    </row>
    <row r="1817" spans="1:48" ht="45" customHeight="1" x14ac:dyDescent="0.15">
      <c r="A1817" s="5" t="s">
        <v>10914</v>
      </c>
      <c r="B1817" s="5">
        <v>2014</v>
      </c>
      <c r="C1817" s="5" t="s">
        <v>10915</v>
      </c>
      <c r="D1817" s="5" t="s">
        <v>18</v>
      </c>
      <c r="E1817" s="5" t="s">
        <v>18453</v>
      </c>
      <c r="F1817" s="5" t="s">
        <v>10918</v>
      </c>
      <c r="G1817" s="5"/>
      <c r="H1817" s="5"/>
      <c r="I1817" s="5"/>
      <c r="J1817" s="5"/>
      <c r="K1817" s="5"/>
      <c r="L1817" s="5"/>
      <c r="M1817" s="5"/>
      <c r="N1817" s="5"/>
      <c r="O1817" s="5"/>
      <c r="P1817" s="5"/>
      <c r="Q1817" s="5"/>
      <c r="AL1817" s="7" t="str">
        <f>HYPERLINK("http://dx.doi.org/10.1890/ES14-00230.1","http://dx.doi.org/10.1890/ES14-00230.1")</f>
        <v>http://dx.doi.org/10.1890/ES14-00230.1</v>
      </c>
      <c r="AM1817" s="5">
        <v>40</v>
      </c>
      <c r="AN1817" s="5">
        <v>40</v>
      </c>
      <c r="AO1817" s="5">
        <v>5</v>
      </c>
      <c r="AP1817" s="5">
        <v>9</v>
      </c>
      <c r="AQ1817" s="5" t="s">
        <v>16</v>
      </c>
      <c r="AR1817" s="5" t="s">
        <v>16</v>
      </c>
      <c r="AS1817" s="5">
        <v>122</v>
      </c>
      <c r="AT1817" s="5" t="s">
        <v>10916</v>
      </c>
      <c r="AU1817" s="5" t="s">
        <v>10917</v>
      </c>
      <c r="AV1817" s="5" t="s">
        <v>10919</v>
      </c>
    </row>
    <row r="1818" spans="1:48" ht="45" customHeight="1" x14ac:dyDescent="0.15">
      <c r="A1818" s="5" t="s">
        <v>10920</v>
      </c>
      <c r="B1818" s="5">
        <v>2010</v>
      </c>
      <c r="C1818" s="5" t="s">
        <v>10921</v>
      </c>
      <c r="D1818" s="5" t="s">
        <v>2087</v>
      </c>
      <c r="E1818" s="5" t="s">
        <v>18453</v>
      </c>
      <c r="F1818" s="5" t="s">
        <v>10924</v>
      </c>
      <c r="G1818" s="5"/>
      <c r="H1818" s="5"/>
      <c r="I1818" s="5"/>
      <c r="J1818" s="5"/>
      <c r="K1818" s="5"/>
      <c r="L1818" s="5"/>
      <c r="M1818" s="5"/>
      <c r="N1818" s="5"/>
      <c r="O1818" s="5"/>
      <c r="P1818" s="5"/>
      <c r="Q1818" s="5"/>
      <c r="AL1818" s="7" t="str">
        <f>HYPERLINK("http://dx.doi.org/10.1002/eco.112","http://dx.doi.org/10.1002/eco.112")</f>
        <v>http://dx.doi.org/10.1002/eco.112</v>
      </c>
      <c r="AM1818" s="5">
        <v>8</v>
      </c>
      <c r="AN1818" s="5">
        <v>8</v>
      </c>
      <c r="AO1818" s="5">
        <v>3</v>
      </c>
      <c r="AP1818" s="5">
        <v>3</v>
      </c>
      <c r="AQ1818" s="5">
        <v>315</v>
      </c>
      <c r="AR1818" s="5">
        <v>324</v>
      </c>
      <c r="AS1818" s="5" t="s">
        <v>16</v>
      </c>
      <c r="AT1818" s="5" t="s">
        <v>10922</v>
      </c>
      <c r="AU1818" s="5" t="s">
        <v>10923</v>
      </c>
      <c r="AV1818" s="5" t="s">
        <v>10925</v>
      </c>
    </row>
    <row r="1819" spans="1:48" ht="45" customHeight="1" x14ac:dyDescent="0.15">
      <c r="A1819" s="5" t="s">
        <v>10926</v>
      </c>
      <c r="B1819" s="5">
        <v>2022</v>
      </c>
      <c r="C1819" s="5" t="s">
        <v>10927</v>
      </c>
      <c r="D1819" s="5" t="s">
        <v>2087</v>
      </c>
      <c r="E1819" s="5" t="s">
        <v>18453</v>
      </c>
      <c r="F1819" s="5" t="s">
        <v>10930</v>
      </c>
      <c r="G1819" s="5"/>
      <c r="H1819" s="5"/>
      <c r="I1819" s="5"/>
      <c r="J1819" s="5"/>
      <c r="K1819" s="5"/>
      <c r="L1819" s="5"/>
      <c r="M1819" s="5"/>
      <c r="N1819" s="5"/>
      <c r="O1819" s="5"/>
      <c r="P1819" s="5"/>
      <c r="Q1819" s="5"/>
      <c r="AL1819" s="7" t="str">
        <f>HYPERLINK("http://dx.doi.org/10.1002/eco.2382","http://dx.doi.org/10.1002/eco.2382")</f>
        <v>http://dx.doi.org/10.1002/eco.2382</v>
      </c>
      <c r="AM1819" s="5">
        <v>7</v>
      </c>
      <c r="AN1819" s="5">
        <v>7</v>
      </c>
      <c r="AO1819" s="5">
        <v>15</v>
      </c>
      <c r="AP1819" s="5">
        <v>2</v>
      </c>
      <c r="AQ1819" s="5" t="s">
        <v>16</v>
      </c>
      <c r="AR1819" s="5" t="s">
        <v>16</v>
      </c>
      <c r="AS1819" s="5" t="s">
        <v>10931</v>
      </c>
      <c r="AT1819" s="5" t="s">
        <v>10928</v>
      </c>
      <c r="AU1819" s="5" t="s">
        <v>10929</v>
      </c>
      <c r="AV1819" s="5" t="s">
        <v>10932</v>
      </c>
    </row>
    <row r="1820" spans="1:48" ht="45" customHeight="1" x14ac:dyDescent="0.15">
      <c r="A1820" s="5" t="s">
        <v>10933</v>
      </c>
      <c r="B1820" s="5">
        <v>2020</v>
      </c>
      <c r="C1820" s="5" t="s">
        <v>10934</v>
      </c>
      <c r="D1820" s="5" t="s">
        <v>1419</v>
      </c>
      <c r="E1820" s="5" t="s">
        <v>18453</v>
      </c>
      <c r="F1820" s="5" t="s">
        <v>10937</v>
      </c>
      <c r="G1820" s="5"/>
      <c r="H1820" s="5"/>
      <c r="I1820" s="5"/>
      <c r="J1820" s="5"/>
      <c r="K1820" s="5"/>
      <c r="L1820" s="5"/>
      <c r="M1820" s="5"/>
      <c r="N1820" s="5"/>
      <c r="O1820" s="5"/>
      <c r="P1820" s="5"/>
      <c r="Q1820" s="5"/>
      <c r="AL1820" s="7" t="str">
        <f>HYPERLINK("http://dx.doi.org/10.1016/j.fooweb.2020.e00158","http://dx.doi.org/10.1016/j.fooweb.2020.e00158")</f>
        <v>http://dx.doi.org/10.1016/j.fooweb.2020.e00158</v>
      </c>
      <c r="AM1820" s="5">
        <v>5</v>
      </c>
      <c r="AN1820" s="5">
        <v>5</v>
      </c>
      <c r="AO1820" s="5">
        <v>24</v>
      </c>
      <c r="AP1820" s="5" t="s">
        <v>16</v>
      </c>
      <c r="AQ1820" s="5" t="s">
        <v>16</v>
      </c>
      <c r="AR1820" s="5" t="s">
        <v>16</v>
      </c>
      <c r="AS1820" s="5" t="s">
        <v>10938</v>
      </c>
      <c r="AT1820" s="5" t="s">
        <v>10935</v>
      </c>
      <c r="AU1820" s="5" t="s">
        <v>10936</v>
      </c>
      <c r="AV1820" s="5" t="s">
        <v>10939</v>
      </c>
    </row>
    <row r="1821" spans="1:48" ht="45" customHeight="1" x14ac:dyDescent="0.15">
      <c r="A1821" s="5" t="s">
        <v>10940</v>
      </c>
      <c r="B1821" s="5">
        <v>1999</v>
      </c>
      <c r="C1821" s="5" t="s">
        <v>10941</v>
      </c>
      <c r="D1821" s="5" t="s">
        <v>259</v>
      </c>
      <c r="E1821" s="5" t="s">
        <v>18453</v>
      </c>
      <c r="F1821" s="5" t="s">
        <v>10944</v>
      </c>
      <c r="G1821" s="5"/>
      <c r="H1821" s="5"/>
      <c r="I1821" s="5"/>
      <c r="J1821" s="5"/>
      <c r="K1821" s="5"/>
      <c r="L1821" s="5"/>
      <c r="M1821" s="5"/>
      <c r="N1821" s="5"/>
      <c r="O1821" s="5"/>
      <c r="P1821" s="5"/>
      <c r="Q1821" s="5"/>
      <c r="AL1821" s="7" t="str">
        <f>HYPERLINK("http://dx.doi.org/10.2307/3802483","http://dx.doi.org/10.2307/3802483")</f>
        <v>http://dx.doi.org/10.2307/3802483</v>
      </c>
      <c r="AM1821" s="5">
        <v>70</v>
      </c>
      <c r="AN1821" s="5">
        <v>74</v>
      </c>
      <c r="AO1821" s="5">
        <v>63</v>
      </c>
      <c r="AP1821" s="5">
        <v>1</v>
      </c>
      <c r="AQ1821" s="5">
        <v>14</v>
      </c>
      <c r="AR1821" s="5">
        <v>25</v>
      </c>
      <c r="AS1821" s="5" t="s">
        <v>16</v>
      </c>
      <c r="AT1821" s="5" t="s">
        <v>10942</v>
      </c>
      <c r="AU1821" s="5" t="s">
        <v>10943</v>
      </c>
      <c r="AV1821" s="5" t="s">
        <v>10945</v>
      </c>
    </row>
    <row r="1822" spans="1:48" ht="45" customHeight="1" x14ac:dyDescent="0.15">
      <c r="A1822" s="5" t="s">
        <v>10946</v>
      </c>
      <c r="B1822" s="5">
        <v>2023</v>
      </c>
      <c r="C1822" s="5" t="s">
        <v>10947</v>
      </c>
      <c r="D1822" s="5" t="s">
        <v>17</v>
      </c>
      <c r="E1822" s="5" t="s">
        <v>18453</v>
      </c>
      <c r="F1822" s="5" t="s">
        <v>10950</v>
      </c>
      <c r="G1822" s="5"/>
      <c r="H1822" s="5"/>
      <c r="I1822" s="5"/>
      <c r="J1822" s="5"/>
      <c r="K1822" s="5"/>
      <c r="L1822" s="5"/>
      <c r="M1822" s="5"/>
      <c r="N1822" s="5"/>
      <c r="O1822" s="5"/>
      <c r="P1822" s="5"/>
      <c r="Q1822" s="5"/>
      <c r="AL1822" s="7" t="str">
        <f>HYPERLINK("http://dx.doi.org/10.1111/fwb.14112","http://dx.doi.org/10.1111/fwb.14112")</f>
        <v>http://dx.doi.org/10.1111/fwb.14112</v>
      </c>
      <c r="AM1822" s="5">
        <v>0</v>
      </c>
      <c r="AN1822" s="5">
        <v>0</v>
      </c>
      <c r="AO1822" s="5" t="s">
        <v>16</v>
      </c>
      <c r="AP1822" s="5" t="s">
        <v>16</v>
      </c>
      <c r="AQ1822" s="5" t="s">
        <v>16</v>
      </c>
      <c r="AR1822" s="5" t="s">
        <v>16</v>
      </c>
      <c r="AS1822" s="5" t="s">
        <v>16</v>
      </c>
      <c r="AT1822" s="5" t="s">
        <v>10948</v>
      </c>
      <c r="AU1822" s="5" t="s">
        <v>10949</v>
      </c>
      <c r="AV1822" s="5" t="s">
        <v>10951</v>
      </c>
    </row>
    <row r="1823" spans="1:48" ht="45" customHeight="1" x14ac:dyDescent="0.15">
      <c r="A1823" s="5" t="s">
        <v>10952</v>
      </c>
      <c r="B1823" s="5">
        <v>2022</v>
      </c>
      <c r="C1823" s="5" t="s">
        <v>10953</v>
      </c>
      <c r="D1823" s="5" t="s">
        <v>488</v>
      </c>
      <c r="E1823" s="5" t="s">
        <v>18453</v>
      </c>
      <c r="F1823" s="5" t="s">
        <v>10956</v>
      </c>
      <c r="G1823" s="5"/>
      <c r="H1823" s="5"/>
      <c r="I1823" s="5"/>
      <c r="J1823" s="5"/>
      <c r="K1823" s="5"/>
      <c r="L1823" s="5"/>
      <c r="M1823" s="5"/>
      <c r="N1823" s="5"/>
      <c r="O1823" s="5"/>
      <c r="P1823" s="5"/>
      <c r="Q1823" s="5"/>
      <c r="AL1823" s="7" t="str">
        <f>HYPERLINK("http://dx.doi.org/10.1007/s10344-022-01597-4","http://dx.doi.org/10.1007/s10344-022-01597-4")</f>
        <v>http://dx.doi.org/10.1007/s10344-022-01597-4</v>
      </c>
      <c r="AM1823" s="5">
        <v>0</v>
      </c>
      <c r="AN1823" s="5">
        <v>0</v>
      </c>
      <c r="AO1823" s="5">
        <v>68</v>
      </c>
      <c r="AP1823" s="5">
        <v>4</v>
      </c>
      <c r="AQ1823" s="5" t="s">
        <v>16</v>
      </c>
      <c r="AR1823" s="5" t="s">
        <v>16</v>
      </c>
      <c r="AS1823" s="5">
        <v>51</v>
      </c>
      <c r="AT1823" s="5" t="s">
        <v>10954</v>
      </c>
      <c r="AU1823" s="5" t="s">
        <v>10955</v>
      </c>
      <c r="AV1823" s="5" t="s">
        <v>10957</v>
      </c>
    </row>
    <row r="1824" spans="1:48" ht="45" customHeight="1" x14ac:dyDescent="0.15">
      <c r="A1824" s="5" t="s">
        <v>10958</v>
      </c>
      <c r="B1824" s="5">
        <v>2013</v>
      </c>
      <c r="C1824" s="5" t="s">
        <v>10959</v>
      </c>
      <c r="D1824" s="5" t="s">
        <v>92</v>
      </c>
      <c r="E1824" s="5" t="s">
        <v>18453</v>
      </c>
      <c r="F1824" s="5" t="s">
        <v>10962</v>
      </c>
      <c r="G1824" s="5"/>
      <c r="H1824" s="5"/>
      <c r="I1824" s="5"/>
      <c r="J1824" s="5"/>
      <c r="K1824" s="5"/>
      <c r="L1824" s="5"/>
      <c r="M1824" s="5"/>
      <c r="N1824" s="5"/>
      <c r="O1824" s="5"/>
      <c r="P1824" s="5"/>
      <c r="Q1824" s="5"/>
      <c r="AL1824" s="7" t="str">
        <f>HYPERLINK("http://dx.doi.org/10.1899/12-121.1","http://dx.doi.org/10.1899/12-121.1")</f>
        <v>http://dx.doi.org/10.1899/12-121.1</v>
      </c>
      <c r="AM1824" s="5">
        <v>12</v>
      </c>
      <c r="AN1824" s="5">
        <v>12</v>
      </c>
      <c r="AO1824" s="5">
        <v>32</v>
      </c>
      <c r="AP1824" s="5">
        <v>4</v>
      </c>
      <c r="AQ1824" s="5">
        <v>1260</v>
      </c>
      <c r="AR1824" s="5">
        <v>1272</v>
      </c>
      <c r="AS1824" s="5" t="s">
        <v>16</v>
      </c>
      <c r="AT1824" s="5" t="s">
        <v>10960</v>
      </c>
      <c r="AU1824" s="5" t="s">
        <v>10961</v>
      </c>
      <c r="AV1824" s="5" t="s">
        <v>10963</v>
      </c>
    </row>
    <row r="1825" spans="1:48" ht="45" customHeight="1" x14ac:dyDescent="0.15">
      <c r="A1825" s="5" t="s">
        <v>10964</v>
      </c>
      <c r="B1825" s="5">
        <v>2018</v>
      </c>
      <c r="C1825" s="5" t="s">
        <v>10965</v>
      </c>
      <c r="D1825" s="5" t="s">
        <v>49</v>
      </c>
      <c r="E1825" s="5" t="s">
        <v>18453</v>
      </c>
      <c r="F1825" s="5" t="s">
        <v>10968</v>
      </c>
      <c r="G1825" s="5"/>
      <c r="H1825" s="5"/>
      <c r="I1825" s="5"/>
      <c r="J1825" s="5"/>
      <c r="K1825" s="5"/>
      <c r="L1825" s="5"/>
      <c r="M1825" s="5"/>
      <c r="N1825" s="5"/>
      <c r="O1825" s="5"/>
      <c r="P1825" s="5"/>
      <c r="Q1825" s="5"/>
      <c r="AL1825" s="7" t="str">
        <f>HYPERLINK("http://dx.doi.org/10.3354/meps12459","http://dx.doi.org/10.3354/meps12459")</f>
        <v>http://dx.doi.org/10.3354/meps12459</v>
      </c>
      <c r="AM1825" s="5">
        <v>13</v>
      </c>
      <c r="AN1825" s="5">
        <v>14</v>
      </c>
      <c r="AO1825" s="5">
        <v>593</v>
      </c>
      <c r="AP1825" s="5" t="s">
        <v>16</v>
      </c>
      <c r="AQ1825" s="5">
        <v>231</v>
      </c>
      <c r="AR1825" s="5">
        <v>245</v>
      </c>
      <c r="AS1825" s="5" t="s">
        <v>16</v>
      </c>
      <c r="AT1825" s="5" t="s">
        <v>10966</v>
      </c>
      <c r="AU1825" s="5" t="s">
        <v>10967</v>
      </c>
      <c r="AV1825" s="5" t="s">
        <v>10969</v>
      </c>
    </row>
    <row r="1826" spans="1:48" ht="45" customHeight="1" x14ac:dyDescent="0.15">
      <c r="A1826" s="5" t="s">
        <v>10970</v>
      </c>
      <c r="B1826" s="5">
        <v>1992</v>
      </c>
      <c r="C1826" s="5" t="s">
        <v>10971</v>
      </c>
      <c r="D1826" s="5" t="s">
        <v>10972</v>
      </c>
      <c r="E1826" s="5" t="s">
        <v>18453</v>
      </c>
      <c r="F1826" s="5" t="s">
        <v>10974</v>
      </c>
      <c r="G1826" s="5"/>
      <c r="H1826" s="5"/>
      <c r="I1826" s="5"/>
      <c r="J1826" s="5"/>
      <c r="K1826" s="5"/>
      <c r="L1826" s="5"/>
      <c r="M1826" s="5"/>
      <c r="N1826" s="5"/>
      <c r="O1826" s="5"/>
      <c r="P1826" s="5"/>
      <c r="Q1826" s="5"/>
      <c r="AL1826" s="5" t="s">
        <v>16</v>
      </c>
      <c r="AM1826" s="5">
        <v>1</v>
      </c>
      <c r="AN1826" s="5">
        <v>1</v>
      </c>
      <c r="AO1826" s="5">
        <v>44</v>
      </c>
      <c r="AP1826" s="5">
        <v>1</v>
      </c>
      <c r="AQ1826" s="5">
        <v>43</v>
      </c>
      <c r="AR1826" s="5">
        <v>51</v>
      </c>
      <c r="AS1826" s="5" t="s">
        <v>16</v>
      </c>
      <c r="AT1826" s="5" t="s">
        <v>10973</v>
      </c>
      <c r="AU1826" s="5" t="s">
        <v>16</v>
      </c>
      <c r="AV1826" s="5" t="s">
        <v>16</v>
      </c>
    </row>
    <row r="1827" spans="1:48" ht="45" customHeight="1" x14ac:dyDescent="0.15">
      <c r="A1827" s="5" t="s">
        <v>10975</v>
      </c>
      <c r="B1827" s="5">
        <v>2022</v>
      </c>
      <c r="C1827" s="5" t="s">
        <v>10976</v>
      </c>
      <c r="D1827" s="5" t="s">
        <v>1238</v>
      </c>
      <c r="E1827" s="5" t="s">
        <v>18453</v>
      </c>
      <c r="F1827" s="5" t="s">
        <v>10979</v>
      </c>
      <c r="G1827" s="5"/>
      <c r="H1827" s="5"/>
      <c r="I1827" s="5"/>
      <c r="J1827" s="5"/>
      <c r="K1827" s="5"/>
      <c r="L1827" s="5"/>
      <c r="M1827" s="5"/>
      <c r="N1827" s="5"/>
      <c r="O1827" s="5"/>
      <c r="P1827" s="5"/>
      <c r="Q1827" s="5"/>
      <c r="AL1827" s="7" t="str">
        <f>HYPERLINK("http://dx.doi.org/10.1186/s40462-022-00358-x","http://dx.doi.org/10.1186/s40462-022-00358-x")</f>
        <v>http://dx.doi.org/10.1186/s40462-022-00358-x</v>
      </c>
      <c r="AM1827" s="5">
        <v>1</v>
      </c>
      <c r="AN1827" s="5">
        <v>1</v>
      </c>
      <c r="AO1827" s="5">
        <v>10</v>
      </c>
      <c r="AP1827" s="5">
        <v>1</v>
      </c>
      <c r="AQ1827" s="5" t="s">
        <v>16</v>
      </c>
      <c r="AR1827" s="5" t="s">
        <v>16</v>
      </c>
      <c r="AS1827" s="5">
        <v>56</v>
      </c>
      <c r="AT1827" s="5" t="s">
        <v>10977</v>
      </c>
      <c r="AU1827" s="5" t="s">
        <v>10978</v>
      </c>
      <c r="AV1827" s="5" t="s">
        <v>10980</v>
      </c>
    </row>
    <row r="1828" spans="1:48" ht="45" customHeight="1" x14ac:dyDescent="0.15">
      <c r="A1828" s="5" t="s">
        <v>10981</v>
      </c>
      <c r="B1828" s="5">
        <v>2015</v>
      </c>
      <c r="C1828" s="5" t="s">
        <v>10982</v>
      </c>
      <c r="D1828" s="5" t="s">
        <v>973</v>
      </c>
      <c r="E1828" s="5" t="s">
        <v>18453</v>
      </c>
      <c r="F1828" s="5" t="s">
        <v>10984</v>
      </c>
      <c r="G1828" s="5"/>
      <c r="H1828" s="5"/>
      <c r="I1828" s="5"/>
      <c r="J1828" s="5"/>
      <c r="K1828" s="5"/>
      <c r="L1828" s="5"/>
      <c r="M1828" s="5"/>
      <c r="N1828" s="5"/>
      <c r="O1828" s="5"/>
      <c r="P1828" s="5"/>
      <c r="Q1828" s="5"/>
      <c r="AL1828" s="7" t="str">
        <f>HYPERLINK("http://dx.doi.org/10.5194/bg-12-3819-2015","http://dx.doi.org/10.5194/bg-12-3819-2015")</f>
        <v>http://dx.doi.org/10.5194/bg-12-3819-2015</v>
      </c>
      <c r="AM1828" s="5">
        <v>26</v>
      </c>
      <c r="AN1828" s="5">
        <v>27</v>
      </c>
      <c r="AO1828" s="5">
        <v>12</v>
      </c>
      <c r="AP1828" s="5">
        <v>12</v>
      </c>
      <c r="AQ1828" s="5">
        <v>3819</v>
      </c>
      <c r="AR1828" s="5">
        <v>3830</v>
      </c>
      <c r="AS1828" s="5" t="s">
        <v>16</v>
      </c>
      <c r="AT1828" s="5" t="s">
        <v>16</v>
      </c>
      <c r="AU1828" s="5" t="s">
        <v>10983</v>
      </c>
      <c r="AV1828" s="5" t="s">
        <v>10985</v>
      </c>
    </row>
    <row r="1829" spans="1:48" ht="45" customHeight="1" x14ac:dyDescent="0.15">
      <c r="A1829" s="5" t="s">
        <v>10986</v>
      </c>
      <c r="B1829" s="5">
        <v>2015</v>
      </c>
      <c r="C1829" s="5" t="s">
        <v>10987</v>
      </c>
      <c r="D1829" s="5" t="s">
        <v>488</v>
      </c>
      <c r="E1829" s="5" t="s">
        <v>18453</v>
      </c>
      <c r="F1829" s="5" t="s">
        <v>10990</v>
      </c>
      <c r="G1829" s="5"/>
      <c r="H1829" s="5"/>
      <c r="I1829" s="5"/>
      <c r="J1829" s="5"/>
      <c r="K1829" s="5"/>
      <c r="L1829" s="5"/>
      <c r="M1829" s="5"/>
      <c r="N1829" s="5"/>
      <c r="O1829" s="5"/>
      <c r="P1829" s="5"/>
      <c r="Q1829" s="5"/>
      <c r="AL1829" s="7" t="str">
        <f>HYPERLINK("http://dx.doi.org/10.1007/s10344-014-0881-5","http://dx.doi.org/10.1007/s10344-014-0881-5")</f>
        <v>http://dx.doi.org/10.1007/s10344-014-0881-5</v>
      </c>
      <c r="AM1829" s="5">
        <v>18</v>
      </c>
      <c r="AN1829" s="5">
        <v>19</v>
      </c>
      <c r="AO1829" s="5">
        <v>61</v>
      </c>
      <c r="AP1829" s="5">
        <v>1</v>
      </c>
      <c r="AQ1829" s="5">
        <v>125</v>
      </c>
      <c r="AR1829" s="5">
        <v>133</v>
      </c>
      <c r="AS1829" s="5" t="s">
        <v>16</v>
      </c>
      <c r="AT1829" s="5" t="s">
        <v>10988</v>
      </c>
      <c r="AU1829" s="5" t="s">
        <v>10989</v>
      </c>
      <c r="AV1829" s="5" t="s">
        <v>10991</v>
      </c>
    </row>
    <row r="1830" spans="1:48" ht="45" customHeight="1" x14ac:dyDescent="0.15">
      <c r="A1830" s="5" t="s">
        <v>10992</v>
      </c>
      <c r="B1830" s="5">
        <v>2016</v>
      </c>
      <c r="C1830" s="5" t="s">
        <v>10993</v>
      </c>
      <c r="D1830" s="5" t="s">
        <v>942</v>
      </c>
      <c r="E1830" s="5" t="s">
        <v>18453</v>
      </c>
      <c r="F1830" s="5" t="s">
        <v>10996</v>
      </c>
      <c r="G1830" s="5"/>
      <c r="H1830" s="5"/>
      <c r="I1830" s="5"/>
      <c r="J1830" s="5"/>
      <c r="K1830" s="5"/>
      <c r="L1830" s="5"/>
      <c r="M1830" s="5"/>
      <c r="N1830" s="5"/>
      <c r="O1830" s="5"/>
      <c r="P1830" s="5"/>
      <c r="Q1830" s="5"/>
      <c r="AL1830" s="7" t="str">
        <f>HYPERLINK("http://dx.doi.org/10.1016/j.rsma.2015.11.011","http://dx.doi.org/10.1016/j.rsma.2015.11.011")</f>
        <v>http://dx.doi.org/10.1016/j.rsma.2015.11.011</v>
      </c>
      <c r="AM1830" s="5">
        <v>12</v>
      </c>
      <c r="AN1830" s="5">
        <v>12</v>
      </c>
      <c r="AO1830" s="5">
        <v>3</v>
      </c>
      <c r="AP1830" s="5" t="s">
        <v>16</v>
      </c>
      <c r="AQ1830" s="5">
        <v>254</v>
      </c>
      <c r="AR1830" s="5">
        <v>261</v>
      </c>
      <c r="AS1830" s="5" t="s">
        <v>16</v>
      </c>
      <c r="AT1830" s="5" t="s">
        <v>10994</v>
      </c>
      <c r="AU1830" s="5" t="s">
        <v>10995</v>
      </c>
      <c r="AV1830" s="5" t="s">
        <v>10997</v>
      </c>
    </row>
    <row r="1831" spans="1:48" ht="45" customHeight="1" x14ac:dyDescent="0.15">
      <c r="A1831" s="5" t="s">
        <v>10998</v>
      </c>
      <c r="B1831" s="5">
        <v>2022</v>
      </c>
      <c r="C1831" s="5" t="s">
        <v>10999</v>
      </c>
      <c r="D1831" s="5" t="s">
        <v>1765</v>
      </c>
      <c r="E1831" s="5" t="s">
        <v>18453</v>
      </c>
      <c r="F1831" s="5" t="s">
        <v>11002</v>
      </c>
      <c r="G1831" s="5"/>
      <c r="H1831" s="5"/>
      <c r="I1831" s="5"/>
      <c r="J1831" s="5"/>
      <c r="K1831" s="5"/>
      <c r="L1831" s="5"/>
      <c r="M1831" s="5"/>
      <c r="N1831" s="5"/>
      <c r="O1831" s="5"/>
      <c r="P1831" s="5"/>
      <c r="Q1831" s="5"/>
      <c r="AL1831" s="7" t="str">
        <f>HYPERLINK("http://dx.doi.org/10.1016/j.agee.2022.108100","http://dx.doi.org/10.1016/j.agee.2022.108100")</f>
        <v>http://dx.doi.org/10.1016/j.agee.2022.108100</v>
      </c>
      <c r="AM1831" s="5">
        <v>1</v>
      </c>
      <c r="AN1831" s="5">
        <v>1</v>
      </c>
      <c r="AO1831" s="5">
        <v>338</v>
      </c>
      <c r="AP1831" s="5" t="s">
        <v>16</v>
      </c>
      <c r="AQ1831" s="5" t="s">
        <v>16</v>
      </c>
      <c r="AR1831" s="5" t="s">
        <v>16</v>
      </c>
      <c r="AS1831" s="5">
        <v>108100</v>
      </c>
      <c r="AT1831" s="5" t="s">
        <v>11000</v>
      </c>
      <c r="AU1831" s="5" t="s">
        <v>11001</v>
      </c>
      <c r="AV1831" s="5" t="s">
        <v>11003</v>
      </c>
    </row>
    <row r="1832" spans="1:48" ht="45" customHeight="1" x14ac:dyDescent="0.15">
      <c r="A1832" s="5" t="s">
        <v>11004</v>
      </c>
      <c r="B1832" s="5">
        <v>2013</v>
      </c>
      <c r="C1832" s="5" t="s">
        <v>11005</v>
      </c>
      <c r="D1832" s="5" t="s">
        <v>295</v>
      </c>
      <c r="E1832" s="5" t="s">
        <v>18453</v>
      </c>
      <c r="F1832" s="5" t="s">
        <v>11008</v>
      </c>
      <c r="G1832" s="5"/>
      <c r="H1832" s="5"/>
      <c r="I1832" s="5"/>
      <c r="J1832" s="5"/>
      <c r="K1832" s="5"/>
      <c r="L1832" s="5"/>
      <c r="M1832" s="5"/>
      <c r="N1832" s="5"/>
      <c r="O1832" s="5"/>
      <c r="P1832" s="5"/>
      <c r="Q1832" s="5"/>
      <c r="AL1832" s="7" t="str">
        <f>HYPERLINK("http://dx.doi.org/10.1016/j.jembe.2012.10.023","http://dx.doi.org/10.1016/j.jembe.2012.10.023")</f>
        <v>http://dx.doi.org/10.1016/j.jembe.2012.10.023</v>
      </c>
      <c r="AM1832" s="5">
        <v>19</v>
      </c>
      <c r="AN1832" s="5">
        <v>20</v>
      </c>
      <c r="AO1832" s="5">
        <v>439</v>
      </c>
      <c r="AP1832" s="5" t="s">
        <v>16</v>
      </c>
      <c r="AQ1832" s="5">
        <v>181</v>
      </c>
      <c r="AR1832" s="5">
        <v>195</v>
      </c>
      <c r="AS1832" s="5" t="s">
        <v>16</v>
      </c>
      <c r="AT1832" s="5" t="s">
        <v>11006</v>
      </c>
      <c r="AU1832" s="5" t="s">
        <v>11007</v>
      </c>
      <c r="AV1832" s="5" t="s">
        <v>11009</v>
      </c>
    </row>
    <row r="1833" spans="1:48" ht="45" customHeight="1" x14ac:dyDescent="0.15">
      <c r="A1833" s="5" t="s">
        <v>11010</v>
      </c>
      <c r="B1833" s="5">
        <v>2011</v>
      </c>
      <c r="C1833" s="5" t="s">
        <v>11011</v>
      </c>
      <c r="D1833" s="5" t="s">
        <v>49</v>
      </c>
      <c r="E1833" s="5" t="s">
        <v>18453</v>
      </c>
      <c r="F1833" s="5" t="s">
        <v>11014</v>
      </c>
      <c r="G1833" s="5"/>
      <c r="H1833" s="5"/>
      <c r="I1833" s="5"/>
      <c r="J1833" s="5"/>
      <c r="K1833" s="5"/>
      <c r="L1833" s="5"/>
      <c r="M1833" s="5"/>
      <c r="N1833" s="5"/>
      <c r="O1833" s="5"/>
      <c r="P1833" s="5"/>
      <c r="Q1833" s="5"/>
      <c r="AL1833" s="7" t="str">
        <f>HYPERLINK("http://dx.doi.org/10.3354/meps09331","http://dx.doi.org/10.3354/meps09331")</f>
        <v>http://dx.doi.org/10.3354/meps09331</v>
      </c>
      <c r="AM1833" s="5">
        <v>26</v>
      </c>
      <c r="AN1833" s="5">
        <v>26</v>
      </c>
      <c r="AO1833" s="5">
        <v>439</v>
      </c>
      <c r="AP1833" s="5" t="s">
        <v>16</v>
      </c>
      <c r="AQ1833" s="5">
        <v>295</v>
      </c>
      <c r="AR1833" s="5">
        <v>305</v>
      </c>
      <c r="AS1833" s="5" t="s">
        <v>16</v>
      </c>
      <c r="AT1833" s="5" t="s">
        <v>11012</v>
      </c>
      <c r="AU1833" s="5" t="s">
        <v>11013</v>
      </c>
      <c r="AV1833" s="5" t="s">
        <v>11015</v>
      </c>
    </row>
    <row r="1834" spans="1:48" ht="45" customHeight="1" x14ac:dyDescent="0.15">
      <c r="A1834" s="5" t="s">
        <v>11016</v>
      </c>
      <c r="B1834" s="5">
        <v>2022</v>
      </c>
      <c r="C1834" s="5" t="s">
        <v>11017</v>
      </c>
      <c r="D1834" s="5" t="s">
        <v>77</v>
      </c>
      <c r="E1834" s="5" t="s">
        <v>18453</v>
      </c>
      <c r="F1834" s="5" t="s">
        <v>11020</v>
      </c>
      <c r="G1834" s="5"/>
      <c r="H1834" s="5"/>
      <c r="I1834" s="5"/>
      <c r="J1834" s="5"/>
      <c r="K1834" s="5"/>
      <c r="L1834" s="5"/>
      <c r="M1834" s="5"/>
      <c r="N1834" s="5"/>
      <c r="O1834" s="5"/>
      <c r="P1834" s="5"/>
      <c r="Q1834" s="5"/>
      <c r="AL1834" s="7" t="str">
        <f>HYPERLINK("http://dx.doi.org/10.1111/1365-2656.13852","http://dx.doi.org/10.1111/1365-2656.13852")</f>
        <v>http://dx.doi.org/10.1111/1365-2656.13852</v>
      </c>
      <c r="AM1834" s="5">
        <v>0</v>
      </c>
      <c r="AN1834" s="5">
        <v>0</v>
      </c>
      <c r="AO1834" s="5" t="s">
        <v>16</v>
      </c>
      <c r="AP1834" s="5" t="s">
        <v>16</v>
      </c>
      <c r="AQ1834" s="5" t="s">
        <v>16</v>
      </c>
      <c r="AR1834" s="5" t="s">
        <v>16</v>
      </c>
      <c r="AS1834" s="5" t="s">
        <v>16</v>
      </c>
      <c r="AT1834" s="5" t="s">
        <v>11018</v>
      </c>
      <c r="AU1834" s="5" t="s">
        <v>11019</v>
      </c>
      <c r="AV1834" s="5" t="s">
        <v>11021</v>
      </c>
    </row>
    <row r="1835" spans="1:48" ht="45" customHeight="1" x14ac:dyDescent="0.15">
      <c r="A1835" s="5" t="s">
        <v>11022</v>
      </c>
      <c r="B1835" s="5">
        <v>2022</v>
      </c>
      <c r="C1835" s="5" t="s">
        <v>11023</v>
      </c>
      <c r="D1835" s="5" t="s">
        <v>116</v>
      </c>
      <c r="E1835" s="5" t="s">
        <v>18453</v>
      </c>
      <c r="F1835" s="5" t="s">
        <v>11026</v>
      </c>
      <c r="G1835" s="5"/>
      <c r="H1835" s="5"/>
      <c r="I1835" s="5"/>
      <c r="J1835" s="5"/>
      <c r="K1835" s="5"/>
      <c r="L1835" s="5"/>
      <c r="M1835" s="5"/>
      <c r="N1835" s="5"/>
      <c r="O1835" s="5"/>
      <c r="P1835" s="5"/>
      <c r="Q1835" s="5"/>
      <c r="AL1835" s="7" t="str">
        <f>HYPERLINK("http://dx.doi.org/10.1007/s10641-021-01189-2","http://dx.doi.org/10.1007/s10641-021-01189-2")</f>
        <v>http://dx.doi.org/10.1007/s10641-021-01189-2</v>
      </c>
      <c r="AM1835" s="5">
        <v>1</v>
      </c>
      <c r="AN1835" s="5">
        <v>1</v>
      </c>
      <c r="AO1835" s="5">
        <v>105</v>
      </c>
      <c r="AP1835" s="5">
        <v>1</v>
      </c>
      <c r="AQ1835" s="5">
        <v>55</v>
      </c>
      <c r="AR1835" s="5">
        <v>76</v>
      </c>
      <c r="AS1835" s="5" t="s">
        <v>16</v>
      </c>
      <c r="AT1835" s="5" t="s">
        <v>11024</v>
      </c>
      <c r="AU1835" s="5" t="s">
        <v>11025</v>
      </c>
      <c r="AV1835" s="5" t="s">
        <v>11027</v>
      </c>
    </row>
    <row r="1836" spans="1:48" ht="45" customHeight="1" x14ac:dyDescent="0.15">
      <c r="A1836" s="5" t="s">
        <v>11028</v>
      </c>
      <c r="B1836" s="5">
        <v>1991</v>
      </c>
      <c r="C1836" s="5" t="s">
        <v>11029</v>
      </c>
      <c r="D1836" s="5" t="s">
        <v>1765</v>
      </c>
      <c r="E1836" s="5" t="s">
        <v>18453</v>
      </c>
      <c r="F1836" s="5" t="s">
        <v>11031</v>
      </c>
      <c r="G1836" s="5"/>
      <c r="H1836" s="5"/>
      <c r="I1836" s="5"/>
      <c r="J1836" s="5"/>
      <c r="K1836" s="5"/>
      <c r="L1836" s="5"/>
      <c r="M1836" s="5"/>
      <c r="N1836" s="5"/>
      <c r="O1836" s="5"/>
      <c r="P1836" s="5"/>
      <c r="Q1836" s="5"/>
      <c r="AL1836" s="7" t="str">
        <f>HYPERLINK("http://dx.doi.org/10.1016/0167-8809(91)90122-E","http://dx.doi.org/10.1016/0167-8809(91)90122-E")</f>
        <v>http://dx.doi.org/10.1016/0167-8809(91)90122-E</v>
      </c>
      <c r="AM1836" s="5">
        <v>123</v>
      </c>
      <c r="AN1836" s="5">
        <v>148</v>
      </c>
      <c r="AO1836" s="5">
        <v>34</v>
      </c>
      <c r="AP1836" s="5" t="s">
        <v>11032</v>
      </c>
      <c r="AQ1836" s="5">
        <v>371</v>
      </c>
      <c r="AR1836" s="5">
        <v>397</v>
      </c>
      <c r="AS1836" s="5" t="s">
        <v>16</v>
      </c>
      <c r="AT1836" s="5" t="s">
        <v>16</v>
      </c>
      <c r="AU1836" s="5" t="s">
        <v>11030</v>
      </c>
      <c r="AV1836" s="5" t="s">
        <v>11033</v>
      </c>
    </row>
    <row r="1837" spans="1:48" ht="45" customHeight="1" x14ac:dyDescent="0.15">
      <c r="A1837" s="5" t="s">
        <v>11034</v>
      </c>
      <c r="B1837" s="5">
        <v>2011</v>
      </c>
      <c r="C1837" s="5" t="s">
        <v>11035</v>
      </c>
      <c r="D1837" s="5" t="s">
        <v>18</v>
      </c>
      <c r="E1837" s="5" t="s">
        <v>18453</v>
      </c>
      <c r="F1837" s="5" t="s">
        <v>11038</v>
      </c>
      <c r="G1837" s="5"/>
      <c r="H1837" s="5"/>
      <c r="I1837" s="5"/>
      <c r="J1837" s="5"/>
      <c r="K1837" s="5"/>
      <c r="L1837" s="5"/>
      <c r="M1837" s="5"/>
      <c r="N1837" s="5"/>
      <c r="O1837" s="5"/>
      <c r="P1837" s="5"/>
      <c r="Q1837" s="5"/>
      <c r="AL1837" s="7" t="str">
        <f>HYPERLINK("http://dx.doi.org/10.1890/ES10-00150.1","http://dx.doi.org/10.1890/ES10-00150.1")</f>
        <v>http://dx.doi.org/10.1890/ES10-00150.1</v>
      </c>
      <c r="AM1837" s="5">
        <v>9</v>
      </c>
      <c r="AN1837" s="5">
        <v>9</v>
      </c>
      <c r="AO1837" s="5">
        <v>2</v>
      </c>
      <c r="AP1837" s="5">
        <v>2</v>
      </c>
      <c r="AQ1837" s="5" t="s">
        <v>16</v>
      </c>
      <c r="AR1837" s="5" t="s">
        <v>16</v>
      </c>
      <c r="AS1837" s="5">
        <v>20</v>
      </c>
      <c r="AT1837" s="5" t="s">
        <v>11036</v>
      </c>
      <c r="AU1837" s="5" t="s">
        <v>11037</v>
      </c>
      <c r="AV1837" s="5" t="s">
        <v>11039</v>
      </c>
    </row>
    <row r="1838" spans="1:48" ht="45" customHeight="1" x14ac:dyDescent="0.15">
      <c r="A1838" s="5" t="s">
        <v>11040</v>
      </c>
      <c r="B1838" s="5">
        <v>2023</v>
      </c>
      <c r="C1838" s="5" t="s">
        <v>11041</v>
      </c>
      <c r="D1838" s="5" t="s">
        <v>11042</v>
      </c>
      <c r="E1838" s="5" t="s">
        <v>18453</v>
      </c>
      <c r="F1838" s="5" t="s">
        <v>11045</v>
      </c>
      <c r="G1838" s="5"/>
      <c r="H1838" s="5"/>
      <c r="I1838" s="5"/>
      <c r="J1838" s="5"/>
      <c r="K1838" s="5"/>
      <c r="L1838" s="5"/>
      <c r="M1838" s="5"/>
      <c r="N1838" s="5"/>
      <c r="O1838" s="5"/>
      <c r="P1838" s="5"/>
      <c r="Q1838" s="5"/>
      <c r="AL1838" s="7" t="str">
        <f>HYPERLINK("http://dx.doi.org/10.1186/s12862-023-02105-1","http://dx.doi.org/10.1186/s12862-023-02105-1")</f>
        <v>http://dx.doi.org/10.1186/s12862-023-02105-1</v>
      </c>
      <c r="AM1838" s="5">
        <v>1</v>
      </c>
      <c r="AN1838" s="5">
        <v>1</v>
      </c>
      <c r="AO1838" s="5">
        <v>23</v>
      </c>
      <c r="AP1838" s="5">
        <v>1</v>
      </c>
      <c r="AQ1838" s="5" t="s">
        <v>16</v>
      </c>
      <c r="AR1838" s="5" t="s">
        <v>16</v>
      </c>
      <c r="AS1838" s="5">
        <v>3</v>
      </c>
      <c r="AT1838" s="5" t="s">
        <v>11043</v>
      </c>
      <c r="AU1838" s="5" t="s">
        <v>11044</v>
      </c>
      <c r="AV1838" s="5" t="s">
        <v>11046</v>
      </c>
    </row>
    <row r="1839" spans="1:48" ht="45" customHeight="1" x14ac:dyDescent="0.15">
      <c r="A1839" s="5" t="s">
        <v>11047</v>
      </c>
      <c r="B1839" s="5">
        <v>2012</v>
      </c>
      <c r="C1839" s="5" t="s">
        <v>11048</v>
      </c>
      <c r="D1839" s="5" t="s">
        <v>83</v>
      </c>
      <c r="E1839" s="5" t="s">
        <v>18453</v>
      </c>
      <c r="F1839" s="5" t="s">
        <v>11051</v>
      </c>
      <c r="G1839" s="5"/>
      <c r="H1839" s="5"/>
      <c r="I1839" s="5"/>
      <c r="J1839" s="5"/>
      <c r="K1839" s="5"/>
      <c r="L1839" s="5"/>
      <c r="M1839" s="5"/>
      <c r="N1839" s="5"/>
      <c r="O1839" s="5"/>
      <c r="P1839" s="5"/>
      <c r="Q1839" s="5"/>
      <c r="AL1839" s="7" t="str">
        <f>HYPERLINK("http://dx.doi.org/10.1007/s10646-012-0893-4","http://dx.doi.org/10.1007/s10646-012-0893-4")</f>
        <v>http://dx.doi.org/10.1007/s10646-012-0893-4</v>
      </c>
      <c r="AM1839" s="5">
        <v>9</v>
      </c>
      <c r="AN1839" s="5">
        <v>9</v>
      </c>
      <c r="AO1839" s="5">
        <v>21</v>
      </c>
      <c r="AP1839" s="5">
        <v>5</v>
      </c>
      <c r="AQ1839" s="5">
        <v>1391</v>
      </c>
      <c r="AR1839" s="5">
        <v>1402</v>
      </c>
      <c r="AS1839" s="5" t="s">
        <v>16</v>
      </c>
      <c r="AT1839" s="5" t="s">
        <v>11049</v>
      </c>
      <c r="AU1839" s="5" t="s">
        <v>11050</v>
      </c>
      <c r="AV1839" s="5" t="s">
        <v>11052</v>
      </c>
    </row>
    <row r="1840" spans="1:48" ht="45" customHeight="1" x14ac:dyDescent="0.15">
      <c r="A1840" s="5" t="s">
        <v>11053</v>
      </c>
      <c r="B1840" s="5">
        <v>2021</v>
      </c>
      <c r="C1840" s="5" t="s">
        <v>11054</v>
      </c>
      <c r="D1840" s="5" t="s">
        <v>49</v>
      </c>
      <c r="E1840" s="5" t="s">
        <v>18453</v>
      </c>
      <c r="F1840" s="5" t="s">
        <v>11057</v>
      </c>
      <c r="G1840" s="5"/>
      <c r="H1840" s="5"/>
      <c r="I1840" s="5"/>
      <c r="J1840" s="5"/>
      <c r="K1840" s="5"/>
      <c r="L1840" s="5"/>
      <c r="M1840" s="5"/>
      <c r="N1840" s="5"/>
      <c r="O1840" s="5"/>
      <c r="P1840" s="5"/>
      <c r="Q1840" s="5"/>
      <c r="AL1840" s="7" t="str">
        <f>HYPERLINK("http://dx.doi.org/10.3354/meps13821","http://dx.doi.org/10.3354/meps13821")</f>
        <v>http://dx.doi.org/10.3354/meps13821</v>
      </c>
      <c r="AM1840" s="5">
        <v>1</v>
      </c>
      <c r="AN1840" s="5">
        <v>1</v>
      </c>
      <c r="AO1840" s="5">
        <v>674</v>
      </c>
      <c r="AP1840" s="5" t="s">
        <v>16</v>
      </c>
      <c r="AQ1840" s="5">
        <v>189</v>
      </c>
      <c r="AR1840" s="5">
        <v>202</v>
      </c>
      <c r="AS1840" s="5" t="s">
        <v>16</v>
      </c>
      <c r="AT1840" s="5" t="s">
        <v>11055</v>
      </c>
      <c r="AU1840" s="5" t="s">
        <v>11056</v>
      </c>
      <c r="AV1840" s="5" t="s">
        <v>11058</v>
      </c>
    </row>
    <row r="1841" spans="1:48" ht="45" customHeight="1" x14ac:dyDescent="0.15">
      <c r="A1841" s="5" t="s">
        <v>11059</v>
      </c>
      <c r="B1841" s="5">
        <v>2007</v>
      </c>
      <c r="C1841" s="5" t="s">
        <v>11060</v>
      </c>
      <c r="D1841" s="5" t="s">
        <v>488</v>
      </c>
      <c r="E1841" s="5" t="s">
        <v>18453</v>
      </c>
      <c r="F1841" s="5" t="s">
        <v>11063</v>
      </c>
      <c r="G1841" s="5"/>
      <c r="H1841" s="5"/>
      <c r="I1841" s="5"/>
      <c r="J1841" s="5"/>
      <c r="K1841" s="5"/>
      <c r="L1841" s="5"/>
      <c r="M1841" s="5"/>
      <c r="N1841" s="5"/>
      <c r="O1841" s="5"/>
      <c r="P1841" s="5"/>
      <c r="Q1841" s="5"/>
      <c r="AL1841" s="7" t="str">
        <f>HYPERLINK("http://dx.doi.org/10.1007/s10344-006-0075-x","http://dx.doi.org/10.1007/s10344-006-0075-x")</f>
        <v>http://dx.doi.org/10.1007/s10344-006-0075-x</v>
      </c>
      <c r="AM1841" s="5">
        <v>32</v>
      </c>
      <c r="AN1841" s="5">
        <v>33</v>
      </c>
      <c r="AO1841" s="5">
        <v>53</v>
      </c>
      <c r="AP1841" s="5">
        <v>3</v>
      </c>
      <c r="AQ1841" s="5">
        <v>161</v>
      </c>
      <c r="AR1841" s="5">
        <v>170</v>
      </c>
      <c r="AS1841" s="5" t="s">
        <v>16</v>
      </c>
      <c r="AT1841" s="5" t="s">
        <v>11061</v>
      </c>
      <c r="AU1841" s="5" t="s">
        <v>11062</v>
      </c>
      <c r="AV1841" s="5" t="s">
        <v>11064</v>
      </c>
    </row>
    <row r="1842" spans="1:48" ht="45" customHeight="1" x14ac:dyDescent="0.15">
      <c r="A1842" s="5" t="s">
        <v>11065</v>
      </c>
      <c r="B1842" s="5">
        <v>2004</v>
      </c>
      <c r="C1842" s="5" t="s">
        <v>11066</v>
      </c>
      <c r="D1842" s="5" t="s">
        <v>212</v>
      </c>
      <c r="E1842" s="5" t="s">
        <v>18453</v>
      </c>
      <c r="F1842" s="5" t="s">
        <v>11068</v>
      </c>
      <c r="G1842" s="5"/>
      <c r="H1842" s="5"/>
      <c r="I1842" s="5"/>
      <c r="J1842" s="5"/>
      <c r="K1842" s="5"/>
      <c r="L1842" s="5"/>
      <c r="M1842" s="5"/>
      <c r="N1842" s="5"/>
      <c r="O1842" s="5"/>
      <c r="P1842" s="5"/>
      <c r="Q1842" s="5"/>
      <c r="AL1842" s="7" t="str">
        <f>HYPERLINK("http://dx.doi.org/10.1007/s00300-003-0570-4","http://dx.doi.org/10.1007/s00300-003-0570-4")</f>
        <v>http://dx.doi.org/10.1007/s00300-003-0570-4</v>
      </c>
      <c r="AM1842" s="5">
        <v>34</v>
      </c>
      <c r="AN1842" s="5">
        <v>36</v>
      </c>
      <c r="AO1842" s="5">
        <v>27</v>
      </c>
      <c r="AP1842" s="5">
        <v>2</v>
      </c>
      <c r="AQ1842" s="5">
        <v>119</v>
      </c>
      <c r="AR1842" s="5">
        <v>129</v>
      </c>
      <c r="AS1842" s="5" t="s">
        <v>16</v>
      </c>
      <c r="AT1842" s="5" t="s">
        <v>16</v>
      </c>
      <c r="AU1842" s="5" t="s">
        <v>11067</v>
      </c>
      <c r="AV1842" s="5" t="s">
        <v>11069</v>
      </c>
    </row>
    <row r="1843" spans="1:48" ht="45" customHeight="1" x14ac:dyDescent="0.15">
      <c r="A1843" s="5" t="s">
        <v>11070</v>
      </c>
      <c r="B1843" s="5">
        <v>2019</v>
      </c>
      <c r="C1843" s="5" t="s">
        <v>11071</v>
      </c>
      <c r="D1843" s="5" t="s">
        <v>124</v>
      </c>
      <c r="E1843" s="5" t="s">
        <v>18453</v>
      </c>
      <c r="F1843" s="5" t="s">
        <v>11074</v>
      </c>
      <c r="G1843" s="5"/>
      <c r="H1843" s="5"/>
      <c r="I1843" s="5"/>
      <c r="J1843" s="5"/>
      <c r="K1843" s="5"/>
      <c r="L1843" s="5"/>
      <c r="M1843" s="5"/>
      <c r="N1843" s="5"/>
      <c r="O1843" s="5"/>
      <c r="P1843" s="5"/>
      <c r="Q1843" s="5"/>
      <c r="AL1843" s="7" t="str">
        <f>HYPERLINK("http://dx.doi.org/10.1086/704111","http://dx.doi.org/10.1086/704111")</f>
        <v>http://dx.doi.org/10.1086/704111</v>
      </c>
      <c r="AM1843" s="5">
        <v>21</v>
      </c>
      <c r="AN1843" s="5">
        <v>21</v>
      </c>
      <c r="AO1843" s="5">
        <v>194</v>
      </c>
      <c r="AP1843" s="5">
        <v>2</v>
      </c>
      <c r="AQ1843" s="5">
        <v>246</v>
      </c>
      <c r="AR1843" s="5">
        <v>259</v>
      </c>
      <c r="AS1843" s="5" t="s">
        <v>16</v>
      </c>
      <c r="AT1843" s="5" t="s">
        <v>11072</v>
      </c>
      <c r="AU1843" s="5" t="s">
        <v>11073</v>
      </c>
      <c r="AV1843" s="5" t="s">
        <v>11075</v>
      </c>
    </row>
    <row r="1844" spans="1:48" ht="45" customHeight="1" x14ac:dyDescent="0.15">
      <c r="A1844" s="5" t="s">
        <v>11076</v>
      </c>
      <c r="B1844" s="5">
        <v>2018</v>
      </c>
      <c r="C1844" s="5" t="s">
        <v>11077</v>
      </c>
      <c r="D1844" s="5" t="s">
        <v>1765</v>
      </c>
      <c r="E1844" s="5" t="s">
        <v>18453</v>
      </c>
      <c r="F1844" s="5" t="s">
        <v>11080</v>
      </c>
      <c r="G1844" s="5"/>
      <c r="H1844" s="5"/>
      <c r="I1844" s="5"/>
      <c r="J1844" s="5"/>
      <c r="K1844" s="5"/>
      <c r="L1844" s="5"/>
      <c r="M1844" s="5"/>
      <c r="N1844" s="5"/>
      <c r="O1844" s="5"/>
      <c r="P1844" s="5"/>
      <c r="Q1844" s="5"/>
      <c r="AL1844" s="7" t="str">
        <f>HYPERLINK("http://dx.doi.org/10.1016/j.agee.2018.06.028","http://dx.doi.org/10.1016/j.agee.2018.06.028")</f>
        <v>http://dx.doi.org/10.1016/j.agee.2018.06.028</v>
      </c>
      <c r="AM1844" s="5">
        <v>31</v>
      </c>
      <c r="AN1844" s="5">
        <v>36</v>
      </c>
      <c r="AO1844" s="5">
        <v>265</v>
      </c>
      <c r="AP1844" s="5" t="s">
        <v>16</v>
      </c>
      <c r="AQ1844" s="5">
        <v>392</v>
      </c>
      <c r="AR1844" s="5">
        <v>401</v>
      </c>
      <c r="AS1844" s="5" t="s">
        <v>16</v>
      </c>
      <c r="AT1844" s="5" t="s">
        <v>11078</v>
      </c>
      <c r="AU1844" s="5" t="s">
        <v>11079</v>
      </c>
      <c r="AV1844" s="5" t="s">
        <v>11081</v>
      </c>
    </row>
    <row r="1845" spans="1:48" ht="45" customHeight="1" x14ac:dyDescent="0.15">
      <c r="A1845" s="5" t="s">
        <v>11082</v>
      </c>
      <c r="B1845" s="5">
        <v>2017</v>
      </c>
      <c r="C1845" s="5" t="s">
        <v>11083</v>
      </c>
      <c r="D1845" s="5" t="s">
        <v>127</v>
      </c>
      <c r="E1845" s="5" t="s">
        <v>18453</v>
      </c>
      <c r="F1845" s="5" t="s">
        <v>11086</v>
      </c>
      <c r="G1845" s="5"/>
      <c r="H1845" s="5"/>
      <c r="I1845" s="5"/>
      <c r="J1845" s="5"/>
      <c r="K1845" s="5"/>
      <c r="L1845" s="5"/>
      <c r="M1845" s="5"/>
      <c r="N1845" s="5"/>
      <c r="O1845" s="5"/>
      <c r="P1845" s="5"/>
      <c r="Q1845" s="5"/>
      <c r="AL1845" s="7" t="str">
        <f>HYPERLINK("http://dx.doi.org/10.1016/j.polar.2017.04.001","http://dx.doi.org/10.1016/j.polar.2017.04.001")</f>
        <v>http://dx.doi.org/10.1016/j.polar.2017.04.001</v>
      </c>
      <c r="AM1845" s="5">
        <v>25</v>
      </c>
      <c r="AN1845" s="5">
        <v>25</v>
      </c>
      <c r="AO1845" s="5">
        <v>13</v>
      </c>
      <c r="AP1845" s="5" t="s">
        <v>16</v>
      </c>
      <c r="AQ1845" s="5">
        <v>23</v>
      </c>
      <c r="AR1845" s="5">
        <v>32</v>
      </c>
      <c r="AS1845" s="5" t="s">
        <v>16</v>
      </c>
      <c r="AT1845" s="5" t="s">
        <v>11084</v>
      </c>
      <c r="AU1845" s="5" t="s">
        <v>11085</v>
      </c>
      <c r="AV1845" s="5" t="s">
        <v>11087</v>
      </c>
    </row>
    <row r="1846" spans="1:48" ht="45" customHeight="1" x14ac:dyDescent="0.15">
      <c r="A1846" s="5" t="s">
        <v>11088</v>
      </c>
      <c r="B1846" s="5">
        <v>2018</v>
      </c>
      <c r="C1846" s="5" t="s">
        <v>11089</v>
      </c>
      <c r="D1846" s="5" t="s">
        <v>172</v>
      </c>
      <c r="E1846" s="5" t="s">
        <v>18453</v>
      </c>
      <c r="F1846" s="5" t="s">
        <v>11092</v>
      </c>
      <c r="G1846" s="5"/>
      <c r="H1846" s="5"/>
      <c r="I1846" s="5"/>
      <c r="J1846" s="5"/>
      <c r="K1846" s="5"/>
      <c r="L1846" s="5"/>
      <c r="M1846" s="5"/>
      <c r="N1846" s="5"/>
      <c r="O1846" s="5"/>
      <c r="P1846" s="5"/>
      <c r="Q1846" s="5"/>
      <c r="AL1846" s="7" t="str">
        <f>HYPERLINK("http://dx.doi.org/10.1007/s00442-018-4147-x","http://dx.doi.org/10.1007/s00442-018-4147-x")</f>
        <v>http://dx.doi.org/10.1007/s00442-018-4147-x</v>
      </c>
      <c r="AM1846" s="5">
        <v>22</v>
      </c>
      <c r="AN1846" s="5">
        <v>22</v>
      </c>
      <c r="AO1846" s="5">
        <v>187</v>
      </c>
      <c r="AP1846" s="5">
        <v>3</v>
      </c>
      <c r="AQ1846" s="5">
        <v>689</v>
      </c>
      <c r="AR1846" s="5">
        <v>699</v>
      </c>
      <c r="AS1846" s="5" t="s">
        <v>16</v>
      </c>
      <c r="AT1846" s="5" t="s">
        <v>11090</v>
      </c>
      <c r="AU1846" s="5" t="s">
        <v>11091</v>
      </c>
      <c r="AV1846" s="5" t="s">
        <v>11093</v>
      </c>
    </row>
    <row r="1847" spans="1:48" ht="45" customHeight="1" x14ac:dyDescent="0.15">
      <c r="A1847" s="5" t="s">
        <v>11094</v>
      </c>
      <c r="B1847" s="5">
        <v>2002</v>
      </c>
      <c r="C1847" s="5" t="s">
        <v>11095</v>
      </c>
      <c r="D1847" s="5" t="s">
        <v>33</v>
      </c>
      <c r="E1847" s="5" t="s">
        <v>18453</v>
      </c>
      <c r="F1847" s="5" t="s">
        <v>11098</v>
      </c>
      <c r="G1847" s="5"/>
      <c r="H1847" s="5"/>
      <c r="I1847" s="5"/>
      <c r="J1847" s="5"/>
      <c r="K1847" s="5"/>
      <c r="L1847" s="5"/>
      <c r="M1847" s="5"/>
      <c r="N1847" s="5"/>
      <c r="O1847" s="5"/>
      <c r="P1847" s="5"/>
      <c r="Q1847" s="5"/>
      <c r="AL1847" s="5" t="s">
        <v>16</v>
      </c>
      <c r="AM1847" s="5">
        <v>43</v>
      </c>
      <c r="AN1847" s="5">
        <v>47</v>
      </c>
      <c r="AO1847" s="5">
        <v>8</v>
      </c>
      <c r="AP1847" s="5">
        <v>11</v>
      </c>
      <c r="AQ1847" s="5">
        <v>1118</v>
      </c>
      <c r="AR1847" s="5">
        <v>1129</v>
      </c>
      <c r="AS1847" s="5" t="s">
        <v>16</v>
      </c>
      <c r="AT1847" s="5" t="s">
        <v>11096</v>
      </c>
      <c r="AU1847" s="5" t="s">
        <v>11097</v>
      </c>
      <c r="AV1847" s="5" t="s">
        <v>16</v>
      </c>
    </row>
    <row r="1848" spans="1:48" ht="45" customHeight="1" x14ac:dyDescent="0.15">
      <c r="A1848" s="5" t="s">
        <v>11099</v>
      </c>
      <c r="B1848" s="5">
        <v>2021</v>
      </c>
      <c r="C1848" s="5" t="s">
        <v>11100</v>
      </c>
      <c r="D1848" s="5" t="s">
        <v>49</v>
      </c>
      <c r="E1848" s="5" t="s">
        <v>18453</v>
      </c>
      <c r="F1848" s="5" t="s">
        <v>11103</v>
      </c>
      <c r="G1848" s="5"/>
      <c r="H1848" s="5"/>
      <c r="I1848" s="5"/>
      <c r="J1848" s="5"/>
      <c r="K1848" s="5"/>
      <c r="L1848" s="5"/>
      <c r="M1848" s="5"/>
      <c r="N1848" s="5"/>
      <c r="O1848" s="5"/>
      <c r="P1848" s="5"/>
      <c r="Q1848" s="5"/>
      <c r="AL1848" s="7" t="str">
        <f>HYPERLINK("http://dx.doi.org/10.3354/meps13733","http://dx.doi.org/10.3354/meps13733")</f>
        <v>http://dx.doi.org/10.3354/meps13733</v>
      </c>
      <c r="AM1848" s="5">
        <v>2</v>
      </c>
      <c r="AN1848" s="5">
        <v>2</v>
      </c>
      <c r="AO1848" s="5">
        <v>669</v>
      </c>
      <c r="AP1848" s="5" t="s">
        <v>16</v>
      </c>
      <c r="AQ1848" s="5">
        <v>213</v>
      </c>
      <c r="AR1848" s="5">
        <v>226</v>
      </c>
      <c r="AS1848" s="5" t="s">
        <v>16</v>
      </c>
      <c r="AT1848" s="5" t="s">
        <v>11101</v>
      </c>
      <c r="AU1848" s="5" t="s">
        <v>11102</v>
      </c>
      <c r="AV1848" s="5" t="s">
        <v>11104</v>
      </c>
    </row>
    <row r="1849" spans="1:48" ht="45" customHeight="1" x14ac:dyDescent="0.15">
      <c r="A1849" s="5" t="s">
        <v>11105</v>
      </c>
      <c r="B1849" s="5">
        <v>2016</v>
      </c>
      <c r="C1849" s="5" t="s">
        <v>11106</v>
      </c>
      <c r="D1849" s="5" t="s">
        <v>190</v>
      </c>
      <c r="E1849" s="5" t="s">
        <v>18453</v>
      </c>
      <c r="F1849" s="5" t="s">
        <v>11109</v>
      </c>
      <c r="G1849" s="5"/>
      <c r="H1849" s="5"/>
      <c r="I1849" s="5"/>
      <c r="J1849" s="5"/>
      <c r="K1849" s="5"/>
      <c r="L1849" s="5"/>
      <c r="M1849" s="5"/>
      <c r="N1849" s="5"/>
      <c r="O1849" s="5"/>
      <c r="P1849" s="5"/>
      <c r="Q1849" s="5"/>
      <c r="AL1849" s="7" t="str">
        <f>HYPERLINK("http://dx.doi.org/10.1007/s10530-016-1231-1","http://dx.doi.org/10.1007/s10530-016-1231-1")</f>
        <v>http://dx.doi.org/10.1007/s10530-016-1231-1</v>
      </c>
      <c r="AM1849" s="5">
        <v>31</v>
      </c>
      <c r="AN1849" s="5">
        <v>40</v>
      </c>
      <c r="AO1849" s="5">
        <v>18</v>
      </c>
      <c r="AP1849" s="5">
        <v>11</v>
      </c>
      <c r="AQ1849" s="5">
        <v>3365</v>
      </c>
      <c r="AR1849" s="5">
        <v>3380</v>
      </c>
      <c r="AS1849" s="5" t="s">
        <v>16</v>
      </c>
      <c r="AT1849" s="5" t="s">
        <v>11107</v>
      </c>
      <c r="AU1849" s="5" t="s">
        <v>11108</v>
      </c>
      <c r="AV1849" s="5" t="s">
        <v>11110</v>
      </c>
    </row>
    <row r="1850" spans="1:48" ht="45" customHeight="1" x14ac:dyDescent="0.15">
      <c r="A1850" s="5" t="s">
        <v>11111</v>
      </c>
      <c r="B1850" s="5">
        <v>2021</v>
      </c>
      <c r="C1850" s="5" t="s">
        <v>11112</v>
      </c>
      <c r="D1850" s="5" t="s">
        <v>162</v>
      </c>
      <c r="E1850" s="5" t="s">
        <v>18453</v>
      </c>
      <c r="F1850" s="5" t="s">
        <v>11114</v>
      </c>
      <c r="G1850" s="5"/>
      <c r="H1850" s="5"/>
      <c r="I1850" s="5"/>
      <c r="J1850" s="5"/>
      <c r="K1850" s="5"/>
      <c r="L1850" s="5"/>
      <c r="M1850" s="5"/>
      <c r="N1850" s="5"/>
      <c r="O1850" s="5"/>
      <c r="P1850" s="5"/>
      <c r="Q1850" s="5"/>
      <c r="AL1850" s="7" t="str">
        <f>HYPERLINK("http://dx.doi.org/10.1111/1365-2435.13780","http://dx.doi.org/10.1111/1365-2435.13780")</f>
        <v>http://dx.doi.org/10.1111/1365-2435.13780</v>
      </c>
      <c r="AM1850" s="5">
        <v>8</v>
      </c>
      <c r="AN1850" s="5">
        <v>8</v>
      </c>
      <c r="AO1850" s="5">
        <v>35</v>
      </c>
      <c r="AP1850" s="5">
        <v>5</v>
      </c>
      <c r="AQ1850" s="5">
        <v>1081</v>
      </c>
      <c r="AR1850" s="5">
        <v>1093</v>
      </c>
      <c r="AS1850" s="5" t="s">
        <v>16</v>
      </c>
      <c r="AT1850" s="5" t="s">
        <v>11113</v>
      </c>
      <c r="AU1850" s="5" t="s">
        <v>16</v>
      </c>
      <c r="AV1850" s="5" t="s">
        <v>11115</v>
      </c>
    </row>
    <row r="1851" spans="1:48" ht="45" customHeight="1" x14ac:dyDescent="0.15">
      <c r="A1851" s="5" t="s">
        <v>11116</v>
      </c>
      <c r="B1851" s="5">
        <v>2021</v>
      </c>
      <c r="C1851" s="5" t="s">
        <v>11117</v>
      </c>
      <c r="D1851" s="5" t="s">
        <v>875</v>
      </c>
      <c r="E1851" s="5" t="s">
        <v>18453</v>
      </c>
      <c r="F1851" s="5" t="s">
        <v>11120</v>
      </c>
      <c r="G1851" s="5"/>
      <c r="H1851" s="5"/>
      <c r="I1851" s="5"/>
      <c r="J1851" s="5"/>
      <c r="K1851" s="5"/>
      <c r="L1851" s="5"/>
      <c r="M1851" s="5"/>
      <c r="N1851" s="5"/>
      <c r="O1851" s="5"/>
      <c r="P1851" s="5"/>
      <c r="Q1851" s="5"/>
      <c r="AL1851" s="7" t="str">
        <f>HYPERLINK("http://dx.doi.org/10.1016/j.ecohyd.2021.01.002","http://dx.doi.org/10.1016/j.ecohyd.2021.01.002")</f>
        <v>http://dx.doi.org/10.1016/j.ecohyd.2021.01.002</v>
      </c>
      <c r="AM1851" s="5">
        <v>1</v>
      </c>
      <c r="AN1851" s="5">
        <v>1</v>
      </c>
      <c r="AO1851" s="5">
        <v>21</v>
      </c>
      <c r="AP1851" s="5">
        <v>2</v>
      </c>
      <c r="AQ1851" s="5">
        <v>271</v>
      </c>
      <c r="AR1851" s="5">
        <v>279</v>
      </c>
      <c r="AS1851" s="5" t="s">
        <v>16</v>
      </c>
      <c r="AT1851" s="5" t="s">
        <v>11118</v>
      </c>
      <c r="AU1851" s="5" t="s">
        <v>11119</v>
      </c>
      <c r="AV1851" s="5" t="s">
        <v>11121</v>
      </c>
    </row>
    <row r="1852" spans="1:48" ht="45" customHeight="1" x14ac:dyDescent="0.15">
      <c r="A1852" s="5" t="s">
        <v>11122</v>
      </c>
      <c r="B1852" s="5">
        <v>2016</v>
      </c>
      <c r="C1852" s="5" t="s">
        <v>11123</v>
      </c>
      <c r="D1852" s="5" t="s">
        <v>3980</v>
      </c>
      <c r="E1852" s="5" t="s">
        <v>18453</v>
      </c>
      <c r="F1852" s="5" t="s">
        <v>11126</v>
      </c>
      <c r="G1852" s="5"/>
      <c r="H1852" s="5"/>
      <c r="I1852" s="5"/>
      <c r="J1852" s="5"/>
      <c r="K1852" s="5"/>
      <c r="L1852" s="5"/>
      <c r="M1852" s="5"/>
      <c r="N1852" s="5"/>
      <c r="O1852" s="5"/>
      <c r="P1852" s="5"/>
      <c r="Q1852" s="5"/>
      <c r="AL1852" s="7" t="str">
        <f>HYPERLINK("http://dx.doi.org/10.1111/btp.12274","http://dx.doi.org/10.1111/btp.12274")</f>
        <v>http://dx.doi.org/10.1111/btp.12274</v>
      </c>
      <c r="AM1852" s="5">
        <v>3</v>
      </c>
      <c r="AN1852" s="5">
        <v>3</v>
      </c>
      <c r="AO1852" s="5">
        <v>48</v>
      </c>
      <c r="AP1852" s="5">
        <v>2</v>
      </c>
      <c r="AQ1852" s="5">
        <v>255</v>
      </c>
      <c r="AR1852" s="5">
        <v>264</v>
      </c>
      <c r="AS1852" s="5" t="s">
        <v>16</v>
      </c>
      <c r="AT1852" s="5" t="s">
        <v>11124</v>
      </c>
      <c r="AU1852" s="5" t="s">
        <v>11125</v>
      </c>
      <c r="AV1852" s="5" t="s">
        <v>11127</v>
      </c>
    </row>
    <row r="1853" spans="1:48" ht="45" customHeight="1" x14ac:dyDescent="0.15">
      <c r="A1853" s="5" t="s">
        <v>11128</v>
      </c>
      <c r="B1853" s="5">
        <v>2005</v>
      </c>
      <c r="C1853" s="5" t="s">
        <v>11129</v>
      </c>
      <c r="D1853" s="5" t="s">
        <v>162</v>
      </c>
      <c r="E1853" s="5" t="s">
        <v>18453</v>
      </c>
      <c r="F1853" s="5" t="s">
        <v>11132</v>
      </c>
      <c r="G1853" s="5"/>
      <c r="H1853" s="5"/>
      <c r="I1853" s="5"/>
      <c r="J1853" s="5"/>
      <c r="K1853" s="5"/>
      <c r="L1853" s="5"/>
      <c r="M1853" s="5"/>
      <c r="N1853" s="5"/>
      <c r="O1853" s="5"/>
      <c r="P1853" s="5"/>
      <c r="Q1853" s="5"/>
      <c r="AL1853" s="7" t="str">
        <f>HYPERLINK("http://dx.doi.org/10.1111/j.1365-2435.2005.01019.x","http://dx.doi.org/10.1111/j.1365-2435.2005.01019.x")</f>
        <v>http://dx.doi.org/10.1111/j.1365-2435.2005.01019.x</v>
      </c>
      <c r="AM1853" s="5">
        <v>116</v>
      </c>
      <c r="AN1853" s="5">
        <v>117</v>
      </c>
      <c r="AO1853" s="5">
        <v>19</v>
      </c>
      <c r="AP1853" s="5">
        <v>5</v>
      </c>
      <c r="AQ1853" s="5">
        <v>777</v>
      </c>
      <c r="AR1853" s="5">
        <v>784</v>
      </c>
      <c r="AS1853" s="5" t="s">
        <v>16</v>
      </c>
      <c r="AT1853" s="5" t="s">
        <v>11130</v>
      </c>
      <c r="AU1853" s="5" t="s">
        <v>11131</v>
      </c>
      <c r="AV1853" s="5" t="s">
        <v>11133</v>
      </c>
    </row>
    <row r="1854" spans="1:48" ht="45" customHeight="1" x14ac:dyDescent="0.15">
      <c r="A1854" s="5" t="s">
        <v>11134</v>
      </c>
      <c r="B1854" s="5">
        <v>2019</v>
      </c>
      <c r="C1854" s="5" t="s">
        <v>11135</v>
      </c>
      <c r="D1854" s="5" t="s">
        <v>289</v>
      </c>
      <c r="E1854" s="5" t="s">
        <v>18453</v>
      </c>
      <c r="F1854" s="5" t="s">
        <v>11138</v>
      </c>
      <c r="G1854" s="5"/>
      <c r="H1854" s="5"/>
      <c r="I1854" s="5"/>
      <c r="J1854" s="5"/>
      <c r="K1854" s="5"/>
      <c r="L1854" s="5"/>
      <c r="M1854" s="5"/>
      <c r="N1854" s="5"/>
      <c r="O1854" s="5"/>
      <c r="P1854" s="5"/>
      <c r="Q1854" s="5"/>
      <c r="AL1854" s="7" t="str">
        <f>HYPERLINK("http://dx.doi.org/10.1111/1365-2745.13105","http://dx.doi.org/10.1111/1365-2745.13105")</f>
        <v>http://dx.doi.org/10.1111/1365-2745.13105</v>
      </c>
      <c r="AM1854" s="5">
        <v>20</v>
      </c>
      <c r="AN1854" s="5">
        <v>20</v>
      </c>
      <c r="AO1854" s="5">
        <v>107</v>
      </c>
      <c r="AP1854" s="5">
        <v>3</v>
      </c>
      <c r="AQ1854" s="5">
        <v>1120</v>
      </c>
      <c r="AR1854" s="5">
        <v>1128</v>
      </c>
      <c r="AS1854" s="5" t="s">
        <v>16</v>
      </c>
      <c r="AT1854" s="5" t="s">
        <v>11136</v>
      </c>
      <c r="AU1854" s="5" t="s">
        <v>11137</v>
      </c>
      <c r="AV1854" s="5" t="s">
        <v>11139</v>
      </c>
    </row>
    <row r="1855" spans="1:48" ht="45" customHeight="1" x14ac:dyDescent="0.15">
      <c r="A1855" s="5" t="s">
        <v>11140</v>
      </c>
      <c r="B1855" s="5">
        <v>2019</v>
      </c>
      <c r="C1855" s="5" t="s">
        <v>11141</v>
      </c>
      <c r="D1855" s="5" t="s">
        <v>6683</v>
      </c>
      <c r="E1855" s="5" t="s">
        <v>18453</v>
      </c>
      <c r="F1855" s="5" t="s">
        <v>11143</v>
      </c>
      <c r="G1855" s="5"/>
      <c r="H1855" s="5"/>
      <c r="I1855" s="5"/>
      <c r="J1855" s="5"/>
      <c r="K1855" s="5"/>
      <c r="L1855" s="5"/>
      <c r="M1855" s="5"/>
      <c r="N1855" s="5"/>
      <c r="O1855" s="5"/>
      <c r="P1855" s="5"/>
      <c r="Q1855" s="5"/>
      <c r="AL1855" s="7" t="str">
        <f>HYPERLINK("http://dx.doi.org/10.1038/s41559-019-0900-8","http://dx.doi.org/10.1038/s41559-019-0900-8")</f>
        <v>http://dx.doi.org/10.1038/s41559-019-0900-8</v>
      </c>
      <c r="AM1855" s="5">
        <v>29</v>
      </c>
      <c r="AN1855" s="5">
        <v>29</v>
      </c>
      <c r="AO1855" s="5">
        <v>3</v>
      </c>
      <c r="AP1855" s="5">
        <v>6</v>
      </c>
      <c r="AQ1855" s="5">
        <v>905</v>
      </c>
      <c r="AR1855" s="5">
        <v>911</v>
      </c>
      <c r="AS1855" s="5" t="s">
        <v>16</v>
      </c>
      <c r="AT1855" s="5" t="s">
        <v>16</v>
      </c>
      <c r="AU1855" s="5" t="s">
        <v>11142</v>
      </c>
      <c r="AV1855" s="5" t="s">
        <v>11144</v>
      </c>
    </row>
    <row r="1856" spans="1:48" ht="45" customHeight="1" x14ac:dyDescent="0.15">
      <c r="A1856" s="5" t="s">
        <v>11145</v>
      </c>
      <c r="B1856" s="5">
        <v>2017</v>
      </c>
      <c r="C1856" s="5" t="s">
        <v>11146</v>
      </c>
      <c r="D1856" s="5" t="s">
        <v>295</v>
      </c>
      <c r="E1856" s="5" t="s">
        <v>18453</v>
      </c>
      <c r="F1856" s="5" t="s">
        <v>11149</v>
      </c>
      <c r="G1856" s="5"/>
      <c r="H1856" s="5"/>
      <c r="I1856" s="5"/>
      <c r="J1856" s="5"/>
      <c r="K1856" s="5"/>
      <c r="L1856" s="5"/>
      <c r="M1856" s="5"/>
      <c r="N1856" s="5"/>
      <c r="O1856" s="5"/>
      <c r="P1856" s="5"/>
      <c r="Q1856" s="5"/>
      <c r="AL1856" s="7" t="str">
        <f>HYPERLINK("http://dx.doi.org/10.1016/j.jembe.2016.10.011","http://dx.doi.org/10.1016/j.jembe.2016.10.011")</f>
        <v>http://dx.doi.org/10.1016/j.jembe.2016.10.011</v>
      </c>
      <c r="AM1856" s="5">
        <v>6</v>
      </c>
      <c r="AN1856" s="5">
        <v>6</v>
      </c>
      <c r="AO1856" s="5">
        <v>486</v>
      </c>
      <c r="AP1856" s="5" t="s">
        <v>16</v>
      </c>
      <c r="AQ1856" s="5">
        <v>204</v>
      </c>
      <c r="AR1856" s="5">
        <v>213</v>
      </c>
      <c r="AS1856" s="5" t="s">
        <v>16</v>
      </c>
      <c r="AT1856" s="5" t="s">
        <v>11147</v>
      </c>
      <c r="AU1856" s="5" t="s">
        <v>11148</v>
      </c>
      <c r="AV1856" s="5" t="s">
        <v>11150</v>
      </c>
    </row>
    <row r="1857" spans="1:48" ht="45" customHeight="1" x14ac:dyDescent="0.15">
      <c r="A1857" s="5" t="s">
        <v>11151</v>
      </c>
      <c r="B1857" s="5">
        <v>2016</v>
      </c>
      <c r="C1857" s="5" t="s">
        <v>11152</v>
      </c>
      <c r="D1857" s="5" t="s">
        <v>251</v>
      </c>
      <c r="E1857" s="5" t="s">
        <v>18453</v>
      </c>
      <c r="F1857" s="5" t="s">
        <v>11155</v>
      </c>
      <c r="G1857" s="5"/>
      <c r="H1857" s="5"/>
      <c r="I1857" s="5"/>
      <c r="J1857" s="5"/>
      <c r="K1857" s="5"/>
      <c r="L1857" s="5"/>
      <c r="M1857" s="5"/>
      <c r="N1857" s="5"/>
      <c r="O1857" s="5"/>
      <c r="P1857" s="5"/>
      <c r="Q1857" s="5"/>
      <c r="AL1857" s="7" t="str">
        <f>HYPERLINK("http://dx.doi.org/10.1016/j.biocon.2016.05.012","http://dx.doi.org/10.1016/j.biocon.2016.05.012")</f>
        <v>http://dx.doi.org/10.1016/j.biocon.2016.05.012</v>
      </c>
      <c r="AM1857" s="5">
        <v>24</v>
      </c>
      <c r="AN1857" s="5">
        <v>25</v>
      </c>
      <c r="AO1857" s="5">
        <v>200</v>
      </c>
      <c r="AP1857" s="5" t="s">
        <v>16</v>
      </c>
      <c r="AQ1857" s="5">
        <v>51</v>
      </c>
      <c r="AR1857" s="5">
        <v>59</v>
      </c>
      <c r="AS1857" s="5" t="s">
        <v>16</v>
      </c>
      <c r="AT1857" s="5" t="s">
        <v>11153</v>
      </c>
      <c r="AU1857" s="5" t="s">
        <v>11154</v>
      </c>
      <c r="AV1857" s="5" t="s">
        <v>11156</v>
      </c>
    </row>
    <row r="1858" spans="1:48" ht="45" customHeight="1" x14ac:dyDescent="0.15">
      <c r="A1858" s="5" t="s">
        <v>11157</v>
      </c>
      <c r="B1858" s="5">
        <v>1996</v>
      </c>
      <c r="C1858" s="5" t="s">
        <v>11158</v>
      </c>
      <c r="D1858" s="5" t="s">
        <v>10366</v>
      </c>
      <c r="E1858" s="5" t="s">
        <v>18453</v>
      </c>
      <c r="F1858" s="5" t="s">
        <v>11159</v>
      </c>
      <c r="G1858" s="5"/>
      <c r="H1858" s="5"/>
      <c r="I1858" s="5"/>
      <c r="J1858" s="5"/>
      <c r="K1858" s="5"/>
      <c r="L1858" s="5"/>
      <c r="M1858" s="5"/>
      <c r="N1858" s="5"/>
      <c r="O1858" s="5"/>
      <c r="P1858" s="5"/>
      <c r="Q1858" s="5"/>
      <c r="AL1858" s="7" t="str">
        <f>HYPERLINK("http://dx.doi.org/10.2307/2426705","http://dx.doi.org/10.2307/2426705")</f>
        <v>http://dx.doi.org/10.2307/2426705</v>
      </c>
      <c r="AM1858" s="5">
        <v>14</v>
      </c>
      <c r="AN1858" s="5">
        <v>15</v>
      </c>
      <c r="AO1858" s="5">
        <v>135</v>
      </c>
      <c r="AP1858" s="5">
        <v>2</v>
      </c>
      <c r="AQ1858" s="5">
        <v>231</v>
      </c>
      <c r="AR1858" s="5">
        <v>240</v>
      </c>
      <c r="AS1858" s="5" t="s">
        <v>16</v>
      </c>
      <c r="AT1858" s="5" t="s">
        <v>16</v>
      </c>
      <c r="AU1858" s="5" t="s">
        <v>16</v>
      </c>
      <c r="AV1858" s="5" t="s">
        <v>11160</v>
      </c>
    </row>
    <row r="1859" spans="1:48" ht="45" customHeight="1" x14ac:dyDescent="0.15">
      <c r="A1859" s="5" t="s">
        <v>11161</v>
      </c>
      <c r="B1859" s="5">
        <v>2021</v>
      </c>
      <c r="C1859" s="5" t="s">
        <v>11162</v>
      </c>
      <c r="D1859" s="5" t="s">
        <v>3987</v>
      </c>
      <c r="E1859" s="5" t="s">
        <v>18453</v>
      </c>
      <c r="F1859" s="5" t="s">
        <v>11165</v>
      </c>
      <c r="G1859" s="5"/>
      <c r="H1859" s="5"/>
      <c r="I1859" s="5"/>
      <c r="J1859" s="5"/>
      <c r="K1859" s="5"/>
      <c r="L1859" s="5"/>
      <c r="M1859" s="5"/>
      <c r="N1859" s="5"/>
      <c r="O1859" s="5"/>
      <c r="P1859" s="5"/>
      <c r="Q1859" s="5"/>
      <c r="AL1859" s="7" t="str">
        <f>HYPERLINK("http://dx.doi.org/10.1080/20964129.2021.1965035","http://dx.doi.org/10.1080/20964129.2021.1965035")</f>
        <v>http://dx.doi.org/10.1080/20964129.2021.1965035</v>
      </c>
      <c r="AM1859" s="5">
        <v>3</v>
      </c>
      <c r="AN1859" s="5">
        <v>4</v>
      </c>
      <c r="AO1859" s="5">
        <v>7</v>
      </c>
      <c r="AP1859" s="5">
        <v>1</v>
      </c>
      <c r="AQ1859" s="5" t="s">
        <v>16</v>
      </c>
      <c r="AR1859" s="5" t="s">
        <v>16</v>
      </c>
      <c r="AS1859" s="5">
        <v>1965035</v>
      </c>
      <c r="AT1859" s="5" t="s">
        <v>11163</v>
      </c>
      <c r="AU1859" s="5" t="s">
        <v>11164</v>
      </c>
      <c r="AV1859" s="5" t="s">
        <v>11166</v>
      </c>
    </row>
    <row r="1860" spans="1:48" ht="45" customHeight="1" x14ac:dyDescent="0.15">
      <c r="A1860" s="5" t="s">
        <v>11167</v>
      </c>
      <c r="B1860" s="5">
        <v>1997</v>
      </c>
      <c r="C1860" s="5" t="s">
        <v>11168</v>
      </c>
      <c r="D1860" s="5" t="s">
        <v>172</v>
      </c>
      <c r="E1860" s="5" t="s">
        <v>18453</v>
      </c>
      <c r="F1860" s="5" t="s">
        <v>11171</v>
      </c>
      <c r="G1860" s="5"/>
      <c r="H1860" s="5"/>
      <c r="I1860" s="5"/>
      <c r="J1860" s="5"/>
      <c r="K1860" s="5"/>
      <c r="L1860" s="5"/>
      <c r="M1860" s="5"/>
      <c r="N1860" s="5"/>
      <c r="O1860" s="5"/>
      <c r="P1860" s="5"/>
      <c r="Q1860" s="5"/>
      <c r="AL1860" s="7" t="str">
        <f>HYPERLINK("http://dx.doi.org/10.1007/s004420050285","http://dx.doi.org/10.1007/s004420050285")</f>
        <v>http://dx.doi.org/10.1007/s004420050285</v>
      </c>
      <c r="AM1860" s="5">
        <v>62</v>
      </c>
      <c r="AN1860" s="5">
        <v>65</v>
      </c>
      <c r="AO1860" s="5">
        <v>112</v>
      </c>
      <c r="AP1860" s="5">
        <v>1</v>
      </c>
      <c r="AQ1860" s="5">
        <v>75</v>
      </c>
      <c r="AR1860" s="5">
        <v>80</v>
      </c>
      <c r="AS1860" s="5" t="s">
        <v>16</v>
      </c>
      <c r="AT1860" s="5" t="s">
        <v>11169</v>
      </c>
      <c r="AU1860" s="5" t="s">
        <v>11170</v>
      </c>
      <c r="AV1860" s="5" t="s">
        <v>11172</v>
      </c>
    </row>
    <row r="1861" spans="1:48" ht="45" customHeight="1" x14ac:dyDescent="0.15">
      <c r="A1861" s="5" t="s">
        <v>11173</v>
      </c>
      <c r="B1861" s="5">
        <v>2017</v>
      </c>
      <c r="C1861" s="5" t="s">
        <v>11174</v>
      </c>
      <c r="D1861" s="5" t="s">
        <v>690</v>
      </c>
      <c r="E1861" s="5" t="s">
        <v>18453</v>
      </c>
      <c r="F1861" s="5" t="s">
        <v>11177</v>
      </c>
      <c r="G1861" s="5"/>
      <c r="H1861" s="5"/>
      <c r="I1861" s="5"/>
      <c r="J1861" s="5"/>
      <c r="K1861" s="5"/>
      <c r="L1861" s="5"/>
      <c r="M1861" s="5"/>
      <c r="N1861" s="5"/>
      <c r="O1861" s="5"/>
      <c r="P1861" s="5"/>
      <c r="Q1861" s="5"/>
      <c r="AL1861" s="7" t="str">
        <f>HYPERLINK("http://dx.doi.org/10.1111/mec.13991","http://dx.doi.org/10.1111/mec.13991")</f>
        <v>http://dx.doi.org/10.1111/mec.13991</v>
      </c>
      <c r="AM1861" s="5">
        <v>29</v>
      </c>
      <c r="AN1861" s="5">
        <v>30</v>
      </c>
      <c r="AO1861" s="5">
        <v>26</v>
      </c>
      <c r="AP1861" s="5">
        <v>6</v>
      </c>
      <c r="AQ1861" s="5">
        <v>1608</v>
      </c>
      <c r="AR1861" s="5">
        <v>1630</v>
      </c>
      <c r="AS1861" s="5" t="s">
        <v>16</v>
      </c>
      <c r="AT1861" s="5" t="s">
        <v>11175</v>
      </c>
      <c r="AU1861" s="5" t="s">
        <v>11176</v>
      </c>
      <c r="AV1861" s="5" t="s">
        <v>11178</v>
      </c>
    </row>
    <row r="1862" spans="1:48" ht="45" customHeight="1" x14ac:dyDescent="0.15">
      <c r="A1862" s="5" t="s">
        <v>11179</v>
      </c>
      <c r="B1862" s="5">
        <v>2018</v>
      </c>
      <c r="C1862" s="5" t="s">
        <v>11180</v>
      </c>
      <c r="D1862" s="5" t="s">
        <v>189</v>
      </c>
      <c r="E1862" s="5" t="s">
        <v>18453</v>
      </c>
      <c r="F1862" s="5" t="s">
        <v>11182</v>
      </c>
      <c r="G1862" s="5"/>
      <c r="H1862" s="5"/>
      <c r="I1862" s="5"/>
      <c r="J1862" s="5"/>
      <c r="K1862" s="5"/>
      <c r="L1862" s="5"/>
      <c r="M1862" s="5"/>
      <c r="N1862" s="5"/>
      <c r="O1862" s="5"/>
      <c r="P1862" s="5"/>
      <c r="Q1862" s="5"/>
      <c r="AL1862" s="7" t="str">
        <f>HYPERLINK("http://dx.doi.org/10.1111/ecog.03462","http://dx.doi.org/10.1111/ecog.03462")</f>
        <v>http://dx.doi.org/10.1111/ecog.03462</v>
      </c>
      <c r="AM1862" s="5">
        <v>39</v>
      </c>
      <c r="AN1862" s="5">
        <v>39</v>
      </c>
      <c r="AO1862" s="5">
        <v>41</v>
      </c>
      <c r="AP1862" s="5">
        <v>8</v>
      </c>
      <c r="AQ1862" s="5">
        <v>1245</v>
      </c>
      <c r="AR1862" s="5">
        <v>1255</v>
      </c>
      <c r="AS1862" s="5" t="s">
        <v>16</v>
      </c>
      <c r="AT1862" s="5" t="s">
        <v>16</v>
      </c>
      <c r="AU1862" s="5" t="s">
        <v>11181</v>
      </c>
      <c r="AV1862" s="5" t="s">
        <v>11183</v>
      </c>
    </row>
    <row r="1863" spans="1:48" ht="45" customHeight="1" x14ac:dyDescent="0.15">
      <c r="A1863" s="5" t="s">
        <v>11184</v>
      </c>
      <c r="B1863" s="5">
        <v>2003</v>
      </c>
      <c r="C1863" s="5" t="s">
        <v>11185</v>
      </c>
      <c r="D1863" s="5" t="s">
        <v>212</v>
      </c>
      <c r="E1863" s="5" t="s">
        <v>18453</v>
      </c>
      <c r="F1863" s="5" t="s">
        <v>11187</v>
      </c>
      <c r="G1863" s="5"/>
      <c r="H1863" s="5"/>
      <c r="I1863" s="5"/>
      <c r="J1863" s="5"/>
      <c r="K1863" s="5"/>
      <c r="L1863" s="5"/>
      <c r="M1863" s="5"/>
      <c r="N1863" s="5"/>
      <c r="O1863" s="5"/>
      <c r="P1863" s="5"/>
      <c r="Q1863" s="5"/>
      <c r="AL1863" s="7" t="str">
        <f>HYPERLINK("http://dx.doi.org/10.1007/s00300-002-0459-7","http://dx.doi.org/10.1007/s00300-002-0459-7")</f>
        <v>http://dx.doi.org/10.1007/s00300-002-0459-7</v>
      </c>
      <c r="AM1863" s="5">
        <v>61</v>
      </c>
      <c r="AN1863" s="5">
        <v>63</v>
      </c>
      <c r="AO1863" s="5">
        <v>26</v>
      </c>
      <c r="AP1863" s="5">
        <v>2</v>
      </c>
      <c r="AQ1863" s="5">
        <v>124</v>
      </c>
      <c r="AR1863" s="5">
        <v>128</v>
      </c>
      <c r="AS1863" s="5" t="s">
        <v>16</v>
      </c>
      <c r="AT1863" s="5" t="s">
        <v>16</v>
      </c>
      <c r="AU1863" s="5" t="s">
        <v>11186</v>
      </c>
      <c r="AV1863" s="5" t="s">
        <v>11188</v>
      </c>
    </row>
    <row r="1864" spans="1:48" ht="45" customHeight="1" x14ac:dyDescent="0.15">
      <c r="A1864" s="5" t="s">
        <v>11189</v>
      </c>
      <c r="B1864" s="5">
        <v>2020</v>
      </c>
      <c r="C1864" s="5" t="s">
        <v>11190</v>
      </c>
      <c r="D1864" s="5" t="s">
        <v>77</v>
      </c>
      <c r="E1864" s="5" t="s">
        <v>18453</v>
      </c>
      <c r="F1864" s="5" t="s">
        <v>11193</v>
      </c>
      <c r="G1864" s="5"/>
      <c r="H1864" s="5"/>
      <c r="I1864" s="5"/>
      <c r="J1864" s="5"/>
      <c r="K1864" s="5"/>
      <c r="L1864" s="5"/>
      <c r="M1864" s="5"/>
      <c r="N1864" s="5"/>
      <c r="O1864" s="5"/>
      <c r="P1864" s="5"/>
      <c r="Q1864" s="5"/>
      <c r="AL1864" s="7" t="str">
        <f>HYPERLINK("http://dx.doi.org/10.1111/1365-2656.13249","http://dx.doi.org/10.1111/1365-2656.13249")</f>
        <v>http://dx.doi.org/10.1111/1365-2656.13249</v>
      </c>
      <c r="AM1864" s="5">
        <v>5</v>
      </c>
      <c r="AN1864" s="5">
        <v>5</v>
      </c>
      <c r="AO1864" s="5">
        <v>89</v>
      </c>
      <c r="AP1864" s="5">
        <v>8</v>
      </c>
      <c r="AQ1864" s="5">
        <v>1941</v>
      </c>
      <c r="AR1864" s="5">
        <v>1951</v>
      </c>
      <c r="AS1864" s="5" t="s">
        <v>16</v>
      </c>
      <c r="AT1864" s="5" t="s">
        <v>11191</v>
      </c>
      <c r="AU1864" s="5" t="s">
        <v>11192</v>
      </c>
      <c r="AV1864" s="5" t="s">
        <v>11194</v>
      </c>
    </row>
    <row r="1865" spans="1:48" ht="45" customHeight="1" x14ac:dyDescent="0.15">
      <c r="A1865" s="5" t="s">
        <v>11195</v>
      </c>
      <c r="B1865" s="5">
        <v>2015</v>
      </c>
      <c r="C1865" s="5" t="s">
        <v>11196</v>
      </c>
      <c r="D1865" s="5" t="s">
        <v>124</v>
      </c>
      <c r="E1865" s="5" t="s">
        <v>18453</v>
      </c>
      <c r="F1865" s="5" t="s">
        <v>11199</v>
      </c>
      <c r="G1865" s="5"/>
      <c r="H1865" s="5"/>
      <c r="I1865" s="5"/>
      <c r="J1865" s="5"/>
      <c r="K1865" s="5"/>
      <c r="L1865" s="5"/>
      <c r="M1865" s="5"/>
      <c r="N1865" s="5"/>
      <c r="O1865" s="5"/>
      <c r="P1865" s="5"/>
      <c r="Q1865" s="5"/>
      <c r="AL1865" s="7" t="str">
        <f>HYPERLINK("http://dx.doi.org/10.1086/682004","http://dx.doi.org/10.1086/682004")</f>
        <v>http://dx.doi.org/10.1086/682004</v>
      </c>
      <c r="AM1865" s="5">
        <v>32</v>
      </c>
      <c r="AN1865" s="5">
        <v>32</v>
      </c>
      <c r="AO1865" s="5">
        <v>186</v>
      </c>
      <c r="AP1865" s="5">
        <v>2</v>
      </c>
      <c r="AQ1865" s="5">
        <v>272</v>
      </c>
      <c r="AR1865" s="5">
        <v>283</v>
      </c>
      <c r="AS1865" s="5" t="s">
        <v>16</v>
      </c>
      <c r="AT1865" s="5" t="s">
        <v>11197</v>
      </c>
      <c r="AU1865" s="5" t="s">
        <v>11198</v>
      </c>
      <c r="AV1865" s="5" t="s">
        <v>11200</v>
      </c>
    </row>
    <row r="1866" spans="1:48" ht="45" customHeight="1" x14ac:dyDescent="0.15">
      <c r="A1866" s="5" t="s">
        <v>11201</v>
      </c>
      <c r="B1866" s="5">
        <v>2019</v>
      </c>
      <c r="C1866" s="5" t="s">
        <v>11202</v>
      </c>
      <c r="D1866" s="5" t="s">
        <v>77</v>
      </c>
      <c r="E1866" s="5" t="s">
        <v>18453</v>
      </c>
      <c r="F1866" s="5" t="s">
        <v>11205</v>
      </c>
      <c r="G1866" s="5"/>
      <c r="H1866" s="5"/>
      <c r="I1866" s="5"/>
      <c r="J1866" s="5"/>
      <c r="K1866" s="5"/>
      <c r="L1866" s="5"/>
      <c r="M1866" s="5"/>
      <c r="N1866" s="5"/>
      <c r="O1866" s="5"/>
      <c r="P1866" s="5"/>
      <c r="Q1866" s="5"/>
      <c r="AL1866" s="7" t="str">
        <f>HYPERLINK("http://dx.doi.org/10.1111/1365-2656.12955","http://dx.doi.org/10.1111/1365-2656.12955")</f>
        <v>http://dx.doi.org/10.1111/1365-2656.12955</v>
      </c>
      <c r="AM1866" s="5">
        <v>31</v>
      </c>
      <c r="AN1866" s="5">
        <v>32</v>
      </c>
      <c r="AO1866" s="5">
        <v>88</v>
      </c>
      <c r="AP1866" s="5">
        <v>5</v>
      </c>
      <c r="AQ1866" s="5">
        <v>677</v>
      </c>
      <c r="AR1866" s="5">
        <v>689</v>
      </c>
      <c r="AS1866" s="5" t="s">
        <v>16</v>
      </c>
      <c r="AT1866" s="5" t="s">
        <v>11203</v>
      </c>
      <c r="AU1866" s="5" t="s">
        <v>11204</v>
      </c>
      <c r="AV1866" s="5" t="s">
        <v>11206</v>
      </c>
    </row>
    <row r="1867" spans="1:48" ht="45" customHeight="1" x14ac:dyDescent="0.15">
      <c r="A1867" s="5" t="s">
        <v>11207</v>
      </c>
      <c r="B1867" s="5">
        <v>2015</v>
      </c>
      <c r="C1867" s="5" t="s">
        <v>11208</v>
      </c>
      <c r="D1867" s="5" t="s">
        <v>44</v>
      </c>
      <c r="E1867" s="5" t="s">
        <v>18453</v>
      </c>
      <c r="F1867" s="5" t="s">
        <v>11211</v>
      </c>
      <c r="G1867" s="5"/>
      <c r="H1867" s="5"/>
      <c r="I1867" s="5"/>
      <c r="J1867" s="5"/>
      <c r="K1867" s="5"/>
      <c r="L1867" s="5"/>
      <c r="M1867" s="5"/>
      <c r="N1867" s="5"/>
      <c r="O1867" s="5"/>
      <c r="P1867" s="5"/>
      <c r="Q1867" s="5"/>
      <c r="AL1867" s="7" t="str">
        <f>HYPERLINK("http://dx.doi.org/10.3389/fevo.2015.00082","http://dx.doi.org/10.3389/fevo.2015.00082")</f>
        <v>http://dx.doi.org/10.3389/fevo.2015.00082</v>
      </c>
      <c r="AM1867" s="5">
        <v>12</v>
      </c>
      <c r="AN1867" s="5">
        <v>12</v>
      </c>
      <c r="AO1867" s="5">
        <v>3</v>
      </c>
      <c r="AP1867" s="5" t="s">
        <v>16</v>
      </c>
      <c r="AQ1867" s="5" t="s">
        <v>16</v>
      </c>
      <c r="AR1867" s="5" t="s">
        <v>16</v>
      </c>
      <c r="AS1867" s="5" t="s">
        <v>16</v>
      </c>
      <c r="AT1867" s="5" t="s">
        <v>11209</v>
      </c>
      <c r="AU1867" s="5" t="s">
        <v>11210</v>
      </c>
      <c r="AV1867" s="5" t="s">
        <v>11212</v>
      </c>
    </row>
    <row r="1868" spans="1:48" ht="45" customHeight="1" x14ac:dyDescent="0.15">
      <c r="A1868" s="5" t="s">
        <v>11213</v>
      </c>
      <c r="B1868" s="5">
        <v>2002</v>
      </c>
      <c r="C1868" s="5" t="s">
        <v>11214</v>
      </c>
      <c r="D1868" s="5" t="s">
        <v>3980</v>
      </c>
      <c r="E1868" s="5" t="s">
        <v>18453</v>
      </c>
      <c r="F1868" s="5" t="s">
        <v>11217</v>
      </c>
      <c r="G1868" s="5"/>
      <c r="H1868" s="5"/>
      <c r="I1868" s="5"/>
      <c r="J1868" s="5"/>
      <c r="K1868" s="5"/>
      <c r="L1868" s="5"/>
      <c r="M1868" s="5"/>
      <c r="N1868" s="5"/>
      <c r="O1868" s="5"/>
      <c r="P1868" s="5"/>
      <c r="Q1868" s="5"/>
      <c r="AL1868" s="7" t="str">
        <f>HYPERLINK("http://dx.doi.org/10.1646/0006-3606(2002)034[0002:PVCIAS]2.0.CO;2","http://dx.doi.org/10.1646/0006-3606(2002)034[0002:PVCIAS]2.0.CO;2")</f>
        <v>http://dx.doi.org/10.1646/0006-3606(2002)034[0002:PVCIAS]2.0.CO;2</v>
      </c>
      <c r="AM1868" s="5">
        <v>74</v>
      </c>
      <c r="AN1868" s="5">
        <v>81</v>
      </c>
      <c r="AO1868" s="5">
        <v>34</v>
      </c>
      <c r="AP1868" s="5">
        <v>1</v>
      </c>
      <c r="AQ1868" s="5">
        <v>2</v>
      </c>
      <c r="AR1868" s="5">
        <v>16</v>
      </c>
      <c r="AS1868" s="5" t="s">
        <v>16</v>
      </c>
      <c r="AT1868" s="5" t="s">
        <v>11215</v>
      </c>
      <c r="AU1868" s="5" t="s">
        <v>11216</v>
      </c>
      <c r="AV1868" s="5" t="s">
        <v>11218</v>
      </c>
    </row>
    <row r="1869" spans="1:48" ht="45" customHeight="1" x14ac:dyDescent="0.15">
      <c r="A1869" s="5" t="s">
        <v>11219</v>
      </c>
      <c r="B1869" s="5">
        <v>2006</v>
      </c>
      <c r="C1869" s="5" t="s">
        <v>11220</v>
      </c>
      <c r="D1869" s="5" t="s">
        <v>33</v>
      </c>
      <c r="E1869" s="5" t="s">
        <v>18453</v>
      </c>
      <c r="F1869" s="5" t="s">
        <v>11223</v>
      </c>
      <c r="G1869" s="5"/>
      <c r="H1869" s="5"/>
      <c r="I1869" s="5"/>
      <c r="J1869" s="5"/>
      <c r="K1869" s="5"/>
      <c r="L1869" s="5"/>
      <c r="M1869" s="5"/>
      <c r="N1869" s="5"/>
      <c r="O1869" s="5"/>
      <c r="P1869" s="5"/>
      <c r="Q1869" s="5"/>
      <c r="AL1869" s="7" t="str">
        <f>HYPERLINK("http://dx.doi.org/10.1111/j.1365-2486.2006.01169.x","http://dx.doi.org/10.1111/j.1365-2486.2006.01169.x")</f>
        <v>http://dx.doi.org/10.1111/j.1365-2486.2006.01169.x</v>
      </c>
      <c r="AM1869" s="5">
        <v>56</v>
      </c>
      <c r="AN1869" s="5">
        <v>56</v>
      </c>
      <c r="AO1869" s="5">
        <v>12</v>
      </c>
      <c r="AP1869" s="5">
        <v>7</v>
      </c>
      <c r="AQ1869" s="5">
        <v>1315</v>
      </c>
      <c r="AR1869" s="5">
        <v>1329</v>
      </c>
      <c r="AS1869" s="5" t="s">
        <v>16</v>
      </c>
      <c r="AT1869" s="5" t="s">
        <v>11221</v>
      </c>
      <c r="AU1869" s="5" t="s">
        <v>11222</v>
      </c>
      <c r="AV1869" s="5" t="s">
        <v>11224</v>
      </c>
    </row>
    <row r="1870" spans="1:48" ht="45" customHeight="1" x14ac:dyDescent="0.15">
      <c r="A1870" s="5" t="s">
        <v>11225</v>
      </c>
      <c r="B1870" s="5">
        <v>2019</v>
      </c>
      <c r="C1870" s="5" t="s">
        <v>11226</v>
      </c>
      <c r="D1870" s="5" t="s">
        <v>116</v>
      </c>
      <c r="E1870" s="5" t="s">
        <v>18453</v>
      </c>
      <c r="F1870" s="5" t="s">
        <v>11229</v>
      </c>
      <c r="G1870" s="5"/>
      <c r="H1870" s="5"/>
      <c r="I1870" s="5"/>
      <c r="J1870" s="5"/>
      <c r="K1870" s="5"/>
      <c r="L1870" s="5"/>
      <c r="M1870" s="5"/>
      <c r="N1870" s="5"/>
      <c r="O1870" s="5"/>
      <c r="P1870" s="5"/>
      <c r="Q1870" s="5"/>
      <c r="AL1870" s="7" t="str">
        <f>HYPERLINK("http://dx.doi.org/10.1007/s10641-018-0810-7","http://dx.doi.org/10.1007/s10641-018-0810-7")</f>
        <v>http://dx.doi.org/10.1007/s10641-018-0810-7</v>
      </c>
      <c r="AM1870" s="5">
        <v>14</v>
      </c>
      <c r="AN1870" s="5">
        <v>14</v>
      </c>
      <c r="AO1870" s="5">
        <v>102</v>
      </c>
      <c r="AP1870" s="5">
        <v>2</v>
      </c>
      <c r="AQ1870" s="5">
        <v>129</v>
      </c>
      <c r="AR1870" s="5">
        <v>145</v>
      </c>
      <c r="AS1870" s="5" t="s">
        <v>16</v>
      </c>
      <c r="AT1870" s="5" t="s">
        <v>11227</v>
      </c>
      <c r="AU1870" s="5" t="s">
        <v>11228</v>
      </c>
      <c r="AV1870" s="5" t="s">
        <v>11230</v>
      </c>
    </row>
    <row r="1871" spans="1:48" ht="45" customHeight="1" x14ac:dyDescent="0.15">
      <c r="A1871" s="5" t="s">
        <v>11231</v>
      </c>
      <c r="B1871" s="5">
        <v>2021</v>
      </c>
      <c r="C1871" s="5" t="s">
        <v>11232</v>
      </c>
      <c r="D1871" s="5" t="s">
        <v>1900</v>
      </c>
      <c r="E1871" s="5" t="s">
        <v>18453</v>
      </c>
      <c r="F1871" s="5" t="s">
        <v>11234</v>
      </c>
      <c r="G1871" s="5"/>
      <c r="H1871" s="5"/>
      <c r="I1871" s="5"/>
      <c r="J1871" s="5"/>
      <c r="K1871" s="5"/>
      <c r="L1871" s="5"/>
      <c r="M1871" s="5"/>
      <c r="N1871" s="5"/>
      <c r="O1871" s="5"/>
      <c r="P1871" s="5"/>
      <c r="Q1871" s="5"/>
      <c r="AL1871" s="7" t="str">
        <f>HYPERLINK("http://dx.doi.org/10.1656/058.020.0210","http://dx.doi.org/10.1656/058.020.0210")</f>
        <v>http://dx.doi.org/10.1656/058.020.0210</v>
      </c>
      <c r="AM1871" s="5">
        <v>4</v>
      </c>
      <c r="AN1871" s="5">
        <v>4</v>
      </c>
      <c r="AO1871" s="5">
        <v>20</v>
      </c>
      <c r="AP1871" s="5">
        <v>2</v>
      </c>
      <c r="AQ1871" s="5">
        <v>319</v>
      </c>
      <c r="AR1871" s="5">
        <v>337</v>
      </c>
      <c r="AS1871" s="5" t="s">
        <v>16</v>
      </c>
      <c r="AT1871" s="5" t="s">
        <v>16</v>
      </c>
      <c r="AU1871" s="5" t="s">
        <v>11233</v>
      </c>
      <c r="AV1871" s="5" t="s">
        <v>11235</v>
      </c>
    </row>
    <row r="1872" spans="1:48" ht="45" customHeight="1" x14ac:dyDescent="0.15">
      <c r="A1872" s="5" t="s">
        <v>11236</v>
      </c>
      <c r="B1872" s="5">
        <v>2018</v>
      </c>
      <c r="C1872" s="5" t="s">
        <v>11237</v>
      </c>
      <c r="D1872" s="5" t="s">
        <v>1765</v>
      </c>
      <c r="E1872" s="5" t="s">
        <v>18453</v>
      </c>
      <c r="F1872" s="5" t="s">
        <v>11240</v>
      </c>
      <c r="G1872" s="5"/>
      <c r="H1872" s="5"/>
      <c r="I1872" s="5"/>
      <c r="J1872" s="5"/>
      <c r="K1872" s="5"/>
      <c r="L1872" s="5"/>
      <c r="M1872" s="5"/>
      <c r="N1872" s="5"/>
      <c r="O1872" s="5"/>
      <c r="P1872" s="5"/>
      <c r="Q1872" s="5"/>
      <c r="AL1872" s="7" t="str">
        <f>HYPERLINK("http://dx.doi.org/10.1016/j.agee.2018.01.024","http://dx.doi.org/10.1016/j.agee.2018.01.024")</f>
        <v>http://dx.doi.org/10.1016/j.agee.2018.01.024</v>
      </c>
      <c r="AM1872" s="5">
        <v>3</v>
      </c>
      <c r="AN1872" s="5">
        <v>3</v>
      </c>
      <c r="AO1872" s="5">
        <v>259</v>
      </c>
      <c r="AP1872" s="5" t="s">
        <v>16</v>
      </c>
      <c r="AQ1872" s="5">
        <v>53</v>
      </c>
      <c r="AR1872" s="5">
        <v>60</v>
      </c>
      <c r="AS1872" s="5" t="s">
        <v>16</v>
      </c>
      <c r="AT1872" s="5" t="s">
        <v>11238</v>
      </c>
      <c r="AU1872" s="5" t="s">
        <v>11239</v>
      </c>
      <c r="AV1872" s="5" t="s">
        <v>11241</v>
      </c>
    </row>
    <row r="1873" spans="1:48" ht="45" customHeight="1" x14ac:dyDescent="0.15">
      <c r="A1873" s="5" t="s">
        <v>11242</v>
      </c>
      <c r="B1873" s="5">
        <v>2022</v>
      </c>
      <c r="C1873" s="5" t="s">
        <v>11243</v>
      </c>
      <c r="D1873" s="5" t="s">
        <v>18</v>
      </c>
      <c r="E1873" s="5" t="s">
        <v>18453</v>
      </c>
      <c r="F1873" s="5" t="s">
        <v>11246</v>
      </c>
      <c r="G1873" s="5"/>
      <c r="H1873" s="5"/>
      <c r="I1873" s="5"/>
      <c r="J1873" s="5"/>
      <c r="K1873" s="5"/>
      <c r="L1873" s="5"/>
      <c r="M1873" s="5"/>
      <c r="N1873" s="5"/>
      <c r="O1873" s="5"/>
      <c r="P1873" s="5"/>
      <c r="Q1873" s="5"/>
      <c r="AL1873" s="7" t="str">
        <f>HYPERLINK("http://dx.doi.org/10.1002/ecs2.4219","http://dx.doi.org/10.1002/ecs2.4219")</f>
        <v>http://dx.doi.org/10.1002/ecs2.4219</v>
      </c>
      <c r="AM1873" s="5">
        <v>0</v>
      </c>
      <c r="AN1873" s="5">
        <v>0</v>
      </c>
      <c r="AO1873" s="5">
        <v>13</v>
      </c>
      <c r="AP1873" s="5">
        <v>9</v>
      </c>
      <c r="AQ1873" s="5" t="s">
        <v>16</v>
      </c>
      <c r="AR1873" s="5" t="s">
        <v>16</v>
      </c>
      <c r="AS1873" s="5" t="s">
        <v>11247</v>
      </c>
      <c r="AT1873" s="5" t="s">
        <v>11244</v>
      </c>
      <c r="AU1873" s="5" t="s">
        <v>11245</v>
      </c>
      <c r="AV1873" s="5" t="s">
        <v>11248</v>
      </c>
    </row>
    <row r="1874" spans="1:48" ht="45" customHeight="1" x14ac:dyDescent="0.15">
      <c r="A1874" s="5" t="s">
        <v>11249</v>
      </c>
      <c r="B1874" s="5">
        <v>2014</v>
      </c>
      <c r="C1874" s="5" t="s">
        <v>11250</v>
      </c>
      <c r="D1874" s="5" t="s">
        <v>127</v>
      </c>
      <c r="E1874" s="5" t="s">
        <v>18453</v>
      </c>
      <c r="F1874" s="5" t="s">
        <v>11253</v>
      </c>
      <c r="G1874" s="5"/>
      <c r="H1874" s="5"/>
      <c r="I1874" s="5"/>
      <c r="J1874" s="5"/>
      <c r="K1874" s="5"/>
      <c r="L1874" s="5"/>
      <c r="M1874" s="5"/>
      <c r="N1874" s="5"/>
      <c r="O1874" s="5"/>
      <c r="P1874" s="5"/>
      <c r="Q1874" s="5"/>
      <c r="AL1874" s="7" t="str">
        <f>HYPERLINK("http://dx.doi.org/10.1016/j.polar.2014.01.005","http://dx.doi.org/10.1016/j.polar.2014.01.005")</f>
        <v>http://dx.doi.org/10.1016/j.polar.2014.01.005</v>
      </c>
      <c r="AM1874" s="5">
        <v>32</v>
      </c>
      <c r="AN1874" s="5">
        <v>33</v>
      </c>
      <c r="AO1874" s="5">
        <v>8</v>
      </c>
      <c r="AP1874" s="5">
        <v>2</v>
      </c>
      <c r="AQ1874" s="5">
        <v>96</v>
      </c>
      <c r="AR1874" s="5">
        <v>113</v>
      </c>
      <c r="AS1874" s="5" t="s">
        <v>16</v>
      </c>
      <c r="AT1874" s="5" t="s">
        <v>11251</v>
      </c>
      <c r="AU1874" s="5" t="s">
        <v>11252</v>
      </c>
      <c r="AV1874" s="5" t="s">
        <v>11254</v>
      </c>
    </row>
    <row r="1875" spans="1:48" ht="45" customHeight="1" x14ac:dyDescent="0.15">
      <c r="A1875" s="5" t="s">
        <v>11255</v>
      </c>
      <c r="B1875" s="5">
        <v>2016</v>
      </c>
      <c r="C1875" s="5" t="s">
        <v>11256</v>
      </c>
      <c r="D1875" s="5" t="s">
        <v>17</v>
      </c>
      <c r="E1875" s="5" t="s">
        <v>18453</v>
      </c>
      <c r="F1875" s="5" t="s">
        <v>11259</v>
      </c>
      <c r="G1875" s="5"/>
      <c r="H1875" s="5"/>
      <c r="I1875" s="5"/>
      <c r="J1875" s="5"/>
      <c r="K1875" s="5"/>
      <c r="L1875" s="5"/>
      <c r="M1875" s="5"/>
      <c r="N1875" s="5"/>
      <c r="O1875" s="5"/>
      <c r="P1875" s="5"/>
      <c r="Q1875" s="5"/>
      <c r="AL1875" s="7" t="str">
        <f>HYPERLINK("http://dx.doi.org/10.1111/fwb.12727","http://dx.doi.org/10.1111/fwb.12727")</f>
        <v>http://dx.doi.org/10.1111/fwb.12727</v>
      </c>
      <c r="AM1875" s="5">
        <v>16</v>
      </c>
      <c r="AN1875" s="5">
        <v>18</v>
      </c>
      <c r="AO1875" s="5">
        <v>61</v>
      </c>
      <c r="AP1875" s="5">
        <v>4</v>
      </c>
      <c r="AQ1875" s="5">
        <v>549</v>
      </c>
      <c r="AR1875" s="5">
        <v>564</v>
      </c>
      <c r="AS1875" s="5" t="s">
        <v>16</v>
      </c>
      <c r="AT1875" s="5" t="s">
        <v>11257</v>
      </c>
      <c r="AU1875" s="5" t="s">
        <v>11258</v>
      </c>
      <c r="AV1875" s="5" t="s">
        <v>11260</v>
      </c>
    </row>
    <row r="1876" spans="1:48" ht="45" customHeight="1" x14ac:dyDescent="0.15">
      <c r="A1876" s="5" t="s">
        <v>11261</v>
      </c>
      <c r="B1876" s="5">
        <v>2022</v>
      </c>
      <c r="C1876" s="5" t="s">
        <v>11262</v>
      </c>
      <c r="D1876" s="5" t="s">
        <v>1257</v>
      </c>
      <c r="E1876" s="5" t="s">
        <v>18453</v>
      </c>
      <c r="F1876" s="5" t="s">
        <v>11265</v>
      </c>
      <c r="G1876" s="5"/>
      <c r="H1876" s="5"/>
      <c r="I1876" s="5"/>
      <c r="J1876" s="5"/>
      <c r="K1876" s="5"/>
      <c r="L1876" s="5"/>
      <c r="M1876" s="5"/>
      <c r="N1876" s="5"/>
      <c r="O1876" s="5"/>
      <c r="P1876" s="5"/>
      <c r="Q1876" s="5"/>
      <c r="AL1876" s="7" t="str">
        <f>HYPERLINK("http://dx.doi.org/10.3389/ffgc.2022.966978","http://dx.doi.org/10.3389/ffgc.2022.966978")</f>
        <v>http://dx.doi.org/10.3389/ffgc.2022.966978</v>
      </c>
      <c r="AM1876" s="5">
        <v>1</v>
      </c>
      <c r="AN1876" s="5">
        <v>1</v>
      </c>
      <c r="AO1876" s="5">
        <v>5</v>
      </c>
      <c r="AP1876" s="5" t="s">
        <v>16</v>
      </c>
      <c r="AQ1876" s="5" t="s">
        <v>16</v>
      </c>
      <c r="AR1876" s="5" t="s">
        <v>16</v>
      </c>
      <c r="AS1876" s="5">
        <v>966978</v>
      </c>
      <c r="AT1876" s="5" t="s">
        <v>11263</v>
      </c>
      <c r="AU1876" s="5" t="s">
        <v>11264</v>
      </c>
      <c r="AV1876" s="5" t="s">
        <v>11266</v>
      </c>
    </row>
    <row r="1877" spans="1:48" ht="45" customHeight="1" x14ac:dyDescent="0.15">
      <c r="A1877" s="5" t="s">
        <v>11267</v>
      </c>
      <c r="B1877" s="5">
        <v>2022</v>
      </c>
      <c r="C1877" s="5" t="s">
        <v>11268</v>
      </c>
      <c r="D1877" s="5" t="s">
        <v>162</v>
      </c>
      <c r="E1877" s="5" t="s">
        <v>18453</v>
      </c>
      <c r="F1877" s="5" t="s">
        <v>11271</v>
      </c>
      <c r="G1877" s="5"/>
      <c r="H1877" s="5"/>
      <c r="I1877" s="5"/>
      <c r="J1877" s="5"/>
      <c r="K1877" s="5"/>
      <c r="L1877" s="5"/>
      <c r="M1877" s="5"/>
      <c r="N1877" s="5"/>
      <c r="O1877" s="5"/>
      <c r="P1877" s="5"/>
      <c r="Q1877" s="5"/>
      <c r="AL1877" s="7" t="str">
        <f>HYPERLINK("http://dx.doi.org/10.1111/1365-2435.14091","http://dx.doi.org/10.1111/1365-2435.14091")</f>
        <v>http://dx.doi.org/10.1111/1365-2435.14091</v>
      </c>
      <c r="AM1877" s="5">
        <v>4</v>
      </c>
      <c r="AN1877" s="5">
        <v>4</v>
      </c>
      <c r="AO1877" s="5">
        <v>36</v>
      </c>
      <c r="AP1877" s="5">
        <v>8</v>
      </c>
      <c r="AQ1877" s="5">
        <v>1887</v>
      </c>
      <c r="AR1877" s="5">
        <v>1899</v>
      </c>
      <c r="AS1877" s="5" t="s">
        <v>16</v>
      </c>
      <c r="AT1877" s="5" t="s">
        <v>11269</v>
      </c>
      <c r="AU1877" s="5" t="s">
        <v>11270</v>
      </c>
      <c r="AV1877" s="5" t="s">
        <v>11272</v>
      </c>
    </row>
    <row r="1878" spans="1:48" ht="45" customHeight="1" x14ac:dyDescent="0.15">
      <c r="A1878" s="5" t="s">
        <v>11273</v>
      </c>
      <c r="B1878" s="5">
        <v>2007</v>
      </c>
      <c r="C1878" s="5" t="s">
        <v>11274</v>
      </c>
      <c r="D1878" s="5" t="s">
        <v>162</v>
      </c>
      <c r="E1878" s="5" t="s">
        <v>18453</v>
      </c>
      <c r="F1878" s="5" t="s">
        <v>11277</v>
      </c>
      <c r="G1878" s="5"/>
      <c r="H1878" s="5"/>
      <c r="I1878" s="5"/>
      <c r="J1878" s="5"/>
      <c r="K1878" s="5"/>
      <c r="L1878" s="5"/>
      <c r="M1878" s="5"/>
      <c r="N1878" s="5"/>
      <c r="O1878" s="5"/>
      <c r="P1878" s="5"/>
      <c r="Q1878" s="5"/>
      <c r="AL1878" s="7" t="str">
        <f>HYPERLINK("http://dx.doi.org/10.1111/j.1365-2435.2007.01330.x","http://dx.doi.org/10.1111/j.1365-2435.2007.01330.x")</f>
        <v>http://dx.doi.org/10.1111/j.1365-2435.2007.01330.x</v>
      </c>
      <c r="AM1878" s="5">
        <v>99</v>
      </c>
      <c r="AN1878" s="5">
        <v>101</v>
      </c>
      <c r="AO1878" s="5">
        <v>21</v>
      </c>
      <c r="AP1878" s="5">
        <v>6</v>
      </c>
      <c r="AQ1878" s="5">
        <v>1137</v>
      </c>
      <c r="AR1878" s="5">
        <v>1145</v>
      </c>
      <c r="AS1878" s="5" t="s">
        <v>16</v>
      </c>
      <c r="AT1878" s="5" t="s">
        <v>11275</v>
      </c>
      <c r="AU1878" s="5" t="s">
        <v>11276</v>
      </c>
      <c r="AV1878" s="5" t="s">
        <v>11278</v>
      </c>
    </row>
    <row r="1879" spans="1:48" ht="45" customHeight="1" x14ac:dyDescent="0.15">
      <c r="A1879" s="5" t="s">
        <v>11279</v>
      </c>
      <c r="B1879" s="5">
        <v>2008</v>
      </c>
      <c r="C1879" s="5" t="s">
        <v>11280</v>
      </c>
      <c r="D1879" s="5" t="s">
        <v>27</v>
      </c>
      <c r="E1879" s="5" t="s">
        <v>18453</v>
      </c>
      <c r="F1879" s="5" t="s">
        <v>11283</v>
      </c>
      <c r="G1879" s="5"/>
      <c r="H1879" s="5"/>
      <c r="I1879" s="5"/>
      <c r="J1879" s="5"/>
      <c r="K1879" s="5"/>
      <c r="L1879" s="5"/>
      <c r="M1879" s="5"/>
      <c r="N1879" s="5"/>
      <c r="O1879" s="5"/>
      <c r="P1879" s="5"/>
      <c r="Q1879" s="5"/>
      <c r="AL1879" s="7" t="str">
        <f>HYPERLINK("http://dx.doi.org/10.1890/07-1603.1","http://dx.doi.org/10.1890/07-1603.1")</f>
        <v>http://dx.doi.org/10.1890/07-1603.1</v>
      </c>
      <c r="AM1879" s="5">
        <v>83</v>
      </c>
      <c r="AN1879" s="5">
        <v>87</v>
      </c>
      <c r="AO1879" s="5">
        <v>89</v>
      </c>
      <c r="AP1879" s="5">
        <v>4</v>
      </c>
      <c r="AQ1879" s="5">
        <v>891</v>
      </c>
      <c r="AR1879" s="5">
        <v>897</v>
      </c>
      <c r="AS1879" s="5" t="s">
        <v>16</v>
      </c>
      <c r="AT1879" s="5" t="s">
        <v>11281</v>
      </c>
      <c r="AU1879" s="5" t="s">
        <v>11282</v>
      </c>
      <c r="AV1879" s="5" t="s">
        <v>11284</v>
      </c>
    </row>
    <row r="1880" spans="1:48" ht="45" customHeight="1" x14ac:dyDescent="0.15">
      <c r="A1880" s="5" t="s">
        <v>11285</v>
      </c>
      <c r="B1880" s="5">
        <v>2010</v>
      </c>
      <c r="C1880" s="5" t="s">
        <v>11286</v>
      </c>
      <c r="D1880" s="5" t="s">
        <v>62</v>
      </c>
      <c r="E1880" s="5" t="s">
        <v>18453</v>
      </c>
      <c r="F1880" s="5" t="s">
        <v>11289</v>
      </c>
      <c r="G1880" s="5"/>
      <c r="H1880" s="5"/>
      <c r="I1880" s="5"/>
      <c r="J1880" s="5"/>
      <c r="K1880" s="5"/>
      <c r="L1880" s="5"/>
      <c r="M1880" s="5"/>
      <c r="N1880" s="5"/>
      <c r="O1880" s="5"/>
      <c r="P1880" s="5"/>
      <c r="Q1880" s="5"/>
      <c r="AL1880" s="7" t="str">
        <f>HYPERLINK("http://dx.doi.org/10.1007/s10021-009-9297-6","http://dx.doi.org/10.1007/s10021-009-9297-6")</f>
        <v>http://dx.doi.org/10.1007/s10021-009-9297-6</v>
      </c>
      <c r="AM1880" s="5">
        <v>85</v>
      </c>
      <c r="AN1880" s="5">
        <v>87</v>
      </c>
      <c r="AO1880" s="5">
        <v>13</v>
      </c>
      <c r="AP1880" s="5">
        <v>1</v>
      </c>
      <c r="AQ1880" s="5">
        <v>32</v>
      </c>
      <c r="AR1880" s="5">
        <v>45</v>
      </c>
      <c r="AS1880" s="5" t="s">
        <v>16</v>
      </c>
      <c r="AT1880" s="5" t="s">
        <v>11287</v>
      </c>
      <c r="AU1880" s="5" t="s">
        <v>11288</v>
      </c>
      <c r="AV1880" s="5" t="s">
        <v>11290</v>
      </c>
    </row>
    <row r="1881" spans="1:48" ht="45" customHeight="1" x14ac:dyDescent="0.15">
      <c r="A1881" s="5" t="s">
        <v>11291</v>
      </c>
      <c r="B1881" s="5">
        <v>2012</v>
      </c>
      <c r="C1881" s="5" t="s">
        <v>11292</v>
      </c>
      <c r="D1881" s="5" t="s">
        <v>17</v>
      </c>
      <c r="E1881" s="5" t="s">
        <v>18453</v>
      </c>
      <c r="F1881" s="5" t="s">
        <v>11295</v>
      </c>
      <c r="G1881" s="5"/>
      <c r="H1881" s="5"/>
      <c r="I1881" s="5"/>
      <c r="J1881" s="5"/>
      <c r="K1881" s="5"/>
      <c r="L1881" s="5"/>
      <c r="M1881" s="5"/>
      <c r="N1881" s="5"/>
      <c r="O1881" s="5"/>
      <c r="P1881" s="5"/>
      <c r="Q1881" s="5"/>
      <c r="AL1881" s="7" t="str">
        <f>HYPERLINK("http://dx.doi.org/10.1111/j.1365-2427.2011.02710.x","http://dx.doi.org/10.1111/j.1365-2427.2011.02710.x")</f>
        <v>http://dx.doi.org/10.1111/j.1365-2427.2011.02710.x</v>
      </c>
      <c r="AM1881" s="5">
        <v>27</v>
      </c>
      <c r="AN1881" s="5">
        <v>29</v>
      </c>
      <c r="AO1881" s="5">
        <v>57</v>
      </c>
      <c r="AP1881" s="5">
        <v>1</v>
      </c>
      <c r="AQ1881" s="5">
        <v>166</v>
      </c>
      <c r="AR1881" s="5">
        <v>177</v>
      </c>
      <c r="AS1881" s="5" t="s">
        <v>16</v>
      </c>
      <c r="AT1881" s="5" t="s">
        <v>11293</v>
      </c>
      <c r="AU1881" s="5" t="s">
        <v>11294</v>
      </c>
      <c r="AV1881" s="5" t="s">
        <v>11296</v>
      </c>
    </row>
    <row r="1882" spans="1:48" ht="45" customHeight="1" x14ac:dyDescent="0.15">
      <c r="A1882" s="5" t="s">
        <v>11297</v>
      </c>
      <c r="B1882" s="5">
        <v>2019</v>
      </c>
      <c r="C1882" s="5" t="s">
        <v>11298</v>
      </c>
      <c r="D1882" s="5" t="s">
        <v>92</v>
      </c>
      <c r="E1882" s="5" t="s">
        <v>18453</v>
      </c>
      <c r="F1882" s="5" t="s">
        <v>11301</v>
      </c>
      <c r="G1882" s="5"/>
      <c r="H1882" s="5"/>
      <c r="I1882" s="5"/>
      <c r="J1882" s="5"/>
      <c r="K1882" s="5"/>
      <c r="L1882" s="5"/>
      <c r="M1882" s="5"/>
      <c r="N1882" s="5"/>
      <c r="O1882" s="5"/>
      <c r="P1882" s="5"/>
      <c r="Q1882" s="5"/>
      <c r="AL1882" s="7" t="str">
        <f>HYPERLINK("http://dx.doi.org/10.1086/704927","http://dx.doi.org/10.1086/704927")</f>
        <v>http://dx.doi.org/10.1086/704927</v>
      </c>
      <c r="AM1882" s="5">
        <v>1</v>
      </c>
      <c r="AN1882" s="5">
        <v>1</v>
      </c>
      <c r="AO1882" s="5">
        <v>38</v>
      </c>
      <c r="AP1882" s="5">
        <v>3</v>
      </c>
      <c r="AQ1882" s="5">
        <v>605</v>
      </c>
      <c r="AR1882" s="5">
        <v>615</v>
      </c>
      <c r="AS1882" s="5" t="s">
        <v>16</v>
      </c>
      <c r="AT1882" s="5" t="s">
        <v>11299</v>
      </c>
      <c r="AU1882" s="5" t="s">
        <v>11300</v>
      </c>
      <c r="AV1882" s="5" t="s">
        <v>11302</v>
      </c>
    </row>
    <row r="1883" spans="1:48" ht="45" customHeight="1" x14ac:dyDescent="0.15">
      <c r="A1883" s="5" t="s">
        <v>11303</v>
      </c>
      <c r="B1883" s="5">
        <v>2002</v>
      </c>
      <c r="C1883" s="5" t="s">
        <v>11304</v>
      </c>
      <c r="D1883" s="5" t="s">
        <v>33</v>
      </c>
      <c r="E1883" s="5" t="s">
        <v>18453</v>
      </c>
      <c r="F1883" s="5" t="s">
        <v>11307</v>
      </c>
      <c r="G1883" s="5"/>
      <c r="H1883" s="5"/>
      <c r="I1883" s="5"/>
      <c r="J1883" s="5"/>
      <c r="K1883" s="5"/>
      <c r="L1883" s="5"/>
      <c r="M1883" s="5"/>
      <c r="N1883" s="5"/>
      <c r="O1883" s="5"/>
      <c r="P1883" s="5"/>
      <c r="Q1883" s="5"/>
      <c r="AL1883" s="7" t="str">
        <f>HYPERLINK("http://dx.doi.org/10.1046/j.1365-2486.2002.00480.x","http://dx.doi.org/10.1046/j.1365-2486.2002.00480.x")</f>
        <v>http://dx.doi.org/10.1046/j.1365-2486.2002.00480.x</v>
      </c>
      <c r="AM1883" s="5">
        <v>304</v>
      </c>
      <c r="AN1883" s="5">
        <v>318</v>
      </c>
      <c r="AO1883" s="5">
        <v>8</v>
      </c>
      <c r="AP1883" s="5">
        <v>5</v>
      </c>
      <c r="AQ1883" s="5">
        <v>459</v>
      </c>
      <c r="AR1883" s="5">
        <v>478</v>
      </c>
      <c r="AS1883" s="5" t="s">
        <v>16</v>
      </c>
      <c r="AT1883" s="5" t="s">
        <v>11305</v>
      </c>
      <c r="AU1883" s="5" t="s">
        <v>11306</v>
      </c>
      <c r="AV1883" s="5" t="s">
        <v>11308</v>
      </c>
    </row>
    <row r="1884" spans="1:48" ht="45" customHeight="1" x14ac:dyDescent="0.15">
      <c r="A1884" s="5" t="s">
        <v>11309</v>
      </c>
      <c r="B1884" s="5">
        <v>2016</v>
      </c>
      <c r="C1884" s="5" t="s">
        <v>11310</v>
      </c>
      <c r="D1884" s="5" t="s">
        <v>2087</v>
      </c>
      <c r="E1884" s="5" t="s">
        <v>18453</v>
      </c>
      <c r="F1884" s="5" t="s">
        <v>11313</v>
      </c>
      <c r="G1884" s="5"/>
      <c r="H1884" s="5"/>
      <c r="I1884" s="5"/>
      <c r="J1884" s="5"/>
      <c r="K1884" s="5"/>
      <c r="L1884" s="5"/>
      <c r="M1884" s="5"/>
      <c r="N1884" s="5"/>
      <c r="O1884" s="5"/>
      <c r="P1884" s="5"/>
      <c r="Q1884" s="5"/>
      <c r="AL1884" s="7" t="str">
        <f>HYPERLINK("http://dx.doi.org/10.1002/eco.1694","http://dx.doi.org/10.1002/eco.1694")</f>
        <v>http://dx.doi.org/10.1002/eco.1694</v>
      </c>
      <c r="AM1884" s="5">
        <v>31</v>
      </c>
      <c r="AN1884" s="5">
        <v>39</v>
      </c>
      <c r="AO1884" s="5">
        <v>9</v>
      </c>
      <c r="AP1884" s="5">
        <v>6</v>
      </c>
      <c r="AQ1884" s="5">
        <v>964</v>
      </c>
      <c r="AR1884" s="5">
        <v>972</v>
      </c>
      <c r="AS1884" s="5" t="s">
        <v>16</v>
      </c>
      <c r="AT1884" s="5" t="s">
        <v>11311</v>
      </c>
      <c r="AU1884" s="5" t="s">
        <v>11312</v>
      </c>
      <c r="AV1884" s="5" t="s">
        <v>11314</v>
      </c>
    </row>
    <row r="1885" spans="1:48" ht="45" customHeight="1" x14ac:dyDescent="0.15">
      <c r="A1885" s="5" t="s">
        <v>11315</v>
      </c>
      <c r="B1885" s="5">
        <v>2021</v>
      </c>
      <c r="C1885" s="5" t="s">
        <v>11316</v>
      </c>
      <c r="D1885" s="5" t="s">
        <v>33</v>
      </c>
      <c r="E1885" s="5" t="s">
        <v>18453</v>
      </c>
      <c r="F1885" s="5" t="s">
        <v>11319</v>
      </c>
      <c r="G1885" s="5"/>
      <c r="H1885" s="5"/>
      <c r="I1885" s="5"/>
      <c r="J1885" s="5"/>
      <c r="K1885" s="5"/>
      <c r="L1885" s="5"/>
      <c r="M1885" s="5"/>
      <c r="N1885" s="5"/>
      <c r="O1885" s="5"/>
      <c r="P1885" s="5"/>
      <c r="Q1885" s="5"/>
      <c r="AL1885" s="7" t="str">
        <f>HYPERLINK("http://dx.doi.org/10.1111/gcb.15403","http://dx.doi.org/10.1111/gcb.15403")</f>
        <v>http://dx.doi.org/10.1111/gcb.15403</v>
      </c>
      <c r="AM1885" s="5">
        <v>35</v>
      </c>
      <c r="AN1885" s="5">
        <v>41</v>
      </c>
      <c r="AO1885" s="5">
        <v>27</v>
      </c>
      <c r="AP1885" s="5">
        <v>2</v>
      </c>
      <c r="AQ1885" s="5">
        <v>417</v>
      </c>
      <c r="AR1885" s="5">
        <v>434</v>
      </c>
      <c r="AS1885" s="5" t="s">
        <v>16</v>
      </c>
      <c r="AT1885" s="5" t="s">
        <v>11317</v>
      </c>
      <c r="AU1885" s="5" t="s">
        <v>11318</v>
      </c>
      <c r="AV1885" s="5" t="s">
        <v>11320</v>
      </c>
    </row>
    <row r="1886" spans="1:48" ht="45" customHeight="1" x14ac:dyDescent="0.15">
      <c r="A1886" s="5" t="s">
        <v>11321</v>
      </c>
      <c r="B1886" s="5">
        <v>2009</v>
      </c>
      <c r="C1886" s="5" t="s">
        <v>11322</v>
      </c>
      <c r="D1886" s="5" t="s">
        <v>172</v>
      </c>
      <c r="E1886" s="5" t="s">
        <v>18453</v>
      </c>
      <c r="F1886" s="5" t="s">
        <v>11325</v>
      </c>
      <c r="G1886" s="5"/>
      <c r="H1886" s="5"/>
      <c r="I1886" s="5"/>
      <c r="J1886" s="5"/>
      <c r="K1886" s="5"/>
      <c r="L1886" s="5"/>
      <c r="M1886" s="5"/>
      <c r="N1886" s="5"/>
      <c r="O1886" s="5"/>
      <c r="P1886" s="5"/>
      <c r="Q1886" s="5"/>
      <c r="AL1886" s="7" t="str">
        <f>HYPERLINK("http://dx.doi.org/10.1007/s00442-009-1303-3","http://dx.doi.org/10.1007/s00442-009-1303-3")</f>
        <v>http://dx.doi.org/10.1007/s00442-009-1303-3</v>
      </c>
      <c r="AM1886" s="5">
        <v>59</v>
      </c>
      <c r="AN1886" s="5">
        <v>63</v>
      </c>
      <c r="AO1886" s="5">
        <v>160</v>
      </c>
      <c r="AP1886" s="5">
        <v>2</v>
      </c>
      <c r="AQ1886" s="5">
        <v>225</v>
      </c>
      <c r="AR1886" s="5">
        <v>233</v>
      </c>
      <c r="AS1886" s="5" t="s">
        <v>16</v>
      </c>
      <c r="AT1886" s="5" t="s">
        <v>11323</v>
      </c>
      <c r="AU1886" s="5" t="s">
        <v>11324</v>
      </c>
      <c r="AV1886" s="5" t="s">
        <v>11326</v>
      </c>
    </row>
    <row r="1887" spans="1:48" ht="45" customHeight="1" x14ac:dyDescent="0.15">
      <c r="A1887" s="5" t="s">
        <v>11327</v>
      </c>
      <c r="B1887" s="5">
        <v>2010</v>
      </c>
      <c r="C1887" s="5" t="s">
        <v>11328</v>
      </c>
      <c r="D1887" s="5" t="s">
        <v>49</v>
      </c>
      <c r="E1887" s="5" t="s">
        <v>18453</v>
      </c>
      <c r="F1887" s="5" t="s">
        <v>11331</v>
      </c>
      <c r="G1887" s="5"/>
      <c r="H1887" s="5"/>
      <c r="I1887" s="5"/>
      <c r="J1887" s="5"/>
      <c r="K1887" s="5"/>
      <c r="L1887" s="5"/>
      <c r="M1887" s="5"/>
      <c r="N1887" s="5"/>
      <c r="O1887" s="5"/>
      <c r="P1887" s="5"/>
      <c r="Q1887" s="5"/>
      <c r="AL1887" s="7" t="str">
        <f>HYPERLINK("http://dx.doi.org/10.3354/meps08721","http://dx.doi.org/10.3354/meps08721")</f>
        <v>http://dx.doi.org/10.3354/meps08721</v>
      </c>
      <c r="AM1887" s="5">
        <v>38</v>
      </c>
      <c r="AN1887" s="5">
        <v>39</v>
      </c>
      <c r="AO1887" s="5">
        <v>414</v>
      </c>
      <c r="AP1887" s="5" t="s">
        <v>16</v>
      </c>
      <c r="AQ1887" s="5">
        <v>293</v>
      </c>
      <c r="AR1887" s="5">
        <v>302</v>
      </c>
      <c r="AS1887" s="5" t="s">
        <v>16</v>
      </c>
      <c r="AT1887" s="5" t="s">
        <v>11329</v>
      </c>
      <c r="AU1887" s="5" t="s">
        <v>11330</v>
      </c>
      <c r="AV1887" s="5" t="s">
        <v>11332</v>
      </c>
    </row>
    <row r="1888" spans="1:48" ht="45" customHeight="1" x14ac:dyDescent="0.15">
      <c r="A1888" s="5" t="s">
        <v>11333</v>
      </c>
      <c r="B1888" s="5">
        <v>2013</v>
      </c>
      <c r="C1888" s="5" t="s">
        <v>11334</v>
      </c>
      <c r="D1888" s="5" t="s">
        <v>15</v>
      </c>
      <c r="E1888" s="5" t="s">
        <v>18453</v>
      </c>
      <c r="F1888" s="5" t="s">
        <v>11337</v>
      </c>
      <c r="G1888" s="5"/>
      <c r="H1888" s="5"/>
      <c r="I1888" s="5"/>
      <c r="J1888" s="5"/>
      <c r="K1888" s="5"/>
      <c r="L1888" s="5"/>
      <c r="M1888" s="5"/>
      <c r="N1888" s="5"/>
      <c r="O1888" s="5"/>
      <c r="P1888" s="5"/>
      <c r="Q1888" s="5"/>
      <c r="AL1888" s="7" t="str">
        <f>HYPERLINK("http://dx.doi.org/10.1002/ece3.825","http://dx.doi.org/10.1002/ece3.825")</f>
        <v>http://dx.doi.org/10.1002/ece3.825</v>
      </c>
      <c r="AM1888" s="5">
        <v>18</v>
      </c>
      <c r="AN1888" s="5">
        <v>18</v>
      </c>
      <c r="AO1888" s="5">
        <v>3</v>
      </c>
      <c r="AP1888" s="5">
        <v>12</v>
      </c>
      <c r="AQ1888" s="5">
        <v>4278</v>
      </c>
      <c r="AR1888" s="5">
        <v>4289</v>
      </c>
      <c r="AS1888" s="5" t="s">
        <v>16</v>
      </c>
      <c r="AT1888" s="5" t="s">
        <v>11335</v>
      </c>
      <c r="AU1888" s="5" t="s">
        <v>11336</v>
      </c>
      <c r="AV1888" s="5" t="s">
        <v>11338</v>
      </c>
    </row>
    <row r="1889" spans="1:48" ht="45" customHeight="1" x14ac:dyDescent="0.15">
      <c r="A1889" s="5" t="s">
        <v>11339</v>
      </c>
      <c r="B1889" s="5">
        <v>2018</v>
      </c>
      <c r="C1889" s="5" t="s">
        <v>11340</v>
      </c>
      <c r="D1889" s="5" t="s">
        <v>251</v>
      </c>
      <c r="E1889" s="5" t="s">
        <v>18453</v>
      </c>
      <c r="F1889" s="5" t="s">
        <v>11343</v>
      </c>
      <c r="G1889" s="5"/>
      <c r="H1889" s="5"/>
      <c r="I1889" s="5"/>
      <c r="J1889" s="5"/>
      <c r="K1889" s="5"/>
      <c r="L1889" s="5"/>
      <c r="M1889" s="5"/>
      <c r="N1889" s="5"/>
      <c r="O1889" s="5"/>
      <c r="P1889" s="5"/>
      <c r="Q1889" s="5"/>
      <c r="AL1889" s="7" t="str">
        <f>HYPERLINK("http://dx.doi.org/10.1016/j.biocon.2018.01.010","http://dx.doi.org/10.1016/j.biocon.2018.01.010")</f>
        <v>http://dx.doi.org/10.1016/j.biocon.2018.01.010</v>
      </c>
      <c r="AM1889" s="5">
        <v>47</v>
      </c>
      <c r="AN1889" s="5">
        <v>48</v>
      </c>
      <c r="AO1889" s="5">
        <v>220</v>
      </c>
      <c r="AP1889" s="5" t="s">
        <v>16</v>
      </c>
      <c r="AQ1889" s="5">
        <v>308</v>
      </c>
      <c r="AR1889" s="5">
        <v>319</v>
      </c>
      <c r="AS1889" s="5" t="s">
        <v>16</v>
      </c>
      <c r="AT1889" s="5" t="s">
        <v>11341</v>
      </c>
      <c r="AU1889" s="5" t="s">
        <v>11342</v>
      </c>
      <c r="AV1889" s="5" t="s">
        <v>11344</v>
      </c>
    </row>
    <row r="1890" spans="1:48" ht="45" customHeight="1" x14ac:dyDescent="0.15">
      <c r="A1890" s="5" t="s">
        <v>11345</v>
      </c>
      <c r="B1890" s="5">
        <v>2012</v>
      </c>
      <c r="C1890" s="5" t="s">
        <v>11346</v>
      </c>
      <c r="D1890" s="5" t="s">
        <v>973</v>
      </c>
      <c r="E1890" s="5" t="s">
        <v>18453</v>
      </c>
      <c r="F1890" s="5" t="s">
        <v>11348</v>
      </c>
      <c r="G1890" s="5"/>
      <c r="H1890" s="5"/>
      <c r="I1890" s="5"/>
      <c r="J1890" s="5"/>
      <c r="K1890" s="5"/>
      <c r="L1890" s="5"/>
      <c r="M1890" s="5"/>
      <c r="N1890" s="5"/>
      <c r="O1890" s="5"/>
      <c r="P1890" s="5"/>
      <c r="Q1890" s="5"/>
      <c r="AL1890" s="7" t="str">
        <f>HYPERLINK("http://dx.doi.org/10.5194/bg-9-1985-2012","http://dx.doi.org/10.5194/bg-9-1985-2012")</f>
        <v>http://dx.doi.org/10.5194/bg-9-1985-2012</v>
      </c>
      <c r="AM1890" s="5">
        <v>32</v>
      </c>
      <c r="AN1890" s="5">
        <v>32</v>
      </c>
      <c r="AO1890" s="5">
        <v>9</v>
      </c>
      <c r="AP1890" s="5">
        <v>6</v>
      </c>
      <c r="AQ1890" s="5">
        <v>1985</v>
      </c>
      <c r="AR1890" s="5">
        <v>1996</v>
      </c>
      <c r="AS1890" s="5" t="s">
        <v>16</v>
      </c>
      <c r="AT1890" s="5" t="s">
        <v>16</v>
      </c>
      <c r="AU1890" s="5" t="s">
        <v>11347</v>
      </c>
      <c r="AV1890" s="5" t="s">
        <v>11349</v>
      </c>
    </row>
    <row r="1891" spans="1:48" ht="45" customHeight="1" x14ac:dyDescent="0.15">
      <c r="A1891" s="5" t="s">
        <v>11350</v>
      </c>
      <c r="B1891" s="5">
        <v>2020</v>
      </c>
      <c r="C1891" s="5" t="s">
        <v>11351</v>
      </c>
      <c r="D1891" s="5" t="s">
        <v>3980</v>
      </c>
      <c r="E1891" s="5" t="s">
        <v>18453</v>
      </c>
      <c r="F1891" s="5" t="s">
        <v>11354</v>
      </c>
      <c r="G1891" s="5"/>
      <c r="H1891" s="5"/>
      <c r="I1891" s="5"/>
      <c r="J1891" s="5"/>
      <c r="K1891" s="5"/>
      <c r="L1891" s="5"/>
      <c r="M1891" s="5"/>
      <c r="N1891" s="5"/>
      <c r="O1891" s="5"/>
      <c r="P1891" s="5"/>
      <c r="Q1891" s="5"/>
      <c r="AL1891" s="7" t="str">
        <f>HYPERLINK("http://dx.doi.org/10.1111/btp.12734","http://dx.doi.org/10.1111/btp.12734")</f>
        <v>http://dx.doi.org/10.1111/btp.12734</v>
      </c>
      <c r="AM1891" s="5">
        <v>8</v>
      </c>
      <c r="AN1891" s="5">
        <v>8</v>
      </c>
      <c r="AO1891" s="5">
        <v>52</v>
      </c>
      <c r="AP1891" s="5">
        <v>6</v>
      </c>
      <c r="AQ1891" s="5">
        <v>1030</v>
      </c>
      <c r="AR1891" s="5">
        <v>1040</v>
      </c>
      <c r="AS1891" s="5" t="s">
        <v>16</v>
      </c>
      <c r="AT1891" s="5" t="s">
        <v>11352</v>
      </c>
      <c r="AU1891" s="5" t="s">
        <v>11353</v>
      </c>
      <c r="AV1891" s="5" t="s">
        <v>11355</v>
      </c>
    </row>
    <row r="1892" spans="1:48" ht="45" customHeight="1" x14ac:dyDescent="0.15">
      <c r="A1892" s="5" t="s">
        <v>11356</v>
      </c>
      <c r="B1892" s="5">
        <v>2022</v>
      </c>
      <c r="C1892" s="5" t="s">
        <v>11357</v>
      </c>
      <c r="D1892" s="5" t="s">
        <v>44</v>
      </c>
      <c r="E1892" s="5" t="s">
        <v>18453</v>
      </c>
      <c r="F1892" s="5" t="s">
        <v>11360</v>
      </c>
      <c r="G1892" s="5"/>
      <c r="H1892" s="5"/>
      <c r="I1892" s="5"/>
      <c r="J1892" s="5"/>
      <c r="K1892" s="5"/>
      <c r="L1892" s="5"/>
      <c r="M1892" s="5"/>
      <c r="N1892" s="5"/>
      <c r="O1892" s="5"/>
      <c r="P1892" s="5"/>
      <c r="Q1892" s="5"/>
      <c r="AL1892" s="7" t="str">
        <f>HYPERLINK("http://dx.doi.org/10.3389/fevo.2022.1051782","http://dx.doi.org/10.3389/fevo.2022.1051782")</f>
        <v>http://dx.doi.org/10.3389/fevo.2022.1051782</v>
      </c>
      <c r="AM1892" s="5">
        <v>1</v>
      </c>
      <c r="AN1892" s="5">
        <v>1</v>
      </c>
      <c r="AO1892" s="5">
        <v>10</v>
      </c>
      <c r="AP1892" s="5" t="s">
        <v>16</v>
      </c>
      <c r="AQ1892" s="5" t="s">
        <v>16</v>
      </c>
      <c r="AR1892" s="5" t="s">
        <v>16</v>
      </c>
      <c r="AS1892" s="5">
        <v>1051782</v>
      </c>
      <c r="AT1892" s="5" t="s">
        <v>11358</v>
      </c>
      <c r="AU1892" s="5" t="s">
        <v>11359</v>
      </c>
      <c r="AV1892" s="5" t="s">
        <v>11361</v>
      </c>
    </row>
    <row r="1893" spans="1:48" ht="45" customHeight="1" x14ac:dyDescent="0.15">
      <c r="A1893" s="5" t="s">
        <v>11362</v>
      </c>
      <c r="B1893" s="5">
        <v>2017</v>
      </c>
      <c r="C1893" s="5" t="s">
        <v>11363</v>
      </c>
      <c r="D1893" s="5" t="s">
        <v>296</v>
      </c>
      <c r="E1893" s="5" t="s">
        <v>18453</v>
      </c>
      <c r="F1893" s="5" t="s">
        <v>11366</v>
      </c>
      <c r="G1893" s="5"/>
      <c r="H1893" s="5"/>
      <c r="I1893" s="5"/>
      <c r="J1893" s="5"/>
      <c r="K1893" s="5"/>
      <c r="L1893" s="5"/>
      <c r="M1893" s="5"/>
      <c r="N1893" s="5"/>
      <c r="O1893" s="5"/>
      <c r="P1893" s="5"/>
      <c r="Q1893" s="5"/>
      <c r="AL1893" s="7" t="str">
        <f>HYPERLINK("http://dx.doi.org/10.1098/rspb.2016.2572","http://dx.doi.org/10.1098/rspb.2016.2572")</f>
        <v>http://dx.doi.org/10.1098/rspb.2016.2572</v>
      </c>
      <c r="AM1893" s="5">
        <v>50</v>
      </c>
      <c r="AN1893" s="5">
        <v>51</v>
      </c>
      <c r="AO1893" s="5">
        <v>284</v>
      </c>
      <c r="AP1893" s="5">
        <v>1849</v>
      </c>
      <c r="AQ1893" s="5" t="s">
        <v>16</v>
      </c>
      <c r="AR1893" s="5" t="s">
        <v>16</v>
      </c>
      <c r="AS1893" s="5">
        <v>20162572</v>
      </c>
      <c r="AT1893" s="5" t="s">
        <v>11364</v>
      </c>
      <c r="AU1893" s="5" t="s">
        <v>11365</v>
      </c>
      <c r="AV1893" s="5" t="s">
        <v>11367</v>
      </c>
    </row>
    <row r="1894" spans="1:48" ht="45" customHeight="1" x14ac:dyDescent="0.15">
      <c r="A1894" s="5" t="s">
        <v>11368</v>
      </c>
      <c r="B1894" s="5">
        <v>2019</v>
      </c>
      <c r="C1894" s="5" t="s">
        <v>11369</v>
      </c>
      <c r="D1894" s="5" t="s">
        <v>1257</v>
      </c>
      <c r="E1894" s="5" t="s">
        <v>18453</v>
      </c>
      <c r="F1894" s="5" t="s">
        <v>11372</v>
      </c>
      <c r="G1894" s="5"/>
      <c r="H1894" s="5"/>
      <c r="I1894" s="5"/>
      <c r="J1894" s="5"/>
      <c r="K1894" s="5"/>
      <c r="L1894" s="5"/>
      <c r="M1894" s="5"/>
      <c r="N1894" s="5"/>
      <c r="O1894" s="5"/>
      <c r="P1894" s="5"/>
      <c r="Q1894" s="5"/>
      <c r="AL1894" s="7" t="str">
        <f>HYPERLINK("http://dx.doi.org/10.3389/ffgc.2019.00055","http://dx.doi.org/10.3389/ffgc.2019.00055")</f>
        <v>http://dx.doi.org/10.3389/ffgc.2019.00055</v>
      </c>
      <c r="AM1894" s="5">
        <v>7</v>
      </c>
      <c r="AN1894" s="5">
        <v>7</v>
      </c>
      <c r="AO1894" s="5">
        <v>2</v>
      </c>
      <c r="AP1894" s="5" t="s">
        <v>16</v>
      </c>
      <c r="AQ1894" s="5" t="s">
        <v>16</v>
      </c>
      <c r="AR1894" s="5" t="s">
        <v>16</v>
      </c>
      <c r="AS1894" s="5">
        <v>55</v>
      </c>
      <c r="AT1894" s="5" t="s">
        <v>11370</v>
      </c>
      <c r="AU1894" s="5" t="s">
        <v>11371</v>
      </c>
      <c r="AV1894" s="5" t="s">
        <v>11373</v>
      </c>
    </row>
    <row r="1895" spans="1:48" ht="45" customHeight="1" x14ac:dyDescent="0.15">
      <c r="A1895" s="5" t="s">
        <v>11374</v>
      </c>
      <c r="B1895" s="5">
        <v>2020</v>
      </c>
      <c r="C1895" s="5" t="s">
        <v>11375</v>
      </c>
      <c r="D1895" s="5" t="s">
        <v>973</v>
      </c>
      <c r="E1895" s="5" t="s">
        <v>18453</v>
      </c>
      <c r="F1895" s="5" t="s">
        <v>11377</v>
      </c>
      <c r="G1895" s="5"/>
      <c r="H1895" s="5"/>
      <c r="I1895" s="5"/>
      <c r="J1895" s="5"/>
      <c r="K1895" s="5"/>
      <c r="L1895" s="5"/>
      <c r="M1895" s="5"/>
      <c r="N1895" s="5"/>
      <c r="O1895" s="5"/>
      <c r="P1895" s="5"/>
      <c r="Q1895" s="5"/>
      <c r="AL1895" s="7" t="str">
        <f>HYPERLINK("http://dx.doi.org/10.5194/bg-17-4545-2020","http://dx.doi.org/10.5194/bg-17-4545-2020")</f>
        <v>http://dx.doi.org/10.5194/bg-17-4545-2020</v>
      </c>
      <c r="AM1895" s="5">
        <v>2</v>
      </c>
      <c r="AN1895" s="5">
        <v>2</v>
      </c>
      <c r="AO1895" s="5">
        <v>17</v>
      </c>
      <c r="AP1895" s="5">
        <v>18</v>
      </c>
      <c r="AQ1895" s="5">
        <v>4545</v>
      </c>
      <c r="AR1895" s="5">
        <v>4557</v>
      </c>
      <c r="AS1895" s="5" t="s">
        <v>16</v>
      </c>
      <c r="AT1895" s="5" t="s">
        <v>16</v>
      </c>
      <c r="AU1895" s="5" t="s">
        <v>11376</v>
      </c>
      <c r="AV1895" s="5" t="s">
        <v>11378</v>
      </c>
    </row>
    <row r="1896" spans="1:48" ht="45" customHeight="1" x14ac:dyDescent="0.15">
      <c r="A1896" s="5" t="s">
        <v>11379</v>
      </c>
      <c r="B1896" s="5">
        <v>2003</v>
      </c>
      <c r="C1896" s="5" t="s">
        <v>11380</v>
      </c>
      <c r="D1896" s="5" t="s">
        <v>296</v>
      </c>
      <c r="E1896" s="5" t="s">
        <v>18453</v>
      </c>
      <c r="F1896" s="5" t="s">
        <v>11383</v>
      </c>
      <c r="G1896" s="5"/>
      <c r="H1896" s="5"/>
      <c r="I1896" s="5"/>
      <c r="J1896" s="5"/>
      <c r="K1896" s="5"/>
      <c r="L1896" s="5"/>
      <c r="M1896" s="5"/>
      <c r="N1896" s="5"/>
      <c r="O1896" s="5"/>
      <c r="P1896" s="5"/>
      <c r="Q1896" s="5"/>
      <c r="AL1896" s="7" t="str">
        <f>HYPERLINK("http://dx.doi.org/10.1098/rspb.2003.2478","http://dx.doi.org/10.1098/rspb.2003.2478")</f>
        <v>http://dx.doi.org/10.1098/rspb.2003.2478</v>
      </c>
      <c r="AM1896" s="5">
        <v>44</v>
      </c>
      <c r="AN1896" s="5">
        <v>47</v>
      </c>
      <c r="AO1896" s="5">
        <v>270</v>
      </c>
      <c r="AP1896" s="5">
        <v>1529</v>
      </c>
      <c r="AQ1896" s="5">
        <v>2117</v>
      </c>
      <c r="AR1896" s="5">
        <v>2123</v>
      </c>
      <c r="AS1896" s="5" t="s">
        <v>16</v>
      </c>
      <c r="AT1896" s="5" t="s">
        <v>11381</v>
      </c>
      <c r="AU1896" s="5" t="s">
        <v>11382</v>
      </c>
      <c r="AV1896" s="5" t="s">
        <v>11384</v>
      </c>
    </row>
    <row r="1897" spans="1:48" ht="45" customHeight="1" x14ac:dyDescent="0.15">
      <c r="A1897" s="5" t="s">
        <v>11385</v>
      </c>
      <c r="B1897" s="5">
        <v>2017</v>
      </c>
      <c r="C1897" s="5" t="s">
        <v>11386</v>
      </c>
      <c r="D1897" s="5" t="s">
        <v>49</v>
      </c>
      <c r="E1897" s="5" t="s">
        <v>18453</v>
      </c>
      <c r="F1897" s="5" t="s">
        <v>11389</v>
      </c>
      <c r="G1897" s="5"/>
      <c r="H1897" s="5"/>
      <c r="I1897" s="5"/>
      <c r="J1897" s="5"/>
      <c r="K1897" s="5"/>
      <c r="L1897" s="5"/>
      <c r="M1897" s="5"/>
      <c r="N1897" s="5"/>
      <c r="O1897" s="5"/>
      <c r="P1897" s="5"/>
      <c r="Q1897" s="5"/>
      <c r="AL1897" s="7" t="str">
        <f>HYPERLINK("http://dx.doi.org/10.3354/meps11976","http://dx.doi.org/10.3354/meps11976")</f>
        <v>http://dx.doi.org/10.3354/meps11976</v>
      </c>
      <c r="AM1897" s="5">
        <v>21</v>
      </c>
      <c r="AN1897" s="5">
        <v>22</v>
      </c>
      <c r="AO1897" s="5">
        <v>564</v>
      </c>
      <c r="AP1897" s="5" t="s">
        <v>16</v>
      </c>
      <c r="AQ1897" s="5">
        <v>57</v>
      </c>
      <c r="AR1897" s="5">
        <v>66</v>
      </c>
      <c r="AS1897" s="5" t="s">
        <v>16</v>
      </c>
      <c r="AT1897" s="5" t="s">
        <v>11387</v>
      </c>
      <c r="AU1897" s="5" t="s">
        <v>11388</v>
      </c>
      <c r="AV1897" s="5" t="s">
        <v>11390</v>
      </c>
    </row>
    <row r="1898" spans="1:48" ht="45" customHeight="1" x14ac:dyDescent="0.15">
      <c r="A1898" s="5" t="s">
        <v>11391</v>
      </c>
      <c r="B1898" s="5">
        <v>2021</v>
      </c>
      <c r="C1898" s="5" t="s">
        <v>11392</v>
      </c>
      <c r="D1898" s="5" t="s">
        <v>49</v>
      </c>
      <c r="E1898" s="5" t="s">
        <v>18453</v>
      </c>
      <c r="F1898" s="5" t="s">
        <v>11395</v>
      </c>
      <c r="G1898" s="5"/>
      <c r="H1898" s="5"/>
      <c r="I1898" s="5"/>
      <c r="J1898" s="5"/>
      <c r="K1898" s="5"/>
      <c r="L1898" s="5"/>
      <c r="M1898" s="5"/>
      <c r="N1898" s="5"/>
      <c r="O1898" s="5"/>
      <c r="P1898" s="5"/>
      <c r="Q1898" s="5"/>
      <c r="AL1898" s="7" t="str">
        <f>HYPERLINK("http://dx.doi.org/10.3354/meps13769","http://dx.doi.org/10.3354/meps13769")</f>
        <v>http://dx.doi.org/10.3354/meps13769</v>
      </c>
      <c r="AM1898" s="5">
        <v>4</v>
      </c>
      <c r="AN1898" s="5">
        <v>4</v>
      </c>
      <c r="AO1898" s="5">
        <v>673</v>
      </c>
      <c r="AP1898" s="5" t="s">
        <v>16</v>
      </c>
      <c r="AQ1898" s="5">
        <v>165</v>
      </c>
      <c r="AR1898" s="5">
        <v>181</v>
      </c>
      <c r="AS1898" s="5" t="s">
        <v>16</v>
      </c>
      <c r="AT1898" s="5" t="s">
        <v>11393</v>
      </c>
      <c r="AU1898" s="5" t="s">
        <v>11394</v>
      </c>
      <c r="AV1898" s="5" t="s">
        <v>11396</v>
      </c>
    </row>
    <row r="1899" spans="1:48" ht="45" customHeight="1" x14ac:dyDescent="0.15">
      <c r="A1899" s="5" t="s">
        <v>11397</v>
      </c>
      <c r="B1899" s="5">
        <v>2019</v>
      </c>
      <c r="C1899" s="5" t="s">
        <v>11398</v>
      </c>
      <c r="D1899" s="5" t="s">
        <v>251</v>
      </c>
      <c r="E1899" s="5" t="s">
        <v>18453</v>
      </c>
      <c r="F1899" s="5" t="s">
        <v>11401</v>
      </c>
      <c r="G1899" s="5"/>
      <c r="H1899" s="5"/>
      <c r="I1899" s="5"/>
      <c r="J1899" s="5"/>
      <c r="K1899" s="5"/>
      <c r="L1899" s="5"/>
      <c r="M1899" s="5"/>
      <c r="N1899" s="5"/>
      <c r="O1899" s="5"/>
      <c r="P1899" s="5"/>
      <c r="Q1899" s="5"/>
      <c r="AL1899" s="7" t="str">
        <f>HYPERLINK("http://dx.doi.org/10.1016/j.biocon.2019.05.040","http://dx.doi.org/10.1016/j.biocon.2019.05.040")</f>
        <v>http://dx.doi.org/10.1016/j.biocon.2019.05.040</v>
      </c>
      <c r="AM1899" s="5">
        <v>13</v>
      </c>
      <c r="AN1899" s="5">
        <v>13</v>
      </c>
      <c r="AO1899" s="5">
        <v>236</v>
      </c>
      <c r="AP1899" s="5" t="s">
        <v>16</v>
      </c>
      <c r="AQ1899" s="5">
        <v>375</v>
      </c>
      <c r="AR1899" s="5">
        <v>384</v>
      </c>
      <c r="AS1899" s="5" t="s">
        <v>16</v>
      </c>
      <c r="AT1899" s="5" t="s">
        <v>11399</v>
      </c>
      <c r="AU1899" s="5" t="s">
        <v>11400</v>
      </c>
      <c r="AV1899" s="5" t="s">
        <v>11402</v>
      </c>
    </row>
    <row r="1900" spans="1:48" ht="45" customHeight="1" x14ac:dyDescent="0.15">
      <c r="A1900" s="5" t="s">
        <v>11403</v>
      </c>
      <c r="B1900" s="5">
        <v>2008</v>
      </c>
      <c r="C1900" s="5" t="s">
        <v>11404</v>
      </c>
      <c r="D1900" s="5" t="s">
        <v>62</v>
      </c>
      <c r="E1900" s="5" t="s">
        <v>18453</v>
      </c>
      <c r="F1900" s="5" t="s">
        <v>11407</v>
      </c>
      <c r="G1900" s="5"/>
      <c r="H1900" s="5"/>
      <c r="I1900" s="5"/>
      <c r="J1900" s="5"/>
      <c r="K1900" s="5"/>
      <c r="L1900" s="5"/>
      <c r="M1900" s="5"/>
      <c r="N1900" s="5"/>
      <c r="O1900" s="5"/>
      <c r="P1900" s="5"/>
      <c r="Q1900" s="5"/>
      <c r="AL1900" s="7" t="str">
        <f>HYPERLINK("http://dx.doi.org/10.1007/s10021-008-9200-x","http://dx.doi.org/10.1007/s10021-008-9200-x")</f>
        <v>http://dx.doi.org/10.1007/s10021-008-9200-x</v>
      </c>
      <c r="AM1900" s="5">
        <v>20</v>
      </c>
      <c r="AN1900" s="5">
        <v>23</v>
      </c>
      <c r="AO1900" s="5">
        <v>11</v>
      </c>
      <c r="AP1900" s="5">
        <v>8</v>
      </c>
      <c r="AQ1900" s="5">
        <v>1318</v>
      </c>
      <c r="AR1900" s="5">
        <v>1334</v>
      </c>
      <c r="AS1900" s="5" t="s">
        <v>16</v>
      </c>
      <c r="AT1900" s="5" t="s">
        <v>11405</v>
      </c>
      <c r="AU1900" s="5" t="s">
        <v>11406</v>
      </c>
      <c r="AV1900" s="5" t="s">
        <v>11408</v>
      </c>
    </row>
    <row r="1901" spans="1:48" ht="45" customHeight="1" x14ac:dyDescent="0.15">
      <c r="A1901" s="5" t="s">
        <v>11409</v>
      </c>
      <c r="B1901" s="5">
        <v>2018</v>
      </c>
      <c r="C1901" s="5" t="s">
        <v>11410</v>
      </c>
      <c r="D1901" s="5" t="s">
        <v>163</v>
      </c>
      <c r="E1901" s="5" t="s">
        <v>18453</v>
      </c>
      <c r="F1901" s="5" t="s">
        <v>11413</v>
      </c>
      <c r="G1901" s="5"/>
      <c r="H1901" s="5"/>
      <c r="I1901" s="5"/>
      <c r="J1901" s="5"/>
      <c r="K1901" s="5"/>
      <c r="L1901" s="5"/>
      <c r="M1901" s="5"/>
      <c r="N1901" s="5"/>
      <c r="O1901" s="5"/>
      <c r="P1901" s="5"/>
      <c r="Q1901" s="5"/>
      <c r="AL1901" s="7" t="str">
        <f>HYPERLINK("http://dx.doi.org/10.1080/02757540.2018.1520845","http://dx.doi.org/10.1080/02757540.2018.1520845")</f>
        <v>http://dx.doi.org/10.1080/02757540.2018.1520845</v>
      </c>
      <c r="AM1901" s="5">
        <v>1</v>
      </c>
      <c r="AN1901" s="5">
        <v>2</v>
      </c>
      <c r="AO1901" s="5">
        <v>34</v>
      </c>
      <c r="AP1901" s="5">
        <v>10</v>
      </c>
      <c r="AQ1901" s="5">
        <v>941</v>
      </c>
      <c r="AR1901" s="5">
        <v>963</v>
      </c>
      <c r="AS1901" s="5" t="s">
        <v>16</v>
      </c>
      <c r="AT1901" s="5" t="s">
        <v>11411</v>
      </c>
      <c r="AU1901" s="5" t="s">
        <v>11412</v>
      </c>
      <c r="AV1901" s="5" t="s">
        <v>11414</v>
      </c>
    </row>
    <row r="1902" spans="1:48" ht="45" customHeight="1" x14ac:dyDescent="0.15">
      <c r="A1902" s="5" t="s">
        <v>11415</v>
      </c>
      <c r="B1902" s="5">
        <v>2006</v>
      </c>
      <c r="C1902" s="5" t="s">
        <v>11416</v>
      </c>
      <c r="D1902" s="5" t="s">
        <v>27</v>
      </c>
      <c r="E1902" s="5" t="s">
        <v>18453</v>
      </c>
      <c r="F1902" s="5" t="s">
        <v>11419</v>
      </c>
      <c r="G1902" s="5"/>
      <c r="H1902" s="5"/>
      <c r="I1902" s="5"/>
      <c r="J1902" s="5"/>
      <c r="K1902" s="5"/>
      <c r="L1902" s="5"/>
      <c r="M1902" s="5"/>
      <c r="N1902" s="5"/>
      <c r="O1902" s="5"/>
      <c r="P1902" s="5"/>
      <c r="Q1902" s="5"/>
      <c r="AL1902" s="7" t="str">
        <f>HYPERLINK("http://dx.doi.org/10.1890/05-0226","http://dx.doi.org/10.1890/05-0226")</f>
        <v>http://dx.doi.org/10.1890/05-0226</v>
      </c>
      <c r="AM1902" s="5">
        <v>78</v>
      </c>
      <c r="AN1902" s="5">
        <v>81</v>
      </c>
      <c r="AO1902" s="5">
        <v>87</v>
      </c>
      <c r="AP1902" s="5">
        <v>3</v>
      </c>
      <c r="AQ1902" s="5">
        <v>717</v>
      </c>
      <c r="AR1902" s="5">
        <v>730</v>
      </c>
      <c r="AS1902" s="5" t="s">
        <v>16</v>
      </c>
      <c r="AT1902" s="5" t="s">
        <v>11417</v>
      </c>
      <c r="AU1902" s="5" t="s">
        <v>11418</v>
      </c>
      <c r="AV1902" s="5" t="s">
        <v>11420</v>
      </c>
    </row>
    <row r="1903" spans="1:48" ht="45" customHeight="1" x14ac:dyDescent="0.15">
      <c r="A1903" s="5" t="s">
        <v>11421</v>
      </c>
      <c r="B1903" s="5">
        <v>2021</v>
      </c>
      <c r="C1903" s="5" t="s">
        <v>11422</v>
      </c>
      <c r="D1903" s="5" t="s">
        <v>15</v>
      </c>
      <c r="E1903" s="5" t="s">
        <v>18453</v>
      </c>
      <c r="F1903" s="5" t="s">
        <v>11425</v>
      </c>
      <c r="G1903" s="5"/>
      <c r="H1903" s="5"/>
      <c r="I1903" s="5"/>
      <c r="J1903" s="5"/>
      <c r="K1903" s="5"/>
      <c r="L1903" s="5"/>
      <c r="M1903" s="5"/>
      <c r="N1903" s="5"/>
      <c r="O1903" s="5"/>
      <c r="P1903" s="5"/>
      <c r="Q1903" s="5"/>
      <c r="AL1903" s="7" t="str">
        <f>HYPERLINK("http://dx.doi.org/10.1002/ece3.7809","http://dx.doi.org/10.1002/ece3.7809")</f>
        <v>http://dx.doi.org/10.1002/ece3.7809</v>
      </c>
      <c r="AM1903" s="5">
        <v>2</v>
      </c>
      <c r="AN1903" s="5">
        <v>2</v>
      </c>
      <c r="AO1903" s="5">
        <v>11</v>
      </c>
      <c r="AP1903" s="5">
        <v>14</v>
      </c>
      <c r="AQ1903" s="5">
        <v>9804</v>
      </c>
      <c r="AR1903" s="5">
        <v>9814</v>
      </c>
      <c r="AS1903" s="5" t="s">
        <v>16</v>
      </c>
      <c r="AT1903" s="5" t="s">
        <v>11423</v>
      </c>
      <c r="AU1903" s="5" t="s">
        <v>11424</v>
      </c>
      <c r="AV1903" s="5" t="s">
        <v>11426</v>
      </c>
    </row>
    <row r="1904" spans="1:48" ht="45" customHeight="1" x14ac:dyDescent="0.15">
      <c r="A1904" s="5" t="s">
        <v>11427</v>
      </c>
      <c r="B1904" s="5">
        <v>2020</v>
      </c>
      <c r="C1904" s="5" t="s">
        <v>11428</v>
      </c>
      <c r="D1904" s="5" t="s">
        <v>82</v>
      </c>
      <c r="E1904" s="5" t="s">
        <v>18453</v>
      </c>
      <c r="F1904" s="5" t="s">
        <v>11431</v>
      </c>
      <c r="G1904" s="5"/>
      <c r="H1904" s="5"/>
      <c r="I1904" s="5"/>
      <c r="J1904" s="5"/>
      <c r="K1904" s="5"/>
      <c r="L1904" s="5"/>
      <c r="M1904" s="5"/>
      <c r="N1904" s="5"/>
      <c r="O1904" s="5"/>
      <c r="P1904" s="5"/>
      <c r="Q1904" s="5"/>
      <c r="AL1904" s="7" t="str">
        <f>HYPERLINK("http://dx.doi.org/10.1002/eap.2190","http://dx.doi.org/10.1002/eap.2190")</f>
        <v>http://dx.doi.org/10.1002/eap.2190</v>
      </c>
      <c r="AM1904" s="5">
        <v>8</v>
      </c>
      <c r="AN1904" s="5">
        <v>8</v>
      </c>
      <c r="AO1904" s="5">
        <v>30</v>
      </c>
      <c r="AP1904" s="5">
        <v>8</v>
      </c>
      <c r="AQ1904" s="5" t="s">
        <v>16</v>
      </c>
      <c r="AR1904" s="5" t="s">
        <v>16</v>
      </c>
      <c r="AS1904" s="5" t="s">
        <v>16</v>
      </c>
      <c r="AT1904" s="5" t="s">
        <v>11429</v>
      </c>
      <c r="AU1904" s="5" t="s">
        <v>11430</v>
      </c>
      <c r="AV1904" s="5" t="s">
        <v>11432</v>
      </c>
    </row>
    <row r="1905" spans="1:48" ht="45" customHeight="1" x14ac:dyDescent="0.15">
      <c r="A1905" s="5" t="s">
        <v>11433</v>
      </c>
      <c r="B1905" s="5">
        <v>2013</v>
      </c>
      <c r="C1905" s="5" t="s">
        <v>11434</v>
      </c>
      <c r="D1905" s="5" t="s">
        <v>251</v>
      </c>
      <c r="E1905" s="5" t="s">
        <v>18453</v>
      </c>
      <c r="F1905" s="5" t="s">
        <v>11437</v>
      </c>
      <c r="G1905" s="5"/>
      <c r="H1905" s="5"/>
      <c r="I1905" s="5"/>
      <c r="J1905" s="5"/>
      <c r="K1905" s="5"/>
      <c r="L1905" s="5"/>
      <c r="M1905" s="5"/>
      <c r="N1905" s="5"/>
      <c r="O1905" s="5"/>
      <c r="P1905" s="5"/>
      <c r="Q1905" s="5"/>
      <c r="AL1905" s="7" t="str">
        <f>HYPERLINK("http://dx.doi.org/10.1016/j.biocon.2013.09.024","http://dx.doi.org/10.1016/j.biocon.2013.09.024")</f>
        <v>http://dx.doi.org/10.1016/j.biocon.2013.09.024</v>
      </c>
      <c r="AM1905" s="5">
        <v>113</v>
      </c>
      <c r="AN1905" s="5">
        <v>116</v>
      </c>
      <c r="AO1905" s="5">
        <v>168</v>
      </c>
      <c r="AP1905" s="5" t="s">
        <v>16</v>
      </c>
      <c r="AQ1905" s="5">
        <v>128</v>
      </c>
      <c r="AR1905" s="5">
        <v>133</v>
      </c>
      <c r="AS1905" s="5" t="s">
        <v>16</v>
      </c>
      <c r="AT1905" s="5" t="s">
        <v>11435</v>
      </c>
      <c r="AU1905" s="5" t="s">
        <v>11436</v>
      </c>
      <c r="AV1905" s="5" t="s">
        <v>11438</v>
      </c>
    </row>
    <row r="1906" spans="1:48" ht="45" customHeight="1" x14ac:dyDescent="0.15">
      <c r="A1906" s="5" t="s">
        <v>11439</v>
      </c>
      <c r="B1906" s="5">
        <v>2017</v>
      </c>
      <c r="C1906" s="5" t="s">
        <v>11440</v>
      </c>
      <c r="D1906" s="5" t="s">
        <v>15</v>
      </c>
      <c r="E1906" s="5" t="s">
        <v>18453</v>
      </c>
      <c r="F1906" s="5" t="s">
        <v>11443</v>
      </c>
      <c r="G1906" s="5"/>
      <c r="H1906" s="5"/>
      <c r="I1906" s="5"/>
      <c r="J1906" s="5"/>
      <c r="K1906" s="5"/>
      <c r="L1906" s="5"/>
      <c r="M1906" s="5"/>
      <c r="N1906" s="5"/>
      <c r="O1906" s="5"/>
      <c r="P1906" s="5"/>
      <c r="Q1906" s="5"/>
      <c r="AL1906" s="7" t="str">
        <f>HYPERLINK("http://dx.doi.org/10.1002/ece3.3548","http://dx.doi.org/10.1002/ece3.3548")</f>
        <v>http://dx.doi.org/10.1002/ece3.3548</v>
      </c>
      <c r="AM1906" s="5">
        <v>9</v>
      </c>
      <c r="AN1906" s="5">
        <v>9</v>
      </c>
      <c r="AO1906" s="5">
        <v>7</v>
      </c>
      <c r="AP1906" s="5">
        <v>24</v>
      </c>
      <c r="AQ1906" s="5">
        <v>10582</v>
      </c>
      <c r="AR1906" s="5">
        <v>10591</v>
      </c>
      <c r="AS1906" s="5" t="s">
        <v>16</v>
      </c>
      <c r="AT1906" s="5" t="s">
        <v>11441</v>
      </c>
      <c r="AU1906" s="5" t="s">
        <v>11442</v>
      </c>
      <c r="AV1906" s="5" t="s">
        <v>11444</v>
      </c>
    </row>
    <row r="1907" spans="1:48" ht="45" customHeight="1" x14ac:dyDescent="0.15">
      <c r="A1907" s="5" t="s">
        <v>11445</v>
      </c>
      <c r="B1907" s="5">
        <v>2003</v>
      </c>
      <c r="C1907" s="5" t="s">
        <v>11446</v>
      </c>
      <c r="D1907" s="5" t="s">
        <v>249</v>
      </c>
      <c r="E1907" s="5" t="s">
        <v>18453</v>
      </c>
      <c r="F1907" s="5" t="s">
        <v>11449</v>
      </c>
      <c r="G1907" s="5"/>
      <c r="H1907" s="5"/>
      <c r="I1907" s="5"/>
      <c r="J1907" s="5"/>
      <c r="K1907" s="5"/>
      <c r="L1907" s="5"/>
      <c r="M1907" s="5"/>
      <c r="N1907" s="5"/>
      <c r="O1907" s="5"/>
      <c r="P1907" s="5"/>
      <c r="Q1907" s="5"/>
      <c r="AL1907" s="7" t="str">
        <f>HYPERLINK("http://dx.doi.org/10.1006/jare.2002.1094","http://dx.doi.org/10.1006/jare.2002.1094")</f>
        <v>http://dx.doi.org/10.1006/jare.2002.1094</v>
      </c>
      <c r="AM1907" s="5">
        <v>54</v>
      </c>
      <c r="AN1907" s="5">
        <v>69</v>
      </c>
      <c r="AO1907" s="5">
        <v>54</v>
      </c>
      <c r="AP1907" s="5">
        <v>2</v>
      </c>
      <c r="AQ1907" s="5">
        <v>345</v>
      </c>
      <c r="AR1907" s="5">
        <v>358</v>
      </c>
      <c r="AS1907" s="5" t="s">
        <v>16</v>
      </c>
      <c r="AT1907" s="5" t="s">
        <v>11447</v>
      </c>
      <c r="AU1907" s="5" t="s">
        <v>11448</v>
      </c>
      <c r="AV1907" s="5" t="s">
        <v>11450</v>
      </c>
    </row>
    <row r="1908" spans="1:48" ht="45" customHeight="1" x14ac:dyDescent="0.15">
      <c r="A1908" s="5" t="s">
        <v>11451</v>
      </c>
      <c r="B1908" s="5">
        <v>2023</v>
      </c>
      <c r="C1908" s="5" t="s">
        <v>11452</v>
      </c>
      <c r="D1908" s="5" t="s">
        <v>49</v>
      </c>
      <c r="E1908" s="5" t="s">
        <v>18453</v>
      </c>
      <c r="F1908" s="5" t="s">
        <v>11455</v>
      </c>
      <c r="G1908" s="5"/>
      <c r="H1908" s="5"/>
      <c r="I1908" s="5"/>
      <c r="J1908" s="5"/>
      <c r="K1908" s="5"/>
      <c r="L1908" s="5"/>
      <c r="M1908" s="5"/>
      <c r="N1908" s="5"/>
      <c r="O1908" s="5"/>
      <c r="P1908" s="5"/>
      <c r="Q1908" s="5"/>
      <c r="AL1908" s="7" t="str">
        <f>HYPERLINK("http://dx.doi.org/10.3354/meps14250","http://dx.doi.org/10.3354/meps14250")</f>
        <v>http://dx.doi.org/10.3354/meps14250</v>
      </c>
      <c r="AM1908" s="5">
        <v>0</v>
      </c>
      <c r="AN1908" s="5">
        <v>0</v>
      </c>
      <c r="AO1908" s="5">
        <v>706</v>
      </c>
      <c r="AP1908" s="5" t="s">
        <v>16</v>
      </c>
      <c r="AQ1908" s="5">
        <v>91</v>
      </c>
      <c r="AR1908" s="5">
        <v>108</v>
      </c>
      <c r="AS1908" s="5" t="s">
        <v>16</v>
      </c>
      <c r="AT1908" s="5" t="s">
        <v>11453</v>
      </c>
      <c r="AU1908" s="5" t="s">
        <v>11454</v>
      </c>
      <c r="AV1908" s="5" t="s">
        <v>11456</v>
      </c>
    </row>
    <row r="1909" spans="1:48" ht="45" customHeight="1" x14ac:dyDescent="0.15">
      <c r="A1909" s="5" t="s">
        <v>11457</v>
      </c>
      <c r="B1909" s="5">
        <v>2005</v>
      </c>
      <c r="C1909" s="5" t="s">
        <v>11458</v>
      </c>
      <c r="D1909" s="5" t="s">
        <v>212</v>
      </c>
      <c r="E1909" s="5" t="s">
        <v>18453</v>
      </c>
      <c r="F1909" s="5" t="s">
        <v>11460</v>
      </c>
      <c r="G1909" s="5"/>
      <c r="H1909" s="5"/>
      <c r="I1909" s="5"/>
      <c r="J1909" s="5"/>
      <c r="K1909" s="5"/>
      <c r="L1909" s="5"/>
      <c r="M1909" s="5"/>
      <c r="N1909" s="5"/>
      <c r="O1909" s="5"/>
      <c r="P1909" s="5"/>
      <c r="Q1909" s="5"/>
      <c r="AL1909" s="7" t="str">
        <f>HYPERLINK("http://dx.doi.org/10.1007/s00300-004-0669-2","http://dx.doi.org/10.1007/s00300-004-0669-2")</f>
        <v>http://dx.doi.org/10.1007/s00300-004-0669-2</v>
      </c>
      <c r="AM1909" s="5">
        <v>121</v>
      </c>
      <c r="AN1909" s="5">
        <v>125</v>
      </c>
      <c r="AO1909" s="5">
        <v>28</v>
      </c>
      <c r="AP1909" s="5">
        <v>3</v>
      </c>
      <c r="AQ1909" s="5">
        <v>238</v>
      </c>
      <c r="AR1909" s="5">
        <v>249</v>
      </c>
      <c r="AS1909" s="5" t="s">
        <v>16</v>
      </c>
      <c r="AT1909" s="5" t="s">
        <v>16</v>
      </c>
      <c r="AU1909" s="5" t="s">
        <v>11459</v>
      </c>
      <c r="AV1909" s="5" t="s">
        <v>11461</v>
      </c>
    </row>
    <row r="1910" spans="1:48" ht="45" customHeight="1" x14ac:dyDescent="0.15">
      <c r="A1910" s="5" t="s">
        <v>11462</v>
      </c>
      <c r="B1910" s="5">
        <v>2002</v>
      </c>
      <c r="C1910" s="5" t="s">
        <v>11463</v>
      </c>
      <c r="D1910" s="5" t="s">
        <v>27</v>
      </c>
      <c r="E1910" s="5" t="s">
        <v>18453</v>
      </c>
      <c r="F1910" s="5" t="s">
        <v>11466</v>
      </c>
      <c r="G1910" s="5"/>
      <c r="H1910" s="5"/>
      <c r="I1910" s="5"/>
      <c r="J1910" s="5"/>
      <c r="K1910" s="5"/>
      <c r="L1910" s="5"/>
      <c r="M1910" s="5"/>
      <c r="N1910" s="5"/>
      <c r="O1910" s="5"/>
      <c r="P1910" s="5"/>
      <c r="Q1910" s="5"/>
      <c r="AL1910" s="7" t="str">
        <f>HYPERLINK("http://dx.doi.org/10.2307/3071914","http://dx.doi.org/10.2307/3071914")</f>
        <v>http://dx.doi.org/10.2307/3071914</v>
      </c>
      <c r="AM1910" s="5">
        <v>201</v>
      </c>
      <c r="AN1910" s="5">
        <v>211</v>
      </c>
      <c r="AO1910" s="5">
        <v>83</v>
      </c>
      <c r="AP1910" s="5">
        <v>4</v>
      </c>
      <c r="AQ1910" s="5">
        <v>1065</v>
      </c>
      <c r="AR1910" s="5">
        <v>1075</v>
      </c>
      <c r="AS1910" s="5" t="s">
        <v>16</v>
      </c>
      <c r="AT1910" s="5" t="s">
        <v>11464</v>
      </c>
      <c r="AU1910" s="5" t="s">
        <v>11465</v>
      </c>
      <c r="AV1910" s="5" t="s">
        <v>11467</v>
      </c>
    </row>
    <row r="1911" spans="1:48" ht="45" customHeight="1" x14ac:dyDescent="0.15">
      <c r="A1911" s="5" t="s">
        <v>773</v>
      </c>
      <c r="B1911" s="5">
        <v>2020</v>
      </c>
      <c r="C1911" s="5" t="s">
        <v>11468</v>
      </c>
      <c r="D1911" s="5" t="s">
        <v>15</v>
      </c>
      <c r="E1911" s="5" t="s">
        <v>18453</v>
      </c>
      <c r="F1911" s="5" t="s">
        <v>11470</v>
      </c>
      <c r="G1911" s="5"/>
      <c r="H1911" s="5"/>
      <c r="I1911" s="5"/>
      <c r="J1911" s="5"/>
      <c r="K1911" s="5"/>
      <c r="L1911" s="5"/>
      <c r="M1911" s="5"/>
      <c r="N1911" s="5"/>
      <c r="O1911" s="5"/>
      <c r="P1911" s="5"/>
      <c r="Q1911" s="5"/>
      <c r="AL1911" s="7" t="str">
        <f>HYPERLINK("http://dx.doi.org/10.1002/ece3.6390","http://dx.doi.org/10.1002/ece3.6390")</f>
        <v>http://dx.doi.org/10.1002/ece3.6390</v>
      </c>
      <c r="AM1911" s="5">
        <v>5</v>
      </c>
      <c r="AN1911" s="5">
        <v>5</v>
      </c>
      <c r="AO1911" s="5">
        <v>10</v>
      </c>
      <c r="AP1911" s="5">
        <v>13</v>
      </c>
      <c r="AQ1911" s="5">
        <v>6562</v>
      </c>
      <c r="AR1911" s="5">
        <v>6578</v>
      </c>
      <c r="AS1911" s="5" t="s">
        <v>16</v>
      </c>
      <c r="AT1911" s="5" t="s">
        <v>16</v>
      </c>
      <c r="AU1911" s="5" t="s">
        <v>11469</v>
      </c>
      <c r="AV1911" s="5" t="s">
        <v>11471</v>
      </c>
    </row>
    <row r="1912" spans="1:48" ht="45" customHeight="1" x14ac:dyDescent="0.15">
      <c r="A1912" s="5" t="s">
        <v>11472</v>
      </c>
      <c r="B1912" s="5">
        <v>2014</v>
      </c>
      <c r="C1912" s="5" t="s">
        <v>11473</v>
      </c>
      <c r="D1912" s="5" t="s">
        <v>690</v>
      </c>
      <c r="E1912" s="5" t="s">
        <v>18453</v>
      </c>
      <c r="F1912" s="5" t="s">
        <v>11476</v>
      </c>
      <c r="G1912" s="5"/>
      <c r="H1912" s="5"/>
      <c r="I1912" s="5"/>
      <c r="J1912" s="5"/>
      <c r="K1912" s="5"/>
      <c r="L1912" s="5"/>
      <c r="M1912" s="5"/>
      <c r="N1912" s="5"/>
      <c r="O1912" s="5"/>
      <c r="P1912" s="5"/>
      <c r="Q1912" s="5"/>
      <c r="AL1912" s="7" t="str">
        <f>HYPERLINK("http://dx.doi.org/10.1111/mec.12579","http://dx.doi.org/10.1111/mec.12579")</f>
        <v>http://dx.doi.org/10.1111/mec.12579</v>
      </c>
      <c r="AM1912" s="5">
        <v>21</v>
      </c>
      <c r="AN1912" s="5">
        <v>23</v>
      </c>
      <c r="AO1912" s="5">
        <v>23</v>
      </c>
      <c r="AP1912" s="5">
        <v>15</v>
      </c>
      <c r="AQ1912" s="5">
        <v>3826</v>
      </c>
      <c r="AR1912" s="5">
        <v>3837</v>
      </c>
      <c r="AS1912" s="5" t="s">
        <v>16</v>
      </c>
      <c r="AT1912" s="5" t="s">
        <v>11474</v>
      </c>
      <c r="AU1912" s="5" t="s">
        <v>11475</v>
      </c>
      <c r="AV1912" s="5" t="s">
        <v>11477</v>
      </c>
    </row>
    <row r="1913" spans="1:48" ht="45" customHeight="1" x14ac:dyDescent="0.15">
      <c r="A1913" s="5" t="s">
        <v>11478</v>
      </c>
      <c r="B1913" s="5">
        <v>2023</v>
      </c>
      <c r="C1913" s="5" t="s">
        <v>11479</v>
      </c>
      <c r="D1913" s="5" t="s">
        <v>49</v>
      </c>
      <c r="E1913" s="5" t="s">
        <v>18453</v>
      </c>
      <c r="F1913" s="5" t="s">
        <v>11482</v>
      </c>
      <c r="G1913" s="5"/>
      <c r="H1913" s="5"/>
      <c r="I1913" s="5"/>
      <c r="J1913" s="5"/>
      <c r="K1913" s="5"/>
      <c r="L1913" s="5"/>
      <c r="M1913" s="5"/>
      <c r="N1913" s="5"/>
      <c r="O1913" s="5"/>
      <c r="P1913" s="5"/>
      <c r="Q1913" s="5"/>
      <c r="AL1913" s="7" t="str">
        <f>HYPERLINK("http://dx.doi.org/10.3354/meps14221","http://dx.doi.org/10.3354/meps14221")</f>
        <v>http://dx.doi.org/10.3354/meps14221</v>
      </c>
      <c r="AM1913" s="5">
        <v>0</v>
      </c>
      <c r="AN1913" s="5">
        <v>0</v>
      </c>
      <c r="AO1913" s="5">
        <v>703</v>
      </c>
      <c r="AP1913" s="5" t="s">
        <v>16</v>
      </c>
      <c r="AQ1913" s="5">
        <v>95</v>
      </c>
      <c r="AR1913" s="5">
        <v>108</v>
      </c>
      <c r="AS1913" s="5" t="s">
        <v>16</v>
      </c>
      <c r="AT1913" s="5" t="s">
        <v>11480</v>
      </c>
      <c r="AU1913" s="5" t="s">
        <v>11481</v>
      </c>
      <c r="AV1913" s="5" t="s">
        <v>11483</v>
      </c>
    </row>
    <row r="1914" spans="1:48" ht="45" customHeight="1" x14ac:dyDescent="0.15">
      <c r="A1914" s="5" t="s">
        <v>11484</v>
      </c>
      <c r="B1914" s="5">
        <v>2023</v>
      </c>
      <c r="C1914" s="5" t="s">
        <v>11485</v>
      </c>
      <c r="D1914" s="5" t="s">
        <v>162</v>
      </c>
      <c r="E1914" s="5" t="s">
        <v>18453</v>
      </c>
      <c r="F1914" s="5" t="s">
        <v>11488</v>
      </c>
      <c r="G1914" s="5"/>
      <c r="H1914" s="5"/>
      <c r="I1914" s="5"/>
      <c r="J1914" s="5"/>
      <c r="K1914" s="5"/>
      <c r="L1914" s="5"/>
      <c r="M1914" s="5"/>
      <c r="N1914" s="5"/>
      <c r="O1914" s="5"/>
      <c r="P1914" s="5"/>
      <c r="Q1914" s="5"/>
      <c r="AL1914" s="7" t="str">
        <f>HYPERLINK("http://dx.doi.org/10.1111/1365-2435.14312","http://dx.doi.org/10.1111/1365-2435.14312")</f>
        <v>http://dx.doi.org/10.1111/1365-2435.14312</v>
      </c>
      <c r="AM1914" s="5">
        <v>0</v>
      </c>
      <c r="AN1914" s="5">
        <v>0</v>
      </c>
      <c r="AO1914" s="5" t="s">
        <v>16</v>
      </c>
      <c r="AP1914" s="5" t="s">
        <v>16</v>
      </c>
      <c r="AQ1914" s="5" t="s">
        <v>16</v>
      </c>
      <c r="AR1914" s="5" t="s">
        <v>16</v>
      </c>
      <c r="AS1914" s="5" t="s">
        <v>16</v>
      </c>
      <c r="AT1914" s="5" t="s">
        <v>11486</v>
      </c>
      <c r="AU1914" s="5" t="s">
        <v>11487</v>
      </c>
      <c r="AV1914" s="5" t="s">
        <v>11489</v>
      </c>
    </row>
    <row r="1915" spans="1:48" ht="45" customHeight="1" x14ac:dyDescent="0.15">
      <c r="A1915" s="5" t="s">
        <v>11490</v>
      </c>
      <c r="B1915" s="5">
        <v>2019</v>
      </c>
      <c r="C1915" s="5" t="s">
        <v>11491</v>
      </c>
      <c r="D1915" s="5" t="s">
        <v>212</v>
      </c>
      <c r="E1915" s="5" t="s">
        <v>18453</v>
      </c>
      <c r="F1915" s="5" t="s">
        <v>11494</v>
      </c>
      <c r="G1915" s="5"/>
      <c r="H1915" s="5"/>
      <c r="I1915" s="5"/>
      <c r="J1915" s="5"/>
      <c r="K1915" s="5"/>
      <c r="L1915" s="5"/>
      <c r="M1915" s="5"/>
      <c r="N1915" s="5"/>
      <c r="O1915" s="5"/>
      <c r="P1915" s="5"/>
      <c r="Q1915" s="5"/>
      <c r="AL1915" s="7" t="str">
        <f>HYPERLINK("http://dx.doi.org/10.1007/s00300-019-02598-x","http://dx.doi.org/10.1007/s00300-019-02598-x")</f>
        <v>http://dx.doi.org/10.1007/s00300-019-02598-x</v>
      </c>
      <c r="AM1915" s="5">
        <v>8</v>
      </c>
      <c r="AN1915" s="5">
        <v>10</v>
      </c>
      <c r="AO1915" s="5">
        <v>42</v>
      </c>
      <c r="AP1915" s="5">
        <v>12</v>
      </c>
      <c r="AQ1915" s="5">
        <v>2299</v>
      </c>
      <c r="AR1915" s="5">
        <v>2304</v>
      </c>
      <c r="AS1915" s="5" t="s">
        <v>16</v>
      </c>
      <c r="AT1915" s="5" t="s">
        <v>11492</v>
      </c>
      <c r="AU1915" s="5" t="s">
        <v>11493</v>
      </c>
      <c r="AV1915" s="5" t="s">
        <v>11495</v>
      </c>
    </row>
    <row r="1916" spans="1:48" ht="45" customHeight="1" x14ac:dyDescent="0.15">
      <c r="A1916" s="5" t="s">
        <v>11496</v>
      </c>
      <c r="B1916" s="5">
        <v>2021</v>
      </c>
      <c r="C1916" s="5" t="s">
        <v>11497</v>
      </c>
      <c r="D1916" s="5" t="s">
        <v>15</v>
      </c>
      <c r="E1916" s="5" t="s">
        <v>18453</v>
      </c>
      <c r="F1916" s="5" t="s">
        <v>11500</v>
      </c>
      <c r="G1916" s="5"/>
      <c r="H1916" s="5"/>
      <c r="I1916" s="5"/>
      <c r="J1916" s="5"/>
      <c r="K1916" s="5"/>
      <c r="L1916" s="5"/>
      <c r="M1916" s="5"/>
      <c r="N1916" s="5"/>
      <c r="O1916" s="5"/>
      <c r="P1916" s="5"/>
      <c r="Q1916" s="5"/>
      <c r="AL1916" s="7" t="str">
        <f>HYPERLINK("http://dx.doi.org/10.1002/ece3.7939","http://dx.doi.org/10.1002/ece3.7939")</f>
        <v>http://dx.doi.org/10.1002/ece3.7939</v>
      </c>
      <c r="AM1916" s="5">
        <v>6</v>
      </c>
      <c r="AN1916" s="5">
        <v>6</v>
      </c>
      <c r="AO1916" s="5">
        <v>11</v>
      </c>
      <c r="AP1916" s="5">
        <v>16</v>
      </c>
      <c r="AQ1916" s="5">
        <v>11477</v>
      </c>
      <c r="AR1916" s="5">
        <v>11490</v>
      </c>
      <c r="AS1916" s="5" t="s">
        <v>16</v>
      </c>
      <c r="AT1916" s="5" t="s">
        <v>11498</v>
      </c>
      <c r="AU1916" s="5" t="s">
        <v>11499</v>
      </c>
      <c r="AV1916" s="5" t="s">
        <v>11501</v>
      </c>
    </row>
    <row r="1917" spans="1:48" ht="45" customHeight="1" x14ac:dyDescent="0.15">
      <c r="A1917" s="5" t="s">
        <v>11502</v>
      </c>
      <c r="B1917" s="5">
        <v>2017</v>
      </c>
      <c r="C1917" s="5" t="s">
        <v>11503</v>
      </c>
      <c r="D1917" s="5" t="s">
        <v>262</v>
      </c>
      <c r="E1917" s="5" t="s">
        <v>18453</v>
      </c>
      <c r="F1917" s="5" t="s">
        <v>11505</v>
      </c>
      <c r="G1917" s="5"/>
      <c r="H1917" s="5"/>
      <c r="I1917" s="5"/>
      <c r="J1917" s="5"/>
      <c r="K1917" s="5"/>
      <c r="L1917" s="5"/>
      <c r="M1917" s="5"/>
      <c r="N1917" s="5"/>
      <c r="O1917" s="5"/>
      <c r="P1917" s="5"/>
      <c r="Q1917" s="5"/>
      <c r="AL1917" s="7" t="str">
        <f>HYPERLINK("http://dx.doi.org/10.1111/oik.03787","http://dx.doi.org/10.1111/oik.03787")</f>
        <v>http://dx.doi.org/10.1111/oik.03787</v>
      </c>
      <c r="AM1917" s="5">
        <v>17</v>
      </c>
      <c r="AN1917" s="5">
        <v>18</v>
      </c>
      <c r="AO1917" s="5">
        <v>126</v>
      </c>
      <c r="AP1917" s="5">
        <v>10</v>
      </c>
      <c r="AQ1917" s="5">
        <v>1439</v>
      </c>
      <c r="AR1917" s="5">
        <v>1450</v>
      </c>
      <c r="AS1917" s="5" t="s">
        <v>16</v>
      </c>
      <c r="AT1917" s="5" t="s">
        <v>16</v>
      </c>
      <c r="AU1917" s="5" t="s">
        <v>11504</v>
      </c>
      <c r="AV1917" s="5" t="s">
        <v>11506</v>
      </c>
    </row>
    <row r="1918" spans="1:48" ht="45" customHeight="1" x14ac:dyDescent="0.15">
      <c r="A1918" s="5" t="s">
        <v>11507</v>
      </c>
      <c r="B1918" s="5">
        <v>2007</v>
      </c>
      <c r="C1918" s="5" t="s">
        <v>11508</v>
      </c>
      <c r="D1918" s="5" t="s">
        <v>289</v>
      </c>
      <c r="E1918" s="5" t="s">
        <v>18453</v>
      </c>
      <c r="F1918" s="5" t="s">
        <v>11511</v>
      </c>
      <c r="G1918" s="5"/>
      <c r="H1918" s="5"/>
      <c r="I1918" s="5"/>
      <c r="J1918" s="5"/>
      <c r="K1918" s="5"/>
      <c r="L1918" s="5"/>
      <c r="M1918" s="5"/>
      <c r="N1918" s="5"/>
      <c r="O1918" s="5"/>
      <c r="P1918" s="5"/>
      <c r="Q1918" s="5"/>
      <c r="AL1918" s="7" t="str">
        <f>HYPERLINK("http://dx.doi.org/10.1111/j.1365-2745.2006.01192.x","http://dx.doi.org/10.1111/j.1365-2745.2006.01192.x")</f>
        <v>http://dx.doi.org/10.1111/j.1365-2745.2006.01192.x</v>
      </c>
      <c r="AM1918" s="5">
        <v>74</v>
      </c>
      <c r="AN1918" s="5">
        <v>79</v>
      </c>
      <c r="AO1918" s="5">
        <v>95</v>
      </c>
      <c r="AP1918" s="5">
        <v>1</v>
      </c>
      <c r="AQ1918" s="5">
        <v>115</v>
      </c>
      <c r="AR1918" s="5">
        <v>128</v>
      </c>
      <c r="AS1918" s="5" t="s">
        <v>16</v>
      </c>
      <c r="AT1918" s="5" t="s">
        <v>11509</v>
      </c>
      <c r="AU1918" s="5" t="s">
        <v>11510</v>
      </c>
      <c r="AV1918" s="5" t="s">
        <v>11512</v>
      </c>
    </row>
    <row r="1919" spans="1:48" ht="45" customHeight="1" x14ac:dyDescent="0.15">
      <c r="A1919" s="5" t="s">
        <v>11513</v>
      </c>
      <c r="B1919" s="5">
        <v>2023</v>
      </c>
      <c r="C1919" s="5" t="s">
        <v>11514</v>
      </c>
      <c r="D1919" s="5" t="s">
        <v>1257</v>
      </c>
      <c r="E1919" s="5" t="s">
        <v>18453</v>
      </c>
      <c r="F1919" s="5" t="s">
        <v>11517</v>
      </c>
      <c r="G1919" s="5"/>
      <c r="H1919" s="5"/>
      <c r="I1919" s="5"/>
      <c r="J1919" s="5"/>
      <c r="K1919" s="5"/>
      <c r="L1919" s="5"/>
      <c r="M1919" s="5"/>
      <c r="N1919" s="5"/>
      <c r="O1919" s="5"/>
      <c r="P1919" s="5"/>
      <c r="Q1919" s="5"/>
      <c r="AL1919" s="7" t="str">
        <f>HYPERLINK("http://dx.doi.org/10.3389/ffgc.2023.1150413","http://dx.doi.org/10.3389/ffgc.2023.1150413")</f>
        <v>http://dx.doi.org/10.3389/ffgc.2023.1150413</v>
      </c>
      <c r="AM1919" s="5">
        <v>0</v>
      </c>
      <c r="AN1919" s="5">
        <v>0</v>
      </c>
      <c r="AO1919" s="5">
        <v>6</v>
      </c>
      <c r="AP1919" s="5" t="s">
        <v>16</v>
      </c>
      <c r="AQ1919" s="5" t="s">
        <v>16</v>
      </c>
      <c r="AR1919" s="5" t="s">
        <v>16</v>
      </c>
      <c r="AS1919" s="5">
        <v>1150413</v>
      </c>
      <c r="AT1919" s="5" t="s">
        <v>11515</v>
      </c>
      <c r="AU1919" s="5" t="s">
        <v>11516</v>
      </c>
      <c r="AV1919" s="5" t="s">
        <v>11518</v>
      </c>
    </row>
    <row r="1920" spans="1:48" ht="45" customHeight="1" x14ac:dyDescent="0.15">
      <c r="A1920" s="5" t="s">
        <v>11519</v>
      </c>
      <c r="B1920" s="5">
        <v>2010</v>
      </c>
      <c r="C1920" s="5" t="s">
        <v>11520</v>
      </c>
      <c r="D1920" s="5" t="s">
        <v>27</v>
      </c>
      <c r="E1920" s="5" t="s">
        <v>18453</v>
      </c>
      <c r="F1920" s="5" t="s">
        <v>11523</v>
      </c>
      <c r="G1920" s="5"/>
      <c r="H1920" s="5"/>
      <c r="I1920" s="5"/>
      <c r="J1920" s="5"/>
      <c r="K1920" s="5"/>
      <c r="L1920" s="5"/>
      <c r="M1920" s="5"/>
      <c r="N1920" s="5"/>
      <c r="O1920" s="5"/>
      <c r="P1920" s="5"/>
      <c r="Q1920" s="5"/>
      <c r="AL1920" s="7" t="str">
        <f>HYPERLINK("http://dx.doi.org/10.1890/08-2061.1","http://dx.doi.org/10.1890/08-2061.1")</f>
        <v>http://dx.doi.org/10.1890/08-2061.1</v>
      </c>
      <c r="AM1920" s="5">
        <v>222</v>
      </c>
      <c r="AN1920" s="5">
        <v>223</v>
      </c>
      <c r="AO1920" s="5">
        <v>91</v>
      </c>
      <c r="AP1920" s="5">
        <v>1</v>
      </c>
      <c r="AQ1920" s="5">
        <v>222</v>
      </c>
      <c r="AR1920" s="5">
        <v>232</v>
      </c>
      <c r="AS1920" s="5" t="s">
        <v>16</v>
      </c>
      <c r="AT1920" s="5" t="s">
        <v>11521</v>
      </c>
      <c r="AU1920" s="5" t="s">
        <v>11522</v>
      </c>
      <c r="AV1920" s="5" t="s">
        <v>11524</v>
      </c>
    </row>
    <row r="1921" spans="1:48" ht="45" customHeight="1" x14ac:dyDescent="0.15">
      <c r="A1921" s="5" t="s">
        <v>11525</v>
      </c>
      <c r="B1921" s="5">
        <v>2019</v>
      </c>
      <c r="C1921" s="5" t="s">
        <v>11526</v>
      </c>
      <c r="D1921" s="5" t="s">
        <v>59</v>
      </c>
      <c r="E1921" s="5" t="s">
        <v>18453</v>
      </c>
      <c r="F1921" s="5" t="s">
        <v>11529</v>
      </c>
      <c r="G1921" s="5"/>
      <c r="H1921" s="5"/>
      <c r="I1921" s="5"/>
      <c r="J1921" s="5"/>
      <c r="K1921" s="5"/>
      <c r="L1921" s="5"/>
      <c r="M1921" s="5"/>
      <c r="N1921" s="5"/>
      <c r="O1921" s="5"/>
      <c r="P1921" s="5"/>
      <c r="Q1921" s="5"/>
      <c r="AL1921" s="7" t="str">
        <f>HYPERLINK("http://dx.doi.org/10.1111/ele.13186","http://dx.doi.org/10.1111/ele.13186")</f>
        <v>http://dx.doi.org/10.1111/ele.13186</v>
      </c>
      <c r="AM1921" s="5">
        <v>26</v>
      </c>
      <c r="AN1921" s="5">
        <v>26</v>
      </c>
      <c r="AO1921" s="5">
        <v>22</v>
      </c>
      <c r="AP1921" s="5">
        <v>2</v>
      </c>
      <c r="AQ1921" s="5">
        <v>275</v>
      </c>
      <c r="AR1921" s="5">
        <v>283</v>
      </c>
      <c r="AS1921" s="5" t="s">
        <v>16</v>
      </c>
      <c r="AT1921" s="5" t="s">
        <v>11527</v>
      </c>
      <c r="AU1921" s="5" t="s">
        <v>11528</v>
      </c>
      <c r="AV1921" s="5" t="s">
        <v>11530</v>
      </c>
    </row>
    <row r="1922" spans="1:48" ht="45" customHeight="1" x14ac:dyDescent="0.15">
      <c r="A1922" s="5" t="s">
        <v>11531</v>
      </c>
      <c r="B1922" s="5">
        <v>2020</v>
      </c>
      <c r="C1922" s="5" t="s">
        <v>11532</v>
      </c>
      <c r="D1922" s="5" t="s">
        <v>172</v>
      </c>
      <c r="E1922" s="5" t="s">
        <v>18453</v>
      </c>
      <c r="F1922" s="5" t="s">
        <v>11535</v>
      </c>
      <c r="G1922" s="5"/>
      <c r="H1922" s="5"/>
      <c r="I1922" s="5"/>
      <c r="J1922" s="5"/>
      <c r="K1922" s="5"/>
      <c r="L1922" s="5"/>
      <c r="M1922" s="5"/>
      <c r="N1922" s="5"/>
      <c r="O1922" s="5"/>
      <c r="P1922" s="5"/>
      <c r="Q1922" s="5"/>
      <c r="AL1922" s="7" t="str">
        <f>HYPERLINK("http://dx.doi.org/10.1007/s00442-020-04677-x","http://dx.doi.org/10.1007/s00442-020-04677-x")</f>
        <v>http://dx.doi.org/10.1007/s00442-020-04677-x</v>
      </c>
      <c r="AM1922" s="5">
        <v>10</v>
      </c>
      <c r="AN1922" s="5">
        <v>10</v>
      </c>
      <c r="AO1922" s="5">
        <v>193</v>
      </c>
      <c r="AP1922" s="5">
        <v>2</v>
      </c>
      <c r="AQ1922" s="5">
        <v>489</v>
      </c>
      <c r="AR1922" s="5">
        <v>502</v>
      </c>
      <c r="AS1922" s="5" t="s">
        <v>16</v>
      </c>
      <c r="AT1922" s="5" t="s">
        <v>11533</v>
      </c>
      <c r="AU1922" s="5" t="s">
        <v>11534</v>
      </c>
      <c r="AV1922" s="5" t="s">
        <v>11536</v>
      </c>
    </row>
    <row r="1923" spans="1:48" ht="45" customHeight="1" x14ac:dyDescent="0.15">
      <c r="A1923" s="5" t="s">
        <v>11537</v>
      </c>
      <c r="B1923" s="5">
        <v>2018</v>
      </c>
      <c r="C1923" s="5" t="s">
        <v>11538</v>
      </c>
      <c r="D1923" s="5" t="s">
        <v>7759</v>
      </c>
      <c r="E1923" s="5" t="s">
        <v>18453</v>
      </c>
      <c r="F1923" s="5" t="s">
        <v>11541</v>
      </c>
      <c r="G1923" s="5"/>
      <c r="H1923" s="5"/>
      <c r="I1923" s="5"/>
      <c r="J1923" s="5"/>
      <c r="K1923" s="5"/>
      <c r="L1923" s="5"/>
      <c r="M1923" s="5"/>
      <c r="N1923" s="5"/>
      <c r="O1923" s="5"/>
      <c r="P1923" s="5"/>
      <c r="Q1923" s="5"/>
      <c r="AL1923" s="7" t="str">
        <f>HYPERLINK("http://dx.doi.org/10.1007/s11258-017-0783-1","http://dx.doi.org/10.1007/s11258-017-0783-1")</f>
        <v>http://dx.doi.org/10.1007/s11258-017-0783-1</v>
      </c>
      <c r="AM1923" s="5">
        <v>3</v>
      </c>
      <c r="AN1923" s="5">
        <v>3</v>
      </c>
      <c r="AO1923" s="5">
        <v>219</v>
      </c>
      <c r="AP1923" s="5">
        <v>2</v>
      </c>
      <c r="AQ1923" s="5">
        <v>133</v>
      </c>
      <c r="AR1923" s="5">
        <v>144</v>
      </c>
      <c r="AS1923" s="5" t="s">
        <v>16</v>
      </c>
      <c r="AT1923" s="5" t="s">
        <v>11539</v>
      </c>
      <c r="AU1923" s="5" t="s">
        <v>11540</v>
      </c>
      <c r="AV1923" s="5" t="s">
        <v>11542</v>
      </c>
    </row>
    <row r="1924" spans="1:48" ht="45" customHeight="1" x14ac:dyDescent="0.15">
      <c r="A1924" s="5" t="s">
        <v>11543</v>
      </c>
      <c r="B1924" s="5">
        <v>2017</v>
      </c>
      <c r="C1924" s="5" t="s">
        <v>11544</v>
      </c>
      <c r="D1924" s="5" t="s">
        <v>11545</v>
      </c>
      <c r="E1924" s="5" t="s">
        <v>18453</v>
      </c>
      <c r="F1924" s="5" t="s">
        <v>11548</v>
      </c>
      <c r="G1924" s="5"/>
      <c r="H1924" s="5"/>
      <c r="I1924" s="5"/>
      <c r="J1924" s="5"/>
      <c r="K1924" s="5"/>
      <c r="L1924" s="5"/>
      <c r="M1924" s="5"/>
      <c r="N1924" s="5"/>
      <c r="O1924" s="5"/>
      <c r="P1924" s="5"/>
      <c r="Q1924" s="5"/>
      <c r="AL1924" s="5" t="s">
        <v>16</v>
      </c>
      <c r="AM1924" s="5">
        <v>13</v>
      </c>
      <c r="AN1924" s="5">
        <v>14</v>
      </c>
      <c r="AO1924" s="5">
        <v>11</v>
      </c>
      <c r="AP1924" s="5">
        <v>2</v>
      </c>
      <c r="AQ1924" s="5">
        <v>156</v>
      </c>
      <c r="AR1924" s="5">
        <v>166</v>
      </c>
      <c r="AS1924" s="5" t="s">
        <v>16</v>
      </c>
      <c r="AT1924" s="5" t="s">
        <v>11546</v>
      </c>
      <c r="AU1924" s="5" t="s">
        <v>11547</v>
      </c>
      <c r="AV1924" s="5" t="s">
        <v>16</v>
      </c>
    </row>
    <row r="1925" spans="1:48" ht="45" customHeight="1" x14ac:dyDescent="0.15">
      <c r="A1925" s="5" t="s">
        <v>11549</v>
      </c>
      <c r="B1925" s="5">
        <v>2016</v>
      </c>
      <c r="C1925" s="5" t="s">
        <v>11550</v>
      </c>
      <c r="D1925" s="5" t="s">
        <v>15</v>
      </c>
      <c r="E1925" s="5" t="s">
        <v>18453</v>
      </c>
      <c r="F1925" s="5" t="s">
        <v>11553</v>
      </c>
      <c r="G1925" s="5"/>
      <c r="H1925" s="5"/>
      <c r="I1925" s="5"/>
      <c r="J1925" s="5"/>
      <c r="K1925" s="5"/>
      <c r="L1925" s="5"/>
      <c r="M1925" s="5"/>
      <c r="N1925" s="5"/>
      <c r="O1925" s="5"/>
      <c r="P1925" s="5"/>
      <c r="Q1925" s="5"/>
      <c r="AL1925" s="7" t="str">
        <f>HYPERLINK("http://dx.doi.org/10.1002/ece3.1980","http://dx.doi.org/10.1002/ece3.1980")</f>
        <v>http://dx.doi.org/10.1002/ece3.1980</v>
      </c>
      <c r="AM1925" s="5">
        <v>51</v>
      </c>
      <c r="AN1925" s="5">
        <v>51</v>
      </c>
      <c r="AO1925" s="5">
        <v>6</v>
      </c>
      <c r="AP1925" s="5">
        <v>6</v>
      </c>
      <c r="AQ1925" s="5">
        <v>1666</v>
      </c>
      <c r="AR1925" s="5">
        <v>1678</v>
      </c>
      <c r="AS1925" s="5" t="s">
        <v>16</v>
      </c>
      <c r="AT1925" s="5" t="s">
        <v>11551</v>
      </c>
      <c r="AU1925" s="5" t="s">
        <v>11552</v>
      </c>
      <c r="AV1925" s="5" t="s">
        <v>11554</v>
      </c>
    </row>
    <row r="1926" spans="1:48" ht="45" customHeight="1" x14ac:dyDescent="0.15">
      <c r="A1926" s="5" t="s">
        <v>11555</v>
      </c>
      <c r="B1926" s="5">
        <v>2021</v>
      </c>
      <c r="C1926" s="5" t="s">
        <v>11556</v>
      </c>
      <c r="D1926" s="5" t="s">
        <v>973</v>
      </c>
      <c r="E1926" s="5" t="s">
        <v>18453</v>
      </c>
      <c r="F1926" s="5" t="s">
        <v>11558</v>
      </c>
      <c r="G1926" s="5"/>
      <c r="H1926" s="5"/>
      <c r="I1926" s="5"/>
      <c r="J1926" s="5"/>
      <c r="K1926" s="5"/>
      <c r="L1926" s="5"/>
      <c r="M1926" s="5"/>
      <c r="N1926" s="5"/>
      <c r="O1926" s="5"/>
      <c r="P1926" s="5"/>
      <c r="Q1926" s="5"/>
      <c r="AL1926" s="7" t="str">
        <f>HYPERLINK("http://dx.doi.org/10.5194/bg-18-637-2021","http://dx.doi.org/10.5194/bg-18-637-2021")</f>
        <v>http://dx.doi.org/10.5194/bg-18-637-2021</v>
      </c>
      <c r="AM1926" s="5">
        <v>12</v>
      </c>
      <c r="AN1926" s="5">
        <v>12</v>
      </c>
      <c r="AO1926" s="5">
        <v>18</v>
      </c>
      <c r="AP1926" s="5">
        <v>2</v>
      </c>
      <c r="AQ1926" s="5">
        <v>637</v>
      </c>
      <c r="AR1926" s="5">
        <v>653</v>
      </c>
      <c r="AS1926" s="5" t="s">
        <v>16</v>
      </c>
      <c r="AT1926" s="5" t="s">
        <v>16</v>
      </c>
      <c r="AU1926" s="5" t="s">
        <v>11557</v>
      </c>
      <c r="AV1926" s="5" t="s">
        <v>11559</v>
      </c>
    </row>
    <row r="1927" spans="1:48" ht="45" customHeight="1" x14ac:dyDescent="0.15">
      <c r="A1927" s="5" t="s">
        <v>11560</v>
      </c>
      <c r="B1927" s="5">
        <v>2022</v>
      </c>
      <c r="C1927" s="5" t="s">
        <v>11561</v>
      </c>
      <c r="D1927" s="5" t="s">
        <v>690</v>
      </c>
      <c r="E1927" s="5" t="s">
        <v>18453</v>
      </c>
      <c r="F1927" s="5" t="s">
        <v>11564</v>
      </c>
      <c r="G1927" s="5"/>
      <c r="H1927" s="5"/>
      <c r="I1927" s="5"/>
      <c r="J1927" s="5"/>
      <c r="K1927" s="5"/>
      <c r="L1927" s="5"/>
      <c r="M1927" s="5"/>
      <c r="N1927" s="5"/>
      <c r="O1927" s="5"/>
      <c r="P1927" s="5"/>
      <c r="Q1927" s="5"/>
      <c r="AL1927" s="7" t="str">
        <f>HYPERLINK("http://dx.doi.org/10.1111/mec.16332","http://dx.doi.org/10.1111/mec.16332")</f>
        <v>http://dx.doi.org/10.1111/mec.16332</v>
      </c>
      <c r="AM1927" s="5">
        <v>3</v>
      </c>
      <c r="AN1927" s="5">
        <v>3</v>
      </c>
      <c r="AO1927" s="5">
        <v>31</v>
      </c>
      <c r="AP1927" s="5">
        <v>5</v>
      </c>
      <c r="AQ1927" s="5">
        <v>1562</v>
      </c>
      <c r="AR1927" s="5">
        <v>1576</v>
      </c>
      <c r="AS1927" s="5" t="s">
        <v>16</v>
      </c>
      <c r="AT1927" s="5" t="s">
        <v>11562</v>
      </c>
      <c r="AU1927" s="5" t="s">
        <v>11563</v>
      </c>
      <c r="AV1927" s="5" t="s">
        <v>11565</v>
      </c>
    </row>
    <row r="1928" spans="1:48" ht="45" customHeight="1" x14ac:dyDescent="0.15">
      <c r="A1928" s="5" t="s">
        <v>11566</v>
      </c>
      <c r="B1928" s="5">
        <v>2015</v>
      </c>
      <c r="C1928" s="5" t="s">
        <v>11567</v>
      </c>
      <c r="D1928" s="5" t="s">
        <v>172</v>
      </c>
      <c r="E1928" s="5" t="s">
        <v>18453</v>
      </c>
      <c r="F1928" s="5" t="s">
        <v>11570</v>
      </c>
      <c r="G1928" s="5"/>
      <c r="H1928" s="5"/>
      <c r="I1928" s="5"/>
      <c r="J1928" s="5"/>
      <c r="K1928" s="5"/>
      <c r="L1928" s="5"/>
      <c r="M1928" s="5"/>
      <c r="N1928" s="5"/>
      <c r="O1928" s="5"/>
      <c r="P1928" s="5"/>
      <c r="Q1928" s="5"/>
      <c r="AL1928" s="7" t="str">
        <f>HYPERLINK("http://dx.doi.org/10.1007/s00442-014-3201-6","http://dx.doi.org/10.1007/s00442-014-3201-6")</f>
        <v>http://dx.doi.org/10.1007/s00442-014-3201-6</v>
      </c>
      <c r="AM1928" s="5">
        <v>52</v>
      </c>
      <c r="AN1928" s="5">
        <v>56</v>
      </c>
      <c r="AO1928" s="5">
        <v>178</v>
      </c>
      <c r="AP1928" s="5">
        <v>1</v>
      </c>
      <c r="AQ1928" s="5">
        <v>5</v>
      </c>
      <c r="AR1928" s="5">
        <v>16</v>
      </c>
      <c r="AS1928" s="5" t="s">
        <v>16</v>
      </c>
      <c r="AT1928" s="5" t="s">
        <v>11568</v>
      </c>
      <c r="AU1928" s="5" t="s">
        <v>11569</v>
      </c>
      <c r="AV1928" s="5" t="s">
        <v>11571</v>
      </c>
    </row>
    <row r="1929" spans="1:48" ht="45" customHeight="1" x14ac:dyDescent="0.15">
      <c r="A1929" s="5" t="s">
        <v>11572</v>
      </c>
      <c r="B1929" s="5">
        <v>2021</v>
      </c>
      <c r="C1929" s="5" t="s">
        <v>11573</v>
      </c>
      <c r="D1929" s="5" t="s">
        <v>295</v>
      </c>
      <c r="E1929" s="5" t="s">
        <v>18453</v>
      </c>
      <c r="F1929" s="5" t="s">
        <v>11576</v>
      </c>
      <c r="G1929" s="5"/>
      <c r="H1929" s="5"/>
      <c r="I1929" s="5"/>
      <c r="J1929" s="5"/>
      <c r="K1929" s="5"/>
      <c r="L1929" s="5"/>
      <c r="M1929" s="5"/>
      <c r="N1929" s="5"/>
      <c r="O1929" s="5"/>
      <c r="P1929" s="5"/>
      <c r="Q1929" s="5"/>
      <c r="AL1929" s="7" t="str">
        <f>HYPERLINK("http://dx.doi.org/10.1016/j.jembe.2021.151642","http://dx.doi.org/10.1016/j.jembe.2021.151642")</f>
        <v>http://dx.doi.org/10.1016/j.jembe.2021.151642</v>
      </c>
      <c r="AM1929" s="5">
        <v>0</v>
      </c>
      <c r="AN1929" s="5">
        <v>0</v>
      </c>
      <c r="AO1929" s="5">
        <v>545</v>
      </c>
      <c r="AP1929" s="5" t="s">
        <v>16</v>
      </c>
      <c r="AQ1929" s="5" t="s">
        <v>16</v>
      </c>
      <c r="AR1929" s="5" t="s">
        <v>16</v>
      </c>
      <c r="AS1929" s="5">
        <v>151642</v>
      </c>
      <c r="AT1929" s="5" t="s">
        <v>11574</v>
      </c>
      <c r="AU1929" s="5" t="s">
        <v>11575</v>
      </c>
      <c r="AV1929" s="5" t="s">
        <v>11577</v>
      </c>
    </row>
    <row r="1930" spans="1:48" ht="45" customHeight="1" x14ac:dyDescent="0.15">
      <c r="A1930" s="5" t="s">
        <v>11578</v>
      </c>
      <c r="B1930" s="5">
        <v>2020</v>
      </c>
      <c r="C1930" s="5" t="s">
        <v>11579</v>
      </c>
      <c r="D1930" s="5" t="s">
        <v>162</v>
      </c>
      <c r="E1930" s="5" t="s">
        <v>18453</v>
      </c>
      <c r="F1930" s="5" t="s">
        <v>11582</v>
      </c>
      <c r="G1930" s="5"/>
      <c r="H1930" s="5"/>
      <c r="I1930" s="5"/>
      <c r="J1930" s="5"/>
      <c r="K1930" s="5"/>
      <c r="L1930" s="5"/>
      <c r="M1930" s="5"/>
      <c r="N1930" s="5"/>
      <c r="O1930" s="5"/>
      <c r="P1930" s="5"/>
      <c r="Q1930" s="5"/>
      <c r="AL1930" s="7" t="str">
        <f>HYPERLINK("http://dx.doi.org/10.1111/1365-2435.13626","http://dx.doi.org/10.1111/1365-2435.13626")</f>
        <v>http://dx.doi.org/10.1111/1365-2435.13626</v>
      </c>
      <c r="AM1930" s="5">
        <v>16</v>
      </c>
      <c r="AN1930" s="5">
        <v>16</v>
      </c>
      <c r="AO1930" s="5">
        <v>34</v>
      </c>
      <c r="AP1930" s="5">
        <v>10</v>
      </c>
      <c r="AQ1930" s="5">
        <v>2170</v>
      </c>
      <c r="AR1930" s="5">
        <v>2185</v>
      </c>
      <c r="AS1930" s="5" t="s">
        <v>16</v>
      </c>
      <c r="AT1930" s="5" t="s">
        <v>11580</v>
      </c>
      <c r="AU1930" s="5" t="s">
        <v>11581</v>
      </c>
      <c r="AV1930" s="5" t="s">
        <v>11583</v>
      </c>
    </row>
    <row r="1931" spans="1:48" ht="45" customHeight="1" x14ac:dyDescent="0.15">
      <c r="A1931" s="5" t="s">
        <v>11584</v>
      </c>
      <c r="B1931" s="5">
        <v>2022</v>
      </c>
      <c r="C1931" s="5" t="s">
        <v>11585</v>
      </c>
      <c r="D1931" s="5" t="s">
        <v>172</v>
      </c>
      <c r="E1931" s="5" t="s">
        <v>18453</v>
      </c>
      <c r="F1931" s="5" t="s">
        <v>11588</v>
      </c>
      <c r="G1931" s="5"/>
      <c r="H1931" s="5"/>
      <c r="I1931" s="5"/>
      <c r="J1931" s="5"/>
      <c r="K1931" s="5"/>
      <c r="L1931" s="5"/>
      <c r="M1931" s="5"/>
      <c r="N1931" s="5"/>
      <c r="O1931" s="5"/>
      <c r="P1931" s="5"/>
      <c r="Q1931" s="5"/>
      <c r="AL1931" s="7" t="str">
        <f>HYPERLINK("http://dx.doi.org/10.1007/s00442-022-05267-9","http://dx.doi.org/10.1007/s00442-022-05267-9")</f>
        <v>http://dx.doi.org/10.1007/s00442-022-05267-9</v>
      </c>
      <c r="AM1931" s="5">
        <v>0</v>
      </c>
      <c r="AN1931" s="5">
        <v>0</v>
      </c>
      <c r="AO1931" s="5">
        <v>200</v>
      </c>
      <c r="AP1931" s="5" t="s">
        <v>639</v>
      </c>
      <c r="AQ1931" s="5">
        <v>503</v>
      </c>
      <c r="AR1931" s="5">
        <v>514</v>
      </c>
      <c r="AS1931" s="5" t="s">
        <v>16</v>
      </c>
      <c r="AT1931" s="5" t="s">
        <v>11586</v>
      </c>
      <c r="AU1931" s="5" t="s">
        <v>11587</v>
      </c>
      <c r="AV1931" s="5" t="s">
        <v>11589</v>
      </c>
    </row>
    <row r="1932" spans="1:48" ht="45" customHeight="1" x14ac:dyDescent="0.15">
      <c r="A1932" s="5" t="s">
        <v>11590</v>
      </c>
      <c r="B1932" s="5">
        <v>2006</v>
      </c>
      <c r="C1932" s="5" t="s">
        <v>11591</v>
      </c>
      <c r="D1932" s="5" t="s">
        <v>82</v>
      </c>
      <c r="E1932" s="5" t="s">
        <v>18453</v>
      </c>
      <c r="F1932" s="5" t="s">
        <v>11594</v>
      </c>
      <c r="G1932" s="5"/>
      <c r="H1932" s="5"/>
      <c r="I1932" s="5"/>
      <c r="J1932" s="5"/>
      <c r="K1932" s="5"/>
      <c r="L1932" s="5"/>
      <c r="M1932" s="5"/>
      <c r="N1932" s="5"/>
      <c r="O1932" s="5"/>
      <c r="P1932" s="5"/>
      <c r="Q1932" s="5"/>
      <c r="AL1932" s="7" t="str">
        <f>HYPERLINK("http://dx.doi.org/10.1890/1051-0761(2006)016[0945:MRDOSH]2.0.CO;2","http://dx.doi.org/10.1890/1051-0761(2006)016[0945:MRDOSH]2.0.CO;2")</f>
        <v>http://dx.doi.org/10.1890/1051-0761(2006)016[0945:MRDOSH]2.0.CO;2</v>
      </c>
      <c r="AM1932" s="5">
        <v>53</v>
      </c>
      <c r="AN1932" s="5">
        <v>56</v>
      </c>
      <c r="AO1932" s="5">
        <v>16</v>
      </c>
      <c r="AP1932" s="5">
        <v>3</v>
      </c>
      <c r="AQ1932" s="5">
        <v>945</v>
      </c>
      <c r="AR1932" s="5">
        <v>962</v>
      </c>
      <c r="AS1932" s="5" t="s">
        <v>16</v>
      </c>
      <c r="AT1932" s="5" t="s">
        <v>11592</v>
      </c>
      <c r="AU1932" s="5" t="s">
        <v>11593</v>
      </c>
      <c r="AV1932" s="5" t="s">
        <v>11595</v>
      </c>
    </row>
    <row r="1933" spans="1:48" ht="45" customHeight="1" x14ac:dyDescent="0.15">
      <c r="A1933" s="5" t="s">
        <v>11596</v>
      </c>
      <c r="B1933" s="5">
        <v>1997</v>
      </c>
      <c r="C1933" s="5" t="s">
        <v>11597</v>
      </c>
      <c r="D1933" s="5" t="s">
        <v>1141</v>
      </c>
      <c r="E1933" s="5" t="s">
        <v>18453</v>
      </c>
      <c r="F1933" s="5" t="s">
        <v>11600</v>
      </c>
      <c r="G1933" s="5"/>
      <c r="H1933" s="5"/>
      <c r="I1933" s="5"/>
      <c r="J1933" s="5"/>
      <c r="K1933" s="5"/>
      <c r="L1933" s="5"/>
      <c r="M1933" s="5"/>
      <c r="N1933" s="5"/>
      <c r="O1933" s="5"/>
      <c r="P1933" s="5"/>
      <c r="Q1933" s="5"/>
      <c r="AL1933" s="7" t="str">
        <f>HYPERLINK("http://dx.doi.org/10.1080/11956860.1997.11682420","http://dx.doi.org/10.1080/11956860.1997.11682420")</f>
        <v>http://dx.doi.org/10.1080/11956860.1997.11682420</v>
      </c>
      <c r="AM1933" s="5">
        <v>14</v>
      </c>
      <c r="AN1933" s="5">
        <v>14</v>
      </c>
      <c r="AO1933" s="5">
        <v>4</v>
      </c>
      <c r="AP1933" s="5">
        <v>4</v>
      </c>
      <c r="AQ1933" s="5">
        <v>427</v>
      </c>
      <c r="AR1933" s="5">
        <v>436</v>
      </c>
      <c r="AS1933" s="5" t="s">
        <v>16</v>
      </c>
      <c r="AT1933" s="5" t="s">
        <v>11598</v>
      </c>
      <c r="AU1933" s="5" t="s">
        <v>11599</v>
      </c>
      <c r="AV1933" s="5" t="s">
        <v>11601</v>
      </c>
    </row>
    <row r="1934" spans="1:48" ht="45" customHeight="1" x14ac:dyDescent="0.15">
      <c r="A1934" s="5" t="s">
        <v>11602</v>
      </c>
      <c r="B1934" s="5">
        <v>2012</v>
      </c>
      <c r="C1934" s="5" t="s">
        <v>11603</v>
      </c>
      <c r="D1934" s="5" t="s">
        <v>17</v>
      </c>
      <c r="E1934" s="5" t="s">
        <v>18453</v>
      </c>
      <c r="F1934" s="5" t="s">
        <v>11606</v>
      </c>
      <c r="G1934" s="5"/>
      <c r="H1934" s="5"/>
      <c r="I1934" s="5"/>
      <c r="J1934" s="5"/>
      <c r="K1934" s="5"/>
      <c r="L1934" s="5"/>
      <c r="M1934" s="5"/>
      <c r="N1934" s="5"/>
      <c r="O1934" s="5"/>
      <c r="P1934" s="5"/>
      <c r="Q1934" s="5"/>
      <c r="AL1934" s="7" t="str">
        <f>HYPERLINK("http://dx.doi.org/10.1111/j.1365-2427.2012.02770.x","http://dx.doi.org/10.1111/j.1365-2427.2012.02770.x")</f>
        <v>http://dx.doi.org/10.1111/j.1365-2427.2012.02770.x</v>
      </c>
      <c r="AM1934" s="5">
        <v>23</v>
      </c>
      <c r="AN1934" s="5">
        <v>23</v>
      </c>
      <c r="AO1934" s="5">
        <v>57</v>
      </c>
      <c r="AP1934" s="5">
        <v>6</v>
      </c>
      <c r="AQ1934" s="5">
        <v>1113</v>
      </c>
      <c r="AR1934" s="5">
        <v>1125</v>
      </c>
      <c r="AS1934" s="5" t="s">
        <v>16</v>
      </c>
      <c r="AT1934" s="5" t="s">
        <v>11604</v>
      </c>
      <c r="AU1934" s="5" t="s">
        <v>11605</v>
      </c>
      <c r="AV1934" s="5" t="s">
        <v>11607</v>
      </c>
    </row>
    <row r="1935" spans="1:48" ht="45" customHeight="1" x14ac:dyDescent="0.15">
      <c r="A1935" s="5" t="s">
        <v>11608</v>
      </c>
      <c r="B1935" s="5">
        <v>2021</v>
      </c>
      <c r="C1935" s="5" t="s">
        <v>11609</v>
      </c>
      <c r="D1935" s="5" t="s">
        <v>116</v>
      </c>
      <c r="E1935" s="5" t="s">
        <v>18453</v>
      </c>
      <c r="F1935" s="5" t="s">
        <v>11612</v>
      </c>
      <c r="G1935" s="5"/>
      <c r="H1935" s="5"/>
      <c r="I1935" s="5"/>
      <c r="J1935" s="5"/>
      <c r="K1935" s="5"/>
      <c r="L1935" s="5"/>
      <c r="M1935" s="5"/>
      <c r="N1935" s="5"/>
      <c r="O1935" s="5"/>
      <c r="P1935" s="5"/>
      <c r="Q1935" s="5"/>
      <c r="AL1935" s="7" t="str">
        <f>HYPERLINK("http://dx.doi.org/10.1007/s10641-021-01067-x","http://dx.doi.org/10.1007/s10641-021-01067-x")</f>
        <v>http://dx.doi.org/10.1007/s10641-021-01067-x</v>
      </c>
      <c r="AM1935" s="5">
        <v>2</v>
      </c>
      <c r="AN1935" s="5">
        <v>2</v>
      </c>
      <c r="AO1935" s="5">
        <v>104</v>
      </c>
      <c r="AP1935" s="5">
        <v>2</v>
      </c>
      <c r="AQ1935" s="5">
        <v>155</v>
      </c>
      <c r="AR1935" s="5">
        <v>169</v>
      </c>
      <c r="AS1935" s="5" t="s">
        <v>16</v>
      </c>
      <c r="AT1935" s="5" t="s">
        <v>11610</v>
      </c>
      <c r="AU1935" s="5" t="s">
        <v>11611</v>
      </c>
      <c r="AV1935" s="5" t="s">
        <v>11613</v>
      </c>
    </row>
    <row r="1936" spans="1:48" ht="45" customHeight="1" x14ac:dyDescent="0.15">
      <c r="A1936" s="5" t="s">
        <v>11614</v>
      </c>
      <c r="B1936" s="5">
        <v>1991</v>
      </c>
      <c r="C1936" s="5" t="s">
        <v>11615</v>
      </c>
      <c r="D1936" s="5" t="s">
        <v>49</v>
      </c>
      <c r="E1936" s="5" t="s">
        <v>18453</v>
      </c>
      <c r="F1936" s="5" t="s">
        <v>11617</v>
      </c>
      <c r="G1936" s="5"/>
      <c r="H1936" s="5"/>
      <c r="I1936" s="5"/>
      <c r="J1936" s="5"/>
      <c r="K1936" s="5"/>
      <c r="L1936" s="5"/>
      <c r="M1936" s="5"/>
      <c r="N1936" s="5"/>
      <c r="O1936" s="5"/>
      <c r="P1936" s="5"/>
      <c r="Q1936" s="5"/>
      <c r="AL1936" s="7" t="str">
        <f>HYPERLINK("http://dx.doi.org/10.3354/meps078023","http://dx.doi.org/10.3354/meps078023")</f>
        <v>http://dx.doi.org/10.3354/meps078023</v>
      </c>
      <c r="AM1936" s="5">
        <v>115</v>
      </c>
      <c r="AN1936" s="5">
        <v>118</v>
      </c>
      <c r="AO1936" s="5">
        <v>78</v>
      </c>
      <c r="AP1936" s="5">
        <v>1</v>
      </c>
      <c r="AQ1936" s="5">
        <v>23</v>
      </c>
      <c r="AR1936" s="5">
        <v>31</v>
      </c>
      <c r="AS1936" s="5" t="s">
        <v>16</v>
      </c>
      <c r="AT1936" s="5" t="s">
        <v>16</v>
      </c>
      <c r="AU1936" s="5" t="s">
        <v>11616</v>
      </c>
      <c r="AV1936" s="5" t="s">
        <v>11618</v>
      </c>
    </row>
    <row r="1937" spans="1:48" ht="45" customHeight="1" x14ac:dyDescent="0.15">
      <c r="A1937" s="5" t="s">
        <v>11619</v>
      </c>
      <c r="B1937" s="5">
        <v>2000</v>
      </c>
      <c r="C1937" s="5" t="s">
        <v>11620</v>
      </c>
      <c r="D1937" s="5" t="s">
        <v>172</v>
      </c>
      <c r="E1937" s="5" t="s">
        <v>18453</v>
      </c>
      <c r="F1937" s="5" t="s">
        <v>11623</v>
      </c>
      <c r="G1937" s="5"/>
      <c r="H1937" s="5"/>
      <c r="I1937" s="5"/>
      <c r="J1937" s="5"/>
      <c r="K1937" s="5"/>
      <c r="L1937" s="5"/>
      <c r="M1937" s="5"/>
      <c r="N1937" s="5"/>
      <c r="O1937" s="5"/>
      <c r="P1937" s="5"/>
      <c r="Q1937" s="5"/>
      <c r="AL1937" s="7" t="str">
        <f>HYPERLINK("http://dx.doi.org/10.1007/s004420000384","http://dx.doi.org/10.1007/s004420000384")</f>
        <v>http://dx.doi.org/10.1007/s004420000384</v>
      </c>
      <c r="AM1937" s="5">
        <v>74</v>
      </c>
      <c r="AN1937" s="5">
        <v>90</v>
      </c>
      <c r="AO1937" s="5">
        <v>124</v>
      </c>
      <c r="AP1937" s="5">
        <v>3</v>
      </c>
      <c r="AQ1937" s="5">
        <v>309</v>
      </c>
      <c r="AR1937" s="5">
        <v>317</v>
      </c>
      <c r="AS1937" s="5" t="s">
        <v>16</v>
      </c>
      <c r="AT1937" s="5" t="s">
        <v>11621</v>
      </c>
      <c r="AU1937" s="5" t="s">
        <v>11622</v>
      </c>
      <c r="AV1937" s="5" t="s">
        <v>11624</v>
      </c>
    </row>
    <row r="1938" spans="1:48" ht="45" customHeight="1" x14ac:dyDescent="0.15">
      <c r="A1938" s="5" t="s">
        <v>11625</v>
      </c>
      <c r="B1938" s="5">
        <v>2015</v>
      </c>
      <c r="C1938" s="5" t="s">
        <v>11626</v>
      </c>
      <c r="D1938" s="5" t="s">
        <v>15</v>
      </c>
      <c r="E1938" s="5" t="s">
        <v>18453</v>
      </c>
      <c r="F1938" s="5" t="s">
        <v>11629</v>
      </c>
      <c r="G1938" s="5"/>
      <c r="H1938" s="5"/>
      <c r="I1938" s="5"/>
      <c r="J1938" s="5"/>
      <c r="K1938" s="5"/>
      <c r="L1938" s="5"/>
      <c r="M1938" s="5"/>
      <c r="N1938" s="5"/>
      <c r="O1938" s="5"/>
      <c r="P1938" s="5"/>
      <c r="Q1938" s="5"/>
      <c r="AL1938" s="7" t="str">
        <f>HYPERLINK("http://dx.doi.org/10.1002/ece3.1492","http://dx.doi.org/10.1002/ece3.1492")</f>
        <v>http://dx.doi.org/10.1002/ece3.1492</v>
      </c>
      <c r="AM1938" s="5">
        <v>22</v>
      </c>
      <c r="AN1938" s="5">
        <v>22</v>
      </c>
      <c r="AO1938" s="5">
        <v>5</v>
      </c>
      <c r="AP1938" s="5">
        <v>12</v>
      </c>
      <c r="AQ1938" s="5">
        <v>2348</v>
      </c>
      <c r="AR1938" s="5">
        <v>2358</v>
      </c>
      <c r="AS1938" s="5" t="s">
        <v>16</v>
      </c>
      <c r="AT1938" s="5" t="s">
        <v>11627</v>
      </c>
      <c r="AU1938" s="5" t="s">
        <v>11628</v>
      </c>
      <c r="AV1938" s="5" t="s">
        <v>11630</v>
      </c>
    </row>
    <row r="1939" spans="1:48" ht="45" customHeight="1" x14ac:dyDescent="0.15">
      <c r="A1939" s="5" t="s">
        <v>11631</v>
      </c>
      <c r="B1939" s="5">
        <v>1998</v>
      </c>
      <c r="C1939" s="5" t="s">
        <v>11632</v>
      </c>
      <c r="D1939" s="5" t="s">
        <v>6695</v>
      </c>
      <c r="E1939" s="5" t="s">
        <v>18453</v>
      </c>
      <c r="F1939" s="5" t="s">
        <v>11634</v>
      </c>
      <c r="G1939" s="5"/>
      <c r="H1939" s="5"/>
      <c r="I1939" s="5"/>
      <c r="J1939" s="5"/>
      <c r="K1939" s="5"/>
      <c r="L1939" s="5"/>
      <c r="M1939" s="5"/>
      <c r="N1939" s="5"/>
      <c r="O1939" s="5"/>
      <c r="P1939" s="5"/>
      <c r="Q1939" s="5"/>
      <c r="AL1939" s="5" t="s">
        <v>16</v>
      </c>
      <c r="AM1939" s="5">
        <v>15</v>
      </c>
      <c r="AN1939" s="5">
        <v>15</v>
      </c>
      <c r="AO1939" s="5">
        <v>72</v>
      </c>
      <c r="AP1939" s="5">
        <v>4</v>
      </c>
      <c r="AQ1939" s="5">
        <v>239</v>
      </c>
      <c r="AR1939" s="5">
        <v>248</v>
      </c>
      <c r="AS1939" s="5" t="s">
        <v>16</v>
      </c>
      <c r="AT1939" s="5" t="s">
        <v>16</v>
      </c>
      <c r="AU1939" s="5" t="s">
        <v>11633</v>
      </c>
      <c r="AV1939" s="5" t="s">
        <v>16</v>
      </c>
    </row>
    <row r="1940" spans="1:48" ht="45" customHeight="1" x14ac:dyDescent="0.15">
      <c r="A1940" s="5" t="s">
        <v>11635</v>
      </c>
      <c r="B1940" s="5">
        <v>2019</v>
      </c>
      <c r="C1940" s="5" t="s">
        <v>11636</v>
      </c>
      <c r="D1940" s="5" t="s">
        <v>1419</v>
      </c>
      <c r="E1940" s="5" t="s">
        <v>18453</v>
      </c>
      <c r="F1940" s="5" t="s">
        <v>11639</v>
      </c>
      <c r="G1940" s="5"/>
      <c r="H1940" s="5"/>
      <c r="I1940" s="5"/>
      <c r="J1940" s="5"/>
      <c r="K1940" s="5"/>
      <c r="L1940" s="5"/>
      <c r="M1940" s="5"/>
      <c r="N1940" s="5"/>
      <c r="O1940" s="5"/>
      <c r="P1940" s="5"/>
      <c r="Q1940" s="5"/>
      <c r="AL1940" s="7" t="str">
        <f>HYPERLINK("http://dx.doi.org/10.1016/j.fooweb.2019.e00132","http://dx.doi.org/10.1016/j.fooweb.2019.e00132")</f>
        <v>http://dx.doi.org/10.1016/j.fooweb.2019.e00132</v>
      </c>
      <c r="AM1940" s="5">
        <v>2</v>
      </c>
      <c r="AN1940" s="5">
        <v>2</v>
      </c>
      <c r="AO1940" s="5">
        <v>21</v>
      </c>
      <c r="AP1940" s="5" t="s">
        <v>16</v>
      </c>
      <c r="AQ1940" s="5" t="s">
        <v>16</v>
      </c>
      <c r="AR1940" s="5" t="s">
        <v>16</v>
      </c>
      <c r="AS1940" s="5" t="s">
        <v>11640</v>
      </c>
      <c r="AT1940" s="5" t="s">
        <v>11637</v>
      </c>
      <c r="AU1940" s="5" t="s">
        <v>11638</v>
      </c>
      <c r="AV1940" s="5" t="s">
        <v>11641</v>
      </c>
    </row>
    <row r="1941" spans="1:48" ht="45" customHeight="1" x14ac:dyDescent="0.15">
      <c r="A1941" s="5" t="s">
        <v>11642</v>
      </c>
      <c r="B1941" s="5">
        <v>2017</v>
      </c>
      <c r="C1941" s="5" t="s">
        <v>11643</v>
      </c>
      <c r="D1941" s="5" t="s">
        <v>2087</v>
      </c>
      <c r="E1941" s="5" t="s">
        <v>18453</v>
      </c>
      <c r="F1941" s="5" t="s">
        <v>11646</v>
      </c>
      <c r="G1941" s="5"/>
      <c r="H1941" s="5"/>
      <c r="I1941" s="5"/>
      <c r="J1941" s="5"/>
      <c r="K1941" s="5"/>
      <c r="L1941" s="5"/>
      <c r="M1941" s="5"/>
      <c r="N1941" s="5"/>
      <c r="O1941" s="5"/>
      <c r="P1941" s="5"/>
      <c r="Q1941" s="5"/>
      <c r="AL1941" s="7" t="str">
        <f>HYPERLINK("http://dx.doi.org/10.1002/eco.1844","http://dx.doi.org/10.1002/eco.1844")</f>
        <v>http://dx.doi.org/10.1002/eco.1844</v>
      </c>
      <c r="AM1941" s="5">
        <v>5</v>
      </c>
      <c r="AN1941" s="5">
        <v>5</v>
      </c>
      <c r="AO1941" s="5">
        <v>10</v>
      </c>
      <c r="AP1941" s="5">
        <v>6</v>
      </c>
      <c r="AQ1941" s="5" t="s">
        <v>16</v>
      </c>
      <c r="AR1941" s="5" t="s">
        <v>16</v>
      </c>
      <c r="AS1941" s="5" t="s">
        <v>11647</v>
      </c>
      <c r="AT1941" s="5" t="s">
        <v>11644</v>
      </c>
      <c r="AU1941" s="5" t="s">
        <v>11645</v>
      </c>
      <c r="AV1941" s="5" t="s">
        <v>11648</v>
      </c>
    </row>
    <row r="1942" spans="1:48" ht="45" customHeight="1" x14ac:dyDescent="0.15">
      <c r="A1942" s="5" t="s">
        <v>11649</v>
      </c>
      <c r="B1942" s="5">
        <v>2016</v>
      </c>
      <c r="C1942" s="5" t="s">
        <v>11650</v>
      </c>
      <c r="D1942" s="5" t="s">
        <v>312</v>
      </c>
      <c r="E1942" s="5" t="s">
        <v>18453</v>
      </c>
      <c r="F1942" s="5" t="s">
        <v>11653</v>
      </c>
      <c r="G1942" s="5"/>
      <c r="H1942" s="5"/>
      <c r="I1942" s="5"/>
      <c r="J1942" s="5"/>
      <c r="K1942" s="5"/>
      <c r="L1942" s="5"/>
      <c r="M1942" s="5"/>
      <c r="N1942" s="5"/>
      <c r="O1942" s="5"/>
      <c r="P1942" s="5"/>
      <c r="Q1942" s="5"/>
      <c r="AL1942" s="7" t="str">
        <f>HYPERLINK("http://dx.doi.org/10.1016/j.ecolmodel.2016.05.010","http://dx.doi.org/10.1016/j.ecolmodel.2016.05.010")</f>
        <v>http://dx.doi.org/10.1016/j.ecolmodel.2016.05.010</v>
      </c>
      <c r="AM1942" s="5">
        <v>51</v>
      </c>
      <c r="AN1942" s="5">
        <v>53</v>
      </c>
      <c r="AO1942" s="5">
        <v>335</v>
      </c>
      <c r="AP1942" s="5" t="s">
        <v>16</v>
      </c>
      <c r="AQ1942" s="5">
        <v>87</v>
      </c>
      <c r="AR1942" s="5">
        <v>100</v>
      </c>
      <c r="AS1942" s="5" t="s">
        <v>16</v>
      </c>
      <c r="AT1942" s="5" t="s">
        <v>11651</v>
      </c>
      <c r="AU1942" s="5" t="s">
        <v>11652</v>
      </c>
      <c r="AV1942" s="5" t="s">
        <v>11654</v>
      </c>
    </row>
    <row r="1943" spans="1:48" ht="45" customHeight="1" x14ac:dyDescent="0.15">
      <c r="A1943" s="5" t="s">
        <v>11655</v>
      </c>
      <c r="B1943" s="5">
        <v>2008</v>
      </c>
      <c r="C1943" s="5" t="s">
        <v>11656</v>
      </c>
      <c r="D1943" s="5" t="s">
        <v>49</v>
      </c>
      <c r="E1943" s="5" t="s">
        <v>18453</v>
      </c>
      <c r="F1943" s="5" t="s">
        <v>11659</v>
      </c>
      <c r="G1943" s="5"/>
      <c r="H1943" s="5"/>
      <c r="I1943" s="5"/>
      <c r="J1943" s="5"/>
      <c r="K1943" s="5"/>
      <c r="L1943" s="5"/>
      <c r="M1943" s="5"/>
      <c r="N1943" s="5"/>
      <c r="O1943" s="5"/>
      <c r="P1943" s="5"/>
      <c r="Q1943" s="5"/>
      <c r="AL1943" s="7" t="str">
        <f>HYPERLINK("http://dx.doi.org/10.3354/meps07589","http://dx.doi.org/10.3354/meps07589")</f>
        <v>http://dx.doi.org/10.3354/meps07589</v>
      </c>
      <c r="AM1943" s="5">
        <v>30</v>
      </c>
      <c r="AN1943" s="5">
        <v>30</v>
      </c>
      <c r="AO1943" s="5">
        <v>368</v>
      </c>
      <c r="AP1943" s="5" t="s">
        <v>16</v>
      </c>
      <c r="AQ1943" s="5">
        <v>41</v>
      </c>
      <c r="AR1943" s="5">
        <v>51</v>
      </c>
      <c r="AS1943" s="5" t="s">
        <v>16</v>
      </c>
      <c r="AT1943" s="5" t="s">
        <v>11657</v>
      </c>
      <c r="AU1943" s="5" t="s">
        <v>11658</v>
      </c>
      <c r="AV1943" s="5" t="s">
        <v>11660</v>
      </c>
    </row>
    <row r="1944" spans="1:48" ht="45" customHeight="1" x14ac:dyDescent="0.15">
      <c r="A1944" s="5" t="s">
        <v>11661</v>
      </c>
      <c r="B1944" s="5">
        <v>2017</v>
      </c>
      <c r="C1944" s="5" t="s">
        <v>11662</v>
      </c>
      <c r="D1944" s="5" t="s">
        <v>212</v>
      </c>
      <c r="E1944" s="5" t="s">
        <v>18453</v>
      </c>
      <c r="F1944" s="5" t="s">
        <v>11665</v>
      </c>
      <c r="G1944" s="5"/>
      <c r="H1944" s="5"/>
      <c r="I1944" s="5"/>
      <c r="J1944" s="5"/>
      <c r="K1944" s="5"/>
      <c r="L1944" s="5"/>
      <c r="M1944" s="5"/>
      <c r="N1944" s="5"/>
      <c r="O1944" s="5"/>
      <c r="P1944" s="5"/>
      <c r="Q1944" s="5"/>
      <c r="AL1944" s="7" t="str">
        <f>HYPERLINK("http://dx.doi.org/10.1007/s00300-016-1942-x","http://dx.doi.org/10.1007/s00300-016-1942-x")</f>
        <v>http://dx.doi.org/10.1007/s00300-016-1942-x</v>
      </c>
      <c r="AM1944" s="5">
        <v>31</v>
      </c>
      <c r="AN1944" s="5">
        <v>32</v>
      </c>
      <c r="AO1944" s="5">
        <v>40</v>
      </c>
      <c r="AP1944" s="5">
        <v>1</v>
      </c>
      <c r="AQ1944" s="5">
        <v>231</v>
      </c>
      <c r="AR1944" s="5">
        <v>236</v>
      </c>
      <c r="AS1944" s="5" t="s">
        <v>16</v>
      </c>
      <c r="AT1944" s="5" t="s">
        <v>11663</v>
      </c>
      <c r="AU1944" s="5" t="s">
        <v>11664</v>
      </c>
      <c r="AV1944" s="5" t="s">
        <v>11666</v>
      </c>
    </row>
    <row r="1945" spans="1:48" ht="45" customHeight="1" x14ac:dyDescent="0.15">
      <c r="A1945" s="5" t="s">
        <v>11667</v>
      </c>
      <c r="B1945" s="5">
        <v>2011</v>
      </c>
      <c r="C1945" s="5" t="s">
        <v>11668</v>
      </c>
      <c r="D1945" s="5" t="s">
        <v>212</v>
      </c>
      <c r="E1945" s="5" t="s">
        <v>18453</v>
      </c>
      <c r="F1945" s="5" t="s">
        <v>11671</v>
      </c>
      <c r="G1945" s="5"/>
      <c r="H1945" s="5"/>
      <c r="I1945" s="5"/>
      <c r="J1945" s="5"/>
      <c r="K1945" s="5"/>
      <c r="L1945" s="5"/>
      <c r="M1945" s="5"/>
      <c r="N1945" s="5"/>
      <c r="O1945" s="5"/>
      <c r="P1945" s="5"/>
      <c r="Q1945" s="5"/>
      <c r="AL1945" s="7" t="str">
        <f>HYPERLINK("http://dx.doi.org/10.1007/s00300-011-1055-5","http://dx.doi.org/10.1007/s00300-011-1055-5")</f>
        <v>http://dx.doi.org/10.1007/s00300-011-1055-5</v>
      </c>
      <c r="AM1945" s="5">
        <v>39</v>
      </c>
      <c r="AN1945" s="5">
        <v>41</v>
      </c>
      <c r="AO1945" s="5">
        <v>34</v>
      </c>
      <c r="AP1945" s="5">
        <v>12</v>
      </c>
      <c r="AQ1945" s="5">
        <v>1989</v>
      </c>
      <c r="AR1945" s="5">
        <v>2005</v>
      </c>
      <c r="AS1945" s="5" t="s">
        <v>16</v>
      </c>
      <c r="AT1945" s="5" t="s">
        <v>11669</v>
      </c>
      <c r="AU1945" s="5" t="s">
        <v>11670</v>
      </c>
      <c r="AV1945" s="5" t="s">
        <v>11672</v>
      </c>
    </row>
    <row r="1946" spans="1:48" ht="45" customHeight="1" x14ac:dyDescent="0.15">
      <c r="A1946" s="5" t="s">
        <v>11673</v>
      </c>
      <c r="B1946" s="5">
        <v>2015</v>
      </c>
      <c r="C1946" s="5" t="s">
        <v>11674</v>
      </c>
      <c r="D1946" s="5" t="s">
        <v>11675</v>
      </c>
      <c r="E1946" s="5" t="s">
        <v>18453</v>
      </c>
      <c r="F1946" s="5" t="s">
        <v>11678</v>
      </c>
      <c r="G1946" s="5"/>
      <c r="H1946" s="5"/>
      <c r="I1946" s="5"/>
      <c r="J1946" s="5"/>
      <c r="K1946" s="5"/>
      <c r="L1946" s="5"/>
      <c r="M1946" s="5"/>
      <c r="N1946" s="5"/>
      <c r="O1946" s="5"/>
      <c r="P1946" s="5"/>
      <c r="Q1946" s="5"/>
      <c r="AL1946" s="7" t="str">
        <f>HYPERLINK("http://dx.doi.org/10.3354/ame01766","http://dx.doi.org/10.3354/ame01766")</f>
        <v>http://dx.doi.org/10.3354/ame01766</v>
      </c>
      <c r="AM1946" s="5">
        <v>4</v>
      </c>
      <c r="AN1946" s="5">
        <v>5</v>
      </c>
      <c r="AO1946" s="5">
        <v>76</v>
      </c>
      <c r="AP1946" s="5">
        <v>1</v>
      </c>
      <c r="AQ1946" s="5">
        <v>39</v>
      </c>
      <c r="AR1946" s="5">
        <v>47</v>
      </c>
      <c r="AS1946" s="5" t="s">
        <v>16</v>
      </c>
      <c r="AT1946" s="5" t="s">
        <v>11676</v>
      </c>
      <c r="AU1946" s="5" t="s">
        <v>11677</v>
      </c>
      <c r="AV1946" s="5" t="s">
        <v>11679</v>
      </c>
    </row>
    <row r="1947" spans="1:48" ht="45" customHeight="1" x14ac:dyDescent="0.15">
      <c r="A1947" s="5" t="s">
        <v>11680</v>
      </c>
      <c r="B1947" s="5">
        <v>2017</v>
      </c>
      <c r="C1947" s="5" t="s">
        <v>11681</v>
      </c>
      <c r="D1947" s="5" t="s">
        <v>15</v>
      </c>
      <c r="E1947" s="5" t="s">
        <v>18453</v>
      </c>
      <c r="F1947" s="5" t="s">
        <v>11684</v>
      </c>
      <c r="G1947" s="5"/>
      <c r="H1947" s="5"/>
      <c r="I1947" s="5"/>
      <c r="J1947" s="5"/>
      <c r="K1947" s="5"/>
      <c r="L1947" s="5"/>
      <c r="M1947" s="5"/>
      <c r="N1947" s="5"/>
      <c r="O1947" s="5"/>
      <c r="P1947" s="5"/>
      <c r="Q1947" s="5"/>
      <c r="AL1947" s="7" t="str">
        <f>HYPERLINK("http://dx.doi.org/10.1002/ece3.3257","http://dx.doi.org/10.1002/ece3.3257")</f>
        <v>http://dx.doi.org/10.1002/ece3.3257</v>
      </c>
      <c r="AM1947" s="5">
        <v>10</v>
      </c>
      <c r="AN1947" s="5">
        <v>10</v>
      </c>
      <c r="AO1947" s="5">
        <v>7</v>
      </c>
      <c r="AP1947" s="5">
        <v>18</v>
      </c>
      <c r="AQ1947" s="5">
        <v>7420</v>
      </c>
      <c r="AR1947" s="5">
        <v>7433</v>
      </c>
      <c r="AS1947" s="5" t="s">
        <v>16</v>
      </c>
      <c r="AT1947" s="5" t="s">
        <v>11682</v>
      </c>
      <c r="AU1947" s="5" t="s">
        <v>11683</v>
      </c>
      <c r="AV1947" s="5" t="s">
        <v>11685</v>
      </c>
    </row>
    <row r="1948" spans="1:48" ht="45" customHeight="1" x14ac:dyDescent="0.15">
      <c r="A1948" s="5" t="s">
        <v>11686</v>
      </c>
      <c r="B1948" s="5">
        <v>2015</v>
      </c>
      <c r="C1948" s="5" t="s">
        <v>11687</v>
      </c>
      <c r="D1948" s="5" t="s">
        <v>18</v>
      </c>
      <c r="E1948" s="5" t="s">
        <v>18453</v>
      </c>
      <c r="F1948" s="5" t="s">
        <v>11690</v>
      </c>
      <c r="G1948" s="5"/>
      <c r="H1948" s="5"/>
      <c r="I1948" s="5"/>
      <c r="J1948" s="5"/>
      <c r="K1948" s="5"/>
      <c r="L1948" s="5"/>
      <c r="M1948" s="5"/>
      <c r="N1948" s="5"/>
      <c r="O1948" s="5"/>
      <c r="P1948" s="5"/>
      <c r="Q1948" s="5"/>
      <c r="AL1948" s="7" t="str">
        <f>HYPERLINK("http://dx.doi.org/10.1890/ES14-00287.1","http://dx.doi.org/10.1890/ES14-00287.1")</f>
        <v>http://dx.doi.org/10.1890/ES14-00287.1</v>
      </c>
      <c r="AM1948" s="5">
        <v>52</v>
      </c>
      <c r="AN1948" s="5">
        <v>53</v>
      </c>
      <c r="AO1948" s="5">
        <v>6</v>
      </c>
      <c r="AP1948" s="5">
        <v>7</v>
      </c>
      <c r="AQ1948" s="5" t="s">
        <v>16</v>
      </c>
      <c r="AR1948" s="5" t="s">
        <v>16</v>
      </c>
      <c r="AS1948" s="5">
        <v>125</v>
      </c>
      <c r="AT1948" s="5" t="s">
        <v>11688</v>
      </c>
      <c r="AU1948" s="5" t="s">
        <v>11689</v>
      </c>
      <c r="AV1948" s="5" t="s">
        <v>11691</v>
      </c>
    </row>
    <row r="1949" spans="1:48" ht="45" customHeight="1" x14ac:dyDescent="0.15">
      <c r="A1949" s="5" t="s">
        <v>11692</v>
      </c>
      <c r="B1949" s="5">
        <v>2012</v>
      </c>
      <c r="C1949" s="5" t="s">
        <v>11693</v>
      </c>
      <c r="D1949" s="5" t="s">
        <v>973</v>
      </c>
      <c r="E1949" s="5" t="s">
        <v>18453</v>
      </c>
      <c r="F1949" s="5" t="s">
        <v>11694</v>
      </c>
      <c r="G1949" s="5"/>
      <c r="H1949" s="5"/>
      <c r="I1949" s="5"/>
      <c r="J1949" s="5"/>
      <c r="K1949" s="5"/>
      <c r="L1949" s="5"/>
      <c r="M1949" s="5"/>
      <c r="N1949" s="5"/>
      <c r="O1949" s="5"/>
      <c r="P1949" s="5"/>
      <c r="Q1949" s="5"/>
      <c r="AL1949" s="7" t="str">
        <f>HYPERLINK("http://dx.doi.org/10.5194/bg-9-607-2012","http://dx.doi.org/10.5194/bg-9-607-2012")</f>
        <v>http://dx.doi.org/10.5194/bg-9-607-2012</v>
      </c>
      <c r="AM1949" s="5">
        <v>34</v>
      </c>
      <c r="AN1949" s="5">
        <v>34</v>
      </c>
      <c r="AO1949" s="5">
        <v>9</v>
      </c>
      <c r="AP1949" s="5">
        <v>1</v>
      </c>
      <c r="AQ1949" s="5">
        <v>607</v>
      </c>
      <c r="AR1949" s="5">
        <v>616</v>
      </c>
      <c r="AS1949" s="5" t="s">
        <v>16</v>
      </c>
      <c r="AT1949" s="5" t="s">
        <v>16</v>
      </c>
      <c r="AU1949" s="5" t="s">
        <v>16</v>
      </c>
      <c r="AV1949" s="5" t="s">
        <v>11695</v>
      </c>
    </row>
    <row r="1950" spans="1:48" ht="45" customHeight="1" x14ac:dyDescent="0.15">
      <c r="A1950" s="5" t="s">
        <v>11696</v>
      </c>
      <c r="B1950" s="5">
        <v>2015</v>
      </c>
      <c r="C1950" s="5" t="s">
        <v>11697</v>
      </c>
      <c r="D1950" s="5" t="s">
        <v>116</v>
      </c>
      <c r="E1950" s="5" t="s">
        <v>18453</v>
      </c>
      <c r="F1950" s="5" t="s">
        <v>11700</v>
      </c>
      <c r="G1950" s="5"/>
      <c r="H1950" s="5"/>
      <c r="I1950" s="5"/>
      <c r="J1950" s="5"/>
      <c r="K1950" s="5"/>
      <c r="L1950" s="5"/>
      <c r="M1950" s="5"/>
      <c r="N1950" s="5"/>
      <c r="O1950" s="5"/>
      <c r="P1950" s="5"/>
      <c r="Q1950" s="5"/>
      <c r="AL1950" s="7" t="str">
        <f>HYPERLINK("http://dx.doi.org/10.1007/s10641-015-0389-1","http://dx.doi.org/10.1007/s10641-015-0389-1")</f>
        <v>http://dx.doi.org/10.1007/s10641-015-0389-1</v>
      </c>
      <c r="AM1950" s="5">
        <v>17</v>
      </c>
      <c r="AN1950" s="5">
        <v>19</v>
      </c>
      <c r="AO1950" s="5">
        <v>98</v>
      </c>
      <c r="AP1950" s="5">
        <v>6</v>
      </c>
      <c r="AQ1950" s="5">
        <v>1633</v>
      </c>
      <c r="AR1950" s="5">
        <v>1643</v>
      </c>
      <c r="AS1950" s="5" t="s">
        <v>16</v>
      </c>
      <c r="AT1950" s="5" t="s">
        <v>11698</v>
      </c>
      <c r="AU1950" s="5" t="s">
        <v>11699</v>
      </c>
      <c r="AV1950" s="5" t="s">
        <v>11701</v>
      </c>
    </row>
    <row r="1951" spans="1:48" ht="45" customHeight="1" x14ac:dyDescent="0.15">
      <c r="A1951" s="5" t="s">
        <v>11702</v>
      </c>
      <c r="B1951" s="5">
        <v>2019</v>
      </c>
      <c r="C1951" s="5" t="s">
        <v>11703</v>
      </c>
      <c r="D1951" s="5" t="s">
        <v>15</v>
      </c>
      <c r="E1951" s="5" t="s">
        <v>18453</v>
      </c>
      <c r="F1951" s="5" t="s">
        <v>11706</v>
      </c>
      <c r="G1951" s="5"/>
      <c r="H1951" s="5"/>
      <c r="I1951" s="5"/>
      <c r="J1951" s="5"/>
      <c r="K1951" s="5"/>
      <c r="L1951" s="5"/>
      <c r="M1951" s="5"/>
      <c r="N1951" s="5"/>
      <c r="O1951" s="5"/>
      <c r="P1951" s="5"/>
      <c r="Q1951" s="5"/>
      <c r="AL1951" s="7" t="str">
        <f>HYPERLINK("http://dx.doi.org/10.1002/ece3.5208","http://dx.doi.org/10.1002/ece3.5208")</f>
        <v>http://dx.doi.org/10.1002/ece3.5208</v>
      </c>
      <c r="AM1951" s="5">
        <v>8</v>
      </c>
      <c r="AN1951" s="5">
        <v>8</v>
      </c>
      <c r="AO1951" s="5">
        <v>9</v>
      </c>
      <c r="AP1951" s="5">
        <v>11</v>
      </c>
      <c r="AQ1951" s="5">
        <v>6366</v>
      </c>
      <c r="AR1951" s="5">
        <v>6377</v>
      </c>
      <c r="AS1951" s="5" t="s">
        <v>16</v>
      </c>
      <c r="AT1951" s="5" t="s">
        <v>11704</v>
      </c>
      <c r="AU1951" s="5" t="s">
        <v>11705</v>
      </c>
      <c r="AV1951" s="5" t="s">
        <v>11707</v>
      </c>
    </row>
    <row r="1952" spans="1:48" ht="45" customHeight="1" x14ac:dyDescent="0.15">
      <c r="A1952" s="5" t="s">
        <v>11708</v>
      </c>
      <c r="B1952" s="5">
        <v>2021</v>
      </c>
      <c r="C1952" s="5" t="s">
        <v>11709</v>
      </c>
      <c r="D1952" s="5" t="s">
        <v>15</v>
      </c>
      <c r="E1952" s="5" t="s">
        <v>18453</v>
      </c>
      <c r="F1952" s="5" t="s">
        <v>11712</v>
      </c>
      <c r="G1952" s="5"/>
      <c r="H1952" s="5"/>
      <c r="I1952" s="5"/>
      <c r="J1952" s="5"/>
      <c r="K1952" s="5"/>
      <c r="L1952" s="5"/>
      <c r="M1952" s="5"/>
      <c r="N1952" s="5"/>
      <c r="O1952" s="5"/>
      <c r="P1952" s="5"/>
      <c r="Q1952" s="5"/>
      <c r="AL1952" s="7" t="str">
        <f>HYPERLINK("http://dx.doi.org/10.1002/ece3.7949","http://dx.doi.org/10.1002/ece3.7949")</f>
        <v>http://dx.doi.org/10.1002/ece3.7949</v>
      </c>
      <c r="AM1952" s="5">
        <v>4</v>
      </c>
      <c r="AN1952" s="5">
        <v>4</v>
      </c>
      <c r="AO1952" s="5">
        <v>11</v>
      </c>
      <c r="AP1952" s="5">
        <v>17</v>
      </c>
      <c r="AQ1952" s="5">
        <v>11808</v>
      </c>
      <c r="AR1952" s="5">
        <v>11825</v>
      </c>
      <c r="AS1952" s="5" t="s">
        <v>16</v>
      </c>
      <c r="AT1952" s="5" t="s">
        <v>11710</v>
      </c>
      <c r="AU1952" s="5" t="s">
        <v>11711</v>
      </c>
      <c r="AV1952" s="5" t="s">
        <v>11713</v>
      </c>
    </row>
    <row r="1953" spans="1:48" ht="45" customHeight="1" x14ac:dyDescent="0.15">
      <c r="A1953" s="5" t="s">
        <v>11714</v>
      </c>
      <c r="B1953" s="5">
        <v>2010</v>
      </c>
      <c r="C1953" s="5" t="s">
        <v>11715</v>
      </c>
      <c r="D1953" s="5" t="s">
        <v>33</v>
      </c>
      <c r="E1953" s="5" t="s">
        <v>18453</v>
      </c>
      <c r="F1953" s="5" t="s">
        <v>11718</v>
      </c>
      <c r="G1953" s="5"/>
      <c r="H1953" s="5"/>
      <c r="I1953" s="5"/>
      <c r="J1953" s="5"/>
      <c r="K1953" s="5"/>
      <c r="L1953" s="5"/>
      <c r="M1953" s="5"/>
      <c r="N1953" s="5"/>
      <c r="O1953" s="5"/>
      <c r="P1953" s="5"/>
      <c r="Q1953" s="5"/>
      <c r="AL1953" s="7" t="str">
        <f>HYPERLINK("http://dx.doi.org/10.1111/j.1365-2486.2009.01884.x","http://dx.doi.org/10.1111/j.1365-2486.2009.01884.x")</f>
        <v>http://dx.doi.org/10.1111/j.1365-2486.2009.01884.x</v>
      </c>
      <c r="AM1953" s="5">
        <v>298</v>
      </c>
      <c r="AN1953" s="5">
        <v>319</v>
      </c>
      <c r="AO1953" s="5">
        <v>16</v>
      </c>
      <c r="AP1953" s="5">
        <v>1</v>
      </c>
      <c r="AQ1953" s="5">
        <v>416</v>
      </c>
      <c r="AR1953" s="5">
        <v>426</v>
      </c>
      <c r="AS1953" s="5" t="s">
        <v>16</v>
      </c>
      <c r="AT1953" s="5" t="s">
        <v>11716</v>
      </c>
      <c r="AU1953" s="5" t="s">
        <v>11717</v>
      </c>
      <c r="AV1953" s="5" t="s">
        <v>11719</v>
      </c>
    </row>
    <row r="1954" spans="1:48" ht="45" customHeight="1" x14ac:dyDescent="0.15">
      <c r="A1954" s="5" t="s">
        <v>11720</v>
      </c>
      <c r="B1954" s="5">
        <v>2016</v>
      </c>
      <c r="C1954" s="5" t="s">
        <v>11721</v>
      </c>
      <c r="D1954" s="5" t="s">
        <v>49</v>
      </c>
      <c r="E1954" s="5" t="s">
        <v>18453</v>
      </c>
      <c r="F1954" s="5" t="s">
        <v>11724</v>
      </c>
      <c r="G1954" s="5"/>
      <c r="H1954" s="5"/>
      <c r="I1954" s="5"/>
      <c r="J1954" s="5"/>
      <c r="K1954" s="5"/>
      <c r="L1954" s="5"/>
      <c r="M1954" s="5"/>
      <c r="N1954" s="5"/>
      <c r="O1954" s="5"/>
      <c r="P1954" s="5"/>
      <c r="Q1954" s="5"/>
      <c r="AL1954" s="7" t="str">
        <f>HYPERLINK("http://dx.doi.org/10.3354/meps11933","http://dx.doi.org/10.3354/meps11933")</f>
        <v>http://dx.doi.org/10.3354/meps11933</v>
      </c>
      <c r="AM1954" s="5">
        <v>41</v>
      </c>
      <c r="AN1954" s="5">
        <v>41</v>
      </c>
      <c r="AO1954" s="5">
        <v>559</v>
      </c>
      <c r="AP1954" s="5" t="s">
        <v>16</v>
      </c>
      <c r="AQ1954" s="5">
        <v>201</v>
      </c>
      <c r="AR1954" s="5">
        <v>215</v>
      </c>
      <c r="AS1954" s="5" t="s">
        <v>16</v>
      </c>
      <c r="AT1954" s="5" t="s">
        <v>11722</v>
      </c>
      <c r="AU1954" s="5" t="s">
        <v>11723</v>
      </c>
      <c r="AV1954" s="5" t="s">
        <v>11725</v>
      </c>
    </row>
    <row r="1955" spans="1:48" ht="45" customHeight="1" x14ac:dyDescent="0.15">
      <c r="A1955" s="5" t="s">
        <v>11726</v>
      </c>
      <c r="B1955" s="5">
        <v>2018</v>
      </c>
      <c r="C1955" s="5" t="s">
        <v>11727</v>
      </c>
      <c r="D1955" s="5" t="s">
        <v>262</v>
      </c>
      <c r="E1955" s="5" t="s">
        <v>18453</v>
      </c>
      <c r="F1955" s="5" t="s">
        <v>11729</v>
      </c>
      <c r="G1955" s="5"/>
      <c r="H1955" s="5"/>
      <c r="I1955" s="5"/>
      <c r="J1955" s="5"/>
      <c r="K1955" s="5"/>
      <c r="L1955" s="5"/>
      <c r="M1955" s="5"/>
      <c r="N1955" s="5"/>
      <c r="O1955" s="5"/>
      <c r="P1955" s="5"/>
      <c r="Q1955" s="5"/>
      <c r="AL1955" s="7" t="str">
        <f>HYPERLINK("http://dx.doi.org/10.1111/oik.04714","http://dx.doi.org/10.1111/oik.04714")</f>
        <v>http://dx.doi.org/10.1111/oik.04714</v>
      </c>
      <c r="AM1955" s="5">
        <v>16</v>
      </c>
      <c r="AN1955" s="5">
        <v>16</v>
      </c>
      <c r="AO1955" s="5">
        <v>127</v>
      </c>
      <c r="AP1955" s="5">
        <v>3</v>
      </c>
      <c r="AQ1955" s="5">
        <v>427</v>
      </c>
      <c r="AR1955" s="5">
        <v>439</v>
      </c>
      <c r="AS1955" s="5" t="s">
        <v>16</v>
      </c>
      <c r="AT1955" s="5" t="s">
        <v>16</v>
      </c>
      <c r="AU1955" s="5" t="s">
        <v>11728</v>
      </c>
      <c r="AV1955" s="5" t="s">
        <v>11730</v>
      </c>
    </row>
    <row r="1956" spans="1:48" ht="45" customHeight="1" x14ac:dyDescent="0.15">
      <c r="A1956" s="5" t="s">
        <v>11731</v>
      </c>
      <c r="B1956" s="5">
        <v>2020</v>
      </c>
      <c r="C1956" s="5" t="s">
        <v>11732</v>
      </c>
      <c r="D1956" s="5" t="s">
        <v>162</v>
      </c>
      <c r="E1956" s="5" t="s">
        <v>18453</v>
      </c>
      <c r="F1956" s="5" t="s">
        <v>11735</v>
      </c>
      <c r="G1956" s="5"/>
      <c r="H1956" s="5"/>
      <c r="I1956" s="5"/>
      <c r="J1956" s="5"/>
      <c r="K1956" s="5"/>
      <c r="L1956" s="5"/>
      <c r="M1956" s="5"/>
      <c r="N1956" s="5"/>
      <c r="O1956" s="5"/>
      <c r="P1956" s="5"/>
      <c r="Q1956" s="5"/>
      <c r="AL1956" s="7" t="str">
        <f>HYPERLINK("http://dx.doi.org/10.1111/1365-2435.13625","http://dx.doi.org/10.1111/1365-2435.13625")</f>
        <v>http://dx.doi.org/10.1111/1365-2435.13625</v>
      </c>
      <c r="AM1956" s="5">
        <v>10</v>
      </c>
      <c r="AN1956" s="5">
        <v>10</v>
      </c>
      <c r="AO1956" s="5">
        <v>34</v>
      </c>
      <c r="AP1956" s="5">
        <v>9</v>
      </c>
      <c r="AQ1956" s="5">
        <v>1991</v>
      </c>
      <c r="AR1956" s="5">
        <v>2004</v>
      </c>
      <c r="AS1956" s="5" t="s">
        <v>16</v>
      </c>
      <c r="AT1956" s="5" t="s">
        <v>11733</v>
      </c>
      <c r="AU1956" s="5" t="s">
        <v>11734</v>
      </c>
      <c r="AV1956" s="5" t="s">
        <v>11736</v>
      </c>
    </row>
    <row r="1957" spans="1:48" ht="45" customHeight="1" x14ac:dyDescent="0.15">
      <c r="A1957" s="5" t="s">
        <v>11737</v>
      </c>
      <c r="B1957" s="5">
        <v>2018</v>
      </c>
      <c r="C1957" s="5" t="s">
        <v>11738</v>
      </c>
      <c r="D1957" s="5" t="s">
        <v>3722</v>
      </c>
      <c r="E1957" s="5" t="s">
        <v>18453</v>
      </c>
      <c r="F1957" s="5" t="s">
        <v>11741</v>
      </c>
      <c r="G1957" s="5"/>
      <c r="H1957" s="5"/>
      <c r="I1957" s="5"/>
      <c r="J1957" s="5"/>
      <c r="K1957" s="5"/>
      <c r="L1957" s="5"/>
      <c r="M1957" s="5"/>
      <c r="N1957" s="5"/>
      <c r="O1957" s="5"/>
      <c r="P1957" s="5"/>
      <c r="Q1957" s="5"/>
      <c r="AL1957" s="7" t="str">
        <f>HYPERLINK("http://dx.doi.org/10.1007/s11355-017-0328-8","http://dx.doi.org/10.1007/s11355-017-0328-8")</f>
        <v>http://dx.doi.org/10.1007/s11355-017-0328-8</v>
      </c>
      <c r="AM1957" s="5">
        <v>8</v>
      </c>
      <c r="AN1957" s="5">
        <v>8</v>
      </c>
      <c r="AO1957" s="5">
        <v>14</v>
      </c>
      <c r="AP1957" s="5">
        <v>1</v>
      </c>
      <c r="AQ1957" s="5">
        <v>55</v>
      </c>
      <c r="AR1957" s="5">
        <v>66</v>
      </c>
      <c r="AS1957" s="5" t="s">
        <v>16</v>
      </c>
      <c r="AT1957" s="5" t="s">
        <v>11739</v>
      </c>
      <c r="AU1957" s="5" t="s">
        <v>11740</v>
      </c>
      <c r="AV1957" s="5" t="s">
        <v>11742</v>
      </c>
    </row>
    <row r="1958" spans="1:48" ht="45" customHeight="1" x14ac:dyDescent="0.15">
      <c r="A1958" s="5" t="s">
        <v>11743</v>
      </c>
      <c r="B1958" s="5">
        <v>2008</v>
      </c>
      <c r="C1958" s="5" t="s">
        <v>11744</v>
      </c>
      <c r="D1958" s="5" t="s">
        <v>1785</v>
      </c>
      <c r="E1958" s="5" t="s">
        <v>18453</v>
      </c>
      <c r="F1958" s="5" t="s">
        <v>11745</v>
      </c>
      <c r="G1958" s="5"/>
      <c r="H1958" s="5"/>
      <c r="I1958" s="5"/>
      <c r="J1958" s="5"/>
      <c r="K1958" s="5"/>
      <c r="L1958" s="5"/>
      <c r="M1958" s="5"/>
      <c r="N1958" s="5"/>
      <c r="O1958" s="5"/>
      <c r="P1958" s="5"/>
      <c r="Q1958" s="5"/>
      <c r="AL1958" s="5" t="s">
        <v>16</v>
      </c>
      <c r="AM1958" s="5">
        <v>21</v>
      </c>
      <c r="AN1958" s="5">
        <v>23</v>
      </c>
      <c r="AO1958" s="5">
        <v>3</v>
      </c>
      <c r="AP1958" s="5">
        <v>1</v>
      </c>
      <c r="AQ1958" s="5" t="s">
        <v>16</v>
      </c>
      <c r="AR1958" s="5" t="s">
        <v>16</v>
      </c>
      <c r="AS1958" s="5">
        <v>2</v>
      </c>
      <c r="AT1958" s="5" t="s">
        <v>16</v>
      </c>
      <c r="AU1958" s="5" t="s">
        <v>16</v>
      </c>
      <c r="AV1958" s="5" t="s">
        <v>16</v>
      </c>
    </row>
    <row r="1959" spans="1:48" ht="45" customHeight="1" x14ac:dyDescent="0.15">
      <c r="A1959" s="5" t="s">
        <v>11746</v>
      </c>
      <c r="B1959" s="5">
        <v>2016</v>
      </c>
      <c r="C1959" s="5" t="s">
        <v>11747</v>
      </c>
      <c r="D1959" s="5" t="s">
        <v>18</v>
      </c>
      <c r="E1959" s="5" t="s">
        <v>18453</v>
      </c>
      <c r="F1959" s="5" t="s">
        <v>11750</v>
      </c>
      <c r="G1959" s="5"/>
      <c r="H1959" s="5"/>
      <c r="I1959" s="5"/>
      <c r="J1959" s="5"/>
      <c r="K1959" s="5"/>
      <c r="L1959" s="5"/>
      <c r="M1959" s="5"/>
      <c r="N1959" s="5"/>
      <c r="O1959" s="5"/>
      <c r="P1959" s="5"/>
      <c r="Q1959" s="5"/>
      <c r="AL1959" s="7" t="str">
        <f>HYPERLINK("http://dx.doi.org/10.1002/ecs2.1293","http://dx.doi.org/10.1002/ecs2.1293")</f>
        <v>http://dx.doi.org/10.1002/ecs2.1293</v>
      </c>
      <c r="AM1959" s="5">
        <v>17</v>
      </c>
      <c r="AN1959" s="5">
        <v>17</v>
      </c>
      <c r="AO1959" s="5">
        <v>7</v>
      </c>
      <c r="AP1959" s="5">
        <v>5</v>
      </c>
      <c r="AQ1959" s="5" t="s">
        <v>16</v>
      </c>
      <c r="AR1959" s="5" t="s">
        <v>16</v>
      </c>
      <c r="AS1959" s="5" t="s">
        <v>11751</v>
      </c>
      <c r="AT1959" s="5" t="s">
        <v>11748</v>
      </c>
      <c r="AU1959" s="5" t="s">
        <v>11749</v>
      </c>
      <c r="AV1959" s="5" t="s">
        <v>11752</v>
      </c>
    </row>
    <row r="1960" spans="1:48" ht="45" customHeight="1" x14ac:dyDescent="0.15">
      <c r="A1960" s="5" t="s">
        <v>11753</v>
      </c>
      <c r="B1960" s="5">
        <v>2013</v>
      </c>
      <c r="C1960" s="5" t="s">
        <v>11754</v>
      </c>
      <c r="D1960" s="5" t="s">
        <v>383</v>
      </c>
      <c r="E1960" s="5" t="s">
        <v>18453</v>
      </c>
      <c r="F1960" s="5" t="s">
        <v>11757</v>
      </c>
      <c r="G1960" s="5"/>
      <c r="H1960" s="5"/>
      <c r="I1960" s="5"/>
      <c r="J1960" s="5"/>
      <c r="K1960" s="5"/>
      <c r="L1960" s="5"/>
      <c r="M1960" s="5"/>
      <c r="N1960" s="5"/>
      <c r="O1960" s="5"/>
      <c r="P1960" s="5"/>
      <c r="Q1960" s="5"/>
      <c r="AL1960" s="7" t="str">
        <f>HYPERLINK("http://dx.doi.org/10.1007/s11284-012-1024-7","http://dx.doi.org/10.1007/s11284-012-1024-7")</f>
        <v>http://dx.doi.org/10.1007/s11284-012-1024-7</v>
      </c>
      <c r="AM1960" s="5">
        <v>15</v>
      </c>
      <c r="AN1960" s="5">
        <v>18</v>
      </c>
      <c r="AO1960" s="5">
        <v>28</v>
      </c>
      <c r="AP1960" s="5">
        <v>2</v>
      </c>
      <c r="AQ1960" s="5">
        <v>173</v>
      </c>
      <c r="AR1960" s="5">
        <v>181</v>
      </c>
      <c r="AS1960" s="5" t="s">
        <v>16</v>
      </c>
      <c r="AT1960" s="5" t="s">
        <v>11755</v>
      </c>
      <c r="AU1960" s="5" t="s">
        <v>11756</v>
      </c>
      <c r="AV1960" s="5" t="s">
        <v>11758</v>
      </c>
    </row>
    <row r="1961" spans="1:48" ht="45" customHeight="1" x14ac:dyDescent="0.15">
      <c r="A1961" s="5" t="s">
        <v>11759</v>
      </c>
      <c r="B1961" s="5">
        <v>2014</v>
      </c>
      <c r="C1961" s="5" t="s">
        <v>11760</v>
      </c>
      <c r="D1961" s="5" t="s">
        <v>11761</v>
      </c>
      <c r="E1961" s="5" t="s">
        <v>18453</v>
      </c>
      <c r="F1961" s="5" t="s">
        <v>11763</v>
      </c>
      <c r="G1961" s="5"/>
      <c r="H1961" s="5"/>
      <c r="I1961" s="5"/>
      <c r="J1961" s="5"/>
      <c r="K1961" s="5"/>
      <c r="L1961" s="5"/>
      <c r="M1961" s="5"/>
      <c r="N1961" s="5"/>
      <c r="O1961" s="5"/>
      <c r="P1961" s="5"/>
      <c r="Q1961" s="5"/>
      <c r="AL1961" s="7" t="str">
        <f>HYPERLINK("http://dx.doi.org/10.5735/086.051.0302","http://dx.doi.org/10.5735/086.051.0302")</f>
        <v>http://dx.doi.org/10.5735/086.051.0302</v>
      </c>
      <c r="AM1961" s="5">
        <v>27</v>
      </c>
      <c r="AN1961" s="5">
        <v>28</v>
      </c>
      <c r="AO1961" s="5">
        <v>51</v>
      </c>
      <c r="AP1961" s="5">
        <v>3</v>
      </c>
      <c r="AQ1961" s="5">
        <v>301</v>
      </c>
      <c r="AR1961" s="5">
        <v>312</v>
      </c>
      <c r="AS1961" s="5" t="s">
        <v>16</v>
      </c>
      <c r="AT1961" s="5" t="s">
        <v>16</v>
      </c>
      <c r="AU1961" s="5" t="s">
        <v>11762</v>
      </c>
      <c r="AV1961" s="5" t="s">
        <v>11764</v>
      </c>
    </row>
    <row r="1962" spans="1:48" ht="45" customHeight="1" x14ac:dyDescent="0.15">
      <c r="A1962" s="5" t="s">
        <v>11765</v>
      </c>
      <c r="B1962" s="5">
        <v>2017</v>
      </c>
      <c r="C1962" s="5" t="s">
        <v>11766</v>
      </c>
      <c r="D1962" s="5" t="s">
        <v>5517</v>
      </c>
      <c r="E1962" s="5" t="s">
        <v>18453</v>
      </c>
      <c r="F1962" s="5" t="s">
        <v>11768</v>
      </c>
      <c r="G1962" s="5"/>
      <c r="H1962" s="5"/>
      <c r="I1962" s="5"/>
      <c r="J1962" s="5"/>
      <c r="K1962" s="5"/>
      <c r="L1962" s="5"/>
      <c r="M1962" s="5"/>
      <c r="N1962" s="5"/>
      <c r="O1962" s="5"/>
      <c r="P1962" s="5"/>
      <c r="Q1962" s="5"/>
      <c r="AL1962" s="7" t="str">
        <f>HYPERLINK("http://dx.doi.org/10.1038/ismej.2016.147","http://dx.doi.org/10.1038/ismej.2016.147")</f>
        <v>http://dx.doi.org/10.1038/ismej.2016.147</v>
      </c>
      <c r="AM1962" s="5">
        <v>18</v>
      </c>
      <c r="AN1962" s="5">
        <v>18</v>
      </c>
      <c r="AO1962" s="5">
        <v>11</v>
      </c>
      <c r="AP1962" s="5">
        <v>3</v>
      </c>
      <c r="AQ1962" s="5">
        <v>727</v>
      </c>
      <c r="AR1962" s="5">
        <v>740</v>
      </c>
      <c r="AS1962" s="5" t="s">
        <v>16</v>
      </c>
      <c r="AT1962" s="5" t="s">
        <v>16</v>
      </c>
      <c r="AU1962" s="5" t="s">
        <v>11767</v>
      </c>
      <c r="AV1962" s="5" t="s">
        <v>11769</v>
      </c>
    </row>
    <row r="1963" spans="1:48" ht="45" customHeight="1" x14ac:dyDescent="0.15">
      <c r="A1963" s="5" t="s">
        <v>11770</v>
      </c>
      <c r="B1963" s="5">
        <v>2022</v>
      </c>
      <c r="C1963" s="5" t="s">
        <v>11771</v>
      </c>
      <c r="D1963" s="5" t="s">
        <v>6328</v>
      </c>
      <c r="E1963" s="5" t="s">
        <v>18453</v>
      </c>
      <c r="F1963" s="5" t="s">
        <v>11774</v>
      </c>
      <c r="G1963" s="5"/>
      <c r="H1963" s="5"/>
      <c r="I1963" s="5"/>
      <c r="J1963" s="5"/>
      <c r="K1963" s="5"/>
      <c r="L1963" s="5"/>
      <c r="M1963" s="5"/>
      <c r="N1963" s="5"/>
      <c r="O1963" s="5"/>
      <c r="P1963" s="5"/>
      <c r="Q1963" s="5"/>
      <c r="AL1963" s="7" t="str">
        <f>HYPERLINK("http://dx.doi.org/10.15666/aeer/2101_189206","http://dx.doi.org/10.15666/aeer/2101_189206")</f>
        <v>http://dx.doi.org/10.15666/aeer/2101_189206</v>
      </c>
      <c r="AM1963" s="5">
        <v>0</v>
      </c>
      <c r="AN1963" s="5">
        <v>0</v>
      </c>
      <c r="AO1963" s="5" t="s">
        <v>16</v>
      </c>
      <c r="AP1963" s="5" t="s">
        <v>16</v>
      </c>
      <c r="AQ1963" s="5" t="s">
        <v>16</v>
      </c>
      <c r="AR1963" s="5" t="s">
        <v>16</v>
      </c>
      <c r="AS1963" s="5" t="s">
        <v>16</v>
      </c>
      <c r="AT1963" s="5" t="s">
        <v>11772</v>
      </c>
      <c r="AU1963" s="5" t="s">
        <v>11773</v>
      </c>
      <c r="AV1963" s="5" t="s">
        <v>11775</v>
      </c>
    </row>
    <row r="1964" spans="1:48" ht="45" customHeight="1" x14ac:dyDescent="0.15">
      <c r="A1964" s="5" t="s">
        <v>11776</v>
      </c>
      <c r="B1964" s="5">
        <v>2018</v>
      </c>
      <c r="C1964" s="5" t="s">
        <v>11777</v>
      </c>
      <c r="D1964" s="5" t="s">
        <v>10366</v>
      </c>
      <c r="E1964" s="5" t="s">
        <v>18453</v>
      </c>
      <c r="F1964" s="5" t="s">
        <v>11779</v>
      </c>
      <c r="G1964" s="5"/>
      <c r="H1964" s="5"/>
      <c r="I1964" s="5"/>
      <c r="J1964" s="5"/>
      <c r="K1964" s="5"/>
      <c r="L1964" s="5"/>
      <c r="M1964" s="5"/>
      <c r="N1964" s="5"/>
      <c r="O1964" s="5"/>
      <c r="P1964" s="5"/>
      <c r="Q1964" s="5"/>
      <c r="AL1964" s="7" t="str">
        <f>HYPERLINK("http://dx.doi.org/10.1674/0003-0031-180.1.18","http://dx.doi.org/10.1674/0003-0031-180.1.18")</f>
        <v>http://dx.doi.org/10.1674/0003-0031-180.1.18</v>
      </c>
      <c r="AM1964" s="5">
        <v>3</v>
      </c>
      <c r="AN1964" s="5">
        <v>3</v>
      </c>
      <c r="AO1964" s="5">
        <v>180</v>
      </c>
      <c r="AP1964" s="5">
        <v>1</v>
      </c>
      <c r="AQ1964" s="5">
        <v>18</v>
      </c>
      <c r="AR1964" s="5">
        <v>36</v>
      </c>
      <c r="AS1964" s="5" t="s">
        <v>16</v>
      </c>
      <c r="AT1964" s="5" t="s">
        <v>16</v>
      </c>
      <c r="AU1964" s="5" t="s">
        <v>11778</v>
      </c>
      <c r="AV1964" s="5" t="s">
        <v>11780</v>
      </c>
    </row>
    <row r="1965" spans="1:48" ht="45" customHeight="1" x14ac:dyDescent="0.15">
      <c r="A1965" s="5" t="s">
        <v>11781</v>
      </c>
      <c r="B1965" s="5">
        <v>2019</v>
      </c>
      <c r="C1965" s="5" t="s">
        <v>11782</v>
      </c>
      <c r="D1965" s="5" t="s">
        <v>49</v>
      </c>
      <c r="E1965" s="5" t="s">
        <v>18453</v>
      </c>
      <c r="F1965" s="5" t="s">
        <v>11785</v>
      </c>
      <c r="G1965" s="5"/>
      <c r="H1965" s="5"/>
      <c r="I1965" s="5"/>
      <c r="J1965" s="5"/>
      <c r="K1965" s="5"/>
      <c r="L1965" s="5"/>
      <c r="M1965" s="5"/>
      <c r="N1965" s="5"/>
      <c r="O1965" s="5"/>
      <c r="P1965" s="5"/>
      <c r="Q1965" s="5"/>
      <c r="AL1965" s="7" t="str">
        <f>HYPERLINK("http://dx.doi.org/10.3354/meps12924","http://dx.doi.org/10.3354/meps12924")</f>
        <v>http://dx.doi.org/10.3354/meps12924</v>
      </c>
      <c r="AM1965" s="5">
        <v>28</v>
      </c>
      <c r="AN1965" s="5">
        <v>31</v>
      </c>
      <c r="AO1965" s="5">
        <v>616</v>
      </c>
      <c r="AP1965" s="5" t="s">
        <v>16</v>
      </c>
      <c r="AQ1965" s="5">
        <v>155</v>
      </c>
      <c r="AR1965" s="5">
        <v>170</v>
      </c>
      <c r="AS1965" s="5" t="s">
        <v>16</v>
      </c>
      <c r="AT1965" s="5" t="s">
        <v>11783</v>
      </c>
      <c r="AU1965" s="5" t="s">
        <v>11784</v>
      </c>
      <c r="AV1965" s="5" t="s">
        <v>11786</v>
      </c>
    </row>
    <row r="1966" spans="1:48" ht="45" customHeight="1" x14ac:dyDescent="0.15">
      <c r="A1966" s="5" t="s">
        <v>11787</v>
      </c>
      <c r="B1966" s="5">
        <v>2016</v>
      </c>
      <c r="C1966" s="5" t="s">
        <v>11788</v>
      </c>
      <c r="D1966" s="5" t="s">
        <v>15</v>
      </c>
      <c r="E1966" s="5" t="s">
        <v>18453</v>
      </c>
      <c r="F1966" s="5" t="s">
        <v>11791</v>
      </c>
      <c r="G1966" s="5"/>
      <c r="H1966" s="5"/>
      <c r="I1966" s="5"/>
      <c r="J1966" s="5"/>
      <c r="K1966" s="5"/>
      <c r="L1966" s="5"/>
      <c r="M1966" s="5"/>
      <c r="N1966" s="5"/>
      <c r="O1966" s="5"/>
      <c r="P1966" s="5"/>
      <c r="Q1966" s="5"/>
      <c r="AL1966" s="7" t="str">
        <f>HYPERLINK("http://dx.doi.org/10.1002/ece3.2106","http://dx.doi.org/10.1002/ece3.2106")</f>
        <v>http://dx.doi.org/10.1002/ece3.2106</v>
      </c>
      <c r="AM1966" s="5">
        <v>22</v>
      </c>
      <c r="AN1966" s="5">
        <v>22</v>
      </c>
      <c r="AO1966" s="5">
        <v>6</v>
      </c>
      <c r="AP1966" s="5">
        <v>10</v>
      </c>
      <c r="AQ1966" s="5">
        <v>3198</v>
      </c>
      <c r="AR1966" s="5">
        <v>3207</v>
      </c>
      <c r="AS1966" s="5" t="s">
        <v>16</v>
      </c>
      <c r="AT1966" s="5" t="s">
        <v>11789</v>
      </c>
      <c r="AU1966" s="5" t="s">
        <v>11790</v>
      </c>
      <c r="AV1966" s="5" t="s">
        <v>11792</v>
      </c>
    </row>
    <row r="1967" spans="1:48" ht="45" customHeight="1" x14ac:dyDescent="0.15">
      <c r="A1967" s="5" t="s">
        <v>11793</v>
      </c>
      <c r="B1967" s="5">
        <v>2022</v>
      </c>
      <c r="C1967" s="5" t="s">
        <v>11794</v>
      </c>
      <c r="D1967" s="5" t="s">
        <v>1765</v>
      </c>
      <c r="E1967" s="5" t="s">
        <v>18453</v>
      </c>
      <c r="F1967" s="5" t="s">
        <v>11797</v>
      </c>
      <c r="G1967" s="5"/>
      <c r="H1967" s="5"/>
      <c r="I1967" s="5"/>
      <c r="J1967" s="5"/>
      <c r="K1967" s="5"/>
      <c r="L1967" s="5"/>
      <c r="M1967" s="5"/>
      <c r="N1967" s="5"/>
      <c r="O1967" s="5"/>
      <c r="P1967" s="5"/>
      <c r="Q1967" s="5"/>
      <c r="AL1967" s="7" t="str">
        <f>HYPERLINK("http://dx.doi.org/10.1016/j.agee.2022.108111","http://dx.doi.org/10.1016/j.agee.2022.108111")</f>
        <v>http://dx.doi.org/10.1016/j.agee.2022.108111</v>
      </c>
      <c r="AM1967" s="5">
        <v>0</v>
      </c>
      <c r="AN1967" s="5">
        <v>0</v>
      </c>
      <c r="AO1967" s="5">
        <v>338</v>
      </c>
      <c r="AP1967" s="5" t="s">
        <v>16</v>
      </c>
      <c r="AQ1967" s="5" t="s">
        <v>16</v>
      </c>
      <c r="AR1967" s="5" t="s">
        <v>16</v>
      </c>
      <c r="AS1967" s="5">
        <v>108111</v>
      </c>
      <c r="AT1967" s="5" t="s">
        <v>11795</v>
      </c>
      <c r="AU1967" s="5" t="s">
        <v>11796</v>
      </c>
      <c r="AV1967" s="5" t="s">
        <v>11798</v>
      </c>
    </row>
    <row r="1968" spans="1:48" ht="45" customHeight="1" x14ac:dyDescent="0.15">
      <c r="A1968" s="5" t="s">
        <v>11799</v>
      </c>
      <c r="B1968" s="5">
        <v>2012</v>
      </c>
      <c r="C1968" s="5" t="s">
        <v>11800</v>
      </c>
      <c r="D1968" s="5" t="s">
        <v>116</v>
      </c>
      <c r="E1968" s="5" t="s">
        <v>18453</v>
      </c>
      <c r="F1968" s="5" t="s">
        <v>11803</v>
      </c>
      <c r="G1968" s="5"/>
      <c r="H1968" s="5"/>
      <c r="I1968" s="5"/>
      <c r="J1968" s="5"/>
      <c r="K1968" s="5"/>
      <c r="L1968" s="5"/>
      <c r="M1968" s="5"/>
      <c r="N1968" s="5"/>
      <c r="O1968" s="5"/>
      <c r="P1968" s="5"/>
      <c r="Q1968" s="5"/>
      <c r="AL1968" s="7" t="str">
        <f>HYPERLINK("http://dx.doi.org/10.1007/s10641-011-9828-9","http://dx.doi.org/10.1007/s10641-011-9828-9")</f>
        <v>http://dx.doi.org/10.1007/s10641-011-9828-9</v>
      </c>
      <c r="AM1968" s="5">
        <v>28</v>
      </c>
      <c r="AN1968" s="5">
        <v>29</v>
      </c>
      <c r="AO1968" s="5">
        <v>95</v>
      </c>
      <c r="AP1968" s="5">
        <v>1</v>
      </c>
      <c r="AQ1968" s="5">
        <v>115</v>
      </c>
      <c r="AR1968" s="5">
        <v>126</v>
      </c>
      <c r="AS1968" s="5" t="s">
        <v>16</v>
      </c>
      <c r="AT1968" s="5" t="s">
        <v>11801</v>
      </c>
      <c r="AU1968" s="5" t="s">
        <v>11802</v>
      </c>
      <c r="AV1968" s="5" t="s">
        <v>11804</v>
      </c>
    </row>
    <row r="1969" spans="1:48" ht="45" customHeight="1" x14ac:dyDescent="0.15">
      <c r="A1969" s="5" t="s">
        <v>11805</v>
      </c>
      <c r="B1969" s="5">
        <v>2009</v>
      </c>
      <c r="C1969" s="5" t="s">
        <v>11806</v>
      </c>
      <c r="D1969" s="5" t="s">
        <v>190</v>
      </c>
      <c r="E1969" s="5" t="s">
        <v>18453</v>
      </c>
      <c r="F1969" s="5" t="s">
        <v>11809</v>
      </c>
      <c r="G1969" s="5"/>
      <c r="H1969" s="5"/>
      <c r="I1969" s="5"/>
      <c r="J1969" s="5"/>
      <c r="K1969" s="5"/>
      <c r="L1969" s="5"/>
      <c r="M1969" s="5"/>
      <c r="N1969" s="5"/>
      <c r="O1969" s="5"/>
      <c r="P1969" s="5"/>
      <c r="Q1969" s="5"/>
      <c r="AL1969" s="7" t="str">
        <f>HYPERLINK("http://dx.doi.org/10.1007/s10530-008-9348-5","http://dx.doi.org/10.1007/s10530-008-9348-5")</f>
        <v>http://dx.doi.org/10.1007/s10530-008-9348-5</v>
      </c>
      <c r="AM1969" s="5">
        <v>6</v>
      </c>
      <c r="AN1969" s="5">
        <v>15</v>
      </c>
      <c r="AO1969" s="5">
        <v>11</v>
      </c>
      <c r="AP1969" s="5">
        <v>6</v>
      </c>
      <c r="AQ1969" s="5">
        <v>1403</v>
      </c>
      <c r="AR1969" s="5">
        <v>1410</v>
      </c>
      <c r="AS1969" s="5" t="s">
        <v>16</v>
      </c>
      <c r="AT1969" s="5" t="s">
        <v>11807</v>
      </c>
      <c r="AU1969" s="5" t="s">
        <v>11808</v>
      </c>
      <c r="AV1969" s="5" t="s">
        <v>11810</v>
      </c>
    </row>
    <row r="1970" spans="1:48" ht="45" customHeight="1" x14ac:dyDescent="0.15">
      <c r="A1970" s="5" t="s">
        <v>11811</v>
      </c>
      <c r="B1970" s="5">
        <v>2004</v>
      </c>
      <c r="C1970" s="5" t="s">
        <v>11812</v>
      </c>
      <c r="D1970" s="5" t="s">
        <v>3183</v>
      </c>
      <c r="E1970" s="5" t="s">
        <v>18453</v>
      </c>
      <c r="F1970" s="5" t="s">
        <v>11815</v>
      </c>
      <c r="G1970" s="5"/>
      <c r="H1970" s="5"/>
      <c r="I1970" s="5"/>
      <c r="J1970" s="5"/>
      <c r="K1970" s="5"/>
      <c r="L1970" s="5"/>
      <c r="M1970" s="5"/>
      <c r="N1970" s="5"/>
      <c r="O1970" s="5"/>
      <c r="P1970" s="5"/>
      <c r="Q1970" s="5"/>
      <c r="AL1970" s="7" t="str">
        <f>HYPERLINK("http://dx.doi.org/10.1016/j.pedobi.2003.12.003","http://dx.doi.org/10.1016/j.pedobi.2003.12.003")</f>
        <v>http://dx.doi.org/10.1016/j.pedobi.2003.12.003</v>
      </c>
      <c r="AM1970" s="5">
        <v>89</v>
      </c>
      <c r="AN1970" s="5">
        <v>94</v>
      </c>
      <c r="AO1970" s="5">
        <v>48</v>
      </c>
      <c r="AP1970" s="5">
        <v>2</v>
      </c>
      <c r="AQ1970" s="5">
        <v>171</v>
      </c>
      <c r="AR1970" s="5">
        <v>180</v>
      </c>
      <c r="AS1970" s="5" t="s">
        <v>16</v>
      </c>
      <c r="AT1970" s="5" t="s">
        <v>11813</v>
      </c>
      <c r="AU1970" s="5" t="s">
        <v>11814</v>
      </c>
      <c r="AV1970" s="5" t="s">
        <v>11816</v>
      </c>
    </row>
    <row r="1971" spans="1:48" ht="45" customHeight="1" x14ac:dyDescent="0.15">
      <c r="A1971" s="5" t="s">
        <v>11817</v>
      </c>
      <c r="B1971" s="5">
        <v>2015</v>
      </c>
      <c r="C1971" s="5" t="s">
        <v>11818</v>
      </c>
      <c r="D1971" s="5" t="s">
        <v>172</v>
      </c>
      <c r="E1971" s="5" t="s">
        <v>18453</v>
      </c>
      <c r="F1971" s="5" t="s">
        <v>11821</v>
      </c>
      <c r="G1971" s="5"/>
      <c r="H1971" s="5"/>
      <c r="I1971" s="5"/>
      <c r="J1971" s="5"/>
      <c r="K1971" s="5"/>
      <c r="L1971" s="5"/>
      <c r="M1971" s="5"/>
      <c r="N1971" s="5"/>
      <c r="O1971" s="5"/>
      <c r="P1971" s="5"/>
      <c r="Q1971" s="5"/>
      <c r="AL1971" s="7" t="str">
        <f>HYPERLINK("http://dx.doi.org/10.1007/s00442-015-3241-6","http://dx.doi.org/10.1007/s00442-015-3241-6")</f>
        <v>http://dx.doi.org/10.1007/s00442-015-3241-6</v>
      </c>
      <c r="AM1971" s="5">
        <v>37</v>
      </c>
      <c r="AN1971" s="5">
        <v>37</v>
      </c>
      <c r="AO1971" s="5">
        <v>178</v>
      </c>
      <c r="AP1971" s="5">
        <v>2</v>
      </c>
      <c r="AQ1971" s="5">
        <v>415</v>
      </c>
      <c r="AR1971" s="5">
        <v>425</v>
      </c>
      <c r="AS1971" s="5" t="s">
        <v>16</v>
      </c>
      <c r="AT1971" s="5" t="s">
        <v>11819</v>
      </c>
      <c r="AU1971" s="5" t="s">
        <v>11820</v>
      </c>
      <c r="AV1971" s="5" t="s">
        <v>11822</v>
      </c>
    </row>
    <row r="1972" spans="1:48" ht="45" customHeight="1" x14ac:dyDescent="0.15">
      <c r="A1972" s="5" t="s">
        <v>11823</v>
      </c>
      <c r="B1972" s="5">
        <v>2021</v>
      </c>
      <c r="C1972" s="5" t="s">
        <v>11824</v>
      </c>
      <c r="D1972" s="5" t="s">
        <v>1660</v>
      </c>
      <c r="E1972" s="5" t="s">
        <v>18453</v>
      </c>
      <c r="F1972" s="5" t="s">
        <v>11825</v>
      </c>
      <c r="G1972" s="5"/>
      <c r="H1972" s="5"/>
      <c r="I1972" s="5"/>
      <c r="J1972" s="5"/>
      <c r="K1972" s="5"/>
      <c r="L1972" s="5"/>
      <c r="M1972" s="5"/>
      <c r="N1972" s="5"/>
      <c r="O1972" s="5"/>
      <c r="P1972" s="5"/>
      <c r="Q1972" s="5"/>
      <c r="AL1972" s="7" t="str">
        <f>HYPERLINK("http://dx.doi.org/10.1002/fee.2293","http://dx.doi.org/10.1002/fee.2293")</f>
        <v>http://dx.doi.org/10.1002/fee.2293</v>
      </c>
      <c r="AM1972" s="5">
        <v>7</v>
      </c>
      <c r="AN1972" s="5">
        <v>7</v>
      </c>
      <c r="AO1972" s="5">
        <v>19</v>
      </c>
      <c r="AP1972" s="5">
        <v>3</v>
      </c>
      <c r="AQ1972" s="5">
        <v>152</v>
      </c>
      <c r="AR1972" s="5">
        <v>158</v>
      </c>
      <c r="AS1972" s="5" t="s">
        <v>16</v>
      </c>
      <c r="AT1972" s="5" t="s">
        <v>16</v>
      </c>
      <c r="AU1972" s="5" t="s">
        <v>16</v>
      </c>
      <c r="AV1972" s="5" t="s">
        <v>11826</v>
      </c>
    </row>
    <row r="1973" spans="1:48" ht="45" customHeight="1" x14ac:dyDescent="0.15">
      <c r="A1973" s="5" t="s">
        <v>11827</v>
      </c>
      <c r="B1973" s="5">
        <v>2015</v>
      </c>
      <c r="C1973" s="5" t="s">
        <v>11828</v>
      </c>
      <c r="D1973" s="5" t="s">
        <v>27</v>
      </c>
      <c r="E1973" s="5" t="s">
        <v>18453</v>
      </c>
      <c r="F1973" s="5" t="s">
        <v>11831</v>
      </c>
      <c r="G1973" s="5"/>
      <c r="H1973" s="5"/>
      <c r="I1973" s="5"/>
      <c r="J1973" s="5"/>
      <c r="K1973" s="5"/>
      <c r="L1973" s="5"/>
      <c r="M1973" s="5"/>
      <c r="N1973" s="5"/>
      <c r="O1973" s="5"/>
      <c r="P1973" s="5"/>
      <c r="Q1973" s="5"/>
      <c r="AL1973" s="7" t="str">
        <f>HYPERLINK("http://dx.doi.org/10.1890/14-0235.1","http://dx.doi.org/10.1890/14-0235.1")</f>
        <v>http://dx.doi.org/10.1890/14-0235.1</v>
      </c>
      <c r="AM1973" s="5">
        <v>252</v>
      </c>
      <c r="AN1973" s="5">
        <v>255</v>
      </c>
      <c r="AO1973" s="5">
        <v>96</v>
      </c>
      <c r="AP1973" s="5">
        <v>2</v>
      </c>
      <c r="AQ1973" s="5">
        <v>318</v>
      </c>
      <c r="AR1973" s="5">
        <v>324</v>
      </c>
      <c r="AS1973" s="5" t="s">
        <v>16</v>
      </c>
      <c r="AT1973" s="5" t="s">
        <v>11829</v>
      </c>
      <c r="AU1973" s="5" t="s">
        <v>11830</v>
      </c>
      <c r="AV1973" s="5" t="s">
        <v>11832</v>
      </c>
    </row>
    <row r="1974" spans="1:48" ht="45" customHeight="1" x14ac:dyDescent="0.15">
      <c r="A1974" s="5" t="s">
        <v>11833</v>
      </c>
      <c r="B1974" s="5">
        <v>2022</v>
      </c>
      <c r="C1974" s="5" t="s">
        <v>11834</v>
      </c>
      <c r="D1974" s="5" t="s">
        <v>49</v>
      </c>
      <c r="E1974" s="5" t="s">
        <v>18453</v>
      </c>
      <c r="F1974" s="5" t="s">
        <v>11837</v>
      </c>
      <c r="G1974" s="5"/>
      <c r="H1974" s="5"/>
      <c r="I1974" s="5"/>
      <c r="J1974" s="5"/>
      <c r="K1974" s="5"/>
      <c r="L1974" s="5"/>
      <c r="M1974" s="5"/>
      <c r="N1974" s="5"/>
      <c r="O1974" s="5"/>
      <c r="P1974" s="5"/>
      <c r="Q1974" s="5"/>
      <c r="AL1974" s="7" t="str">
        <f>HYPERLINK("http://dx.doi.org/10.3354/meps14092","http://dx.doi.org/10.3354/meps14092")</f>
        <v>http://dx.doi.org/10.3354/meps14092</v>
      </c>
      <c r="AM1974" s="5">
        <v>1</v>
      </c>
      <c r="AN1974" s="5">
        <v>1</v>
      </c>
      <c r="AO1974" s="5">
        <v>693</v>
      </c>
      <c r="AP1974" s="5" t="s">
        <v>16</v>
      </c>
      <c r="AQ1974" s="5">
        <v>157</v>
      </c>
      <c r="AR1974" s="5">
        <v>175</v>
      </c>
      <c r="AS1974" s="5" t="s">
        <v>16</v>
      </c>
      <c r="AT1974" s="5" t="s">
        <v>11835</v>
      </c>
      <c r="AU1974" s="5" t="s">
        <v>11836</v>
      </c>
      <c r="AV1974" s="5" t="s">
        <v>11838</v>
      </c>
    </row>
    <row r="1975" spans="1:48" ht="45" customHeight="1" x14ac:dyDescent="0.15">
      <c r="A1975" s="5" t="s">
        <v>11839</v>
      </c>
      <c r="B1975" s="5">
        <v>2022</v>
      </c>
      <c r="C1975" s="5" t="s">
        <v>11840</v>
      </c>
      <c r="D1975" s="5" t="s">
        <v>44</v>
      </c>
      <c r="E1975" s="5" t="s">
        <v>18453</v>
      </c>
      <c r="F1975" s="5" t="s">
        <v>11843</v>
      </c>
      <c r="G1975" s="5"/>
      <c r="H1975" s="5"/>
      <c r="I1975" s="5"/>
      <c r="J1975" s="5"/>
      <c r="K1975" s="5"/>
      <c r="L1975" s="5"/>
      <c r="M1975" s="5"/>
      <c r="N1975" s="5"/>
      <c r="O1975" s="5"/>
      <c r="P1975" s="5"/>
      <c r="Q1975" s="5"/>
      <c r="AL1975" s="7" t="str">
        <f>HYPERLINK("http://dx.doi.org/10.3389/fevo.2022.833088","http://dx.doi.org/10.3389/fevo.2022.833088")</f>
        <v>http://dx.doi.org/10.3389/fevo.2022.833088</v>
      </c>
      <c r="AM1975" s="5">
        <v>2</v>
      </c>
      <c r="AN1975" s="5">
        <v>2</v>
      </c>
      <c r="AO1975" s="5">
        <v>10</v>
      </c>
      <c r="AP1975" s="5" t="s">
        <v>16</v>
      </c>
      <c r="AQ1975" s="5" t="s">
        <v>16</v>
      </c>
      <c r="AR1975" s="5" t="s">
        <v>16</v>
      </c>
      <c r="AS1975" s="5">
        <v>833088</v>
      </c>
      <c r="AT1975" s="5" t="s">
        <v>11841</v>
      </c>
      <c r="AU1975" s="5" t="s">
        <v>11842</v>
      </c>
      <c r="AV1975" s="5" t="s">
        <v>11844</v>
      </c>
    </row>
    <row r="1976" spans="1:48" ht="45" customHeight="1" x14ac:dyDescent="0.15">
      <c r="A1976" s="5" t="s">
        <v>11845</v>
      </c>
      <c r="B1976" s="5">
        <v>2008</v>
      </c>
      <c r="C1976" s="5" t="s">
        <v>11846</v>
      </c>
      <c r="D1976" s="5" t="s">
        <v>33</v>
      </c>
      <c r="E1976" s="5" t="s">
        <v>18453</v>
      </c>
      <c r="F1976" s="5" t="s">
        <v>11849</v>
      </c>
      <c r="G1976" s="5"/>
      <c r="H1976" s="5"/>
      <c r="I1976" s="5"/>
      <c r="J1976" s="5"/>
      <c r="K1976" s="5"/>
      <c r="L1976" s="5"/>
      <c r="M1976" s="5"/>
      <c r="N1976" s="5"/>
      <c r="O1976" s="5"/>
      <c r="P1976" s="5"/>
      <c r="Q1976" s="5"/>
      <c r="AL1976" s="7" t="str">
        <f>HYPERLINK("http://dx.doi.org/10.1111/j.1365-2486.2008.01635.x","http://dx.doi.org/10.1111/j.1365-2486.2008.01635.x")</f>
        <v>http://dx.doi.org/10.1111/j.1365-2486.2008.01635.x</v>
      </c>
      <c r="AM1976" s="5">
        <v>38</v>
      </c>
      <c r="AN1976" s="5">
        <v>38</v>
      </c>
      <c r="AO1976" s="5">
        <v>14</v>
      </c>
      <c r="AP1976" s="5">
        <v>9</v>
      </c>
      <c r="AQ1976" s="5">
        <v>2178</v>
      </c>
      <c r="AR1976" s="5">
        <v>2193</v>
      </c>
      <c r="AS1976" s="5" t="s">
        <v>16</v>
      </c>
      <c r="AT1976" s="5" t="s">
        <v>11847</v>
      </c>
      <c r="AU1976" s="5" t="s">
        <v>11848</v>
      </c>
      <c r="AV1976" s="5" t="s">
        <v>11850</v>
      </c>
    </row>
    <row r="1977" spans="1:48" ht="45" customHeight="1" x14ac:dyDescent="0.15">
      <c r="A1977" s="5" t="s">
        <v>11851</v>
      </c>
      <c r="B1977" s="5">
        <v>2012</v>
      </c>
      <c r="C1977" s="5" t="s">
        <v>11852</v>
      </c>
      <c r="D1977" s="5" t="s">
        <v>295</v>
      </c>
      <c r="E1977" s="5" t="s">
        <v>18453</v>
      </c>
      <c r="F1977" s="5" t="s">
        <v>11855</v>
      </c>
      <c r="G1977" s="5"/>
      <c r="H1977" s="5"/>
      <c r="I1977" s="5"/>
      <c r="J1977" s="5"/>
      <c r="K1977" s="5"/>
      <c r="L1977" s="5"/>
      <c r="M1977" s="5"/>
      <c r="N1977" s="5"/>
      <c r="O1977" s="5"/>
      <c r="P1977" s="5"/>
      <c r="Q1977" s="5"/>
      <c r="AL1977" s="7" t="str">
        <f>HYPERLINK("http://dx.doi.org/10.1016/j.jembe.2012.04.002","http://dx.doi.org/10.1016/j.jembe.2012.04.002")</f>
        <v>http://dx.doi.org/10.1016/j.jembe.2012.04.002</v>
      </c>
      <c r="AM1977" s="5">
        <v>35</v>
      </c>
      <c r="AN1977" s="5">
        <v>35</v>
      </c>
      <c r="AO1977" s="5">
        <v>422</v>
      </c>
      <c r="AP1977" s="5" t="s">
        <v>16</v>
      </c>
      <c r="AQ1977" s="5">
        <v>29</v>
      </c>
      <c r="AR1977" s="5">
        <v>38</v>
      </c>
      <c r="AS1977" s="5" t="s">
        <v>16</v>
      </c>
      <c r="AT1977" s="5" t="s">
        <v>11853</v>
      </c>
      <c r="AU1977" s="5" t="s">
        <v>11854</v>
      </c>
      <c r="AV1977" s="5" t="s">
        <v>11856</v>
      </c>
    </row>
    <row r="1978" spans="1:48" ht="45" customHeight="1" x14ac:dyDescent="0.15">
      <c r="A1978" s="5" t="s">
        <v>11857</v>
      </c>
      <c r="B1978" s="5">
        <v>2018</v>
      </c>
      <c r="C1978" s="5" t="s">
        <v>11858</v>
      </c>
      <c r="D1978" s="5" t="s">
        <v>2087</v>
      </c>
      <c r="E1978" s="5" t="s">
        <v>18453</v>
      </c>
      <c r="F1978" s="5" t="s">
        <v>11861</v>
      </c>
      <c r="G1978" s="5"/>
      <c r="H1978" s="5"/>
      <c r="I1978" s="5"/>
      <c r="J1978" s="5"/>
      <c r="K1978" s="5"/>
      <c r="L1978" s="5"/>
      <c r="M1978" s="5"/>
      <c r="N1978" s="5"/>
      <c r="O1978" s="5"/>
      <c r="P1978" s="5"/>
      <c r="Q1978" s="5"/>
      <c r="AL1978" s="7" t="str">
        <f>HYPERLINK("http://dx.doi.org/10.1002/eco.1943","http://dx.doi.org/10.1002/eco.1943")</f>
        <v>http://dx.doi.org/10.1002/eco.1943</v>
      </c>
      <c r="AM1978" s="5">
        <v>30</v>
      </c>
      <c r="AN1978" s="5">
        <v>31</v>
      </c>
      <c r="AO1978" s="5">
        <v>11</v>
      </c>
      <c r="AP1978" s="5">
        <v>4</v>
      </c>
      <c r="AQ1978" s="5" t="s">
        <v>16</v>
      </c>
      <c r="AR1978" s="5" t="s">
        <v>16</v>
      </c>
      <c r="AS1978" s="5" t="s">
        <v>11862</v>
      </c>
      <c r="AT1978" s="5" t="s">
        <v>11859</v>
      </c>
      <c r="AU1978" s="5" t="s">
        <v>11860</v>
      </c>
      <c r="AV1978" s="5" t="s">
        <v>11863</v>
      </c>
    </row>
    <row r="1979" spans="1:48" ht="45" customHeight="1" x14ac:dyDescent="0.15">
      <c r="A1979" s="5" t="s">
        <v>11864</v>
      </c>
      <c r="B1979" s="5">
        <v>2012</v>
      </c>
      <c r="C1979" s="5" t="s">
        <v>11865</v>
      </c>
      <c r="D1979" s="5" t="s">
        <v>49</v>
      </c>
      <c r="E1979" s="5" t="s">
        <v>18453</v>
      </c>
      <c r="F1979" s="5" t="s">
        <v>11868</v>
      </c>
      <c r="G1979" s="5"/>
      <c r="H1979" s="5"/>
      <c r="I1979" s="5"/>
      <c r="J1979" s="5"/>
      <c r="K1979" s="5"/>
      <c r="L1979" s="5"/>
      <c r="M1979" s="5"/>
      <c r="N1979" s="5"/>
      <c r="O1979" s="5"/>
      <c r="P1979" s="5"/>
      <c r="Q1979" s="5"/>
      <c r="AL1979" s="7" t="str">
        <f>HYPERLINK("http://dx.doi.org/10.3354/meps09601","http://dx.doi.org/10.3354/meps09601")</f>
        <v>http://dx.doi.org/10.3354/meps09601</v>
      </c>
      <c r="AM1979" s="5">
        <v>26</v>
      </c>
      <c r="AN1979" s="5">
        <v>29</v>
      </c>
      <c r="AO1979" s="5">
        <v>455</v>
      </c>
      <c r="AP1979" s="5" t="s">
        <v>16</v>
      </c>
      <c r="AQ1979" s="5">
        <v>287</v>
      </c>
      <c r="AR1979" s="5">
        <v>301</v>
      </c>
      <c r="AS1979" s="5" t="s">
        <v>16</v>
      </c>
      <c r="AT1979" s="5" t="s">
        <v>11866</v>
      </c>
      <c r="AU1979" s="5" t="s">
        <v>11867</v>
      </c>
      <c r="AV1979" s="5" t="s">
        <v>11869</v>
      </c>
    </row>
    <row r="1980" spans="1:48" ht="45" customHeight="1" x14ac:dyDescent="0.15">
      <c r="A1980" s="5" t="s">
        <v>11870</v>
      </c>
      <c r="B1980" s="5">
        <v>2005</v>
      </c>
      <c r="C1980" s="5" t="s">
        <v>11871</v>
      </c>
      <c r="D1980" s="5" t="s">
        <v>77</v>
      </c>
      <c r="E1980" s="5" t="s">
        <v>18453</v>
      </c>
      <c r="F1980" s="5" t="s">
        <v>11874</v>
      </c>
      <c r="G1980" s="5"/>
      <c r="H1980" s="5"/>
      <c r="I1980" s="5"/>
      <c r="J1980" s="5"/>
      <c r="K1980" s="5"/>
      <c r="L1980" s="5"/>
      <c r="M1980" s="5"/>
      <c r="N1980" s="5"/>
      <c r="O1980" s="5"/>
      <c r="P1980" s="5"/>
      <c r="Q1980" s="5"/>
      <c r="AL1980" s="7" t="str">
        <f>HYPERLINK("http://dx.doi.org/10.1111/j.1365-2656.2005.00978.x","http://dx.doi.org/10.1111/j.1365-2656.2005.00978.x")</f>
        <v>http://dx.doi.org/10.1111/j.1365-2656.2005.00978.x</v>
      </c>
      <c r="AM1980" s="5">
        <v>67</v>
      </c>
      <c r="AN1980" s="5">
        <v>70</v>
      </c>
      <c r="AO1980" s="5">
        <v>74</v>
      </c>
      <c r="AP1980" s="5">
        <v>5</v>
      </c>
      <c r="AQ1980" s="5">
        <v>864</v>
      </c>
      <c r="AR1980" s="5">
        <v>876</v>
      </c>
      <c r="AS1980" s="5" t="s">
        <v>16</v>
      </c>
      <c r="AT1980" s="5" t="s">
        <v>11872</v>
      </c>
      <c r="AU1980" s="5" t="s">
        <v>11873</v>
      </c>
      <c r="AV1980" s="5" t="s">
        <v>11875</v>
      </c>
    </row>
    <row r="1981" spans="1:48" ht="45" customHeight="1" x14ac:dyDescent="0.15">
      <c r="A1981" s="5" t="s">
        <v>11876</v>
      </c>
      <c r="B1981" s="5">
        <v>2020</v>
      </c>
      <c r="C1981" s="5" t="s">
        <v>11877</v>
      </c>
      <c r="D1981" s="5" t="s">
        <v>116</v>
      </c>
      <c r="E1981" s="5" t="s">
        <v>18453</v>
      </c>
      <c r="F1981" s="5" t="s">
        <v>11880</v>
      </c>
      <c r="G1981" s="5"/>
      <c r="H1981" s="5"/>
      <c r="I1981" s="5"/>
      <c r="J1981" s="5"/>
      <c r="K1981" s="5"/>
      <c r="L1981" s="5"/>
      <c r="M1981" s="5"/>
      <c r="N1981" s="5"/>
      <c r="O1981" s="5"/>
      <c r="P1981" s="5"/>
      <c r="Q1981" s="5"/>
      <c r="AL1981" s="7" t="str">
        <f>HYPERLINK("http://dx.doi.org/10.1007/s10641-020-01013-3","http://dx.doi.org/10.1007/s10641-020-01013-3")</f>
        <v>http://dx.doi.org/10.1007/s10641-020-01013-3</v>
      </c>
      <c r="AM1981" s="5">
        <v>3</v>
      </c>
      <c r="AN1981" s="5">
        <v>3</v>
      </c>
      <c r="AO1981" s="5">
        <v>103</v>
      </c>
      <c r="AP1981" s="5">
        <v>9</v>
      </c>
      <c r="AQ1981" s="5">
        <v>1137</v>
      </c>
      <c r="AR1981" s="5">
        <v>1148</v>
      </c>
      <c r="AS1981" s="5" t="s">
        <v>16</v>
      </c>
      <c r="AT1981" s="5" t="s">
        <v>11878</v>
      </c>
      <c r="AU1981" s="5" t="s">
        <v>11879</v>
      </c>
      <c r="AV1981" s="5" t="s">
        <v>11881</v>
      </c>
    </row>
    <row r="1982" spans="1:48" ht="45" customHeight="1" x14ac:dyDescent="0.15">
      <c r="A1982" s="5" t="s">
        <v>11882</v>
      </c>
      <c r="B1982" s="5">
        <v>2017</v>
      </c>
      <c r="C1982" s="5" t="s">
        <v>11883</v>
      </c>
      <c r="D1982" s="5" t="s">
        <v>49</v>
      </c>
      <c r="E1982" s="5" t="s">
        <v>18453</v>
      </c>
      <c r="F1982" s="5" t="s">
        <v>11886</v>
      </c>
      <c r="G1982" s="5"/>
      <c r="H1982" s="5"/>
      <c r="I1982" s="5"/>
      <c r="J1982" s="5"/>
      <c r="K1982" s="5"/>
      <c r="L1982" s="5"/>
      <c r="M1982" s="5"/>
      <c r="N1982" s="5"/>
      <c r="O1982" s="5"/>
      <c r="P1982" s="5"/>
      <c r="Q1982" s="5"/>
      <c r="AL1982" s="7" t="str">
        <f>HYPERLINK("http://dx.doi.org/10.3354/meps11994","http://dx.doi.org/10.3354/meps11994")</f>
        <v>http://dx.doi.org/10.3354/meps11994</v>
      </c>
      <c r="AM1982" s="5">
        <v>28</v>
      </c>
      <c r="AN1982" s="5">
        <v>28</v>
      </c>
      <c r="AO1982" s="5">
        <v>565</v>
      </c>
      <c r="AP1982" s="5" t="s">
        <v>16</v>
      </c>
      <c r="AQ1982" s="5">
        <v>197</v>
      </c>
      <c r="AR1982" s="5">
        <v>215</v>
      </c>
      <c r="AS1982" s="5" t="s">
        <v>16</v>
      </c>
      <c r="AT1982" s="5" t="s">
        <v>11884</v>
      </c>
      <c r="AU1982" s="5" t="s">
        <v>11885</v>
      </c>
      <c r="AV1982" s="5" t="s">
        <v>11887</v>
      </c>
    </row>
    <row r="1983" spans="1:48" ht="45" customHeight="1" x14ac:dyDescent="0.15">
      <c r="A1983" s="5" t="s">
        <v>11888</v>
      </c>
      <c r="B1983" s="5">
        <v>1995</v>
      </c>
      <c r="C1983" s="5" t="s">
        <v>11889</v>
      </c>
      <c r="D1983" s="5" t="s">
        <v>262</v>
      </c>
      <c r="E1983" s="5" t="s">
        <v>18453</v>
      </c>
      <c r="F1983" s="5" t="s">
        <v>11891</v>
      </c>
      <c r="G1983" s="5"/>
      <c r="H1983" s="5"/>
      <c r="I1983" s="5"/>
      <c r="J1983" s="5"/>
      <c r="K1983" s="5"/>
      <c r="L1983" s="5"/>
      <c r="M1983" s="5"/>
      <c r="N1983" s="5"/>
      <c r="O1983" s="5"/>
      <c r="P1983" s="5"/>
      <c r="Q1983" s="5"/>
      <c r="AL1983" s="7" t="str">
        <f>HYPERLINK("http://dx.doi.org/10.2307/3545904","http://dx.doi.org/10.2307/3545904")</f>
        <v>http://dx.doi.org/10.2307/3545904</v>
      </c>
      <c r="AM1983" s="5">
        <v>83</v>
      </c>
      <c r="AN1983" s="5">
        <v>88</v>
      </c>
      <c r="AO1983" s="5">
        <v>73</v>
      </c>
      <c r="AP1983" s="5">
        <v>2</v>
      </c>
      <c r="AQ1983" s="5">
        <v>155</v>
      </c>
      <c r="AR1983" s="5">
        <v>166</v>
      </c>
      <c r="AS1983" s="5" t="s">
        <v>16</v>
      </c>
      <c r="AT1983" s="5" t="s">
        <v>16</v>
      </c>
      <c r="AU1983" s="5" t="s">
        <v>11890</v>
      </c>
      <c r="AV1983" s="5" t="s">
        <v>11892</v>
      </c>
    </row>
    <row r="1984" spans="1:48" ht="45" customHeight="1" x14ac:dyDescent="0.15">
      <c r="A1984" s="5" t="s">
        <v>11893</v>
      </c>
      <c r="B1984" s="5">
        <v>2010</v>
      </c>
      <c r="C1984" s="5" t="s">
        <v>11894</v>
      </c>
      <c r="D1984" s="5" t="s">
        <v>49</v>
      </c>
      <c r="E1984" s="5" t="s">
        <v>18453</v>
      </c>
      <c r="F1984" s="5" t="s">
        <v>11897</v>
      </c>
      <c r="G1984" s="5"/>
      <c r="H1984" s="5"/>
      <c r="I1984" s="5"/>
      <c r="J1984" s="5"/>
      <c r="K1984" s="5"/>
      <c r="L1984" s="5"/>
      <c r="M1984" s="5"/>
      <c r="N1984" s="5"/>
      <c r="O1984" s="5"/>
      <c r="P1984" s="5"/>
      <c r="Q1984" s="5"/>
      <c r="AL1984" s="7" t="str">
        <f>HYPERLINK("http://dx.doi.org/10.3354/meps08445","http://dx.doi.org/10.3354/meps08445")</f>
        <v>http://dx.doi.org/10.3354/meps08445</v>
      </c>
      <c r="AM1984" s="5">
        <v>33</v>
      </c>
      <c r="AN1984" s="5">
        <v>33</v>
      </c>
      <c r="AO1984" s="5">
        <v>402</v>
      </c>
      <c r="AP1984" s="5" t="s">
        <v>16</v>
      </c>
      <c r="AQ1984" s="5">
        <v>197</v>
      </c>
      <c r="AR1984" s="5">
        <v>212</v>
      </c>
      <c r="AS1984" s="5" t="s">
        <v>16</v>
      </c>
      <c r="AT1984" s="5" t="s">
        <v>11895</v>
      </c>
      <c r="AU1984" s="5" t="s">
        <v>11896</v>
      </c>
      <c r="AV1984" s="5" t="s">
        <v>11898</v>
      </c>
    </row>
    <row r="1985" spans="1:48" ht="45" customHeight="1" x14ac:dyDescent="0.15">
      <c r="A1985" s="5" t="s">
        <v>11899</v>
      </c>
      <c r="B1985" s="5">
        <v>2018</v>
      </c>
      <c r="C1985" s="5" t="s">
        <v>11900</v>
      </c>
      <c r="D1985" s="5" t="s">
        <v>49</v>
      </c>
      <c r="E1985" s="5" t="s">
        <v>18453</v>
      </c>
      <c r="F1985" s="5" t="s">
        <v>11903</v>
      </c>
      <c r="G1985" s="5"/>
      <c r="H1985" s="5"/>
      <c r="I1985" s="5"/>
      <c r="J1985" s="5"/>
      <c r="K1985" s="5"/>
      <c r="L1985" s="5"/>
      <c r="M1985" s="5"/>
      <c r="N1985" s="5"/>
      <c r="O1985" s="5"/>
      <c r="P1985" s="5"/>
      <c r="Q1985" s="5"/>
      <c r="AL1985" s="7" t="str">
        <f>HYPERLINK("http://dx.doi.org/10.3354/meps12419","http://dx.doi.org/10.3354/meps12419")</f>
        <v>http://dx.doi.org/10.3354/meps12419</v>
      </c>
      <c r="AM1985" s="5">
        <v>11</v>
      </c>
      <c r="AN1985" s="5">
        <v>11</v>
      </c>
      <c r="AO1985" s="5">
        <v>587</v>
      </c>
      <c r="AP1985" s="5" t="s">
        <v>16</v>
      </c>
      <c r="AQ1985" s="5">
        <v>31</v>
      </c>
      <c r="AR1985" s="5">
        <v>40</v>
      </c>
      <c r="AS1985" s="5" t="s">
        <v>16</v>
      </c>
      <c r="AT1985" s="5" t="s">
        <v>11901</v>
      </c>
      <c r="AU1985" s="5" t="s">
        <v>11902</v>
      </c>
      <c r="AV1985" s="5" t="s">
        <v>11904</v>
      </c>
    </row>
    <row r="1986" spans="1:48" ht="45" customHeight="1" x14ac:dyDescent="0.15">
      <c r="A1986" s="5" t="s">
        <v>11905</v>
      </c>
      <c r="B1986" s="5">
        <v>2012</v>
      </c>
      <c r="C1986" s="5" t="s">
        <v>11906</v>
      </c>
      <c r="D1986" s="5" t="s">
        <v>295</v>
      </c>
      <c r="E1986" s="5" t="s">
        <v>18453</v>
      </c>
      <c r="F1986" s="5" t="s">
        <v>11909</v>
      </c>
      <c r="G1986" s="5"/>
      <c r="H1986" s="5"/>
      <c r="I1986" s="5"/>
      <c r="J1986" s="5"/>
      <c r="K1986" s="5"/>
      <c r="L1986" s="5"/>
      <c r="M1986" s="5"/>
      <c r="N1986" s="5"/>
      <c r="O1986" s="5"/>
      <c r="P1986" s="5"/>
      <c r="Q1986" s="5"/>
      <c r="AL1986" s="7" t="str">
        <f>HYPERLINK("http://dx.doi.org/10.1016/j.jembe.2012.02.009","http://dx.doi.org/10.1016/j.jembe.2012.02.009")</f>
        <v>http://dx.doi.org/10.1016/j.jembe.2012.02.009</v>
      </c>
      <c r="AM1986" s="5">
        <v>25</v>
      </c>
      <c r="AN1986" s="5">
        <v>26</v>
      </c>
      <c r="AO1986" s="5">
        <v>416</v>
      </c>
      <c r="AP1986" s="5" t="s">
        <v>16</v>
      </c>
      <c r="AQ1986" s="5">
        <v>41</v>
      </c>
      <c r="AR1986" s="5">
        <v>54</v>
      </c>
      <c r="AS1986" s="5" t="s">
        <v>16</v>
      </c>
      <c r="AT1986" s="5" t="s">
        <v>11907</v>
      </c>
      <c r="AU1986" s="5" t="s">
        <v>11908</v>
      </c>
      <c r="AV1986" s="5" t="s">
        <v>11910</v>
      </c>
    </row>
    <row r="1987" spans="1:48" ht="45" customHeight="1" x14ac:dyDescent="0.15">
      <c r="A1987" s="5" t="s">
        <v>11911</v>
      </c>
      <c r="B1987" s="5">
        <v>2020</v>
      </c>
      <c r="C1987" s="5" t="s">
        <v>11912</v>
      </c>
      <c r="D1987" s="5" t="s">
        <v>3183</v>
      </c>
      <c r="E1987" s="5" t="s">
        <v>18453</v>
      </c>
      <c r="F1987" s="5" t="s">
        <v>11915</v>
      </c>
      <c r="G1987" s="5"/>
      <c r="H1987" s="5"/>
      <c r="I1987" s="5"/>
      <c r="J1987" s="5"/>
      <c r="K1987" s="5"/>
      <c r="L1987" s="5"/>
      <c r="M1987" s="5"/>
      <c r="N1987" s="5"/>
      <c r="O1987" s="5"/>
      <c r="P1987" s="5"/>
      <c r="Q1987" s="5"/>
      <c r="AL1987" s="7" t="str">
        <f>HYPERLINK("http://dx.doi.org/10.1016/j.pedobi.2020.150651","http://dx.doi.org/10.1016/j.pedobi.2020.150651")</f>
        <v>http://dx.doi.org/10.1016/j.pedobi.2020.150651</v>
      </c>
      <c r="AM1987" s="5">
        <v>5</v>
      </c>
      <c r="AN1987" s="5">
        <v>5</v>
      </c>
      <c r="AO1987" s="5" t="s">
        <v>11916</v>
      </c>
      <c r="AP1987" s="5" t="s">
        <v>16</v>
      </c>
      <c r="AQ1987" s="5" t="s">
        <v>16</v>
      </c>
      <c r="AR1987" s="5" t="s">
        <v>16</v>
      </c>
      <c r="AS1987" s="5">
        <v>150651</v>
      </c>
      <c r="AT1987" s="5" t="s">
        <v>11913</v>
      </c>
      <c r="AU1987" s="5" t="s">
        <v>11914</v>
      </c>
      <c r="AV1987" s="5" t="s">
        <v>11917</v>
      </c>
    </row>
    <row r="1988" spans="1:48" ht="45" customHeight="1" x14ac:dyDescent="0.15">
      <c r="A1988" s="5" t="s">
        <v>11918</v>
      </c>
      <c r="B1988" s="5">
        <v>2021</v>
      </c>
      <c r="C1988" s="5" t="s">
        <v>11919</v>
      </c>
      <c r="D1988" s="5" t="s">
        <v>172</v>
      </c>
      <c r="E1988" s="5" t="s">
        <v>18453</v>
      </c>
      <c r="F1988" s="5" t="s">
        <v>11922</v>
      </c>
      <c r="G1988" s="5"/>
      <c r="H1988" s="5"/>
      <c r="I1988" s="5"/>
      <c r="J1988" s="5"/>
      <c r="K1988" s="5"/>
      <c r="L1988" s="5"/>
      <c r="M1988" s="5"/>
      <c r="N1988" s="5"/>
      <c r="O1988" s="5"/>
      <c r="P1988" s="5"/>
      <c r="Q1988" s="5"/>
      <c r="AL1988" s="7" t="str">
        <f>HYPERLINK("http://dx.doi.org/10.1007/s00442-020-04827-1","http://dx.doi.org/10.1007/s00442-020-04827-1")</f>
        <v>http://dx.doi.org/10.1007/s00442-020-04827-1</v>
      </c>
      <c r="AM1988" s="5">
        <v>3</v>
      </c>
      <c r="AN1988" s="5">
        <v>3</v>
      </c>
      <c r="AO1988" s="5">
        <v>195</v>
      </c>
      <c r="AP1988" s="5">
        <v>1</v>
      </c>
      <c r="AQ1988" s="5">
        <v>37</v>
      </c>
      <c r="AR1988" s="5">
        <v>49</v>
      </c>
      <c r="AS1988" s="5" t="s">
        <v>16</v>
      </c>
      <c r="AT1988" s="5" t="s">
        <v>11920</v>
      </c>
      <c r="AU1988" s="5" t="s">
        <v>11921</v>
      </c>
      <c r="AV1988" s="5" t="s">
        <v>11923</v>
      </c>
    </row>
    <row r="1989" spans="1:48" ht="45" customHeight="1" x14ac:dyDescent="0.15">
      <c r="A1989" s="5" t="s">
        <v>11924</v>
      </c>
      <c r="B1989" s="5">
        <v>2022</v>
      </c>
      <c r="C1989" s="5" t="s">
        <v>11925</v>
      </c>
      <c r="D1989" s="5" t="s">
        <v>44</v>
      </c>
      <c r="E1989" s="5" t="s">
        <v>18453</v>
      </c>
      <c r="F1989" s="5" t="s">
        <v>11928</v>
      </c>
      <c r="G1989" s="5"/>
      <c r="H1989" s="5"/>
      <c r="I1989" s="5"/>
      <c r="J1989" s="5"/>
      <c r="K1989" s="5"/>
      <c r="L1989" s="5"/>
      <c r="M1989" s="5"/>
      <c r="N1989" s="5"/>
      <c r="O1989" s="5"/>
      <c r="P1989" s="5"/>
      <c r="Q1989" s="5"/>
      <c r="AL1989" s="7" t="str">
        <f>HYPERLINK("http://dx.doi.org/10.3389/fevo.2022.908131","http://dx.doi.org/10.3389/fevo.2022.908131")</f>
        <v>http://dx.doi.org/10.3389/fevo.2022.908131</v>
      </c>
      <c r="AM1989" s="5">
        <v>1</v>
      </c>
      <c r="AN1989" s="5">
        <v>1</v>
      </c>
      <c r="AO1989" s="5">
        <v>10</v>
      </c>
      <c r="AP1989" s="5" t="s">
        <v>16</v>
      </c>
      <c r="AQ1989" s="5" t="s">
        <v>16</v>
      </c>
      <c r="AR1989" s="5" t="s">
        <v>16</v>
      </c>
      <c r="AS1989" s="5">
        <v>908131</v>
      </c>
      <c r="AT1989" s="5" t="s">
        <v>11926</v>
      </c>
      <c r="AU1989" s="5" t="s">
        <v>11927</v>
      </c>
      <c r="AV1989" s="5" t="s">
        <v>11929</v>
      </c>
    </row>
    <row r="1990" spans="1:48" ht="45" customHeight="1" x14ac:dyDescent="0.15">
      <c r="A1990" s="5" t="s">
        <v>11930</v>
      </c>
      <c r="B1990" s="5">
        <v>2017</v>
      </c>
      <c r="C1990" s="5" t="s">
        <v>11931</v>
      </c>
      <c r="D1990" s="5" t="s">
        <v>2087</v>
      </c>
      <c r="E1990" s="5" t="s">
        <v>18453</v>
      </c>
      <c r="F1990" s="5" t="s">
        <v>11934</v>
      </c>
      <c r="G1990" s="5"/>
      <c r="H1990" s="5"/>
      <c r="I1990" s="5"/>
      <c r="J1990" s="5"/>
      <c r="K1990" s="5"/>
      <c r="L1990" s="5"/>
      <c r="M1990" s="5"/>
      <c r="N1990" s="5"/>
      <c r="O1990" s="5"/>
      <c r="P1990" s="5"/>
      <c r="Q1990" s="5"/>
      <c r="AL1990" s="7" t="str">
        <f>HYPERLINK("http://dx.doi.org/10.1002/eco.1808","http://dx.doi.org/10.1002/eco.1808")</f>
        <v>http://dx.doi.org/10.1002/eco.1808</v>
      </c>
      <c r="AM1990" s="5">
        <v>20</v>
      </c>
      <c r="AN1990" s="5">
        <v>20</v>
      </c>
      <c r="AO1990" s="5">
        <v>10</v>
      </c>
      <c r="AP1990" s="5">
        <v>3</v>
      </c>
      <c r="AQ1990" s="5" t="s">
        <v>16</v>
      </c>
      <c r="AR1990" s="5" t="s">
        <v>16</v>
      </c>
      <c r="AS1990" s="5" t="s">
        <v>11935</v>
      </c>
      <c r="AT1990" s="5" t="s">
        <v>11932</v>
      </c>
      <c r="AU1990" s="5" t="s">
        <v>11933</v>
      </c>
      <c r="AV1990" s="5" t="s">
        <v>11936</v>
      </c>
    </row>
    <row r="1991" spans="1:48" ht="45" customHeight="1" x14ac:dyDescent="0.15">
      <c r="A1991" s="5" t="s">
        <v>11937</v>
      </c>
      <c r="B1991" s="5">
        <v>2015</v>
      </c>
      <c r="C1991" s="5" t="s">
        <v>11938</v>
      </c>
      <c r="D1991" s="5" t="s">
        <v>296</v>
      </c>
      <c r="E1991" s="5" t="s">
        <v>18453</v>
      </c>
      <c r="F1991" s="5" t="s">
        <v>11941</v>
      </c>
      <c r="G1991" s="5"/>
      <c r="H1991" s="5"/>
      <c r="I1991" s="5"/>
      <c r="J1991" s="5"/>
      <c r="K1991" s="5"/>
      <c r="L1991" s="5"/>
      <c r="M1991" s="5"/>
      <c r="N1991" s="5"/>
      <c r="O1991" s="5"/>
      <c r="P1991" s="5"/>
      <c r="Q1991" s="5"/>
      <c r="AL1991" s="7" t="str">
        <f>HYPERLINK("http://dx.doi.org/10.1098/rspb.2015.0136","http://dx.doi.org/10.1098/rspb.2015.0136")</f>
        <v>http://dx.doi.org/10.1098/rspb.2015.0136</v>
      </c>
      <c r="AM1991" s="5">
        <v>21</v>
      </c>
      <c r="AN1991" s="5">
        <v>21</v>
      </c>
      <c r="AO1991" s="5">
        <v>282</v>
      </c>
      <c r="AP1991" s="5">
        <v>1809</v>
      </c>
      <c r="AQ1991" s="5" t="s">
        <v>16</v>
      </c>
      <c r="AR1991" s="5" t="s">
        <v>16</v>
      </c>
      <c r="AS1991" s="5">
        <v>20150136</v>
      </c>
      <c r="AT1991" s="5" t="s">
        <v>11939</v>
      </c>
      <c r="AU1991" s="5" t="s">
        <v>11940</v>
      </c>
      <c r="AV1991" s="5" t="s">
        <v>11942</v>
      </c>
    </row>
    <row r="1992" spans="1:48" ht="45" customHeight="1" x14ac:dyDescent="0.15">
      <c r="A1992" s="5" t="s">
        <v>11943</v>
      </c>
      <c r="B1992" s="5">
        <v>2019</v>
      </c>
      <c r="C1992" s="5" t="s">
        <v>11944</v>
      </c>
      <c r="D1992" s="5" t="s">
        <v>49</v>
      </c>
      <c r="E1992" s="5" t="s">
        <v>18453</v>
      </c>
      <c r="F1992" s="5" t="s">
        <v>11947</v>
      </c>
      <c r="G1992" s="5"/>
      <c r="H1992" s="5"/>
      <c r="I1992" s="5"/>
      <c r="J1992" s="5"/>
      <c r="K1992" s="5"/>
      <c r="L1992" s="5"/>
      <c r="M1992" s="5"/>
      <c r="N1992" s="5"/>
      <c r="O1992" s="5"/>
      <c r="P1992" s="5"/>
      <c r="Q1992" s="5"/>
      <c r="AL1992" s="7" t="str">
        <f>HYPERLINK("http://dx.doi.org/10.3354/meps12796","http://dx.doi.org/10.3354/meps12796")</f>
        <v>http://dx.doi.org/10.3354/meps12796</v>
      </c>
      <c r="AM1992" s="5">
        <v>9</v>
      </c>
      <c r="AN1992" s="5">
        <v>10</v>
      </c>
      <c r="AO1992" s="5">
        <v>608</v>
      </c>
      <c r="AP1992" s="5" t="s">
        <v>16</v>
      </c>
      <c r="AQ1992" s="5">
        <v>247</v>
      </c>
      <c r="AR1992" s="5">
        <v>262</v>
      </c>
      <c r="AS1992" s="5" t="s">
        <v>16</v>
      </c>
      <c r="AT1992" s="5" t="s">
        <v>11945</v>
      </c>
      <c r="AU1992" s="5" t="s">
        <v>11946</v>
      </c>
      <c r="AV1992" s="5" t="s">
        <v>11948</v>
      </c>
    </row>
    <row r="1993" spans="1:48" ht="45" customHeight="1" x14ac:dyDescent="0.15">
      <c r="A1993" s="5" t="s">
        <v>11949</v>
      </c>
      <c r="B1993" s="5">
        <v>2005</v>
      </c>
      <c r="C1993" s="5" t="s">
        <v>11950</v>
      </c>
      <c r="D1993" s="5" t="s">
        <v>1531</v>
      </c>
      <c r="E1993" s="5" t="s">
        <v>18453</v>
      </c>
      <c r="F1993" s="5" t="s">
        <v>11953</v>
      </c>
      <c r="G1993" s="5"/>
      <c r="H1993" s="5"/>
      <c r="I1993" s="5"/>
      <c r="J1993" s="5"/>
      <c r="K1993" s="5"/>
      <c r="L1993" s="5"/>
      <c r="M1993" s="5"/>
      <c r="N1993" s="5"/>
      <c r="O1993" s="5"/>
      <c r="P1993" s="5"/>
      <c r="Q1993" s="5"/>
      <c r="AL1993" s="7" t="str">
        <f>HYPERLINK("http://dx.doi.org/10.1899/03-097.1","http://dx.doi.org/10.1899/03-097.1")</f>
        <v>http://dx.doi.org/10.1899/03-097.1</v>
      </c>
      <c r="AM1993" s="5">
        <v>69</v>
      </c>
      <c r="AN1993" s="5">
        <v>72</v>
      </c>
      <c r="AO1993" s="5">
        <v>24</v>
      </c>
      <c r="AP1993" s="5">
        <v>2</v>
      </c>
      <c r="AQ1993" s="5">
        <v>300</v>
      </c>
      <c r="AR1993" s="5">
        <v>320</v>
      </c>
      <c r="AS1993" s="5" t="s">
        <v>16</v>
      </c>
      <c r="AT1993" s="5" t="s">
        <v>11951</v>
      </c>
      <c r="AU1993" s="5" t="s">
        <v>11952</v>
      </c>
      <c r="AV1993" s="5" t="s">
        <v>11954</v>
      </c>
    </row>
    <row r="1994" spans="1:48" ht="45" customHeight="1" x14ac:dyDescent="0.15">
      <c r="A1994" s="5" t="s">
        <v>11955</v>
      </c>
      <c r="B1994" s="5">
        <v>2017</v>
      </c>
      <c r="C1994" s="5" t="s">
        <v>11956</v>
      </c>
      <c r="D1994" s="5" t="s">
        <v>312</v>
      </c>
      <c r="E1994" s="5" t="s">
        <v>18453</v>
      </c>
      <c r="F1994" s="5" t="s">
        <v>11959</v>
      </c>
      <c r="G1994" s="5"/>
      <c r="H1994" s="5"/>
      <c r="I1994" s="5"/>
      <c r="J1994" s="5"/>
      <c r="K1994" s="5"/>
      <c r="L1994" s="5"/>
      <c r="M1994" s="5"/>
      <c r="N1994" s="5"/>
      <c r="O1994" s="5"/>
      <c r="P1994" s="5"/>
      <c r="Q1994" s="5"/>
      <c r="AL1994" s="7" t="str">
        <f>HYPERLINK("http://dx.doi.org/10.1016/j.ecolmodel.2017.05.029","http://dx.doi.org/10.1016/j.ecolmodel.2017.05.029")</f>
        <v>http://dx.doi.org/10.1016/j.ecolmodel.2017.05.029</v>
      </c>
      <c r="AM1994" s="5">
        <v>4</v>
      </c>
      <c r="AN1994" s="5">
        <v>4</v>
      </c>
      <c r="AO1994" s="5">
        <v>359</v>
      </c>
      <c r="AP1994" s="5" t="s">
        <v>16</v>
      </c>
      <c r="AQ1994" s="5">
        <v>220</v>
      </c>
      <c r="AR1994" s="5">
        <v>228</v>
      </c>
      <c r="AS1994" s="5" t="s">
        <v>16</v>
      </c>
      <c r="AT1994" s="5" t="s">
        <v>11957</v>
      </c>
      <c r="AU1994" s="5" t="s">
        <v>11958</v>
      </c>
      <c r="AV1994" s="5" t="s">
        <v>11960</v>
      </c>
    </row>
    <row r="1995" spans="1:48" ht="45" customHeight="1" x14ac:dyDescent="0.15">
      <c r="A1995" s="5" t="s">
        <v>11961</v>
      </c>
      <c r="B1995" s="5">
        <v>2013</v>
      </c>
      <c r="C1995" s="5" t="s">
        <v>11962</v>
      </c>
      <c r="D1995" s="5" t="s">
        <v>296</v>
      </c>
      <c r="E1995" s="5" t="s">
        <v>18453</v>
      </c>
      <c r="F1995" s="5" t="s">
        <v>11965</v>
      </c>
      <c r="G1995" s="5"/>
      <c r="H1995" s="5"/>
      <c r="I1995" s="5"/>
      <c r="J1995" s="5"/>
      <c r="K1995" s="5"/>
      <c r="L1995" s="5"/>
      <c r="M1995" s="5"/>
      <c r="N1995" s="5"/>
      <c r="O1995" s="5"/>
      <c r="P1995" s="5"/>
      <c r="Q1995" s="5"/>
      <c r="AL1995" s="7" t="str">
        <f>HYPERLINK("http://dx.doi.org/10.1098/rspb.2013.0870","http://dx.doi.org/10.1098/rspb.2013.0870")</f>
        <v>http://dx.doi.org/10.1098/rspb.2013.0870</v>
      </c>
      <c r="AM1995" s="5">
        <v>46</v>
      </c>
      <c r="AN1995" s="5">
        <v>46</v>
      </c>
      <c r="AO1995" s="5">
        <v>280</v>
      </c>
      <c r="AP1995" s="5">
        <v>1762</v>
      </c>
      <c r="AQ1995" s="5" t="s">
        <v>16</v>
      </c>
      <c r="AR1995" s="5" t="s">
        <v>16</v>
      </c>
      <c r="AS1995" s="5">
        <v>20130870</v>
      </c>
      <c r="AT1995" s="5" t="s">
        <v>11963</v>
      </c>
      <c r="AU1995" s="5" t="s">
        <v>11964</v>
      </c>
      <c r="AV1995" s="5" t="s">
        <v>11966</v>
      </c>
    </row>
    <row r="1996" spans="1:48" ht="45" customHeight="1" x14ac:dyDescent="0.15">
      <c r="A1996" s="5" t="s">
        <v>11967</v>
      </c>
      <c r="B1996" s="5">
        <v>2014</v>
      </c>
      <c r="C1996" s="5" t="s">
        <v>11968</v>
      </c>
      <c r="D1996" s="5" t="s">
        <v>1765</v>
      </c>
      <c r="E1996" s="5" t="s">
        <v>18453</v>
      </c>
      <c r="F1996" s="5" t="s">
        <v>11971</v>
      </c>
      <c r="G1996" s="5"/>
      <c r="H1996" s="5"/>
      <c r="I1996" s="5"/>
      <c r="J1996" s="5"/>
      <c r="K1996" s="5"/>
      <c r="L1996" s="5"/>
      <c r="M1996" s="5"/>
      <c r="N1996" s="5"/>
      <c r="O1996" s="5"/>
      <c r="P1996" s="5"/>
      <c r="Q1996" s="5"/>
      <c r="AL1996" s="7" t="str">
        <f>HYPERLINK("http://dx.doi.org/10.1016/j.agee.2014.04.013","http://dx.doi.org/10.1016/j.agee.2014.04.013")</f>
        <v>http://dx.doi.org/10.1016/j.agee.2014.04.013</v>
      </c>
      <c r="AM1996" s="5">
        <v>35</v>
      </c>
      <c r="AN1996" s="5">
        <v>37</v>
      </c>
      <c r="AO1996" s="5">
        <v>192</v>
      </c>
      <c r="AP1996" s="5" t="s">
        <v>16</v>
      </c>
      <c r="AQ1996" s="5">
        <v>135</v>
      </c>
      <c r="AR1996" s="5">
        <v>143</v>
      </c>
      <c r="AS1996" s="5" t="s">
        <v>16</v>
      </c>
      <c r="AT1996" s="5" t="s">
        <v>11969</v>
      </c>
      <c r="AU1996" s="5" t="s">
        <v>11970</v>
      </c>
      <c r="AV1996" s="5" t="s">
        <v>11972</v>
      </c>
    </row>
    <row r="1997" spans="1:48" ht="45" customHeight="1" x14ac:dyDescent="0.15">
      <c r="A1997" s="5" t="s">
        <v>11973</v>
      </c>
      <c r="B1997" s="5">
        <v>2003</v>
      </c>
      <c r="C1997" s="5" t="s">
        <v>11974</v>
      </c>
      <c r="D1997" s="5" t="s">
        <v>49</v>
      </c>
      <c r="E1997" s="5" t="s">
        <v>18453</v>
      </c>
      <c r="F1997" s="5" t="s">
        <v>11977</v>
      </c>
      <c r="G1997" s="5"/>
      <c r="H1997" s="5"/>
      <c r="I1997" s="5"/>
      <c r="J1997" s="5"/>
      <c r="K1997" s="5"/>
      <c r="L1997" s="5"/>
      <c r="M1997" s="5"/>
      <c r="N1997" s="5"/>
      <c r="O1997" s="5"/>
      <c r="P1997" s="5"/>
      <c r="Q1997" s="5"/>
      <c r="AL1997" s="7" t="str">
        <f>HYPERLINK("http://dx.doi.org/10.3354/meps259079","http://dx.doi.org/10.3354/meps259079")</f>
        <v>http://dx.doi.org/10.3354/meps259079</v>
      </c>
      <c r="AM1997" s="5">
        <v>154</v>
      </c>
      <c r="AN1997" s="5">
        <v>166</v>
      </c>
      <c r="AO1997" s="5">
        <v>259</v>
      </c>
      <c r="AP1997" s="5" t="s">
        <v>16</v>
      </c>
      <c r="AQ1997" s="5">
        <v>79</v>
      </c>
      <c r="AR1997" s="5">
        <v>92</v>
      </c>
      <c r="AS1997" s="5" t="s">
        <v>16</v>
      </c>
      <c r="AT1997" s="5" t="s">
        <v>11975</v>
      </c>
      <c r="AU1997" s="5" t="s">
        <v>11976</v>
      </c>
      <c r="AV1997" s="5" t="s">
        <v>11978</v>
      </c>
    </row>
    <row r="1998" spans="1:48" ht="45" customHeight="1" x14ac:dyDescent="0.15">
      <c r="A1998" s="5" t="s">
        <v>11979</v>
      </c>
      <c r="B1998" s="5">
        <v>2015</v>
      </c>
      <c r="C1998" s="5" t="s">
        <v>11980</v>
      </c>
      <c r="D1998" s="5" t="s">
        <v>17</v>
      </c>
      <c r="E1998" s="5" t="s">
        <v>18453</v>
      </c>
      <c r="F1998" s="5" t="s">
        <v>11983</v>
      </c>
      <c r="G1998" s="5"/>
      <c r="H1998" s="5"/>
      <c r="I1998" s="5"/>
      <c r="J1998" s="5"/>
      <c r="K1998" s="5"/>
      <c r="L1998" s="5"/>
      <c r="M1998" s="5"/>
      <c r="N1998" s="5"/>
      <c r="O1998" s="5"/>
      <c r="P1998" s="5"/>
      <c r="Q1998" s="5"/>
      <c r="AL1998" s="7" t="str">
        <f>HYPERLINK("http://dx.doi.org/10.1111/fwb.12542","http://dx.doi.org/10.1111/fwb.12542")</f>
        <v>http://dx.doi.org/10.1111/fwb.12542</v>
      </c>
      <c r="AM1998" s="5">
        <v>33</v>
      </c>
      <c r="AN1998" s="5">
        <v>38</v>
      </c>
      <c r="AO1998" s="5">
        <v>60</v>
      </c>
      <c r="AP1998" s="5">
        <v>5</v>
      </c>
      <c r="AQ1998" s="5">
        <v>893</v>
      </c>
      <c r="AR1998" s="5">
        <v>902</v>
      </c>
      <c r="AS1998" s="5" t="s">
        <v>16</v>
      </c>
      <c r="AT1998" s="5" t="s">
        <v>11981</v>
      </c>
      <c r="AU1998" s="5" t="s">
        <v>11982</v>
      </c>
      <c r="AV1998" s="5" t="s">
        <v>11984</v>
      </c>
    </row>
    <row r="1999" spans="1:48" ht="45" customHeight="1" x14ac:dyDescent="0.15">
      <c r="A1999" s="5" t="s">
        <v>11985</v>
      </c>
      <c r="B1999" s="5">
        <v>1986</v>
      </c>
      <c r="C1999" s="5" t="s">
        <v>11986</v>
      </c>
      <c r="D1999" s="5" t="s">
        <v>11987</v>
      </c>
      <c r="E1999" s="5" t="s">
        <v>18453</v>
      </c>
      <c r="F1999" s="5" t="s">
        <v>16</v>
      </c>
      <c r="G1999" s="5"/>
      <c r="H1999" s="5"/>
      <c r="I1999" s="5"/>
      <c r="J1999" s="5"/>
      <c r="K1999" s="5"/>
      <c r="L1999" s="5"/>
      <c r="M1999" s="5"/>
      <c r="N1999" s="5"/>
      <c r="O1999" s="5"/>
      <c r="P1999" s="5"/>
      <c r="Q1999" s="5"/>
      <c r="AL1999" s="7" t="str">
        <f>HYPERLINK("http://dx.doi.org/10.1007/BF01020565","http://dx.doi.org/10.1007/BF01020565")</f>
        <v>http://dx.doi.org/10.1007/BF01020565</v>
      </c>
      <c r="AM1999" s="5">
        <v>32</v>
      </c>
      <c r="AN1999" s="5">
        <v>33</v>
      </c>
      <c r="AO1999" s="5">
        <v>12</v>
      </c>
      <c r="AP1999" s="5">
        <v>2</v>
      </c>
      <c r="AQ1999" s="5">
        <v>431</v>
      </c>
      <c r="AR1999" s="5">
        <v>450</v>
      </c>
      <c r="AS1999" s="5" t="s">
        <v>16</v>
      </c>
      <c r="AT1999" s="5" t="s">
        <v>16</v>
      </c>
      <c r="AU1999" s="5" t="s">
        <v>16</v>
      </c>
      <c r="AV1999" s="5" t="s">
        <v>11988</v>
      </c>
    </row>
    <row r="2000" spans="1:48" ht="45" customHeight="1" x14ac:dyDescent="0.15">
      <c r="A2000" s="5" t="s">
        <v>11989</v>
      </c>
      <c r="B2000" s="5">
        <v>2017</v>
      </c>
      <c r="C2000" s="5" t="s">
        <v>11990</v>
      </c>
      <c r="D2000" s="5" t="s">
        <v>2437</v>
      </c>
      <c r="E2000" s="5" t="s">
        <v>18453</v>
      </c>
      <c r="F2000" s="5" t="s">
        <v>11993</v>
      </c>
      <c r="G2000" s="5"/>
      <c r="H2000" s="5"/>
      <c r="I2000" s="5"/>
      <c r="J2000" s="5"/>
      <c r="K2000" s="5"/>
      <c r="L2000" s="5"/>
      <c r="M2000" s="5"/>
      <c r="N2000" s="5"/>
      <c r="O2000" s="5"/>
      <c r="P2000" s="5"/>
      <c r="Q2000" s="5"/>
      <c r="AL2000" s="7" t="str">
        <f>HYPERLINK("http://dx.doi.org/10.1002/ecm.1262","http://dx.doi.org/10.1002/ecm.1262")</f>
        <v>http://dx.doi.org/10.1002/ecm.1262</v>
      </c>
      <c r="AM2000" s="5">
        <v>70</v>
      </c>
      <c r="AN2000" s="5">
        <v>80</v>
      </c>
      <c r="AO2000" s="5">
        <v>87</v>
      </c>
      <c r="AP2000" s="5">
        <v>3</v>
      </c>
      <c r="AQ2000" s="5">
        <v>457</v>
      </c>
      <c r="AR2000" s="5">
        <v>469</v>
      </c>
      <c r="AS2000" s="5" t="s">
        <v>16</v>
      </c>
      <c r="AT2000" s="5" t="s">
        <v>11991</v>
      </c>
      <c r="AU2000" s="5" t="s">
        <v>11992</v>
      </c>
      <c r="AV2000" s="5" t="s">
        <v>11994</v>
      </c>
    </row>
    <row r="2001" spans="1:48" ht="45" customHeight="1" x14ac:dyDescent="0.15">
      <c r="A2001" s="5" t="s">
        <v>11995</v>
      </c>
      <c r="B2001" s="5">
        <v>2010</v>
      </c>
      <c r="C2001" s="5" t="s">
        <v>11996</v>
      </c>
      <c r="D2001" s="5" t="s">
        <v>49</v>
      </c>
      <c r="E2001" s="5" t="s">
        <v>18453</v>
      </c>
      <c r="F2001" s="5" t="s">
        <v>11999</v>
      </c>
      <c r="G2001" s="5"/>
      <c r="H2001" s="5"/>
      <c r="I2001" s="5"/>
      <c r="J2001" s="5"/>
      <c r="K2001" s="5"/>
      <c r="L2001" s="5"/>
      <c r="M2001" s="5"/>
      <c r="N2001" s="5"/>
      <c r="O2001" s="5"/>
      <c r="P2001" s="5"/>
      <c r="Q2001" s="5"/>
      <c r="AL2001" s="7" t="str">
        <f>HYPERLINK("http://dx.doi.org/10.3354/meps08737","http://dx.doi.org/10.3354/meps08737")</f>
        <v>http://dx.doi.org/10.3354/meps08737</v>
      </c>
      <c r="AM2001" s="5">
        <v>12</v>
      </c>
      <c r="AN2001" s="5">
        <v>12</v>
      </c>
      <c r="AO2001" s="5">
        <v>414</v>
      </c>
      <c r="AP2001" s="5" t="s">
        <v>16</v>
      </c>
      <c r="AQ2001" s="5">
        <v>145</v>
      </c>
      <c r="AR2001" s="5">
        <v>153</v>
      </c>
      <c r="AS2001" s="5" t="s">
        <v>16</v>
      </c>
      <c r="AT2001" s="5" t="s">
        <v>11997</v>
      </c>
      <c r="AU2001" s="5" t="s">
        <v>11998</v>
      </c>
      <c r="AV2001" s="5" t="s">
        <v>12000</v>
      </c>
    </row>
    <row r="2002" spans="1:48" ht="45" customHeight="1" x14ac:dyDescent="0.15">
      <c r="A2002" s="5" t="s">
        <v>12001</v>
      </c>
      <c r="B2002" s="5">
        <v>2013</v>
      </c>
      <c r="C2002" s="5" t="s">
        <v>12002</v>
      </c>
      <c r="D2002" s="5" t="s">
        <v>18</v>
      </c>
      <c r="E2002" s="5" t="s">
        <v>18453</v>
      </c>
      <c r="F2002" s="5" t="s">
        <v>12005</v>
      </c>
      <c r="G2002" s="5"/>
      <c r="H2002" s="5"/>
      <c r="I2002" s="5"/>
      <c r="J2002" s="5"/>
      <c r="K2002" s="5"/>
      <c r="L2002" s="5"/>
      <c r="M2002" s="5"/>
      <c r="N2002" s="5"/>
      <c r="O2002" s="5"/>
      <c r="P2002" s="5"/>
      <c r="Q2002" s="5"/>
      <c r="AL2002" s="7" t="str">
        <f>HYPERLINK("http://dx.doi.org/10.1890/ES12-00322.1","http://dx.doi.org/10.1890/ES12-00322.1")</f>
        <v>http://dx.doi.org/10.1890/ES12-00322.1</v>
      </c>
      <c r="AM2002" s="5">
        <v>52</v>
      </c>
      <c r="AN2002" s="5">
        <v>57</v>
      </c>
      <c r="AO2002" s="5">
        <v>4</v>
      </c>
      <c r="AP2002" s="5">
        <v>1</v>
      </c>
      <c r="AQ2002" s="5" t="s">
        <v>16</v>
      </c>
      <c r="AR2002" s="5" t="s">
        <v>16</v>
      </c>
      <c r="AS2002" s="5">
        <v>14</v>
      </c>
      <c r="AT2002" s="5" t="s">
        <v>12003</v>
      </c>
      <c r="AU2002" s="5" t="s">
        <v>12004</v>
      </c>
      <c r="AV2002" s="5" t="s">
        <v>12006</v>
      </c>
    </row>
    <row r="2003" spans="1:48" ht="45" customHeight="1" x14ac:dyDescent="0.15">
      <c r="A2003" s="5" t="s">
        <v>4589</v>
      </c>
      <c r="B2003" s="5">
        <v>2019</v>
      </c>
      <c r="C2003" s="5" t="s">
        <v>12007</v>
      </c>
      <c r="D2003" s="5" t="s">
        <v>49</v>
      </c>
      <c r="E2003" s="5" t="s">
        <v>18453</v>
      </c>
      <c r="F2003" s="5" t="s">
        <v>12010</v>
      </c>
      <c r="G2003" s="5"/>
      <c r="H2003" s="5"/>
      <c r="I2003" s="5"/>
      <c r="J2003" s="5"/>
      <c r="K2003" s="5"/>
      <c r="L2003" s="5"/>
      <c r="M2003" s="5"/>
      <c r="N2003" s="5"/>
      <c r="O2003" s="5"/>
      <c r="P2003" s="5"/>
      <c r="Q2003" s="5"/>
      <c r="AL2003" s="7" t="str">
        <f>HYPERLINK("http://dx.doi.org/10.3354/meps12893","http://dx.doi.org/10.3354/meps12893")</f>
        <v>http://dx.doi.org/10.3354/meps12893</v>
      </c>
      <c r="AM2003" s="5">
        <v>8</v>
      </c>
      <c r="AN2003" s="5">
        <v>8</v>
      </c>
      <c r="AO2003" s="5">
        <v>613</v>
      </c>
      <c r="AP2003" s="5" t="s">
        <v>16</v>
      </c>
      <c r="AQ2003" s="5">
        <v>211</v>
      </c>
      <c r="AR2003" s="5">
        <v>216</v>
      </c>
      <c r="AS2003" s="5" t="s">
        <v>16</v>
      </c>
      <c r="AT2003" s="5" t="s">
        <v>12008</v>
      </c>
      <c r="AU2003" s="5" t="s">
        <v>12009</v>
      </c>
      <c r="AV2003" s="5" t="s">
        <v>12011</v>
      </c>
    </row>
    <row r="2004" spans="1:48" ht="45" customHeight="1" x14ac:dyDescent="0.15">
      <c r="A2004" s="5" t="s">
        <v>12012</v>
      </c>
      <c r="B2004" s="5">
        <v>2018</v>
      </c>
      <c r="C2004" s="5" t="s">
        <v>12013</v>
      </c>
      <c r="D2004" s="5" t="s">
        <v>49</v>
      </c>
      <c r="E2004" s="5" t="s">
        <v>18453</v>
      </c>
      <c r="F2004" s="5" t="s">
        <v>12016</v>
      </c>
      <c r="G2004" s="5"/>
      <c r="H2004" s="5"/>
      <c r="I2004" s="5"/>
      <c r="J2004" s="5"/>
      <c r="K2004" s="5"/>
      <c r="L2004" s="5"/>
      <c r="M2004" s="5"/>
      <c r="N2004" s="5"/>
      <c r="O2004" s="5"/>
      <c r="P2004" s="5"/>
      <c r="Q2004" s="5"/>
      <c r="AL2004" s="7" t="str">
        <f>HYPERLINK("http://dx.doi.org/10.3354/meps12768","http://dx.doi.org/10.3354/meps12768")</f>
        <v>http://dx.doi.org/10.3354/meps12768</v>
      </c>
      <c r="AM2004" s="5">
        <v>16</v>
      </c>
      <c r="AN2004" s="5">
        <v>18</v>
      </c>
      <c r="AO2004" s="5">
        <v>607</v>
      </c>
      <c r="AP2004" s="5" t="s">
        <v>16</v>
      </c>
      <c r="AQ2004" s="5">
        <v>99</v>
      </c>
      <c r="AR2004" s="5">
        <v>112</v>
      </c>
      <c r="AS2004" s="5" t="s">
        <v>16</v>
      </c>
      <c r="AT2004" s="5" t="s">
        <v>12014</v>
      </c>
      <c r="AU2004" s="5" t="s">
        <v>12015</v>
      </c>
      <c r="AV2004" s="5" t="s">
        <v>12017</v>
      </c>
    </row>
    <row r="2005" spans="1:48" ht="45" customHeight="1" x14ac:dyDescent="0.15">
      <c r="A2005" s="5" t="s">
        <v>12018</v>
      </c>
      <c r="B2005" s="5">
        <v>2019</v>
      </c>
      <c r="C2005" s="5" t="s">
        <v>12019</v>
      </c>
      <c r="D2005" s="5" t="s">
        <v>17</v>
      </c>
      <c r="E2005" s="5" t="s">
        <v>18453</v>
      </c>
      <c r="F2005" s="5" t="s">
        <v>12022</v>
      </c>
      <c r="G2005" s="5"/>
      <c r="H2005" s="5"/>
      <c r="I2005" s="5"/>
      <c r="J2005" s="5"/>
      <c r="K2005" s="5"/>
      <c r="L2005" s="5"/>
      <c r="M2005" s="5"/>
      <c r="N2005" s="5"/>
      <c r="O2005" s="5"/>
      <c r="P2005" s="5"/>
      <c r="Q2005" s="5"/>
      <c r="AL2005" s="7" t="str">
        <f>HYPERLINK("http://dx.doi.org/10.1111/fwb.13214","http://dx.doi.org/10.1111/fwb.13214")</f>
        <v>http://dx.doi.org/10.1111/fwb.13214</v>
      </c>
      <c r="AM2005" s="5">
        <v>26</v>
      </c>
      <c r="AN2005" s="5">
        <v>26</v>
      </c>
      <c r="AO2005" s="5">
        <v>64</v>
      </c>
      <c r="AP2005" s="5">
        <v>2</v>
      </c>
      <c r="AQ2005" s="5">
        <v>269</v>
      </c>
      <c r="AR2005" s="5">
        <v>283</v>
      </c>
      <c r="AS2005" s="5" t="s">
        <v>16</v>
      </c>
      <c r="AT2005" s="5" t="s">
        <v>12020</v>
      </c>
      <c r="AU2005" s="5" t="s">
        <v>12021</v>
      </c>
      <c r="AV2005" s="5" t="s">
        <v>12023</v>
      </c>
    </row>
    <row r="2006" spans="1:48" ht="45" customHeight="1" x14ac:dyDescent="0.15">
      <c r="A2006" s="5" t="s">
        <v>12024</v>
      </c>
      <c r="B2006" s="5">
        <v>2022</v>
      </c>
      <c r="C2006" s="5" t="s">
        <v>12025</v>
      </c>
      <c r="D2006" s="5" t="s">
        <v>57</v>
      </c>
      <c r="E2006" s="5" t="s">
        <v>18453</v>
      </c>
      <c r="F2006" s="5" t="s">
        <v>12028</v>
      </c>
      <c r="G2006" s="5"/>
      <c r="H2006" s="5"/>
      <c r="I2006" s="5"/>
      <c r="J2006" s="5"/>
      <c r="K2006" s="5"/>
      <c r="L2006" s="5"/>
      <c r="M2006" s="5"/>
      <c r="N2006" s="5"/>
      <c r="O2006" s="5"/>
      <c r="P2006" s="5"/>
      <c r="Q2006" s="5"/>
      <c r="AL2006" s="7" t="str">
        <f>HYPERLINK("http://dx.doi.org/10.1098/rsbl.2021.0676","http://dx.doi.org/10.1098/rsbl.2021.0676")</f>
        <v>http://dx.doi.org/10.1098/rsbl.2021.0676</v>
      </c>
      <c r="AM2006" s="5">
        <v>1</v>
      </c>
      <c r="AN2006" s="5">
        <v>1</v>
      </c>
      <c r="AO2006" s="5">
        <v>18</v>
      </c>
      <c r="AP2006" s="5">
        <v>4</v>
      </c>
      <c r="AQ2006" s="5" t="s">
        <v>16</v>
      </c>
      <c r="AR2006" s="5" t="s">
        <v>16</v>
      </c>
      <c r="AS2006" s="5">
        <v>20210676</v>
      </c>
      <c r="AT2006" s="5" t="s">
        <v>12026</v>
      </c>
      <c r="AU2006" s="5" t="s">
        <v>12027</v>
      </c>
      <c r="AV2006" s="5" t="s">
        <v>12029</v>
      </c>
    </row>
    <row r="2007" spans="1:48" ht="45" customHeight="1" x14ac:dyDescent="0.15">
      <c r="A2007" s="5" t="s">
        <v>12030</v>
      </c>
      <c r="B2007" s="5">
        <v>2015</v>
      </c>
      <c r="C2007" s="5" t="s">
        <v>12031</v>
      </c>
      <c r="D2007" s="5" t="s">
        <v>190</v>
      </c>
      <c r="E2007" s="5" t="s">
        <v>18453</v>
      </c>
      <c r="F2007" s="5" t="s">
        <v>12034</v>
      </c>
      <c r="G2007" s="5"/>
      <c r="H2007" s="5"/>
      <c r="I2007" s="5"/>
      <c r="J2007" s="5"/>
      <c r="K2007" s="5"/>
      <c r="L2007" s="5"/>
      <c r="M2007" s="5"/>
      <c r="N2007" s="5"/>
      <c r="O2007" s="5"/>
      <c r="P2007" s="5"/>
      <c r="Q2007" s="5"/>
      <c r="AL2007" s="7" t="str">
        <f>HYPERLINK("http://dx.doi.org/10.1007/s10530-015-0929-9","http://dx.doi.org/10.1007/s10530-015-0929-9")</f>
        <v>http://dx.doi.org/10.1007/s10530-015-0929-9</v>
      </c>
      <c r="AM2007" s="5">
        <v>30</v>
      </c>
      <c r="AN2007" s="5">
        <v>30</v>
      </c>
      <c r="AO2007" s="5">
        <v>17</v>
      </c>
      <c r="AP2007" s="5">
        <v>10</v>
      </c>
      <c r="AQ2007" s="5">
        <v>2999</v>
      </c>
      <c r="AR2007" s="5">
        <v>3014</v>
      </c>
      <c r="AS2007" s="5" t="s">
        <v>16</v>
      </c>
      <c r="AT2007" s="5" t="s">
        <v>12032</v>
      </c>
      <c r="AU2007" s="5" t="s">
        <v>12033</v>
      </c>
      <c r="AV2007" s="5" t="s">
        <v>12035</v>
      </c>
    </row>
    <row r="2008" spans="1:48" ht="45" customHeight="1" x14ac:dyDescent="0.15">
      <c r="A2008" s="5" t="s">
        <v>12036</v>
      </c>
      <c r="B2008" s="5">
        <v>2015</v>
      </c>
      <c r="C2008" s="5" t="s">
        <v>12037</v>
      </c>
      <c r="D2008" s="5" t="s">
        <v>289</v>
      </c>
      <c r="E2008" s="5" t="s">
        <v>18453</v>
      </c>
      <c r="F2008" s="5" t="s">
        <v>12040</v>
      </c>
      <c r="G2008" s="5"/>
      <c r="H2008" s="5"/>
      <c r="I2008" s="5"/>
      <c r="J2008" s="5"/>
      <c r="K2008" s="5"/>
      <c r="L2008" s="5"/>
      <c r="M2008" s="5"/>
      <c r="N2008" s="5"/>
      <c r="O2008" s="5"/>
      <c r="P2008" s="5"/>
      <c r="Q2008" s="5"/>
      <c r="AL2008" s="7" t="str">
        <f>HYPERLINK("http://dx.doi.org/10.1111/1365-2745.12365","http://dx.doi.org/10.1111/1365-2745.12365")</f>
        <v>http://dx.doi.org/10.1111/1365-2745.12365</v>
      </c>
      <c r="AM2008" s="5">
        <v>22</v>
      </c>
      <c r="AN2008" s="5">
        <v>22</v>
      </c>
      <c r="AO2008" s="5">
        <v>103</v>
      </c>
      <c r="AP2008" s="5">
        <v>2</v>
      </c>
      <c r="AQ2008" s="5">
        <v>459</v>
      </c>
      <c r="AR2008" s="5">
        <v>472</v>
      </c>
      <c r="AS2008" s="5" t="s">
        <v>16</v>
      </c>
      <c r="AT2008" s="5" t="s">
        <v>12038</v>
      </c>
      <c r="AU2008" s="5" t="s">
        <v>12039</v>
      </c>
      <c r="AV2008" s="5" t="s">
        <v>12041</v>
      </c>
    </row>
    <row r="2009" spans="1:48" ht="45" customHeight="1" x14ac:dyDescent="0.15">
      <c r="A2009" s="5" t="s">
        <v>12042</v>
      </c>
      <c r="B2009" s="5">
        <v>2009</v>
      </c>
      <c r="C2009" s="5" t="s">
        <v>12043</v>
      </c>
      <c r="D2009" s="5" t="s">
        <v>82</v>
      </c>
      <c r="E2009" s="5" t="s">
        <v>18453</v>
      </c>
      <c r="F2009" s="5" t="s">
        <v>12046</v>
      </c>
      <c r="G2009" s="5"/>
      <c r="H2009" s="5"/>
      <c r="I2009" s="5"/>
      <c r="J2009" s="5"/>
      <c r="K2009" s="5"/>
      <c r="L2009" s="5"/>
      <c r="M2009" s="5"/>
      <c r="N2009" s="5"/>
      <c r="O2009" s="5"/>
      <c r="P2009" s="5"/>
      <c r="Q2009" s="5"/>
      <c r="AL2009" s="7" t="str">
        <f>HYPERLINK("http://dx.doi.org/10.1890/08-0310.1","http://dx.doi.org/10.1890/08-0310.1")</f>
        <v>http://dx.doi.org/10.1890/08-0310.1</v>
      </c>
      <c r="AM2009" s="5">
        <v>58</v>
      </c>
      <c r="AN2009" s="5">
        <v>58</v>
      </c>
      <c r="AO2009" s="5">
        <v>19</v>
      </c>
      <c r="AP2009" s="5">
        <v>4</v>
      </c>
      <c r="AQ2009" s="5">
        <v>1044</v>
      </c>
      <c r="AR2009" s="5">
        <v>1060</v>
      </c>
      <c r="AS2009" s="5" t="s">
        <v>16</v>
      </c>
      <c r="AT2009" s="5" t="s">
        <v>12044</v>
      </c>
      <c r="AU2009" s="5" t="s">
        <v>12045</v>
      </c>
      <c r="AV2009" s="5" t="s">
        <v>12047</v>
      </c>
    </row>
    <row r="2010" spans="1:48" ht="45" customHeight="1" x14ac:dyDescent="0.15">
      <c r="A2010" s="5" t="s">
        <v>12048</v>
      </c>
      <c r="B2010" s="5">
        <v>2018</v>
      </c>
      <c r="C2010" s="5" t="s">
        <v>12049</v>
      </c>
      <c r="D2010" s="5" t="s">
        <v>526</v>
      </c>
      <c r="E2010" s="5" t="s">
        <v>18453</v>
      </c>
      <c r="F2010" s="5" t="s">
        <v>12052</v>
      </c>
      <c r="G2010" s="5"/>
      <c r="H2010" s="5"/>
      <c r="I2010" s="5"/>
      <c r="J2010" s="5"/>
      <c r="K2010" s="5"/>
      <c r="L2010" s="5"/>
      <c r="M2010" s="5"/>
      <c r="N2010" s="5"/>
      <c r="O2010" s="5"/>
      <c r="P2010" s="5"/>
      <c r="Q2010" s="5"/>
      <c r="AL2010" s="7" t="str">
        <f>HYPERLINK("http://dx.doi.org/10.1111/jvs.12647","http://dx.doi.org/10.1111/jvs.12647")</f>
        <v>http://dx.doi.org/10.1111/jvs.12647</v>
      </c>
      <c r="AM2010" s="5">
        <v>22</v>
      </c>
      <c r="AN2010" s="5">
        <v>22</v>
      </c>
      <c r="AO2010" s="5">
        <v>29</v>
      </c>
      <c r="AP2010" s="5">
        <v>4</v>
      </c>
      <c r="AQ2010" s="5">
        <v>671</v>
      </c>
      <c r="AR2010" s="5">
        <v>683</v>
      </c>
      <c r="AS2010" s="5" t="s">
        <v>16</v>
      </c>
      <c r="AT2010" s="5" t="s">
        <v>12050</v>
      </c>
      <c r="AU2010" s="5" t="s">
        <v>12051</v>
      </c>
      <c r="AV2010" s="5" t="s">
        <v>12053</v>
      </c>
    </row>
    <row r="2011" spans="1:48" ht="45" customHeight="1" x14ac:dyDescent="0.15">
      <c r="A2011" s="5" t="s">
        <v>12054</v>
      </c>
      <c r="B2011" s="5">
        <v>2023</v>
      </c>
      <c r="C2011" s="5" t="s">
        <v>12055</v>
      </c>
      <c r="D2011" s="5" t="s">
        <v>942</v>
      </c>
      <c r="E2011" s="5" t="s">
        <v>18453</v>
      </c>
      <c r="F2011" s="5" t="s">
        <v>12058</v>
      </c>
      <c r="G2011" s="5"/>
      <c r="H2011" s="5"/>
      <c r="I2011" s="5"/>
      <c r="J2011" s="5"/>
      <c r="K2011" s="5"/>
      <c r="L2011" s="5"/>
      <c r="M2011" s="5"/>
      <c r="N2011" s="5"/>
      <c r="O2011" s="5"/>
      <c r="P2011" s="5"/>
      <c r="Q2011" s="5"/>
      <c r="AL2011" s="7" t="str">
        <f>HYPERLINK("http://dx.doi.org/10.1016/j.rsma.2023.103005","http://dx.doi.org/10.1016/j.rsma.2023.103005")</f>
        <v>http://dx.doi.org/10.1016/j.rsma.2023.103005</v>
      </c>
      <c r="AM2011" s="5">
        <v>0</v>
      </c>
      <c r="AN2011" s="5">
        <v>0</v>
      </c>
      <c r="AO2011" s="5">
        <v>63</v>
      </c>
      <c r="AP2011" s="5" t="s">
        <v>16</v>
      </c>
      <c r="AQ2011" s="5" t="s">
        <v>16</v>
      </c>
      <c r="AR2011" s="5" t="s">
        <v>16</v>
      </c>
      <c r="AS2011" s="5">
        <v>103005</v>
      </c>
      <c r="AT2011" s="5" t="s">
        <v>12056</v>
      </c>
      <c r="AU2011" s="5" t="s">
        <v>12057</v>
      </c>
      <c r="AV2011" s="5" t="s">
        <v>12059</v>
      </c>
    </row>
    <row r="2012" spans="1:48" ht="45" customHeight="1" x14ac:dyDescent="0.15">
      <c r="A2012" s="5" t="s">
        <v>12060</v>
      </c>
      <c r="B2012" s="5">
        <v>2022</v>
      </c>
      <c r="C2012" s="5" t="s">
        <v>12061</v>
      </c>
      <c r="D2012" s="5" t="s">
        <v>49</v>
      </c>
      <c r="E2012" s="5" t="s">
        <v>18453</v>
      </c>
      <c r="F2012" s="5" t="s">
        <v>12064</v>
      </c>
      <c r="G2012" s="5"/>
      <c r="H2012" s="5"/>
      <c r="I2012" s="5"/>
      <c r="J2012" s="5"/>
      <c r="K2012" s="5"/>
      <c r="L2012" s="5"/>
      <c r="M2012" s="5"/>
      <c r="N2012" s="5"/>
      <c r="O2012" s="5"/>
      <c r="P2012" s="5"/>
      <c r="Q2012" s="5"/>
      <c r="AL2012" s="7" t="str">
        <f>HYPERLINK("http://dx.doi.org/10.3354/meps14183","http://dx.doi.org/10.3354/meps14183")</f>
        <v>http://dx.doi.org/10.3354/meps14183</v>
      </c>
      <c r="AM2012" s="5">
        <v>0</v>
      </c>
      <c r="AN2012" s="5">
        <v>0</v>
      </c>
      <c r="AO2012" s="5">
        <v>701</v>
      </c>
      <c r="AP2012" s="5" t="s">
        <v>16</v>
      </c>
      <c r="AQ2012" s="5">
        <v>99</v>
      </c>
      <c r="AR2012" s="5">
        <v>118</v>
      </c>
      <c r="AS2012" s="5" t="s">
        <v>16</v>
      </c>
      <c r="AT2012" s="5" t="s">
        <v>12062</v>
      </c>
      <c r="AU2012" s="5" t="s">
        <v>12063</v>
      </c>
      <c r="AV2012" s="5" t="s">
        <v>12065</v>
      </c>
    </row>
    <row r="2013" spans="1:48" ht="45" customHeight="1" x14ac:dyDescent="0.15">
      <c r="A2013" s="5" t="s">
        <v>12066</v>
      </c>
      <c r="B2013" s="5">
        <v>2010</v>
      </c>
      <c r="C2013" s="5" t="s">
        <v>12067</v>
      </c>
      <c r="D2013" s="5" t="s">
        <v>49</v>
      </c>
      <c r="E2013" s="5" t="s">
        <v>18453</v>
      </c>
      <c r="F2013" s="5" t="s">
        <v>12070</v>
      </c>
      <c r="G2013" s="5"/>
      <c r="H2013" s="5"/>
      <c r="I2013" s="5"/>
      <c r="J2013" s="5"/>
      <c r="K2013" s="5"/>
      <c r="L2013" s="5"/>
      <c r="M2013" s="5"/>
      <c r="N2013" s="5"/>
      <c r="O2013" s="5"/>
      <c r="P2013" s="5"/>
      <c r="Q2013" s="5"/>
      <c r="AL2013" s="7" t="str">
        <f>HYPERLINK("http://dx.doi.org/10.3354/meps08552","http://dx.doi.org/10.3354/meps08552")</f>
        <v>http://dx.doi.org/10.3354/meps08552</v>
      </c>
      <c r="AM2013" s="5">
        <v>83</v>
      </c>
      <c r="AN2013" s="5">
        <v>85</v>
      </c>
      <c r="AO2013" s="5">
        <v>408</v>
      </c>
      <c r="AP2013" s="5" t="s">
        <v>16</v>
      </c>
      <c r="AQ2013" s="5">
        <v>207</v>
      </c>
      <c r="AR2013" s="5">
        <v>226</v>
      </c>
      <c r="AS2013" s="5" t="s">
        <v>16</v>
      </c>
      <c r="AT2013" s="5" t="s">
        <v>12068</v>
      </c>
      <c r="AU2013" s="5" t="s">
        <v>12069</v>
      </c>
      <c r="AV2013" s="5" t="s">
        <v>12071</v>
      </c>
    </row>
    <row r="2014" spans="1:48" ht="45" customHeight="1" x14ac:dyDescent="0.15">
      <c r="A2014" s="5" t="s">
        <v>12072</v>
      </c>
      <c r="B2014" s="5">
        <v>2016</v>
      </c>
      <c r="C2014" s="5" t="s">
        <v>12073</v>
      </c>
      <c r="D2014" s="5" t="s">
        <v>249</v>
      </c>
      <c r="E2014" s="5" t="s">
        <v>18453</v>
      </c>
      <c r="F2014" s="5" t="s">
        <v>12076</v>
      </c>
      <c r="G2014" s="5"/>
      <c r="H2014" s="5"/>
      <c r="I2014" s="5"/>
      <c r="J2014" s="5"/>
      <c r="K2014" s="5"/>
      <c r="L2014" s="5"/>
      <c r="M2014" s="5"/>
      <c r="N2014" s="5"/>
      <c r="O2014" s="5"/>
      <c r="P2014" s="5"/>
      <c r="Q2014" s="5"/>
      <c r="AL2014" s="7" t="str">
        <f>HYPERLINK("http://dx.doi.org/10.1016/j.jaridenv.2015.09.004","http://dx.doi.org/10.1016/j.jaridenv.2015.09.004")</f>
        <v>http://dx.doi.org/10.1016/j.jaridenv.2015.09.004</v>
      </c>
      <c r="AM2014" s="5">
        <v>13</v>
      </c>
      <c r="AN2014" s="5">
        <v>13</v>
      </c>
      <c r="AO2014" s="5">
        <v>124</v>
      </c>
      <c r="AP2014" s="5" t="s">
        <v>16</v>
      </c>
      <c r="AQ2014" s="5">
        <v>332</v>
      </c>
      <c r="AR2014" s="5">
        <v>340</v>
      </c>
      <c r="AS2014" s="5" t="s">
        <v>16</v>
      </c>
      <c r="AT2014" s="5" t="s">
        <v>12074</v>
      </c>
      <c r="AU2014" s="5" t="s">
        <v>12075</v>
      </c>
      <c r="AV2014" s="5" t="s">
        <v>12077</v>
      </c>
    </row>
    <row r="2015" spans="1:48" ht="45" customHeight="1" x14ac:dyDescent="0.15">
      <c r="A2015" s="5" t="s">
        <v>12078</v>
      </c>
      <c r="B2015" s="5">
        <v>2009</v>
      </c>
      <c r="C2015" s="5" t="s">
        <v>12079</v>
      </c>
      <c r="D2015" s="5" t="s">
        <v>172</v>
      </c>
      <c r="E2015" s="5" t="s">
        <v>18453</v>
      </c>
      <c r="F2015" s="5" t="s">
        <v>12082</v>
      </c>
      <c r="G2015" s="5"/>
      <c r="H2015" s="5"/>
      <c r="I2015" s="5"/>
      <c r="J2015" s="5"/>
      <c r="K2015" s="5"/>
      <c r="L2015" s="5"/>
      <c r="M2015" s="5"/>
      <c r="N2015" s="5"/>
      <c r="O2015" s="5"/>
      <c r="P2015" s="5"/>
      <c r="Q2015" s="5"/>
      <c r="AL2015" s="7" t="str">
        <f>HYPERLINK("http://dx.doi.org/10.1007/s00442-009-1400-3","http://dx.doi.org/10.1007/s00442-009-1400-3")</f>
        <v>http://dx.doi.org/10.1007/s00442-009-1400-3</v>
      </c>
      <c r="AM2015" s="5">
        <v>227</v>
      </c>
      <c r="AN2015" s="5">
        <v>243</v>
      </c>
      <c r="AO2015" s="5">
        <v>161</v>
      </c>
      <c r="AP2015" s="5">
        <v>3</v>
      </c>
      <c r="AQ2015" s="5">
        <v>449</v>
      </c>
      <c r="AR2015" s="5">
        <v>459</v>
      </c>
      <c r="AS2015" s="5" t="s">
        <v>16</v>
      </c>
      <c r="AT2015" s="5" t="s">
        <v>12080</v>
      </c>
      <c r="AU2015" s="5" t="s">
        <v>12081</v>
      </c>
      <c r="AV2015" s="5" t="s">
        <v>12083</v>
      </c>
    </row>
    <row r="2016" spans="1:48" ht="45" customHeight="1" x14ac:dyDescent="0.15">
      <c r="A2016" s="5" t="s">
        <v>12084</v>
      </c>
      <c r="B2016" s="5">
        <v>2020</v>
      </c>
      <c r="C2016" s="5" t="s">
        <v>12085</v>
      </c>
      <c r="D2016" s="5" t="s">
        <v>162</v>
      </c>
      <c r="E2016" s="5" t="s">
        <v>18453</v>
      </c>
      <c r="F2016" s="5" t="s">
        <v>12088</v>
      </c>
      <c r="G2016" s="5"/>
      <c r="H2016" s="5"/>
      <c r="I2016" s="5"/>
      <c r="J2016" s="5"/>
      <c r="K2016" s="5"/>
      <c r="L2016" s="5"/>
      <c r="M2016" s="5"/>
      <c r="N2016" s="5"/>
      <c r="O2016" s="5"/>
      <c r="P2016" s="5"/>
      <c r="Q2016" s="5"/>
      <c r="AL2016" s="7" t="str">
        <f>HYPERLINK("http://dx.doi.org/10.1111/1365-2435.13605","http://dx.doi.org/10.1111/1365-2435.13605")</f>
        <v>http://dx.doi.org/10.1111/1365-2435.13605</v>
      </c>
      <c r="AM2016" s="5">
        <v>8</v>
      </c>
      <c r="AN2016" s="5">
        <v>8</v>
      </c>
      <c r="AO2016" s="5">
        <v>34</v>
      </c>
      <c r="AP2016" s="5">
        <v>8</v>
      </c>
      <c r="AQ2016" s="5">
        <v>1626</v>
      </c>
      <c r="AR2016" s="5">
        <v>1639</v>
      </c>
      <c r="AS2016" s="5" t="s">
        <v>16</v>
      </c>
      <c r="AT2016" s="5" t="s">
        <v>12086</v>
      </c>
      <c r="AU2016" s="5" t="s">
        <v>12087</v>
      </c>
      <c r="AV2016" s="5" t="s">
        <v>12089</v>
      </c>
    </row>
    <row r="2017" spans="1:48" ht="45" customHeight="1" x14ac:dyDescent="0.15">
      <c r="A2017" s="5" t="s">
        <v>12090</v>
      </c>
      <c r="B2017" s="5">
        <v>2019</v>
      </c>
      <c r="C2017" s="5" t="s">
        <v>12091</v>
      </c>
      <c r="D2017" s="5" t="s">
        <v>17</v>
      </c>
      <c r="E2017" s="5" t="s">
        <v>18453</v>
      </c>
      <c r="F2017" s="5" t="s">
        <v>12094</v>
      </c>
      <c r="G2017" s="5"/>
      <c r="H2017" s="5"/>
      <c r="I2017" s="5"/>
      <c r="J2017" s="5"/>
      <c r="K2017" s="5"/>
      <c r="L2017" s="5"/>
      <c r="M2017" s="5"/>
      <c r="N2017" s="5"/>
      <c r="O2017" s="5"/>
      <c r="P2017" s="5"/>
      <c r="Q2017" s="5"/>
      <c r="AL2017" s="7" t="str">
        <f>HYPERLINK("http://dx.doi.org/10.1111/fwb.13239","http://dx.doi.org/10.1111/fwb.13239")</f>
        <v>http://dx.doi.org/10.1111/fwb.13239</v>
      </c>
      <c r="AM2017" s="5">
        <v>12</v>
      </c>
      <c r="AN2017" s="5">
        <v>12</v>
      </c>
      <c r="AO2017" s="5">
        <v>64</v>
      </c>
      <c r="AP2017" s="5">
        <v>3</v>
      </c>
      <c r="AQ2017" s="5">
        <v>520</v>
      </c>
      <c r="AR2017" s="5">
        <v>531</v>
      </c>
      <c r="AS2017" s="5" t="s">
        <v>16</v>
      </c>
      <c r="AT2017" s="5" t="s">
        <v>12092</v>
      </c>
      <c r="AU2017" s="5" t="s">
        <v>12093</v>
      </c>
      <c r="AV2017" s="5" t="s">
        <v>12095</v>
      </c>
    </row>
    <row r="2018" spans="1:48" ht="45" customHeight="1" x14ac:dyDescent="0.15">
      <c r="A2018" s="5" t="s">
        <v>12096</v>
      </c>
      <c r="B2018" s="5">
        <v>2019</v>
      </c>
      <c r="C2018" s="5" t="s">
        <v>12097</v>
      </c>
      <c r="D2018" s="5" t="s">
        <v>2087</v>
      </c>
      <c r="E2018" s="5" t="s">
        <v>18453</v>
      </c>
      <c r="F2018" s="5" t="s">
        <v>12100</v>
      </c>
      <c r="G2018" s="5"/>
      <c r="H2018" s="5"/>
      <c r="I2018" s="5"/>
      <c r="J2018" s="5"/>
      <c r="K2018" s="5"/>
      <c r="L2018" s="5"/>
      <c r="M2018" s="5"/>
      <c r="N2018" s="5"/>
      <c r="O2018" s="5"/>
      <c r="P2018" s="5"/>
      <c r="Q2018" s="5"/>
      <c r="AL2018" s="7" t="str">
        <f>HYPERLINK("http://dx.doi.org/10.1002/eco.2083","http://dx.doi.org/10.1002/eco.2083")</f>
        <v>http://dx.doi.org/10.1002/eco.2083</v>
      </c>
      <c r="AM2018" s="5">
        <v>38</v>
      </c>
      <c r="AN2018" s="5">
        <v>39</v>
      </c>
      <c r="AO2018" s="5">
        <v>12</v>
      </c>
      <c r="AP2018" s="5">
        <v>4</v>
      </c>
      <c r="AQ2018" s="5" t="s">
        <v>16</v>
      </c>
      <c r="AR2018" s="5" t="s">
        <v>16</v>
      </c>
      <c r="AS2018" s="5" t="s">
        <v>12101</v>
      </c>
      <c r="AT2018" s="5" t="s">
        <v>12098</v>
      </c>
      <c r="AU2018" s="5" t="s">
        <v>12099</v>
      </c>
      <c r="AV2018" s="5" t="s">
        <v>12102</v>
      </c>
    </row>
    <row r="2019" spans="1:48" ht="45" customHeight="1" x14ac:dyDescent="0.15">
      <c r="A2019" s="5" t="s">
        <v>12103</v>
      </c>
      <c r="B2019" s="5">
        <v>2016</v>
      </c>
      <c r="C2019" s="5" t="s">
        <v>12104</v>
      </c>
      <c r="D2019" s="5" t="s">
        <v>1765</v>
      </c>
      <c r="E2019" s="5" t="s">
        <v>18453</v>
      </c>
      <c r="F2019" s="5" t="s">
        <v>12107</v>
      </c>
      <c r="G2019" s="5"/>
      <c r="H2019" s="5"/>
      <c r="I2019" s="5"/>
      <c r="J2019" s="5"/>
      <c r="K2019" s="5"/>
      <c r="L2019" s="5"/>
      <c r="M2019" s="5"/>
      <c r="N2019" s="5"/>
      <c r="O2019" s="5"/>
      <c r="P2019" s="5"/>
      <c r="Q2019" s="5"/>
      <c r="AL2019" s="7" t="str">
        <f>HYPERLINK("http://dx.doi.org/10.1016/j.agee.2016.05.027","http://dx.doi.org/10.1016/j.agee.2016.05.027")</f>
        <v>http://dx.doi.org/10.1016/j.agee.2016.05.027</v>
      </c>
      <c r="AM2019" s="5">
        <v>15</v>
      </c>
      <c r="AN2019" s="5">
        <v>16</v>
      </c>
      <c r="AO2019" s="5">
        <v>230</v>
      </c>
      <c r="AP2019" s="5" t="s">
        <v>16</v>
      </c>
      <c r="AQ2019" s="5">
        <v>42</v>
      </c>
      <c r="AR2019" s="5">
        <v>46</v>
      </c>
      <c r="AS2019" s="5" t="s">
        <v>16</v>
      </c>
      <c r="AT2019" s="5" t="s">
        <v>12105</v>
      </c>
      <c r="AU2019" s="5" t="s">
        <v>12106</v>
      </c>
      <c r="AV2019" s="5" t="s">
        <v>12108</v>
      </c>
    </row>
    <row r="2020" spans="1:48" ht="45" customHeight="1" x14ac:dyDescent="0.15">
      <c r="A2020" s="5" t="s">
        <v>12109</v>
      </c>
      <c r="B2020" s="5">
        <v>2022</v>
      </c>
      <c r="C2020" s="5" t="s">
        <v>12110</v>
      </c>
      <c r="D2020" s="5" t="s">
        <v>6082</v>
      </c>
      <c r="E2020" s="5" t="s">
        <v>18453</v>
      </c>
      <c r="F2020" s="5" t="s">
        <v>12113</v>
      </c>
      <c r="G2020" s="5"/>
      <c r="H2020" s="5"/>
      <c r="I2020" s="5"/>
      <c r="J2020" s="5"/>
      <c r="K2020" s="5"/>
      <c r="L2020" s="5"/>
      <c r="M2020" s="5"/>
      <c r="N2020" s="5"/>
      <c r="O2020" s="5"/>
      <c r="P2020" s="5"/>
      <c r="Q2020" s="5"/>
      <c r="AL2020" s="7" t="str">
        <f>HYPERLINK("http://dx.doi.org/10.1007/s00248-022-02100-x","http://dx.doi.org/10.1007/s00248-022-02100-x")</f>
        <v>http://dx.doi.org/10.1007/s00248-022-02100-x</v>
      </c>
      <c r="AM2020" s="5">
        <v>1</v>
      </c>
      <c r="AN2020" s="5">
        <v>1</v>
      </c>
      <c r="AO2020" s="5" t="s">
        <v>16</v>
      </c>
      <c r="AP2020" s="5" t="s">
        <v>16</v>
      </c>
      <c r="AQ2020" s="5" t="s">
        <v>16</v>
      </c>
      <c r="AR2020" s="5" t="s">
        <v>16</v>
      </c>
      <c r="AS2020" s="5" t="s">
        <v>16</v>
      </c>
      <c r="AT2020" s="5" t="s">
        <v>12111</v>
      </c>
      <c r="AU2020" s="5" t="s">
        <v>12112</v>
      </c>
      <c r="AV2020" s="5" t="s">
        <v>12114</v>
      </c>
    </row>
    <row r="2021" spans="1:48" ht="45" customHeight="1" x14ac:dyDescent="0.15">
      <c r="A2021" s="5" t="s">
        <v>12115</v>
      </c>
      <c r="B2021" s="5">
        <v>2015</v>
      </c>
      <c r="C2021" s="5" t="s">
        <v>12116</v>
      </c>
      <c r="D2021" s="5" t="s">
        <v>172</v>
      </c>
      <c r="E2021" s="5" t="s">
        <v>18453</v>
      </c>
      <c r="F2021" s="5" t="s">
        <v>12119</v>
      </c>
      <c r="G2021" s="5"/>
      <c r="H2021" s="5"/>
      <c r="I2021" s="5"/>
      <c r="J2021" s="5"/>
      <c r="K2021" s="5"/>
      <c r="L2021" s="5"/>
      <c r="M2021" s="5"/>
      <c r="N2021" s="5"/>
      <c r="O2021" s="5"/>
      <c r="P2021" s="5"/>
      <c r="Q2021" s="5"/>
      <c r="AL2021" s="7" t="str">
        <f>HYPERLINK("http://dx.doi.org/10.1007/s00442-014-3114-4","http://dx.doi.org/10.1007/s00442-014-3114-4")</f>
        <v>http://dx.doi.org/10.1007/s00442-014-3114-4</v>
      </c>
      <c r="AM2021" s="5">
        <v>35</v>
      </c>
      <c r="AN2021" s="5">
        <v>36</v>
      </c>
      <c r="AO2021" s="5">
        <v>177</v>
      </c>
      <c r="AP2021" s="5">
        <v>3</v>
      </c>
      <c r="AQ2021" s="5">
        <v>811</v>
      </c>
      <c r="AR2021" s="5">
        <v>821</v>
      </c>
      <c r="AS2021" s="5" t="s">
        <v>16</v>
      </c>
      <c r="AT2021" s="5" t="s">
        <v>12117</v>
      </c>
      <c r="AU2021" s="5" t="s">
        <v>12118</v>
      </c>
      <c r="AV2021" s="5" t="s">
        <v>12120</v>
      </c>
    </row>
    <row r="2022" spans="1:48" ht="45" customHeight="1" x14ac:dyDescent="0.15">
      <c r="A2022" s="5" t="s">
        <v>12121</v>
      </c>
      <c r="B2022" s="5">
        <v>2022</v>
      </c>
      <c r="C2022" s="5" t="s">
        <v>12122</v>
      </c>
      <c r="D2022" s="5" t="s">
        <v>2437</v>
      </c>
      <c r="E2022" s="5" t="s">
        <v>18453</v>
      </c>
      <c r="F2022" s="5" t="s">
        <v>12125</v>
      </c>
      <c r="G2022" s="5"/>
      <c r="H2022" s="5"/>
      <c r="I2022" s="5"/>
      <c r="J2022" s="5"/>
      <c r="K2022" s="5"/>
      <c r="L2022" s="5"/>
      <c r="M2022" s="5"/>
      <c r="N2022" s="5"/>
      <c r="O2022" s="5"/>
      <c r="P2022" s="5"/>
      <c r="Q2022" s="5"/>
      <c r="AL2022" s="7" t="str">
        <f>HYPERLINK("http://dx.doi.org/10.1002/ecm.1510","http://dx.doi.org/10.1002/ecm.1510")</f>
        <v>http://dx.doi.org/10.1002/ecm.1510</v>
      </c>
      <c r="AM2022" s="5">
        <v>5</v>
      </c>
      <c r="AN2022" s="5">
        <v>5</v>
      </c>
      <c r="AO2022" s="5">
        <v>92</v>
      </c>
      <c r="AP2022" s="5">
        <v>2</v>
      </c>
      <c r="AQ2022" s="5" t="s">
        <v>16</v>
      </c>
      <c r="AR2022" s="5" t="s">
        <v>16</v>
      </c>
      <c r="AS2022" s="5" t="s">
        <v>12126</v>
      </c>
      <c r="AT2022" s="5" t="s">
        <v>12123</v>
      </c>
      <c r="AU2022" s="5" t="s">
        <v>12124</v>
      </c>
      <c r="AV2022" s="5" t="s">
        <v>12127</v>
      </c>
    </row>
    <row r="2023" spans="1:48" ht="45" customHeight="1" x14ac:dyDescent="0.15">
      <c r="A2023" s="5" t="s">
        <v>12128</v>
      </c>
      <c r="B2023" s="5">
        <v>2007</v>
      </c>
      <c r="C2023" s="5" t="s">
        <v>12129</v>
      </c>
      <c r="D2023" s="5" t="s">
        <v>2818</v>
      </c>
      <c r="E2023" s="5" t="s">
        <v>18453</v>
      </c>
      <c r="F2023" s="5" t="s">
        <v>12131</v>
      </c>
      <c r="G2023" s="5"/>
      <c r="H2023" s="5"/>
      <c r="I2023" s="5"/>
      <c r="J2023" s="5"/>
      <c r="K2023" s="5"/>
      <c r="L2023" s="5"/>
      <c r="M2023" s="5"/>
      <c r="N2023" s="5"/>
      <c r="O2023" s="5"/>
      <c r="P2023" s="5"/>
      <c r="Q2023" s="5"/>
      <c r="AL2023" s="7" t="str">
        <f>HYPERLINK("http://dx.doi.org/10.1071/WR06044","http://dx.doi.org/10.1071/WR06044")</f>
        <v>http://dx.doi.org/10.1071/WR06044</v>
      </c>
      <c r="AM2023" s="5">
        <v>16</v>
      </c>
      <c r="AN2023" s="5">
        <v>17</v>
      </c>
      <c r="AO2023" s="5">
        <v>34</v>
      </c>
      <c r="AP2023" s="5">
        <v>1</v>
      </c>
      <c r="AQ2023" s="5">
        <v>25</v>
      </c>
      <c r="AR2023" s="5">
        <v>42</v>
      </c>
      <c r="AS2023" s="5" t="s">
        <v>16</v>
      </c>
      <c r="AT2023" s="5" t="s">
        <v>16</v>
      </c>
      <c r="AU2023" s="5" t="s">
        <v>12130</v>
      </c>
      <c r="AV2023" s="5" t="s">
        <v>12132</v>
      </c>
    </row>
    <row r="2024" spans="1:48" ht="45" customHeight="1" x14ac:dyDescent="0.15">
      <c r="A2024" s="5" t="s">
        <v>12133</v>
      </c>
      <c r="B2024" s="5">
        <v>1997</v>
      </c>
      <c r="C2024" s="5" t="s">
        <v>12134</v>
      </c>
      <c r="D2024" s="5" t="s">
        <v>289</v>
      </c>
      <c r="E2024" s="5" t="s">
        <v>18453</v>
      </c>
      <c r="F2024" s="5" t="s">
        <v>12137</v>
      </c>
      <c r="G2024" s="5"/>
      <c r="H2024" s="5"/>
      <c r="I2024" s="5"/>
      <c r="J2024" s="5"/>
      <c r="K2024" s="5"/>
      <c r="L2024" s="5"/>
      <c r="M2024" s="5"/>
      <c r="N2024" s="5"/>
      <c r="O2024" s="5"/>
      <c r="P2024" s="5"/>
      <c r="Q2024" s="5"/>
      <c r="AL2024" s="7" t="str">
        <f>HYPERLINK("http://dx.doi.org/10.2307/2960644","http://dx.doi.org/10.2307/2960644")</f>
        <v>http://dx.doi.org/10.2307/2960644</v>
      </c>
      <c r="AM2024" s="5">
        <v>37</v>
      </c>
      <c r="AN2024" s="5">
        <v>38</v>
      </c>
      <c r="AO2024" s="5">
        <v>85</v>
      </c>
      <c r="AP2024" s="5">
        <v>2</v>
      </c>
      <c r="AQ2024" s="5">
        <v>125</v>
      </c>
      <c r="AR2024" s="5">
        <v>132</v>
      </c>
      <c r="AS2024" s="5" t="s">
        <v>16</v>
      </c>
      <c r="AT2024" s="5" t="s">
        <v>12135</v>
      </c>
      <c r="AU2024" s="5" t="s">
        <v>12136</v>
      </c>
      <c r="AV2024" s="5" t="s">
        <v>12138</v>
      </c>
    </row>
    <row r="2025" spans="1:48" ht="45" customHeight="1" x14ac:dyDescent="0.15">
      <c r="A2025" s="5" t="s">
        <v>12139</v>
      </c>
      <c r="B2025" s="5">
        <v>2021</v>
      </c>
      <c r="C2025" s="5" t="s">
        <v>12140</v>
      </c>
      <c r="D2025" s="5" t="s">
        <v>262</v>
      </c>
      <c r="E2025" s="5" t="s">
        <v>18453</v>
      </c>
      <c r="F2025" s="5" t="s">
        <v>12143</v>
      </c>
      <c r="G2025" s="5"/>
      <c r="H2025" s="5"/>
      <c r="I2025" s="5"/>
      <c r="J2025" s="5"/>
      <c r="K2025" s="5"/>
      <c r="L2025" s="5"/>
      <c r="M2025" s="5"/>
      <c r="N2025" s="5"/>
      <c r="O2025" s="5"/>
      <c r="P2025" s="5"/>
      <c r="Q2025" s="5"/>
      <c r="AL2025" s="7" t="str">
        <f>HYPERLINK("http://dx.doi.org/10.1111/oik.07647","http://dx.doi.org/10.1111/oik.07647")</f>
        <v>http://dx.doi.org/10.1111/oik.07647</v>
      </c>
      <c r="AM2025" s="5">
        <v>13</v>
      </c>
      <c r="AN2025" s="5">
        <v>13</v>
      </c>
      <c r="AO2025" s="5">
        <v>130</v>
      </c>
      <c r="AP2025" s="5">
        <v>2</v>
      </c>
      <c r="AQ2025" s="5">
        <v>287</v>
      </c>
      <c r="AR2025" s="5">
        <v>299</v>
      </c>
      <c r="AS2025" s="5" t="s">
        <v>16</v>
      </c>
      <c r="AT2025" s="5" t="s">
        <v>12141</v>
      </c>
      <c r="AU2025" s="5" t="s">
        <v>12142</v>
      </c>
      <c r="AV2025" s="5" t="s">
        <v>12144</v>
      </c>
    </row>
    <row r="2026" spans="1:48" ht="45" customHeight="1" x14ac:dyDescent="0.15">
      <c r="A2026" s="5" t="s">
        <v>12145</v>
      </c>
      <c r="B2026" s="5">
        <v>2019</v>
      </c>
      <c r="C2026" s="5" t="s">
        <v>12146</v>
      </c>
      <c r="D2026" s="5" t="s">
        <v>116</v>
      </c>
      <c r="E2026" s="5" t="s">
        <v>18453</v>
      </c>
      <c r="F2026" s="5" t="s">
        <v>12149</v>
      </c>
      <c r="G2026" s="5"/>
      <c r="H2026" s="5"/>
      <c r="I2026" s="5"/>
      <c r="J2026" s="5"/>
      <c r="K2026" s="5"/>
      <c r="L2026" s="5"/>
      <c r="M2026" s="5"/>
      <c r="N2026" s="5"/>
      <c r="O2026" s="5"/>
      <c r="P2026" s="5"/>
      <c r="Q2026" s="5"/>
      <c r="AL2026" s="7" t="str">
        <f>HYPERLINK("http://dx.doi.org/10.1007/s10641-019-00865-8","http://dx.doi.org/10.1007/s10641-019-00865-8")</f>
        <v>http://dx.doi.org/10.1007/s10641-019-00865-8</v>
      </c>
      <c r="AM2026" s="5">
        <v>6</v>
      </c>
      <c r="AN2026" s="5">
        <v>6</v>
      </c>
      <c r="AO2026" s="5">
        <v>102</v>
      </c>
      <c r="AP2026" s="5">
        <v>5</v>
      </c>
      <c r="AQ2026" s="5">
        <v>713</v>
      </c>
      <c r="AR2026" s="5">
        <v>725</v>
      </c>
      <c r="AS2026" s="5" t="s">
        <v>16</v>
      </c>
      <c r="AT2026" s="5" t="s">
        <v>12147</v>
      </c>
      <c r="AU2026" s="5" t="s">
        <v>12148</v>
      </c>
      <c r="AV2026" s="5" t="s">
        <v>12150</v>
      </c>
    </row>
    <row r="2027" spans="1:48" ht="45" customHeight="1" x14ac:dyDescent="0.15">
      <c r="A2027" s="5" t="s">
        <v>12151</v>
      </c>
      <c r="B2027" s="5">
        <v>2019</v>
      </c>
      <c r="C2027" s="5" t="s">
        <v>12152</v>
      </c>
      <c r="D2027" s="5" t="s">
        <v>17</v>
      </c>
      <c r="E2027" s="5" t="s">
        <v>18453</v>
      </c>
      <c r="F2027" s="5" t="s">
        <v>12155</v>
      </c>
      <c r="G2027" s="5"/>
      <c r="H2027" s="5"/>
      <c r="I2027" s="5"/>
      <c r="J2027" s="5"/>
      <c r="K2027" s="5"/>
      <c r="L2027" s="5"/>
      <c r="M2027" s="5"/>
      <c r="N2027" s="5"/>
      <c r="O2027" s="5"/>
      <c r="P2027" s="5"/>
      <c r="Q2027" s="5"/>
      <c r="AL2027" s="7" t="str">
        <f>HYPERLINK("http://dx.doi.org/10.1111/fwb.13399","http://dx.doi.org/10.1111/fwb.13399")</f>
        <v>http://dx.doi.org/10.1111/fwb.13399</v>
      </c>
      <c r="AM2027" s="5">
        <v>17</v>
      </c>
      <c r="AN2027" s="5">
        <v>17</v>
      </c>
      <c r="AO2027" s="5">
        <v>64</v>
      </c>
      <c r="AP2027" s="5">
        <v>12</v>
      </c>
      <c r="AQ2027" s="5">
        <v>2107</v>
      </c>
      <c r="AR2027" s="5">
        <v>2119</v>
      </c>
      <c r="AS2027" s="5" t="s">
        <v>16</v>
      </c>
      <c r="AT2027" s="5" t="s">
        <v>12153</v>
      </c>
      <c r="AU2027" s="5" t="s">
        <v>12154</v>
      </c>
      <c r="AV2027" s="5" t="s">
        <v>12156</v>
      </c>
    </row>
    <row r="2028" spans="1:48" ht="45" customHeight="1" x14ac:dyDescent="0.15">
      <c r="A2028" s="5" t="s">
        <v>12157</v>
      </c>
      <c r="B2028" s="5">
        <v>2022</v>
      </c>
      <c r="C2028" s="5" t="s">
        <v>12158</v>
      </c>
      <c r="D2028" s="5" t="s">
        <v>111</v>
      </c>
      <c r="E2028" s="5" t="s">
        <v>18453</v>
      </c>
      <c r="F2028" s="5" t="s">
        <v>12161</v>
      </c>
      <c r="G2028" s="5"/>
      <c r="H2028" s="5"/>
      <c r="I2028" s="5"/>
      <c r="J2028" s="5"/>
      <c r="K2028" s="5"/>
      <c r="L2028" s="5"/>
      <c r="M2028" s="5"/>
      <c r="N2028" s="5"/>
      <c r="O2028" s="5"/>
      <c r="P2028" s="5"/>
      <c r="Q2028" s="5"/>
      <c r="AL2028" s="7" t="str">
        <f>HYPERLINK("http://dx.doi.org/10.1007/s10452-021-09907-9","http://dx.doi.org/10.1007/s10452-021-09907-9")</f>
        <v>http://dx.doi.org/10.1007/s10452-021-09907-9</v>
      </c>
      <c r="AM2028" s="5">
        <v>2</v>
      </c>
      <c r="AN2028" s="5">
        <v>2</v>
      </c>
      <c r="AO2028" s="5">
        <v>56</v>
      </c>
      <c r="AP2028" s="5">
        <v>1</v>
      </c>
      <c r="AQ2028" s="5">
        <v>173</v>
      </c>
      <c r="AR2028" s="5">
        <v>181</v>
      </c>
      <c r="AS2028" s="5" t="s">
        <v>16</v>
      </c>
      <c r="AT2028" s="5" t="s">
        <v>12159</v>
      </c>
      <c r="AU2028" s="5" t="s">
        <v>12160</v>
      </c>
      <c r="AV2028" s="5" t="s">
        <v>12162</v>
      </c>
    </row>
    <row r="2029" spans="1:48" ht="45" customHeight="1" x14ac:dyDescent="0.15">
      <c r="A2029" s="5" t="s">
        <v>12163</v>
      </c>
      <c r="B2029" s="5">
        <v>2003</v>
      </c>
      <c r="C2029" s="5" t="s">
        <v>12164</v>
      </c>
      <c r="D2029" s="5" t="s">
        <v>172</v>
      </c>
      <c r="E2029" s="5" t="s">
        <v>18453</v>
      </c>
      <c r="F2029" s="5" t="s">
        <v>12167</v>
      </c>
      <c r="G2029" s="5"/>
      <c r="H2029" s="5"/>
      <c r="I2029" s="5"/>
      <c r="J2029" s="5"/>
      <c r="K2029" s="5"/>
      <c r="L2029" s="5"/>
      <c r="M2029" s="5"/>
      <c r="N2029" s="5"/>
      <c r="O2029" s="5"/>
      <c r="P2029" s="5"/>
      <c r="Q2029" s="5"/>
      <c r="AL2029" s="7" t="str">
        <f>HYPERLINK("http://dx.doi.org/10.1007/s00442-002-1119-x","http://dx.doi.org/10.1007/s00442-002-1119-x")</f>
        <v>http://dx.doi.org/10.1007/s00442-002-1119-x</v>
      </c>
      <c r="AM2029" s="5">
        <v>175</v>
      </c>
      <c r="AN2029" s="5">
        <v>187</v>
      </c>
      <c r="AO2029" s="5">
        <v>134</v>
      </c>
      <c r="AP2029" s="5">
        <v>3</v>
      </c>
      <c r="AQ2029" s="5">
        <v>293</v>
      </c>
      <c r="AR2029" s="5">
        <v>300</v>
      </c>
      <c r="AS2029" s="5" t="s">
        <v>16</v>
      </c>
      <c r="AT2029" s="5" t="s">
        <v>12165</v>
      </c>
      <c r="AU2029" s="5" t="s">
        <v>12166</v>
      </c>
      <c r="AV2029" s="5" t="s">
        <v>12168</v>
      </c>
    </row>
    <row r="2030" spans="1:48" ht="45" customHeight="1" x14ac:dyDescent="0.15">
      <c r="A2030" s="5" t="s">
        <v>12169</v>
      </c>
      <c r="B2030" s="5">
        <v>2018</v>
      </c>
      <c r="C2030" s="5" t="s">
        <v>12170</v>
      </c>
      <c r="D2030" s="5" t="s">
        <v>1758</v>
      </c>
      <c r="E2030" s="5" t="s">
        <v>18453</v>
      </c>
      <c r="F2030" s="5" t="s">
        <v>12173</v>
      </c>
      <c r="G2030" s="5"/>
      <c r="H2030" s="5"/>
      <c r="I2030" s="5"/>
      <c r="J2030" s="5"/>
      <c r="K2030" s="5"/>
      <c r="L2030" s="5"/>
      <c r="M2030" s="5"/>
      <c r="N2030" s="5"/>
      <c r="O2030" s="5"/>
      <c r="P2030" s="5"/>
      <c r="Q2030" s="5"/>
      <c r="AL2030" s="7" t="str">
        <f>HYPERLINK("http://dx.doi.org/10.1007/s13157-017-0970-9","http://dx.doi.org/10.1007/s13157-017-0970-9")</f>
        <v>http://dx.doi.org/10.1007/s13157-017-0970-9</v>
      </c>
      <c r="AM2030" s="5">
        <v>11</v>
      </c>
      <c r="AN2030" s="5">
        <v>12</v>
      </c>
      <c r="AO2030" s="5">
        <v>38</v>
      </c>
      <c r="AP2030" s="5">
        <v>2</v>
      </c>
      <c r="AQ2030" s="5">
        <v>327</v>
      </c>
      <c r="AR2030" s="5">
        <v>335</v>
      </c>
      <c r="AS2030" s="5" t="s">
        <v>16</v>
      </c>
      <c r="AT2030" s="5" t="s">
        <v>12171</v>
      </c>
      <c r="AU2030" s="5" t="s">
        <v>12172</v>
      </c>
      <c r="AV2030" s="5" t="s">
        <v>12174</v>
      </c>
    </row>
    <row r="2031" spans="1:48" ht="45" customHeight="1" x14ac:dyDescent="0.15">
      <c r="A2031" s="5" t="s">
        <v>12175</v>
      </c>
      <c r="B2031" s="5">
        <v>2017</v>
      </c>
      <c r="C2031" s="5" t="s">
        <v>12176</v>
      </c>
      <c r="D2031" s="5" t="s">
        <v>212</v>
      </c>
      <c r="E2031" s="5" t="s">
        <v>18453</v>
      </c>
      <c r="F2031" s="5" t="s">
        <v>12179</v>
      </c>
      <c r="G2031" s="5"/>
      <c r="H2031" s="5"/>
      <c r="I2031" s="5"/>
      <c r="J2031" s="5"/>
      <c r="K2031" s="5"/>
      <c r="L2031" s="5"/>
      <c r="M2031" s="5"/>
      <c r="N2031" s="5"/>
      <c r="O2031" s="5"/>
      <c r="P2031" s="5"/>
      <c r="Q2031" s="5"/>
      <c r="AL2031" s="7" t="str">
        <f>HYPERLINK("http://dx.doi.org/10.1007/s00300-016-1933-y","http://dx.doi.org/10.1007/s00300-016-1933-y")</f>
        <v>http://dx.doi.org/10.1007/s00300-016-1933-y</v>
      </c>
      <c r="AM2031" s="5">
        <v>14</v>
      </c>
      <c r="AN2031" s="5">
        <v>14</v>
      </c>
      <c r="AO2031" s="5">
        <v>40</v>
      </c>
      <c r="AP2031" s="5">
        <v>1</v>
      </c>
      <c r="AQ2031" s="5">
        <v>221</v>
      </c>
      <c r="AR2031" s="5">
        <v>226</v>
      </c>
      <c r="AS2031" s="5" t="s">
        <v>16</v>
      </c>
      <c r="AT2031" s="5" t="s">
        <v>12177</v>
      </c>
      <c r="AU2031" s="5" t="s">
        <v>12178</v>
      </c>
      <c r="AV2031" s="5" t="s">
        <v>12180</v>
      </c>
    </row>
    <row r="2032" spans="1:48" ht="45" customHeight="1" x14ac:dyDescent="0.15">
      <c r="A2032" s="5" t="s">
        <v>12181</v>
      </c>
      <c r="B2032" s="5">
        <v>2011</v>
      </c>
      <c r="C2032" s="5" t="s">
        <v>12182</v>
      </c>
      <c r="D2032" s="5" t="s">
        <v>49</v>
      </c>
      <c r="E2032" s="5" t="s">
        <v>18453</v>
      </c>
      <c r="F2032" s="5" t="s">
        <v>12185</v>
      </c>
      <c r="G2032" s="5"/>
      <c r="H2032" s="5"/>
      <c r="I2032" s="5"/>
      <c r="J2032" s="5"/>
      <c r="K2032" s="5"/>
      <c r="L2032" s="5"/>
      <c r="M2032" s="5"/>
      <c r="N2032" s="5"/>
      <c r="O2032" s="5"/>
      <c r="P2032" s="5"/>
      <c r="Q2032" s="5"/>
      <c r="AL2032" s="7" t="str">
        <f>HYPERLINK("http://dx.doi.org/10.3354/meps09360","http://dx.doi.org/10.3354/meps09360")</f>
        <v>http://dx.doi.org/10.3354/meps09360</v>
      </c>
      <c r="AM2032" s="5">
        <v>1</v>
      </c>
      <c r="AN2032" s="5">
        <v>1</v>
      </c>
      <c r="AO2032" s="5">
        <v>443</v>
      </c>
      <c r="AP2032" s="5" t="s">
        <v>16</v>
      </c>
      <c r="AQ2032" s="5">
        <v>19</v>
      </c>
      <c r="AR2032" s="5">
        <v>27</v>
      </c>
      <c r="AS2032" s="5" t="s">
        <v>16</v>
      </c>
      <c r="AT2032" s="5" t="s">
        <v>12183</v>
      </c>
      <c r="AU2032" s="5" t="s">
        <v>12184</v>
      </c>
      <c r="AV2032" s="5" t="s">
        <v>12186</v>
      </c>
    </row>
    <row r="2033" spans="1:48" ht="45" customHeight="1" x14ac:dyDescent="0.15">
      <c r="A2033" s="5" t="s">
        <v>12187</v>
      </c>
      <c r="B2033" s="5">
        <v>2013</v>
      </c>
      <c r="C2033" s="5" t="s">
        <v>12188</v>
      </c>
      <c r="D2033" s="5" t="s">
        <v>189</v>
      </c>
      <c r="E2033" s="5" t="s">
        <v>18453</v>
      </c>
      <c r="F2033" s="5" t="s">
        <v>12190</v>
      </c>
      <c r="G2033" s="5"/>
      <c r="H2033" s="5"/>
      <c r="I2033" s="5"/>
      <c r="J2033" s="5"/>
      <c r="K2033" s="5"/>
      <c r="L2033" s="5"/>
      <c r="M2033" s="5"/>
      <c r="N2033" s="5"/>
      <c r="O2033" s="5"/>
      <c r="P2033" s="5"/>
      <c r="Q2033" s="5"/>
      <c r="AL2033" s="7" t="str">
        <f>HYPERLINK("http://dx.doi.org/10.1111/j.1600-0587.2012.07466.x","http://dx.doi.org/10.1111/j.1600-0587.2012.07466.x")</f>
        <v>http://dx.doi.org/10.1111/j.1600-0587.2012.07466.x</v>
      </c>
      <c r="AM2033" s="5">
        <v>31</v>
      </c>
      <c r="AN2033" s="5">
        <v>31</v>
      </c>
      <c r="AO2033" s="5">
        <v>36</v>
      </c>
      <c r="AP2033" s="5">
        <v>3</v>
      </c>
      <c r="AQ2033" s="5">
        <v>277</v>
      </c>
      <c r="AR2033" s="5">
        <v>286</v>
      </c>
      <c r="AS2033" s="5" t="s">
        <v>16</v>
      </c>
      <c r="AT2033" s="5" t="s">
        <v>16</v>
      </c>
      <c r="AU2033" s="5" t="s">
        <v>12189</v>
      </c>
      <c r="AV2033" s="5" t="s">
        <v>12191</v>
      </c>
    </row>
    <row r="2034" spans="1:48" ht="45" customHeight="1" x14ac:dyDescent="0.15">
      <c r="A2034" s="5" t="s">
        <v>12192</v>
      </c>
      <c r="B2034" s="5">
        <v>2021</v>
      </c>
      <c r="C2034" s="5" t="s">
        <v>12193</v>
      </c>
      <c r="D2034" s="5" t="s">
        <v>1785</v>
      </c>
      <c r="E2034" s="5" t="s">
        <v>18453</v>
      </c>
      <c r="F2034" s="5" t="s">
        <v>12196</v>
      </c>
      <c r="G2034" s="5"/>
      <c r="H2034" s="5"/>
      <c r="I2034" s="5"/>
      <c r="J2034" s="5"/>
      <c r="K2034" s="5"/>
      <c r="L2034" s="5"/>
      <c r="M2034" s="5"/>
      <c r="N2034" s="5"/>
      <c r="O2034" s="5"/>
      <c r="P2034" s="5"/>
      <c r="Q2034" s="5"/>
      <c r="AL2034" s="7" t="str">
        <f>HYPERLINK("http://dx.doi.org/10.5751/ACE-01739-160102","http://dx.doi.org/10.5751/ACE-01739-160102")</f>
        <v>http://dx.doi.org/10.5751/ACE-01739-160102</v>
      </c>
      <c r="AM2034" s="5">
        <v>9</v>
      </c>
      <c r="AN2034" s="5">
        <v>11</v>
      </c>
      <c r="AO2034" s="5">
        <v>16</v>
      </c>
      <c r="AP2034" s="5">
        <v>1</v>
      </c>
      <c r="AQ2034" s="5" t="s">
        <v>16</v>
      </c>
      <c r="AR2034" s="5" t="s">
        <v>16</v>
      </c>
      <c r="AS2034" s="5">
        <v>2</v>
      </c>
      <c r="AT2034" s="5" t="s">
        <v>12194</v>
      </c>
      <c r="AU2034" s="5" t="s">
        <v>12195</v>
      </c>
      <c r="AV2034" s="5" t="s">
        <v>12197</v>
      </c>
    </row>
    <row r="2035" spans="1:48" ht="45" customHeight="1" x14ac:dyDescent="0.15">
      <c r="A2035" s="5" t="s">
        <v>12198</v>
      </c>
      <c r="B2035" s="5">
        <v>2021</v>
      </c>
      <c r="C2035" s="5" t="s">
        <v>12199</v>
      </c>
      <c r="D2035" s="5" t="s">
        <v>2976</v>
      </c>
      <c r="E2035" s="5" t="s">
        <v>18453</v>
      </c>
      <c r="F2035" s="5" t="s">
        <v>12202</v>
      </c>
      <c r="G2035" s="5"/>
      <c r="H2035" s="5"/>
      <c r="I2035" s="5"/>
      <c r="J2035" s="5"/>
      <c r="K2035" s="5"/>
      <c r="L2035" s="5"/>
      <c r="M2035" s="5"/>
      <c r="N2035" s="5"/>
      <c r="O2035" s="5"/>
      <c r="P2035" s="5"/>
      <c r="Q2035" s="5"/>
      <c r="AL2035" s="7" t="str">
        <f>HYPERLINK("http://dx.doi.org/10.1016/j.gecco.2021.e01556","http://dx.doi.org/10.1016/j.gecco.2021.e01556")</f>
        <v>http://dx.doi.org/10.1016/j.gecco.2021.e01556</v>
      </c>
      <c r="AM2035" s="5">
        <v>5</v>
      </c>
      <c r="AN2035" s="5">
        <v>5</v>
      </c>
      <c r="AO2035" s="5">
        <v>27</v>
      </c>
      <c r="AP2035" s="5" t="s">
        <v>16</v>
      </c>
      <c r="AQ2035" s="5" t="s">
        <v>16</v>
      </c>
      <c r="AR2035" s="5" t="s">
        <v>16</v>
      </c>
      <c r="AS2035" s="5" t="s">
        <v>12203</v>
      </c>
      <c r="AT2035" s="5" t="s">
        <v>12200</v>
      </c>
      <c r="AU2035" s="5" t="s">
        <v>12201</v>
      </c>
      <c r="AV2035" s="5" t="s">
        <v>12204</v>
      </c>
    </row>
    <row r="2036" spans="1:48" ht="45" customHeight="1" x14ac:dyDescent="0.15">
      <c r="A2036" s="5" t="s">
        <v>12205</v>
      </c>
      <c r="B2036" s="5">
        <v>2008</v>
      </c>
      <c r="C2036" s="5" t="s">
        <v>12206</v>
      </c>
      <c r="D2036" s="5" t="s">
        <v>49</v>
      </c>
      <c r="E2036" s="5" t="s">
        <v>18453</v>
      </c>
      <c r="F2036" s="5" t="s">
        <v>12209</v>
      </c>
      <c r="G2036" s="5"/>
      <c r="H2036" s="5"/>
      <c r="I2036" s="5"/>
      <c r="J2036" s="5"/>
      <c r="K2036" s="5"/>
      <c r="L2036" s="5"/>
      <c r="M2036" s="5"/>
      <c r="N2036" s="5"/>
      <c r="O2036" s="5"/>
      <c r="P2036" s="5"/>
      <c r="Q2036" s="5"/>
      <c r="AL2036" s="7" t="str">
        <f>HYPERLINK("http://dx.doi.org/10.3354/meps07540","http://dx.doi.org/10.3354/meps07540")</f>
        <v>http://dx.doi.org/10.3354/meps07540</v>
      </c>
      <c r="AM2036" s="5">
        <v>57</v>
      </c>
      <c r="AN2036" s="5">
        <v>57</v>
      </c>
      <c r="AO2036" s="5">
        <v>369</v>
      </c>
      <c r="AP2036" s="5" t="s">
        <v>16</v>
      </c>
      <c r="AQ2036" s="5">
        <v>229</v>
      </c>
      <c r="AR2036" s="5">
        <v>256</v>
      </c>
      <c r="AS2036" s="5" t="s">
        <v>16</v>
      </c>
      <c r="AT2036" s="5" t="s">
        <v>12207</v>
      </c>
      <c r="AU2036" s="5" t="s">
        <v>12208</v>
      </c>
      <c r="AV2036" s="5" t="s">
        <v>12210</v>
      </c>
    </row>
    <row r="2037" spans="1:48" ht="45" customHeight="1" x14ac:dyDescent="0.15">
      <c r="A2037" s="5" t="s">
        <v>12211</v>
      </c>
      <c r="B2037" s="5">
        <v>2022</v>
      </c>
      <c r="C2037" s="5" t="s">
        <v>12212</v>
      </c>
      <c r="D2037" s="5" t="s">
        <v>289</v>
      </c>
      <c r="E2037" s="5" t="s">
        <v>18453</v>
      </c>
      <c r="F2037" s="5" t="s">
        <v>12215</v>
      </c>
      <c r="G2037" s="5"/>
      <c r="H2037" s="5"/>
      <c r="I2037" s="5"/>
      <c r="J2037" s="5"/>
      <c r="K2037" s="5"/>
      <c r="L2037" s="5"/>
      <c r="M2037" s="5"/>
      <c r="N2037" s="5"/>
      <c r="O2037" s="5"/>
      <c r="P2037" s="5"/>
      <c r="Q2037" s="5"/>
      <c r="AL2037" s="7" t="str">
        <f>HYPERLINK("http://dx.doi.org/10.1111/1365-2745.13909","http://dx.doi.org/10.1111/1365-2745.13909")</f>
        <v>http://dx.doi.org/10.1111/1365-2745.13909</v>
      </c>
      <c r="AM2037" s="5">
        <v>1</v>
      </c>
      <c r="AN2037" s="5">
        <v>1</v>
      </c>
      <c r="AO2037" s="5">
        <v>110</v>
      </c>
      <c r="AP2037" s="5">
        <v>8</v>
      </c>
      <c r="AQ2037" s="5">
        <v>1844</v>
      </c>
      <c r="AR2037" s="5">
        <v>1856</v>
      </c>
      <c r="AS2037" s="5" t="s">
        <v>16</v>
      </c>
      <c r="AT2037" s="5" t="s">
        <v>12213</v>
      </c>
      <c r="AU2037" s="5" t="s">
        <v>12214</v>
      </c>
      <c r="AV2037" s="5" t="s">
        <v>12216</v>
      </c>
    </row>
    <row r="2038" spans="1:48" ht="45" customHeight="1" x14ac:dyDescent="0.15">
      <c r="A2038" s="5" t="s">
        <v>12217</v>
      </c>
      <c r="B2038" s="5">
        <v>2017</v>
      </c>
      <c r="C2038" s="5" t="s">
        <v>12218</v>
      </c>
      <c r="D2038" s="5" t="s">
        <v>162</v>
      </c>
      <c r="E2038" s="5" t="s">
        <v>18453</v>
      </c>
      <c r="F2038" s="5" t="s">
        <v>12221</v>
      </c>
      <c r="G2038" s="5"/>
      <c r="H2038" s="5"/>
      <c r="I2038" s="5"/>
      <c r="J2038" s="5"/>
      <c r="K2038" s="5"/>
      <c r="L2038" s="5"/>
      <c r="M2038" s="5"/>
      <c r="N2038" s="5"/>
      <c r="O2038" s="5"/>
      <c r="P2038" s="5"/>
      <c r="Q2038" s="5"/>
      <c r="AL2038" s="7" t="str">
        <f>HYPERLINK("http://dx.doi.org/10.1111/1365-2435.12898","http://dx.doi.org/10.1111/1365-2435.12898")</f>
        <v>http://dx.doi.org/10.1111/1365-2435.12898</v>
      </c>
      <c r="AM2038" s="5">
        <v>34</v>
      </c>
      <c r="AN2038" s="5">
        <v>37</v>
      </c>
      <c r="AO2038" s="5">
        <v>31</v>
      </c>
      <c r="AP2038" s="5">
        <v>10</v>
      </c>
      <c r="AQ2038" s="5">
        <v>1881</v>
      </c>
      <c r="AR2038" s="5">
        <v>1893</v>
      </c>
      <c r="AS2038" s="5" t="s">
        <v>16</v>
      </c>
      <c r="AT2038" s="5" t="s">
        <v>12219</v>
      </c>
      <c r="AU2038" s="5" t="s">
        <v>12220</v>
      </c>
      <c r="AV2038" s="5" t="s">
        <v>12222</v>
      </c>
    </row>
    <row r="2039" spans="1:48" ht="45" customHeight="1" x14ac:dyDescent="0.15">
      <c r="A2039" s="5" t="s">
        <v>12223</v>
      </c>
      <c r="B2039" s="5">
        <v>2012</v>
      </c>
      <c r="C2039" s="5" t="s">
        <v>12224</v>
      </c>
      <c r="D2039" s="5" t="s">
        <v>7759</v>
      </c>
      <c r="E2039" s="5" t="s">
        <v>18453</v>
      </c>
      <c r="F2039" s="5" t="s">
        <v>12227</v>
      </c>
      <c r="G2039" s="5"/>
      <c r="H2039" s="5"/>
      <c r="I2039" s="5"/>
      <c r="J2039" s="5"/>
      <c r="K2039" s="5"/>
      <c r="L2039" s="5"/>
      <c r="M2039" s="5"/>
      <c r="N2039" s="5"/>
      <c r="O2039" s="5"/>
      <c r="P2039" s="5"/>
      <c r="Q2039" s="5"/>
      <c r="AL2039" s="7" t="str">
        <f>HYPERLINK("http://dx.doi.org/10.1007/s11258-011-9971-6","http://dx.doi.org/10.1007/s11258-011-9971-6")</f>
        <v>http://dx.doi.org/10.1007/s11258-011-9971-6</v>
      </c>
      <c r="AM2039" s="5">
        <v>20</v>
      </c>
      <c r="AN2039" s="5">
        <v>22</v>
      </c>
      <c r="AO2039" s="5">
        <v>213</v>
      </c>
      <c r="AP2039" s="5">
        <v>2</v>
      </c>
      <c r="AQ2039" s="5">
        <v>251</v>
      </c>
      <c r="AR2039" s="5">
        <v>257</v>
      </c>
      <c r="AS2039" s="5" t="s">
        <v>16</v>
      </c>
      <c r="AT2039" s="5" t="s">
        <v>12225</v>
      </c>
      <c r="AU2039" s="5" t="s">
        <v>12226</v>
      </c>
      <c r="AV2039" s="5" t="s">
        <v>12228</v>
      </c>
    </row>
    <row r="2040" spans="1:48" ht="45" customHeight="1" x14ac:dyDescent="0.15">
      <c r="A2040" s="5" t="s">
        <v>12229</v>
      </c>
      <c r="B2040" s="5">
        <v>2020</v>
      </c>
      <c r="C2040" s="5" t="s">
        <v>12230</v>
      </c>
      <c r="D2040" s="5" t="s">
        <v>161</v>
      </c>
      <c r="E2040" s="5" t="s">
        <v>18453</v>
      </c>
      <c r="F2040" s="5" t="s">
        <v>12233</v>
      </c>
      <c r="G2040" s="5"/>
      <c r="H2040" s="5"/>
      <c r="I2040" s="5"/>
      <c r="J2040" s="5"/>
      <c r="K2040" s="5"/>
      <c r="L2040" s="5"/>
      <c r="M2040" s="5"/>
      <c r="N2040" s="5"/>
      <c r="O2040" s="5"/>
      <c r="P2040" s="5"/>
      <c r="Q2040" s="5"/>
      <c r="AL2040" s="7" t="str">
        <f>HYPERLINK("http://dx.doi.org/10.1111/geb.13022","http://dx.doi.org/10.1111/geb.13022")</f>
        <v>http://dx.doi.org/10.1111/geb.13022</v>
      </c>
      <c r="AM2040" s="5">
        <v>16</v>
      </c>
      <c r="AN2040" s="5">
        <v>16</v>
      </c>
      <c r="AO2040" s="5">
        <v>29</v>
      </c>
      <c r="AP2040" s="5">
        <v>2</v>
      </c>
      <c r="AQ2040" s="5">
        <v>246</v>
      </c>
      <c r="AR2040" s="5">
        <v>261</v>
      </c>
      <c r="AS2040" s="5" t="s">
        <v>16</v>
      </c>
      <c r="AT2040" s="5" t="s">
        <v>12231</v>
      </c>
      <c r="AU2040" s="5" t="s">
        <v>12232</v>
      </c>
      <c r="AV2040" s="5" t="s">
        <v>12234</v>
      </c>
    </row>
    <row r="2041" spans="1:48" ht="45" customHeight="1" x14ac:dyDescent="0.15">
      <c r="A2041" s="5" t="s">
        <v>12235</v>
      </c>
      <c r="B2041" s="5">
        <v>2015</v>
      </c>
      <c r="C2041" s="5" t="s">
        <v>12236</v>
      </c>
      <c r="D2041" s="5" t="s">
        <v>49</v>
      </c>
      <c r="E2041" s="5" t="s">
        <v>18453</v>
      </c>
      <c r="F2041" s="5" t="s">
        <v>12239</v>
      </c>
      <c r="G2041" s="5"/>
      <c r="H2041" s="5"/>
      <c r="I2041" s="5"/>
      <c r="J2041" s="5"/>
      <c r="K2041" s="5"/>
      <c r="L2041" s="5"/>
      <c r="M2041" s="5"/>
      <c r="N2041" s="5"/>
      <c r="O2041" s="5"/>
      <c r="P2041" s="5"/>
      <c r="Q2041" s="5"/>
      <c r="AL2041" s="7" t="str">
        <f>HYPERLINK("http://dx.doi.org/10.3354/meps11481","http://dx.doi.org/10.3354/meps11481")</f>
        <v>http://dx.doi.org/10.3354/meps11481</v>
      </c>
      <c r="AM2041" s="5">
        <v>11</v>
      </c>
      <c r="AN2041" s="5">
        <v>13</v>
      </c>
      <c r="AO2041" s="5">
        <v>538</v>
      </c>
      <c r="AP2041" s="5" t="s">
        <v>16</v>
      </c>
      <c r="AQ2041" s="5">
        <v>1</v>
      </c>
      <c r="AR2041" s="5">
        <v>12</v>
      </c>
      <c r="AS2041" s="5" t="s">
        <v>16</v>
      </c>
      <c r="AT2041" s="5" t="s">
        <v>12237</v>
      </c>
      <c r="AU2041" s="5" t="s">
        <v>12238</v>
      </c>
      <c r="AV2041" s="5" t="s">
        <v>12240</v>
      </c>
    </row>
    <row r="2042" spans="1:48" ht="45" customHeight="1" x14ac:dyDescent="0.15">
      <c r="A2042" s="5" t="s">
        <v>12241</v>
      </c>
      <c r="B2042" s="5">
        <v>2022</v>
      </c>
      <c r="C2042" s="5" t="s">
        <v>12242</v>
      </c>
      <c r="D2042" s="5" t="s">
        <v>49</v>
      </c>
      <c r="E2042" s="5" t="s">
        <v>18453</v>
      </c>
      <c r="F2042" s="5" t="s">
        <v>12245</v>
      </c>
      <c r="G2042" s="5"/>
      <c r="H2042" s="5"/>
      <c r="I2042" s="5"/>
      <c r="J2042" s="5"/>
      <c r="K2042" s="5"/>
      <c r="L2042" s="5"/>
      <c r="M2042" s="5"/>
      <c r="N2042" s="5"/>
      <c r="O2042" s="5"/>
      <c r="P2042" s="5"/>
      <c r="Q2042" s="5"/>
      <c r="AL2042" s="7" t="str">
        <f>HYPERLINK("http://dx.doi.org/10.3354/meps13900","http://dx.doi.org/10.3354/meps13900")</f>
        <v>http://dx.doi.org/10.3354/meps13900</v>
      </c>
      <c r="AM2042" s="5">
        <v>2</v>
      </c>
      <c r="AN2042" s="5">
        <v>2</v>
      </c>
      <c r="AO2042" s="5">
        <v>681</v>
      </c>
      <c r="AP2042" s="5" t="s">
        <v>16</v>
      </c>
      <c r="AQ2042" s="5">
        <v>37</v>
      </c>
      <c r="AR2042" s="5">
        <v>51</v>
      </c>
      <c r="AS2042" s="5" t="s">
        <v>16</v>
      </c>
      <c r="AT2042" s="5" t="s">
        <v>12243</v>
      </c>
      <c r="AU2042" s="5" t="s">
        <v>12244</v>
      </c>
      <c r="AV2042" s="5" t="s">
        <v>12246</v>
      </c>
    </row>
    <row r="2043" spans="1:48" ht="45" customHeight="1" x14ac:dyDescent="0.15">
      <c r="A2043" s="5" t="s">
        <v>12247</v>
      </c>
      <c r="B2043" s="5">
        <v>2016</v>
      </c>
      <c r="C2043" s="5" t="s">
        <v>12248</v>
      </c>
      <c r="D2043" s="5" t="s">
        <v>973</v>
      </c>
      <c r="E2043" s="5" t="s">
        <v>18453</v>
      </c>
      <c r="F2043" s="5" t="s">
        <v>12250</v>
      </c>
      <c r="G2043" s="5"/>
      <c r="H2043" s="5"/>
      <c r="I2043" s="5"/>
      <c r="J2043" s="5"/>
      <c r="K2043" s="5"/>
      <c r="L2043" s="5"/>
      <c r="M2043" s="5"/>
      <c r="N2043" s="5"/>
      <c r="O2043" s="5"/>
      <c r="P2043" s="5"/>
      <c r="Q2043" s="5"/>
      <c r="AL2043" s="7" t="str">
        <f>HYPERLINK("http://dx.doi.org/10.5194/bg-13-3441-2016","http://dx.doi.org/10.5194/bg-13-3441-2016")</f>
        <v>http://dx.doi.org/10.5194/bg-13-3441-2016</v>
      </c>
      <c r="AM2043" s="5">
        <v>23</v>
      </c>
      <c r="AN2043" s="5">
        <v>24</v>
      </c>
      <c r="AO2043" s="5">
        <v>13</v>
      </c>
      <c r="AP2043" s="5">
        <v>11</v>
      </c>
      <c r="AQ2043" s="5">
        <v>3441</v>
      </c>
      <c r="AR2043" s="5">
        <v>3459</v>
      </c>
      <c r="AS2043" s="5" t="s">
        <v>16</v>
      </c>
      <c r="AT2043" s="5" t="s">
        <v>16</v>
      </c>
      <c r="AU2043" s="5" t="s">
        <v>12249</v>
      </c>
      <c r="AV2043" s="5" t="s">
        <v>12251</v>
      </c>
    </row>
    <row r="2044" spans="1:48" ht="45" customHeight="1" x14ac:dyDescent="0.15">
      <c r="A2044" s="5" t="s">
        <v>12252</v>
      </c>
      <c r="B2044" s="5">
        <v>2023</v>
      </c>
      <c r="C2044" s="5" t="s">
        <v>12253</v>
      </c>
      <c r="D2044" s="5" t="s">
        <v>251</v>
      </c>
      <c r="E2044" s="5" t="s">
        <v>18453</v>
      </c>
      <c r="F2044" s="5" t="s">
        <v>12256</v>
      </c>
      <c r="G2044" s="5"/>
      <c r="H2044" s="5"/>
      <c r="I2044" s="5"/>
      <c r="J2044" s="5"/>
      <c r="K2044" s="5"/>
      <c r="L2044" s="5"/>
      <c r="M2044" s="5"/>
      <c r="N2044" s="5"/>
      <c r="O2044" s="5"/>
      <c r="P2044" s="5"/>
      <c r="Q2044" s="5"/>
      <c r="AL2044" s="7" t="str">
        <f>HYPERLINK("http://dx.doi.org/10.1016/j.biocon.2023.110016","http://dx.doi.org/10.1016/j.biocon.2023.110016")</f>
        <v>http://dx.doi.org/10.1016/j.biocon.2023.110016</v>
      </c>
      <c r="AM2044" s="5">
        <v>1</v>
      </c>
      <c r="AN2044" s="5">
        <v>1</v>
      </c>
      <c r="AO2044" s="5">
        <v>281</v>
      </c>
      <c r="AP2044" s="5" t="s">
        <v>16</v>
      </c>
      <c r="AQ2044" s="5" t="s">
        <v>16</v>
      </c>
      <c r="AR2044" s="5" t="s">
        <v>16</v>
      </c>
      <c r="AS2044" s="5">
        <v>110016</v>
      </c>
      <c r="AT2044" s="5" t="s">
        <v>12254</v>
      </c>
      <c r="AU2044" s="5" t="s">
        <v>12255</v>
      </c>
      <c r="AV2044" s="5" t="s">
        <v>12257</v>
      </c>
    </row>
    <row r="2045" spans="1:48" ht="45" customHeight="1" x14ac:dyDescent="0.15">
      <c r="A2045" s="5" t="s">
        <v>12258</v>
      </c>
      <c r="B2045" s="5">
        <v>2005</v>
      </c>
      <c r="C2045" s="5" t="s">
        <v>12259</v>
      </c>
      <c r="D2045" s="5" t="s">
        <v>383</v>
      </c>
      <c r="E2045" s="5" t="s">
        <v>18453</v>
      </c>
      <c r="F2045" s="5" t="s">
        <v>12262</v>
      </c>
      <c r="G2045" s="5"/>
      <c r="H2045" s="5"/>
      <c r="I2045" s="5"/>
      <c r="J2045" s="5"/>
      <c r="K2045" s="5"/>
      <c r="L2045" s="5"/>
      <c r="M2045" s="5"/>
      <c r="N2045" s="5"/>
      <c r="O2045" s="5"/>
      <c r="P2045" s="5"/>
      <c r="Q2045" s="5"/>
      <c r="AL2045" s="7" t="str">
        <f>HYPERLINK("http://dx.doi.org/10.1007/s11284-005-0056-7","http://dx.doi.org/10.1007/s11284-005-0056-7")</f>
        <v>http://dx.doi.org/10.1007/s11284-005-0056-7</v>
      </c>
      <c r="AM2045" s="5">
        <v>11</v>
      </c>
      <c r="AN2045" s="5">
        <v>14</v>
      </c>
      <c r="AO2045" s="5">
        <v>20</v>
      </c>
      <c r="AP2045" s="5">
        <v>4</v>
      </c>
      <c r="AQ2045" s="5">
        <v>471</v>
      </c>
      <c r="AR2045" s="5">
        <v>480</v>
      </c>
      <c r="AS2045" s="5" t="s">
        <v>16</v>
      </c>
      <c r="AT2045" s="5" t="s">
        <v>12260</v>
      </c>
      <c r="AU2045" s="5" t="s">
        <v>12261</v>
      </c>
      <c r="AV2045" s="5" t="s">
        <v>12263</v>
      </c>
    </row>
    <row r="2046" spans="1:48" ht="45" customHeight="1" x14ac:dyDescent="0.15">
      <c r="A2046" s="5" t="s">
        <v>12264</v>
      </c>
      <c r="B2046" s="5">
        <v>2010</v>
      </c>
      <c r="C2046" s="5" t="s">
        <v>12265</v>
      </c>
      <c r="D2046" s="5" t="s">
        <v>7759</v>
      </c>
      <c r="E2046" s="5" t="s">
        <v>18453</v>
      </c>
      <c r="F2046" s="5" t="s">
        <v>12268</v>
      </c>
      <c r="G2046" s="5"/>
      <c r="H2046" s="5"/>
      <c r="I2046" s="5"/>
      <c r="J2046" s="5"/>
      <c r="K2046" s="5"/>
      <c r="L2046" s="5"/>
      <c r="M2046" s="5"/>
      <c r="N2046" s="5"/>
      <c r="O2046" s="5"/>
      <c r="P2046" s="5"/>
      <c r="Q2046" s="5"/>
      <c r="AL2046" s="7" t="str">
        <f>HYPERLINK("http://dx.doi.org/10.1007/s11258-009-9674-4","http://dx.doi.org/10.1007/s11258-009-9674-4")</f>
        <v>http://dx.doi.org/10.1007/s11258-009-9674-4</v>
      </c>
      <c r="AM2046" s="5">
        <v>29</v>
      </c>
      <c r="AN2046" s="5">
        <v>37</v>
      </c>
      <c r="AO2046" s="5">
        <v>207</v>
      </c>
      <c r="AP2046" s="5">
        <v>2</v>
      </c>
      <c r="AQ2046" s="5">
        <v>307</v>
      </c>
      <c r="AR2046" s="5">
        <v>319</v>
      </c>
      <c r="AS2046" s="5" t="s">
        <v>16</v>
      </c>
      <c r="AT2046" s="5" t="s">
        <v>12266</v>
      </c>
      <c r="AU2046" s="5" t="s">
        <v>12267</v>
      </c>
      <c r="AV2046" s="5" t="s">
        <v>12269</v>
      </c>
    </row>
    <row r="2047" spans="1:48" ht="45" customHeight="1" x14ac:dyDescent="0.15">
      <c r="A2047" s="5" t="s">
        <v>12270</v>
      </c>
      <c r="B2047" s="5">
        <v>2019</v>
      </c>
      <c r="C2047" s="5" t="s">
        <v>12271</v>
      </c>
      <c r="D2047" s="5" t="s">
        <v>217</v>
      </c>
      <c r="E2047" s="5" t="s">
        <v>18453</v>
      </c>
      <c r="F2047" s="5" t="s">
        <v>12274</v>
      </c>
      <c r="G2047" s="5"/>
      <c r="H2047" s="5"/>
      <c r="I2047" s="5"/>
      <c r="J2047" s="5"/>
      <c r="K2047" s="5"/>
      <c r="L2047" s="5"/>
      <c r="M2047" s="5"/>
      <c r="N2047" s="5"/>
      <c r="O2047" s="5"/>
      <c r="P2047" s="5"/>
      <c r="Q2047" s="5"/>
      <c r="AL2047" s="7" t="str">
        <f>HYPERLINK("http://dx.doi.org/10.1111/2041-210X.13210","http://dx.doi.org/10.1111/2041-210X.13210")</f>
        <v>http://dx.doi.org/10.1111/2041-210X.13210</v>
      </c>
      <c r="AM2047" s="5">
        <v>7</v>
      </c>
      <c r="AN2047" s="5">
        <v>7</v>
      </c>
      <c r="AO2047" s="5">
        <v>10</v>
      </c>
      <c r="AP2047" s="5">
        <v>8</v>
      </c>
      <c r="AQ2047" s="5">
        <v>1274</v>
      </c>
      <c r="AR2047" s="5">
        <v>1285</v>
      </c>
      <c r="AS2047" s="5" t="s">
        <v>16</v>
      </c>
      <c r="AT2047" s="5" t="s">
        <v>12272</v>
      </c>
      <c r="AU2047" s="5" t="s">
        <v>12273</v>
      </c>
      <c r="AV2047" s="5" t="s">
        <v>12275</v>
      </c>
    </row>
    <row r="2048" spans="1:48" ht="45" customHeight="1" x14ac:dyDescent="0.15">
      <c r="A2048" s="5" t="s">
        <v>12276</v>
      </c>
      <c r="B2048" s="5">
        <v>2004</v>
      </c>
      <c r="C2048" s="5" t="s">
        <v>12277</v>
      </c>
      <c r="D2048" s="5" t="s">
        <v>1004</v>
      </c>
      <c r="E2048" s="5" t="s">
        <v>18453</v>
      </c>
      <c r="F2048" s="5" t="s">
        <v>12280</v>
      </c>
      <c r="G2048" s="5"/>
      <c r="H2048" s="5"/>
      <c r="I2048" s="5"/>
      <c r="J2048" s="5"/>
      <c r="K2048" s="5"/>
      <c r="L2048" s="5"/>
      <c r="M2048" s="5"/>
      <c r="N2048" s="5"/>
      <c r="O2048" s="5"/>
      <c r="P2048" s="5"/>
      <c r="Q2048" s="5"/>
      <c r="AL2048" s="7" t="str">
        <f>HYPERLINK("http://dx.doi.org/10.1111/j.1365-2028.2004.00503.x","http://dx.doi.org/10.1111/j.1365-2028.2004.00503.x")</f>
        <v>http://dx.doi.org/10.1111/j.1365-2028.2004.00503.x</v>
      </c>
      <c r="AM2048" s="5">
        <v>84</v>
      </c>
      <c r="AN2048" s="5">
        <v>99</v>
      </c>
      <c r="AO2048" s="5">
        <v>42</v>
      </c>
      <c r="AP2048" s="5">
        <v>3</v>
      </c>
      <c r="AQ2048" s="5">
        <v>163</v>
      </c>
      <c r="AR2048" s="5">
        <v>170</v>
      </c>
      <c r="AS2048" s="5" t="s">
        <v>16</v>
      </c>
      <c r="AT2048" s="5" t="s">
        <v>12278</v>
      </c>
      <c r="AU2048" s="5" t="s">
        <v>12279</v>
      </c>
      <c r="AV2048" s="5" t="s">
        <v>12281</v>
      </c>
    </row>
    <row r="2049" spans="1:48" ht="45" customHeight="1" x14ac:dyDescent="0.15">
      <c r="A2049" s="5" t="s">
        <v>12282</v>
      </c>
      <c r="B2049" s="5">
        <v>2020</v>
      </c>
      <c r="C2049" s="5" t="s">
        <v>12283</v>
      </c>
      <c r="D2049" s="5" t="s">
        <v>33</v>
      </c>
      <c r="E2049" s="5" t="s">
        <v>18453</v>
      </c>
      <c r="F2049" s="5" t="s">
        <v>12286</v>
      </c>
      <c r="G2049" s="5"/>
      <c r="H2049" s="5"/>
      <c r="I2049" s="5"/>
      <c r="J2049" s="5"/>
      <c r="K2049" s="5"/>
      <c r="L2049" s="5"/>
      <c r="M2049" s="5"/>
      <c r="N2049" s="5"/>
      <c r="O2049" s="5"/>
      <c r="P2049" s="5"/>
      <c r="Q2049" s="5"/>
      <c r="AL2049" s="7" t="str">
        <f>HYPERLINK("http://dx.doi.org/10.1111/gcb.15230","http://dx.doi.org/10.1111/gcb.15230")</f>
        <v>http://dx.doi.org/10.1111/gcb.15230</v>
      </c>
      <c r="AM2049" s="5">
        <v>11</v>
      </c>
      <c r="AN2049" s="5">
        <v>11</v>
      </c>
      <c r="AO2049" s="5">
        <v>26</v>
      </c>
      <c r="AP2049" s="5">
        <v>10</v>
      </c>
      <c r="AQ2049" s="5">
        <v>5588</v>
      </c>
      <c r="AR2049" s="5">
        <v>5601</v>
      </c>
      <c r="AS2049" s="5" t="s">
        <v>16</v>
      </c>
      <c r="AT2049" s="5" t="s">
        <v>12284</v>
      </c>
      <c r="AU2049" s="5" t="s">
        <v>12285</v>
      </c>
      <c r="AV2049" s="5" t="s">
        <v>12287</v>
      </c>
    </row>
    <row r="2050" spans="1:48" ht="45" customHeight="1" x14ac:dyDescent="0.15">
      <c r="A2050" s="5" t="s">
        <v>12288</v>
      </c>
      <c r="B2050" s="5">
        <v>2015</v>
      </c>
      <c r="C2050" s="5" t="s">
        <v>12289</v>
      </c>
      <c r="D2050" s="5" t="s">
        <v>942</v>
      </c>
      <c r="E2050" s="5" t="s">
        <v>18453</v>
      </c>
      <c r="F2050" s="5" t="s">
        <v>12292</v>
      </c>
      <c r="G2050" s="5"/>
      <c r="H2050" s="5"/>
      <c r="I2050" s="5"/>
      <c r="J2050" s="5"/>
      <c r="K2050" s="5"/>
      <c r="L2050" s="5"/>
      <c r="M2050" s="5"/>
      <c r="N2050" s="5"/>
      <c r="O2050" s="5"/>
      <c r="P2050" s="5"/>
      <c r="Q2050" s="5"/>
      <c r="AL2050" s="7" t="str">
        <f>HYPERLINK("http://dx.doi.org/10.1016/j.rsma.2015.08.014","http://dx.doi.org/10.1016/j.rsma.2015.08.014")</f>
        <v>http://dx.doi.org/10.1016/j.rsma.2015.08.014</v>
      </c>
      <c r="AM2050" s="5">
        <v>6</v>
      </c>
      <c r="AN2050" s="5">
        <v>6</v>
      </c>
      <c r="AO2050" s="5">
        <v>2</v>
      </c>
      <c r="AP2050" s="5" t="s">
        <v>16</v>
      </c>
      <c r="AQ2050" s="5">
        <v>95</v>
      </c>
      <c r="AR2050" s="5">
        <v>104</v>
      </c>
      <c r="AS2050" s="5" t="s">
        <v>16</v>
      </c>
      <c r="AT2050" s="5" t="s">
        <v>12290</v>
      </c>
      <c r="AU2050" s="5" t="s">
        <v>12291</v>
      </c>
      <c r="AV2050" s="5" t="s">
        <v>12293</v>
      </c>
    </row>
    <row r="2051" spans="1:48" ht="45" customHeight="1" x14ac:dyDescent="0.15">
      <c r="A2051" s="5" t="s">
        <v>12294</v>
      </c>
      <c r="B2051" s="5">
        <v>2011</v>
      </c>
      <c r="C2051" s="5" t="s">
        <v>12295</v>
      </c>
      <c r="D2051" s="5" t="s">
        <v>690</v>
      </c>
      <c r="E2051" s="5" t="s">
        <v>18453</v>
      </c>
      <c r="F2051" s="5" t="s">
        <v>12298</v>
      </c>
      <c r="G2051" s="5"/>
      <c r="H2051" s="5"/>
      <c r="I2051" s="5"/>
      <c r="J2051" s="5"/>
      <c r="K2051" s="5"/>
      <c r="L2051" s="5"/>
      <c r="M2051" s="5"/>
      <c r="N2051" s="5"/>
      <c r="O2051" s="5"/>
      <c r="P2051" s="5"/>
      <c r="Q2051" s="5"/>
      <c r="AL2051" s="7" t="str">
        <f>HYPERLINK("http://dx.doi.org/10.1111/j.1365-294X.2011.05279.x","http://dx.doi.org/10.1111/j.1365-294X.2011.05279.x")</f>
        <v>http://dx.doi.org/10.1111/j.1365-294X.2011.05279.x</v>
      </c>
      <c r="AM2051" s="5">
        <v>58</v>
      </c>
      <c r="AN2051" s="5">
        <v>60</v>
      </c>
      <c r="AO2051" s="5">
        <v>20</v>
      </c>
      <c r="AP2051" s="5">
        <v>22</v>
      </c>
      <c r="AQ2051" s="5">
        <v>4707</v>
      </c>
      <c r="AR2051" s="5">
        <v>4721</v>
      </c>
      <c r="AS2051" s="5" t="s">
        <v>16</v>
      </c>
      <c r="AT2051" s="5" t="s">
        <v>12296</v>
      </c>
      <c r="AU2051" s="5" t="s">
        <v>12297</v>
      </c>
      <c r="AV2051" s="5" t="s">
        <v>12299</v>
      </c>
    </row>
    <row r="2052" spans="1:48" ht="45" customHeight="1" x14ac:dyDescent="0.15">
      <c r="A2052" s="5" t="s">
        <v>12300</v>
      </c>
      <c r="B2052" s="5">
        <v>2012</v>
      </c>
      <c r="C2052" s="5" t="s">
        <v>12301</v>
      </c>
      <c r="D2052" s="5" t="s">
        <v>49</v>
      </c>
      <c r="E2052" s="5" t="s">
        <v>18453</v>
      </c>
      <c r="F2052" s="5" t="s">
        <v>12304</v>
      </c>
      <c r="G2052" s="5"/>
      <c r="H2052" s="5"/>
      <c r="I2052" s="5"/>
      <c r="J2052" s="5"/>
      <c r="K2052" s="5"/>
      <c r="L2052" s="5"/>
      <c r="M2052" s="5"/>
      <c r="N2052" s="5"/>
      <c r="O2052" s="5"/>
      <c r="P2052" s="5"/>
      <c r="Q2052" s="5"/>
      <c r="AL2052" s="7" t="str">
        <f>HYPERLINK("http://dx.doi.org/10.3354/meps09997","http://dx.doi.org/10.3354/meps09997")</f>
        <v>http://dx.doi.org/10.3354/meps09997</v>
      </c>
      <c r="AM2052" s="5">
        <v>44</v>
      </c>
      <c r="AN2052" s="5">
        <v>48</v>
      </c>
      <c r="AO2052" s="5">
        <v>469</v>
      </c>
      <c r="AP2052" s="5" t="s">
        <v>16</v>
      </c>
      <c r="AQ2052" s="5">
        <v>7</v>
      </c>
      <c r="AR2052" s="5">
        <v>24</v>
      </c>
      <c r="AS2052" s="5" t="s">
        <v>16</v>
      </c>
      <c r="AT2052" s="5" t="s">
        <v>12302</v>
      </c>
      <c r="AU2052" s="5" t="s">
        <v>12303</v>
      </c>
      <c r="AV2052" s="5" t="s">
        <v>12305</v>
      </c>
    </row>
    <row r="2053" spans="1:48" ht="45" customHeight="1" x14ac:dyDescent="0.15">
      <c r="A2053" s="5" t="s">
        <v>12306</v>
      </c>
      <c r="B2053" s="5">
        <v>2008</v>
      </c>
      <c r="C2053" s="5" t="s">
        <v>12307</v>
      </c>
      <c r="D2053" s="5" t="s">
        <v>49</v>
      </c>
      <c r="E2053" s="5" t="s">
        <v>18453</v>
      </c>
      <c r="F2053" s="5" t="s">
        <v>12310</v>
      </c>
      <c r="G2053" s="5"/>
      <c r="H2053" s="5"/>
      <c r="I2053" s="5"/>
      <c r="J2053" s="5"/>
      <c r="K2053" s="5"/>
      <c r="L2053" s="5"/>
      <c r="M2053" s="5"/>
      <c r="N2053" s="5"/>
      <c r="O2053" s="5"/>
      <c r="P2053" s="5"/>
      <c r="Q2053" s="5"/>
      <c r="AL2053" s="7" t="str">
        <f>HYPERLINK("http://dx.doi.org/10.3354/meps07528","http://dx.doi.org/10.3354/meps07528")</f>
        <v>http://dx.doi.org/10.3354/meps07528</v>
      </c>
      <c r="AM2053" s="5">
        <v>43</v>
      </c>
      <c r="AN2053" s="5">
        <v>43</v>
      </c>
      <c r="AO2053" s="5">
        <v>368</v>
      </c>
      <c r="AP2053" s="5" t="s">
        <v>16</v>
      </c>
      <c r="AQ2053" s="5">
        <v>155</v>
      </c>
      <c r="AR2053" s="5">
        <v>164</v>
      </c>
      <c r="AS2053" s="5" t="s">
        <v>16</v>
      </c>
      <c r="AT2053" s="5" t="s">
        <v>12308</v>
      </c>
      <c r="AU2053" s="5" t="s">
        <v>12309</v>
      </c>
      <c r="AV2053" s="5" t="s">
        <v>12311</v>
      </c>
    </row>
    <row r="2054" spans="1:48" ht="45" customHeight="1" x14ac:dyDescent="0.15">
      <c r="A2054" s="5" t="s">
        <v>12312</v>
      </c>
      <c r="B2054" s="5">
        <v>1999</v>
      </c>
      <c r="C2054" s="5" t="s">
        <v>12313</v>
      </c>
      <c r="D2054" s="5" t="s">
        <v>49</v>
      </c>
      <c r="E2054" s="5" t="s">
        <v>18453</v>
      </c>
      <c r="F2054" s="5" t="s">
        <v>12316</v>
      </c>
      <c r="G2054" s="5"/>
      <c r="H2054" s="5"/>
      <c r="I2054" s="5"/>
      <c r="J2054" s="5"/>
      <c r="K2054" s="5"/>
      <c r="L2054" s="5"/>
      <c r="M2054" s="5"/>
      <c r="N2054" s="5"/>
      <c r="O2054" s="5"/>
      <c r="P2054" s="5"/>
      <c r="Q2054" s="5"/>
      <c r="AL2054" s="7" t="str">
        <f>HYPERLINK("http://dx.doi.org/10.3354/meps180233","http://dx.doi.org/10.3354/meps180233")</f>
        <v>http://dx.doi.org/10.3354/meps180233</v>
      </c>
      <c r="AM2054" s="5">
        <v>86</v>
      </c>
      <c r="AN2054" s="5">
        <v>87</v>
      </c>
      <c r="AO2054" s="5">
        <v>180</v>
      </c>
      <c r="AP2054" s="5" t="s">
        <v>16</v>
      </c>
      <c r="AQ2054" s="5">
        <v>233</v>
      </c>
      <c r="AR2054" s="5">
        <v>246</v>
      </c>
      <c r="AS2054" s="5" t="s">
        <v>16</v>
      </c>
      <c r="AT2054" s="5" t="s">
        <v>12314</v>
      </c>
      <c r="AU2054" s="5" t="s">
        <v>12315</v>
      </c>
      <c r="AV2054" s="5" t="s">
        <v>12317</v>
      </c>
    </row>
    <row r="2055" spans="1:48" ht="45" customHeight="1" x14ac:dyDescent="0.15">
      <c r="A2055" s="5" t="s">
        <v>12318</v>
      </c>
      <c r="B2055" s="5">
        <v>2020</v>
      </c>
      <c r="C2055" s="5" t="s">
        <v>12319</v>
      </c>
      <c r="D2055" s="5" t="s">
        <v>44</v>
      </c>
      <c r="E2055" s="5" t="s">
        <v>18453</v>
      </c>
      <c r="F2055" s="5" t="s">
        <v>12322</v>
      </c>
      <c r="G2055" s="5"/>
      <c r="H2055" s="5"/>
      <c r="I2055" s="5"/>
      <c r="J2055" s="5"/>
      <c r="K2055" s="5"/>
      <c r="L2055" s="5"/>
      <c r="M2055" s="5"/>
      <c r="N2055" s="5"/>
      <c r="O2055" s="5"/>
      <c r="P2055" s="5"/>
      <c r="Q2055" s="5"/>
      <c r="AL2055" s="7" t="str">
        <f>HYPERLINK("http://dx.doi.org/10.3389/fevo.2020.572140","http://dx.doi.org/10.3389/fevo.2020.572140")</f>
        <v>http://dx.doi.org/10.3389/fevo.2020.572140</v>
      </c>
      <c r="AM2055" s="5">
        <v>7</v>
      </c>
      <c r="AN2055" s="5">
        <v>7</v>
      </c>
      <c r="AO2055" s="5">
        <v>8</v>
      </c>
      <c r="AP2055" s="5" t="s">
        <v>16</v>
      </c>
      <c r="AQ2055" s="5" t="s">
        <v>16</v>
      </c>
      <c r="AR2055" s="5" t="s">
        <v>16</v>
      </c>
      <c r="AS2055" s="5">
        <v>572140</v>
      </c>
      <c r="AT2055" s="5" t="s">
        <v>12320</v>
      </c>
      <c r="AU2055" s="5" t="s">
        <v>12321</v>
      </c>
      <c r="AV2055" s="5" t="s">
        <v>12323</v>
      </c>
    </row>
    <row r="2056" spans="1:48" ht="45" customHeight="1" x14ac:dyDescent="0.15">
      <c r="A2056" s="5" t="s">
        <v>12324</v>
      </c>
      <c r="B2056" s="5">
        <v>2019</v>
      </c>
      <c r="C2056" s="5" t="s">
        <v>12325</v>
      </c>
      <c r="D2056" s="5" t="s">
        <v>973</v>
      </c>
      <c r="E2056" s="5" t="s">
        <v>18453</v>
      </c>
      <c r="F2056" s="5" t="s">
        <v>12327</v>
      </c>
      <c r="G2056" s="5"/>
      <c r="H2056" s="5"/>
      <c r="I2056" s="5"/>
      <c r="J2056" s="5"/>
      <c r="K2056" s="5"/>
      <c r="L2056" s="5"/>
      <c r="M2056" s="5"/>
      <c r="N2056" s="5"/>
      <c r="O2056" s="5"/>
      <c r="P2056" s="5"/>
      <c r="Q2056" s="5"/>
      <c r="AL2056" s="7" t="str">
        <f>HYPERLINK("http://dx.doi.org/10.5194/bg-16-3621-2019","http://dx.doi.org/10.5194/bg-16-3621-2019")</f>
        <v>http://dx.doi.org/10.5194/bg-16-3621-2019</v>
      </c>
      <c r="AM2056" s="5">
        <v>6</v>
      </c>
      <c r="AN2056" s="5">
        <v>6</v>
      </c>
      <c r="AO2056" s="5">
        <v>16</v>
      </c>
      <c r="AP2056" s="5">
        <v>18</v>
      </c>
      <c r="AQ2056" s="5">
        <v>3621</v>
      </c>
      <c r="AR2056" s="5">
        <v>3635</v>
      </c>
      <c r="AS2056" s="5" t="s">
        <v>16</v>
      </c>
      <c r="AT2056" s="5" t="s">
        <v>16</v>
      </c>
      <c r="AU2056" s="5" t="s">
        <v>12326</v>
      </c>
      <c r="AV2056" s="5" t="s">
        <v>12328</v>
      </c>
    </row>
    <row r="2057" spans="1:48" ht="45" customHeight="1" x14ac:dyDescent="0.15">
      <c r="A2057" s="5" t="s">
        <v>12329</v>
      </c>
      <c r="B2057" s="5">
        <v>2016</v>
      </c>
      <c r="C2057" s="5" t="s">
        <v>12330</v>
      </c>
      <c r="D2057" s="5" t="s">
        <v>15</v>
      </c>
      <c r="E2057" s="5" t="s">
        <v>18453</v>
      </c>
      <c r="F2057" s="5" t="s">
        <v>12333</v>
      </c>
      <c r="G2057" s="5"/>
      <c r="H2057" s="5"/>
      <c r="I2057" s="5"/>
      <c r="J2057" s="5"/>
      <c r="K2057" s="5"/>
      <c r="L2057" s="5"/>
      <c r="M2057" s="5"/>
      <c r="N2057" s="5"/>
      <c r="O2057" s="5"/>
      <c r="P2057" s="5"/>
      <c r="Q2057" s="5"/>
      <c r="AL2057" s="7" t="str">
        <f>HYPERLINK("http://dx.doi.org/10.1002/ece3.2258","http://dx.doi.org/10.1002/ece3.2258")</f>
        <v>http://dx.doi.org/10.1002/ece3.2258</v>
      </c>
      <c r="AM2057" s="5">
        <v>34</v>
      </c>
      <c r="AN2057" s="5">
        <v>36</v>
      </c>
      <c r="AO2057" s="5">
        <v>6</v>
      </c>
      <c r="AP2057" s="5">
        <v>14</v>
      </c>
      <c r="AQ2057" s="5">
        <v>5043</v>
      </c>
      <c r="AR2057" s="5">
        <v>5056</v>
      </c>
      <c r="AS2057" s="5" t="s">
        <v>16</v>
      </c>
      <c r="AT2057" s="5" t="s">
        <v>12331</v>
      </c>
      <c r="AU2057" s="5" t="s">
        <v>12332</v>
      </c>
      <c r="AV2057" s="5" t="s">
        <v>12334</v>
      </c>
    </row>
    <row r="2058" spans="1:48" ht="45" customHeight="1" x14ac:dyDescent="0.15">
      <c r="A2058" s="5" t="s">
        <v>12335</v>
      </c>
      <c r="B2058" s="5">
        <v>2007</v>
      </c>
      <c r="C2058" s="5" t="s">
        <v>12336</v>
      </c>
      <c r="D2058" s="5" t="s">
        <v>251</v>
      </c>
      <c r="E2058" s="5" t="s">
        <v>18453</v>
      </c>
      <c r="F2058" s="5" t="s">
        <v>12339</v>
      </c>
      <c r="G2058" s="5"/>
      <c r="H2058" s="5"/>
      <c r="I2058" s="5"/>
      <c r="J2058" s="5"/>
      <c r="K2058" s="5"/>
      <c r="L2058" s="5"/>
      <c r="M2058" s="5"/>
      <c r="N2058" s="5"/>
      <c r="O2058" s="5"/>
      <c r="P2058" s="5"/>
      <c r="Q2058" s="5"/>
      <c r="AL2058" s="7" t="str">
        <f>HYPERLINK("http://dx.doi.org/10.1016/j.biocon.2007.04.028","http://dx.doi.org/10.1016/j.biocon.2007.04.028")</f>
        <v>http://dx.doi.org/10.1016/j.biocon.2007.04.028</v>
      </c>
      <c r="AM2058" s="5">
        <v>32</v>
      </c>
      <c r="AN2058" s="5">
        <v>32</v>
      </c>
      <c r="AO2058" s="5">
        <v>138</v>
      </c>
      <c r="AP2058" s="5" t="s">
        <v>639</v>
      </c>
      <c r="AQ2058" s="5">
        <v>330</v>
      </c>
      <c r="AR2058" s="5">
        <v>340</v>
      </c>
      <c r="AS2058" s="5" t="s">
        <v>16</v>
      </c>
      <c r="AT2058" s="5" t="s">
        <v>12337</v>
      </c>
      <c r="AU2058" s="5" t="s">
        <v>12338</v>
      </c>
      <c r="AV2058" s="5" t="s">
        <v>12340</v>
      </c>
    </row>
    <row r="2059" spans="1:48" ht="45" customHeight="1" x14ac:dyDescent="0.15">
      <c r="A2059" s="5" t="s">
        <v>12341</v>
      </c>
      <c r="B2059" s="5">
        <v>2015</v>
      </c>
      <c r="C2059" s="5" t="s">
        <v>12342</v>
      </c>
      <c r="D2059" s="5" t="s">
        <v>212</v>
      </c>
      <c r="E2059" s="5" t="s">
        <v>18453</v>
      </c>
      <c r="F2059" s="5" t="s">
        <v>12345</v>
      </c>
      <c r="G2059" s="5"/>
      <c r="H2059" s="5"/>
      <c r="I2059" s="5"/>
      <c r="J2059" s="5"/>
      <c r="K2059" s="5"/>
      <c r="L2059" s="5"/>
      <c r="M2059" s="5"/>
      <c r="N2059" s="5"/>
      <c r="O2059" s="5"/>
      <c r="P2059" s="5"/>
      <c r="Q2059" s="5"/>
      <c r="AL2059" s="7" t="str">
        <f>HYPERLINK("http://dx.doi.org/10.1007/s00300-014-1577-8","http://dx.doi.org/10.1007/s00300-014-1577-8")</f>
        <v>http://dx.doi.org/10.1007/s00300-014-1577-8</v>
      </c>
      <c r="AM2059" s="5">
        <v>24</v>
      </c>
      <c r="AN2059" s="5">
        <v>26</v>
      </c>
      <c r="AO2059" s="5">
        <v>38</v>
      </c>
      <c r="AP2059" s="5">
        <v>1</v>
      </c>
      <c r="AQ2059" s="5">
        <v>87</v>
      </c>
      <c r="AR2059" s="5">
        <v>98</v>
      </c>
      <c r="AS2059" s="5" t="s">
        <v>16</v>
      </c>
      <c r="AT2059" s="5" t="s">
        <v>12343</v>
      </c>
      <c r="AU2059" s="5" t="s">
        <v>12344</v>
      </c>
      <c r="AV2059" s="5" t="s">
        <v>12346</v>
      </c>
    </row>
    <row r="2060" spans="1:48" ht="45" customHeight="1" x14ac:dyDescent="0.15">
      <c r="A2060" s="5" t="s">
        <v>12347</v>
      </c>
      <c r="B2060" s="5">
        <v>2003</v>
      </c>
      <c r="C2060" s="5" t="s">
        <v>12348</v>
      </c>
      <c r="D2060" s="5" t="s">
        <v>295</v>
      </c>
      <c r="E2060" s="5" t="s">
        <v>18453</v>
      </c>
      <c r="F2060" s="5" t="s">
        <v>12351</v>
      </c>
      <c r="G2060" s="5"/>
      <c r="H2060" s="5"/>
      <c r="I2060" s="5"/>
      <c r="J2060" s="5"/>
      <c r="K2060" s="5"/>
      <c r="L2060" s="5"/>
      <c r="M2060" s="5"/>
      <c r="N2060" s="5"/>
      <c r="O2060" s="5"/>
      <c r="P2060" s="5"/>
      <c r="Q2060" s="5"/>
      <c r="AL2060" s="7" t="str">
        <f>HYPERLINK("http://dx.doi.org/10.1016/S0022-0981(03)00096-0","http://dx.doi.org/10.1016/S0022-0981(03)00096-0")</f>
        <v>http://dx.doi.org/10.1016/S0022-0981(03)00096-0</v>
      </c>
      <c r="AM2060" s="5">
        <v>9</v>
      </c>
      <c r="AN2060" s="5">
        <v>10</v>
      </c>
      <c r="AO2060" s="5">
        <v>291</v>
      </c>
      <c r="AP2060" s="5">
        <v>1</v>
      </c>
      <c r="AQ2060" s="5">
        <v>17</v>
      </c>
      <c r="AR2060" s="5">
        <v>27</v>
      </c>
      <c r="AS2060" s="5" t="s">
        <v>16</v>
      </c>
      <c r="AT2060" s="5" t="s">
        <v>12349</v>
      </c>
      <c r="AU2060" s="5" t="s">
        <v>12350</v>
      </c>
      <c r="AV2060" s="5" t="s">
        <v>12352</v>
      </c>
    </row>
    <row r="2061" spans="1:48" ht="45" customHeight="1" x14ac:dyDescent="0.15">
      <c r="A2061" s="5" t="s">
        <v>12353</v>
      </c>
      <c r="B2061" s="5">
        <v>2020</v>
      </c>
      <c r="C2061" s="5" t="s">
        <v>12354</v>
      </c>
      <c r="D2061" s="5" t="s">
        <v>41</v>
      </c>
      <c r="E2061" s="5" t="s">
        <v>18453</v>
      </c>
      <c r="F2061" s="5" t="s">
        <v>12357</v>
      </c>
      <c r="G2061" s="5"/>
      <c r="H2061" s="5"/>
      <c r="I2061" s="5"/>
      <c r="J2061" s="5"/>
      <c r="K2061" s="5"/>
      <c r="L2061" s="5"/>
      <c r="M2061" s="5"/>
      <c r="N2061" s="5"/>
      <c r="O2061" s="5"/>
      <c r="P2061" s="5"/>
      <c r="Q2061" s="5"/>
      <c r="AL2061" s="7" t="str">
        <f>HYPERLINK("http://dx.doi.org/10.1016/j.actao.2020.103545","http://dx.doi.org/10.1016/j.actao.2020.103545")</f>
        <v>http://dx.doi.org/10.1016/j.actao.2020.103545</v>
      </c>
      <c r="AM2061" s="5">
        <v>3</v>
      </c>
      <c r="AN2061" s="5">
        <v>3</v>
      </c>
      <c r="AO2061" s="5">
        <v>105</v>
      </c>
      <c r="AP2061" s="5" t="s">
        <v>16</v>
      </c>
      <c r="AQ2061" s="5" t="s">
        <v>16</v>
      </c>
      <c r="AR2061" s="5" t="s">
        <v>16</v>
      </c>
      <c r="AS2061" s="5">
        <v>103545</v>
      </c>
      <c r="AT2061" s="5" t="s">
        <v>12355</v>
      </c>
      <c r="AU2061" s="5" t="s">
        <v>12356</v>
      </c>
      <c r="AV2061" s="5" t="s">
        <v>12358</v>
      </c>
    </row>
    <row r="2062" spans="1:48" ht="45" customHeight="1" x14ac:dyDescent="0.15">
      <c r="A2062" s="5" t="s">
        <v>12359</v>
      </c>
      <c r="B2062" s="5">
        <v>2007</v>
      </c>
      <c r="C2062" s="5" t="s">
        <v>12360</v>
      </c>
      <c r="D2062" s="5" t="s">
        <v>49</v>
      </c>
      <c r="E2062" s="5" t="s">
        <v>18453</v>
      </c>
      <c r="F2062" s="5" t="s">
        <v>12363</v>
      </c>
      <c r="G2062" s="5"/>
      <c r="H2062" s="5"/>
      <c r="I2062" s="5"/>
      <c r="J2062" s="5"/>
      <c r="K2062" s="5"/>
      <c r="L2062" s="5"/>
      <c r="M2062" s="5"/>
      <c r="N2062" s="5"/>
      <c r="O2062" s="5"/>
      <c r="P2062" s="5"/>
      <c r="Q2062" s="5"/>
      <c r="AL2062" s="7" t="str">
        <f>HYPERLINK("http://dx.doi.org/10.3354/meps337197","http://dx.doi.org/10.3354/meps337197")</f>
        <v>http://dx.doi.org/10.3354/meps337197</v>
      </c>
      <c r="AM2062" s="5">
        <v>59</v>
      </c>
      <c r="AN2062" s="5">
        <v>60</v>
      </c>
      <c r="AO2062" s="5">
        <v>337</v>
      </c>
      <c r="AP2062" s="5" t="s">
        <v>16</v>
      </c>
      <c r="AQ2062" s="5">
        <v>197</v>
      </c>
      <c r="AR2062" s="5">
        <v>208</v>
      </c>
      <c r="AS2062" s="5" t="s">
        <v>16</v>
      </c>
      <c r="AT2062" s="5" t="s">
        <v>12361</v>
      </c>
      <c r="AU2062" s="5" t="s">
        <v>12362</v>
      </c>
      <c r="AV2062" s="5" t="s">
        <v>12364</v>
      </c>
    </row>
    <row r="2063" spans="1:48" ht="45" customHeight="1" x14ac:dyDescent="0.15">
      <c r="A2063" s="5" t="s">
        <v>12365</v>
      </c>
      <c r="B2063" s="5">
        <v>2012</v>
      </c>
      <c r="C2063" s="5" t="s">
        <v>12366</v>
      </c>
      <c r="D2063" s="5" t="s">
        <v>138</v>
      </c>
      <c r="E2063" s="5" t="s">
        <v>18453</v>
      </c>
      <c r="F2063" s="5" t="s">
        <v>12369</v>
      </c>
      <c r="G2063" s="5"/>
      <c r="H2063" s="5"/>
      <c r="I2063" s="5"/>
      <c r="J2063" s="5"/>
      <c r="K2063" s="5"/>
      <c r="L2063" s="5"/>
      <c r="M2063" s="5"/>
      <c r="N2063" s="5"/>
      <c r="O2063" s="5"/>
      <c r="P2063" s="5"/>
      <c r="Q2063" s="5"/>
      <c r="AL2063" s="7" t="str">
        <f>HYPERLINK("http://dx.doi.org/10.1111/j.1442-9993.2011.02346.x","http://dx.doi.org/10.1111/j.1442-9993.2011.02346.x")</f>
        <v>http://dx.doi.org/10.1111/j.1442-9993.2011.02346.x</v>
      </c>
      <c r="AM2063" s="5">
        <v>12</v>
      </c>
      <c r="AN2063" s="5">
        <v>12</v>
      </c>
      <c r="AO2063" s="5">
        <v>37</v>
      </c>
      <c r="AP2063" s="5">
        <v>8</v>
      </c>
      <c r="AQ2063" s="5">
        <v>893</v>
      </c>
      <c r="AR2063" s="5">
        <v>902</v>
      </c>
      <c r="AS2063" s="5" t="s">
        <v>16</v>
      </c>
      <c r="AT2063" s="5" t="s">
        <v>12367</v>
      </c>
      <c r="AU2063" s="5" t="s">
        <v>12368</v>
      </c>
      <c r="AV2063" s="5" t="s">
        <v>12370</v>
      </c>
    </row>
    <row r="2064" spans="1:48" ht="45" customHeight="1" x14ac:dyDescent="0.15">
      <c r="A2064" s="5" t="s">
        <v>12371</v>
      </c>
      <c r="B2064" s="5">
        <v>2021</v>
      </c>
      <c r="C2064" s="5" t="s">
        <v>12372</v>
      </c>
      <c r="D2064" s="5" t="s">
        <v>942</v>
      </c>
      <c r="E2064" s="5" t="s">
        <v>18453</v>
      </c>
      <c r="F2064" s="5" t="s">
        <v>12374</v>
      </c>
      <c r="G2064" s="5"/>
      <c r="H2064" s="5"/>
      <c r="I2064" s="5"/>
      <c r="J2064" s="5"/>
      <c r="K2064" s="5"/>
      <c r="L2064" s="5"/>
      <c r="M2064" s="5"/>
      <c r="N2064" s="5"/>
      <c r="O2064" s="5"/>
      <c r="P2064" s="5"/>
      <c r="Q2064" s="5"/>
      <c r="AL2064" s="7" t="str">
        <f>HYPERLINK("http://dx.doi.org/10.1016/j.rsma.2021.101618","http://dx.doi.org/10.1016/j.rsma.2021.101618")</f>
        <v>http://dx.doi.org/10.1016/j.rsma.2021.101618</v>
      </c>
      <c r="AM2064" s="5">
        <v>7</v>
      </c>
      <c r="AN2064" s="5">
        <v>8</v>
      </c>
      <c r="AO2064" s="5">
        <v>41</v>
      </c>
      <c r="AP2064" s="5" t="s">
        <v>16</v>
      </c>
      <c r="AQ2064" s="5" t="s">
        <v>16</v>
      </c>
      <c r="AR2064" s="5" t="s">
        <v>16</v>
      </c>
      <c r="AS2064" s="5">
        <v>101618</v>
      </c>
      <c r="AT2064" s="5" t="s">
        <v>12373</v>
      </c>
      <c r="AU2064" s="5" t="s">
        <v>16</v>
      </c>
      <c r="AV2064" s="5" t="s">
        <v>12375</v>
      </c>
    </row>
    <row r="2065" spans="1:48" ht="45" customHeight="1" x14ac:dyDescent="0.15">
      <c r="A2065" s="5" t="s">
        <v>12376</v>
      </c>
      <c r="B2065" s="5">
        <v>2017</v>
      </c>
      <c r="C2065" s="5" t="s">
        <v>12377</v>
      </c>
      <c r="D2065" s="5" t="s">
        <v>15</v>
      </c>
      <c r="E2065" s="5" t="s">
        <v>18453</v>
      </c>
      <c r="F2065" s="5" t="s">
        <v>12380</v>
      </c>
      <c r="G2065" s="5"/>
      <c r="H2065" s="5"/>
      <c r="I2065" s="5"/>
      <c r="J2065" s="5"/>
      <c r="K2065" s="5"/>
      <c r="L2065" s="5"/>
      <c r="M2065" s="5"/>
      <c r="N2065" s="5"/>
      <c r="O2065" s="5"/>
      <c r="P2065" s="5"/>
      <c r="Q2065" s="5"/>
      <c r="AL2065" s="7" t="str">
        <f>HYPERLINK("http://dx.doi.org/10.1002/ece3.2857","http://dx.doi.org/10.1002/ece3.2857")</f>
        <v>http://dx.doi.org/10.1002/ece3.2857</v>
      </c>
      <c r="AM2065" s="5">
        <v>4</v>
      </c>
      <c r="AN2065" s="5">
        <v>4</v>
      </c>
      <c r="AO2065" s="5">
        <v>7</v>
      </c>
      <c r="AP2065" s="5">
        <v>15</v>
      </c>
      <c r="AQ2065" s="5">
        <v>5542</v>
      </c>
      <c r="AR2065" s="5">
        <v>5559</v>
      </c>
      <c r="AS2065" s="5" t="s">
        <v>16</v>
      </c>
      <c r="AT2065" s="5" t="s">
        <v>12378</v>
      </c>
      <c r="AU2065" s="5" t="s">
        <v>12379</v>
      </c>
      <c r="AV2065" s="5" t="s">
        <v>12381</v>
      </c>
    </row>
    <row r="2066" spans="1:48" ht="45" customHeight="1" x14ac:dyDescent="0.15">
      <c r="A2066" s="5" t="s">
        <v>12382</v>
      </c>
      <c r="B2066" s="5">
        <v>2005</v>
      </c>
      <c r="C2066" s="5" t="s">
        <v>12383</v>
      </c>
      <c r="D2066" s="5" t="s">
        <v>49</v>
      </c>
      <c r="E2066" s="5" t="s">
        <v>18453</v>
      </c>
      <c r="F2066" s="5" t="s">
        <v>12386</v>
      </c>
      <c r="G2066" s="5"/>
      <c r="H2066" s="5"/>
      <c r="I2066" s="5"/>
      <c r="J2066" s="5"/>
      <c r="K2066" s="5"/>
      <c r="L2066" s="5"/>
      <c r="M2066" s="5"/>
      <c r="N2066" s="5"/>
      <c r="O2066" s="5"/>
      <c r="P2066" s="5"/>
      <c r="Q2066" s="5"/>
      <c r="AL2066" s="7" t="str">
        <f>HYPERLINK("http://dx.doi.org/10.3354/meps296115","http://dx.doi.org/10.3354/meps296115")</f>
        <v>http://dx.doi.org/10.3354/meps296115</v>
      </c>
      <c r="AM2066" s="5">
        <v>172</v>
      </c>
      <c r="AN2066" s="5">
        <v>180</v>
      </c>
      <c r="AO2066" s="5">
        <v>296</v>
      </c>
      <c r="AP2066" s="5" t="s">
        <v>16</v>
      </c>
      <c r="AQ2066" s="5">
        <v>115</v>
      </c>
      <c r="AR2066" s="5">
        <v>128</v>
      </c>
      <c r="AS2066" s="5" t="s">
        <v>16</v>
      </c>
      <c r="AT2066" s="5" t="s">
        <v>12384</v>
      </c>
      <c r="AU2066" s="5" t="s">
        <v>12385</v>
      </c>
      <c r="AV2066" s="5" t="s">
        <v>12387</v>
      </c>
    </row>
    <row r="2067" spans="1:48" ht="45" customHeight="1" x14ac:dyDescent="0.15">
      <c r="A2067" s="5" t="s">
        <v>12388</v>
      </c>
      <c r="B2067" s="5">
        <v>2009</v>
      </c>
      <c r="C2067" s="5" t="s">
        <v>12389</v>
      </c>
      <c r="D2067" s="5" t="s">
        <v>49</v>
      </c>
      <c r="E2067" s="5" t="s">
        <v>18453</v>
      </c>
      <c r="F2067" s="5" t="s">
        <v>12392</v>
      </c>
      <c r="G2067" s="5"/>
      <c r="H2067" s="5"/>
      <c r="I2067" s="5"/>
      <c r="J2067" s="5"/>
      <c r="K2067" s="5"/>
      <c r="L2067" s="5"/>
      <c r="M2067" s="5"/>
      <c r="N2067" s="5"/>
      <c r="O2067" s="5"/>
      <c r="P2067" s="5"/>
      <c r="Q2067" s="5"/>
      <c r="AL2067" s="7" t="str">
        <f>HYPERLINK("http://dx.doi.org/10.3354/meps07908","http://dx.doi.org/10.3354/meps07908")</f>
        <v>http://dx.doi.org/10.3354/meps07908</v>
      </c>
      <c r="AM2067" s="5">
        <v>76</v>
      </c>
      <c r="AN2067" s="5">
        <v>77</v>
      </c>
      <c r="AO2067" s="5">
        <v>381</v>
      </c>
      <c r="AP2067" s="5" t="s">
        <v>16</v>
      </c>
      <c r="AQ2067" s="5">
        <v>167</v>
      </c>
      <c r="AR2067" s="5">
        <v>174</v>
      </c>
      <c r="AS2067" s="5" t="s">
        <v>16</v>
      </c>
      <c r="AT2067" s="5" t="s">
        <v>12390</v>
      </c>
      <c r="AU2067" s="5" t="s">
        <v>12391</v>
      </c>
      <c r="AV2067" s="5" t="s">
        <v>12393</v>
      </c>
    </row>
    <row r="2068" spans="1:48" ht="45" customHeight="1" x14ac:dyDescent="0.15">
      <c r="A2068" s="5" t="s">
        <v>12394</v>
      </c>
      <c r="B2068" s="5">
        <v>2018</v>
      </c>
      <c r="C2068" s="5" t="s">
        <v>12395</v>
      </c>
      <c r="D2068" s="5" t="s">
        <v>33</v>
      </c>
      <c r="E2068" s="5" t="s">
        <v>18453</v>
      </c>
      <c r="F2068" s="5" t="s">
        <v>12398</v>
      </c>
      <c r="G2068" s="5"/>
      <c r="H2068" s="5"/>
      <c r="I2068" s="5"/>
      <c r="J2068" s="5"/>
      <c r="K2068" s="5"/>
      <c r="L2068" s="5"/>
      <c r="M2068" s="5"/>
      <c r="N2068" s="5"/>
      <c r="O2068" s="5"/>
      <c r="P2068" s="5"/>
      <c r="Q2068" s="5"/>
      <c r="AL2068" s="7" t="str">
        <f>HYPERLINK("http://dx.doi.org/10.1111/gcb.14009","http://dx.doi.org/10.1111/gcb.14009")</f>
        <v>http://dx.doi.org/10.1111/gcb.14009</v>
      </c>
      <c r="AM2068" s="5">
        <v>83</v>
      </c>
      <c r="AN2068" s="5">
        <v>85</v>
      </c>
      <c r="AO2068" s="5">
        <v>24</v>
      </c>
      <c r="AP2068" s="5">
        <v>4</v>
      </c>
      <c r="AQ2068" s="5">
        <v>1762</v>
      </c>
      <c r="AR2068" s="5">
        <v>1770</v>
      </c>
      <c r="AS2068" s="5" t="s">
        <v>16</v>
      </c>
      <c r="AT2068" s="5" t="s">
        <v>12396</v>
      </c>
      <c r="AU2068" s="5" t="s">
        <v>12397</v>
      </c>
      <c r="AV2068" s="5" t="s">
        <v>12399</v>
      </c>
    </row>
    <row r="2069" spans="1:48" ht="45" customHeight="1" x14ac:dyDescent="0.15">
      <c r="A2069" s="5" t="s">
        <v>12400</v>
      </c>
      <c r="B2069" s="5">
        <v>2018</v>
      </c>
      <c r="C2069" s="5" t="s">
        <v>12401</v>
      </c>
      <c r="D2069" s="5" t="s">
        <v>7759</v>
      </c>
      <c r="E2069" s="5" t="s">
        <v>18453</v>
      </c>
      <c r="F2069" s="5" t="s">
        <v>12404</v>
      </c>
      <c r="G2069" s="5"/>
      <c r="H2069" s="5"/>
      <c r="I2069" s="5"/>
      <c r="J2069" s="5"/>
      <c r="K2069" s="5"/>
      <c r="L2069" s="5"/>
      <c r="M2069" s="5"/>
      <c r="N2069" s="5"/>
      <c r="O2069" s="5"/>
      <c r="P2069" s="5"/>
      <c r="Q2069" s="5"/>
      <c r="AL2069" s="7" t="str">
        <f>HYPERLINK("http://dx.doi.org/10.1007/s11258-018-0829-z","http://dx.doi.org/10.1007/s11258-018-0829-z")</f>
        <v>http://dx.doi.org/10.1007/s11258-018-0829-z</v>
      </c>
      <c r="AM2069" s="5">
        <v>14</v>
      </c>
      <c r="AN2069" s="5">
        <v>14</v>
      </c>
      <c r="AO2069" s="5">
        <v>219</v>
      </c>
      <c r="AP2069" s="5">
        <v>6</v>
      </c>
      <c r="AQ2069" s="5">
        <v>719</v>
      </c>
      <c r="AR2069" s="5">
        <v>735</v>
      </c>
      <c r="AS2069" s="5" t="s">
        <v>16</v>
      </c>
      <c r="AT2069" s="5" t="s">
        <v>12402</v>
      </c>
      <c r="AU2069" s="5" t="s">
        <v>12403</v>
      </c>
      <c r="AV2069" s="5" t="s">
        <v>12405</v>
      </c>
    </row>
    <row r="2070" spans="1:48" ht="45" customHeight="1" x14ac:dyDescent="0.15">
      <c r="A2070" s="5" t="s">
        <v>12406</v>
      </c>
      <c r="B2070" s="5">
        <v>1999</v>
      </c>
      <c r="C2070" s="5" t="s">
        <v>12407</v>
      </c>
      <c r="D2070" s="5" t="s">
        <v>116</v>
      </c>
      <c r="E2070" s="5" t="s">
        <v>18453</v>
      </c>
      <c r="F2070" s="5" t="s">
        <v>12410</v>
      </c>
      <c r="G2070" s="5"/>
      <c r="H2070" s="5"/>
      <c r="I2070" s="5"/>
      <c r="J2070" s="5"/>
      <c r="K2070" s="5"/>
      <c r="L2070" s="5"/>
      <c r="M2070" s="5"/>
      <c r="N2070" s="5"/>
      <c r="O2070" s="5"/>
      <c r="P2070" s="5"/>
      <c r="Q2070" s="5"/>
      <c r="AL2070" s="7" t="str">
        <f>HYPERLINK("http://dx.doi.org/10.1023/A:1007544017989","http://dx.doi.org/10.1023/A:1007544017989")</f>
        <v>http://dx.doi.org/10.1023/A:1007544017989</v>
      </c>
      <c r="AM2070" s="5">
        <v>38</v>
      </c>
      <c r="AN2070" s="5">
        <v>41</v>
      </c>
      <c r="AO2070" s="5">
        <v>55</v>
      </c>
      <c r="AP2070" s="5">
        <v>4</v>
      </c>
      <c r="AQ2070" s="5">
        <v>343</v>
      </c>
      <c r="AR2070" s="5">
        <v>358</v>
      </c>
      <c r="AS2070" s="5" t="s">
        <v>16</v>
      </c>
      <c r="AT2070" s="5" t="s">
        <v>12408</v>
      </c>
      <c r="AU2070" s="5" t="s">
        <v>12409</v>
      </c>
      <c r="AV2070" s="5" t="s">
        <v>12411</v>
      </c>
    </row>
    <row r="2071" spans="1:48" ht="45" customHeight="1" x14ac:dyDescent="0.15">
      <c r="A2071" s="5" t="s">
        <v>12412</v>
      </c>
      <c r="B2071" s="5">
        <v>2015</v>
      </c>
      <c r="C2071" s="5" t="s">
        <v>12413</v>
      </c>
      <c r="D2071" s="5" t="s">
        <v>111</v>
      </c>
      <c r="E2071" s="5" t="s">
        <v>18453</v>
      </c>
      <c r="F2071" s="5" t="s">
        <v>12416</v>
      </c>
      <c r="G2071" s="5"/>
      <c r="H2071" s="5"/>
      <c r="I2071" s="5"/>
      <c r="J2071" s="5"/>
      <c r="K2071" s="5"/>
      <c r="L2071" s="5"/>
      <c r="M2071" s="5"/>
      <c r="N2071" s="5"/>
      <c r="O2071" s="5"/>
      <c r="P2071" s="5"/>
      <c r="Q2071" s="5"/>
      <c r="AL2071" s="7" t="str">
        <f>HYPERLINK("http://dx.doi.org/10.1007/s10452-015-9503-x","http://dx.doi.org/10.1007/s10452-015-9503-x")</f>
        <v>http://dx.doi.org/10.1007/s10452-015-9503-x</v>
      </c>
      <c r="AM2071" s="5">
        <v>7</v>
      </c>
      <c r="AN2071" s="5">
        <v>8</v>
      </c>
      <c r="AO2071" s="5">
        <v>49</v>
      </c>
      <c r="AP2071" s="5">
        <v>1</v>
      </c>
      <c r="AQ2071" s="5">
        <v>43</v>
      </c>
      <c r="AR2071" s="5">
        <v>55</v>
      </c>
      <c r="AS2071" s="5" t="s">
        <v>16</v>
      </c>
      <c r="AT2071" s="5" t="s">
        <v>12414</v>
      </c>
      <c r="AU2071" s="5" t="s">
        <v>12415</v>
      </c>
      <c r="AV2071" s="5" t="s">
        <v>12417</v>
      </c>
    </row>
    <row r="2072" spans="1:48" ht="45" customHeight="1" x14ac:dyDescent="0.15">
      <c r="A2072" s="5" t="s">
        <v>12418</v>
      </c>
      <c r="B2072" s="5">
        <v>2013</v>
      </c>
      <c r="C2072" s="5" t="s">
        <v>12419</v>
      </c>
      <c r="D2072" s="5" t="s">
        <v>3939</v>
      </c>
      <c r="E2072" s="5" t="s">
        <v>18453</v>
      </c>
      <c r="F2072" s="5" t="s">
        <v>12422</v>
      </c>
      <c r="G2072" s="5"/>
      <c r="H2072" s="5"/>
      <c r="I2072" s="5"/>
      <c r="J2072" s="5"/>
      <c r="K2072" s="5"/>
      <c r="L2072" s="5"/>
      <c r="M2072" s="5"/>
      <c r="N2072" s="5"/>
      <c r="O2072" s="5"/>
      <c r="P2072" s="5"/>
      <c r="Q2072" s="5"/>
      <c r="AL2072" s="7" t="str">
        <f>HYPERLINK("http://dx.doi.org/10.1016/j.landurbplan.2012.11.004","http://dx.doi.org/10.1016/j.landurbplan.2012.11.004")</f>
        <v>http://dx.doi.org/10.1016/j.landurbplan.2012.11.004</v>
      </c>
      <c r="AM2072" s="5">
        <v>26</v>
      </c>
      <c r="AN2072" s="5">
        <v>27</v>
      </c>
      <c r="AO2072" s="5">
        <v>110</v>
      </c>
      <c r="AP2072" s="5" t="s">
        <v>16</v>
      </c>
      <c r="AQ2072" s="5">
        <v>164</v>
      </c>
      <c r="AR2072" s="5">
        <v>174</v>
      </c>
      <c r="AS2072" s="5" t="s">
        <v>16</v>
      </c>
      <c r="AT2072" s="5" t="s">
        <v>12420</v>
      </c>
      <c r="AU2072" s="5" t="s">
        <v>12421</v>
      </c>
      <c r="AV2072" s="5" t="s">
        <v>12423</v>
      </c>
    </row>
    <row r="2073" spans="1:48" ht="45" customHeight="1" x14ac:dyDescent="0.15">
      <c r="A2073" s="5" t="s">
        <v>12424</v>
      </c>
      <c r="B2073" s="5">
        <v>2012</v>
      </c>
      <c r="C2073" s="5" t="s">
        <v>12425</v>
      </c>
      <c r="D2073" s="5" t="s">
        <v>160</v>
      </c>
      <c r="E2073" s="5" t="s">
        <v>18453</v>
      </c>
      <c r="F2073" s="5" t="s">
        <v>12428</v>
      </c>
      <c r="G2073" s="5"/>
      <c r="H2073" s="5"/>
      <c r="I2073" s="5"/>
      <c r="J2073" s="5"/>
      <c r="K2073" s="5"/>
      <c r="L2073" s="5"/>
      <c r="M2073" s="5"/>
      <c r="N2073" s="5"/>
      <c r="O2073" s="5"/>
      <c r="P2073" s="5"/>
      <c r="Q2073" s="5"/>
      <c r="AL2073" s="7" t="str">
        <f>HYPERLINK("http://dx.doi.org/10.1111/j.1365-2664.2012.02114.x","http://dx.doi.org/10.1111/j.1365-2664.2012.02114.x")</f>
        <v>http://dx.doi.org/10.1111/j.1365-2664.2012.02114.x</v>
      </c>
      <c r="AM2073" s="5">
        <v>78</v>
      </c>
      <c r="AN2073" s="5">
        <v>80</v>
      </c>
      <c r="AO2073" s="5">
        <v>49</v>
      </c>
      <c r="AP2073" s="5">
        <v>2</v>
      </c>
      <c r="AQ2073" s="5">
        <v>481</v>
      </c>
      <c r="AR2073" s="5">
        <v>492</v>
      </c>
      <c r="AS2073" s="5" t="s">
        <v>16</v>
      </c>
      <c r="AT2073" s="5" t="s">
        <v>12426</v>
      </c>
      <c r="AU2073" s="5" t="s">
        <v>12427</v>
      </c>
      <c r="AV2073" s="5" t="s">
        <v>12429</v>
      </c>
    </row>
    <row r="2074" spans="1:48" ht="45" customHeight="1" x14ac:dyDescent="0.15">
      <c r="A2074" s="5" t="s">
        <v>12430</v>
      </c>
      <c r="B2074" s="5">
        <v>2009</v>
      </c>
      <c r="C2074" s="5" t="s">
        <v>12431</v>
      </c>
      <c r="D2074" s="5" t="s">
        <v>262</v>
      </c>
      <c r="E2074" s="5" t="s">
        <v>18453</v>
      </c>
      <c r="F2074" s="5" t="s">
        <v>12433</v>
      </c>
      <c r="G2074" s="5"/>
      <c r="H2074" s="5"/>
      <c r="I2074" s="5"/>
      <c r="J2074" s="5"/>
      <c r="K2074" s="5"/>
      <c r="L2074" s="5"/>
      <c r="M2074" s="5"/>
      <c r="N2074" s="5"/>
      <c r="O2074" s="5"/>
      <c r="P2074" s="5"/>
      <c r="Q2074" s="5"/>
      <c r="AL2074" s="7" t="str">
        <f>HYPERLINK("http://dx.doi.org/10.1111/j.1600-0706.2009.17723.x","http://dx.doi.org/10.1111/j.1600-0706.2009.17723.x")</f>
        <v>http://dx.doi.org/10.1111/j.1600-0706.2009.17723.x</v>
      </c>
      <c r="AM2074" s="5">
        <v>54</v>
      </c>
      <c r="AN2074" s="5">
        <v>55</v>
      </c>
      <c r="AO2074" s="5">
        <v>118</v>
      </c>
      <c r="AP2074" s="5">
        <v>12</v>
      </c>
      <c r="AQ2074" s="5">
        <v>1872</v>
      </c>
      <c r="AR2074" s="5">
        <v>1882</v>
      </c>
      <c r="AS2074" s="5" t="s">
        <v>16</v>
      </c>
      <c r="AT2074" s="5" t="s">
        <v>16</v>
      </c>
      <c r="AU2074" s="5" t="s">
        <v>12432</v>
      </c>
      <c r="AV2074" s="5" t="s">
        <v>12434</v>
      </c>
    </row>
    <row r="2075" spans="1:48" ht="45" customHeight="1" x14ac:dyDescent="0.15">
      <c r="A2075" s="5" t="s">
        <v>12435</v>
      </c>
      <c r="B2075" s="5">
        <v>2018</v>
      </c>
      <c r="C2075" s="5" t="s">
        <v>12436</v>
      </c>
      <c r="D2075" s="5" t="s">
        <v>62</v>
      </c>
      <c r="E2075" s="5" t="s">
        <v>18453</v>
      </c>
      <c r="F2075" s="5" t="s">
        <v>12439</v>
      </c>
      <c r="G2075" s="5"/>
      <c r="H2075" s="5"/>
      <c r="I2075" s="5"/>
      <c r="J2075" s="5"/>
      <c r="K2075" s="5"/>
      <c r="L2075" s="5"/>
      <c r="M2075" s="5"/>
      <c r="N2075" s="5"/>
      <c r="O2075" s="5"/>
      <c r="P2075" s="5"/>
      <c r="Q2075" s="5"/>
      <c r="AL2075" s="7" t="str">
        <f>HYPERLINK("http://dx.doi.org/10.1007/s10021-018-0233-5","http://dx.doi.org/10.1007/s10021-018-0233-5")</f>
        <v>http://dx.doi.org/10.1007/s10021-018-0233-5</v>
      </c>
      <c r="AM2075" s="5">
        <v>14</v>
      </c>
      <c r="AN2075" s="5">
        <v>14</v>
      </c>
      <c r="AO2075" s="5">
        <v>21</v>
      </c>
      <c r="AP2075" s="5">
        <v>7</v>
      </c>
      <c r="AQ2075" s="5">
        <v>1459</v>
      </c>
      <c r="AR2075" s="5">
        <v>1470</v>
      </c>
      <c r="AS2075" s="5" t="s">
        <v>16</v>
      </c>
      <c r="AT2075" s="5" t="s">
        <v>12437</v>
      </c>
      <c r="AU2075" s="5" t="s">
        <v>12438</v>
      </c>
      <c r="AV2075" s="5" t="s">
        <v>12440</v>
      </c>
    </row>
    <row r="2076" spans="1:48" ht="45" customHeight="1" x14ac:dyDescent="0.15">
      <c r="A2076" s="5" t="s">
        <v>12441</v>
      </c>
      <c r="B2076" s="5">
        <v>2012</v>
      </c>
      <c r="C2076" s="5" t="s">
        <v>12442</v>
      </c>
      <c r="D2076" s="5" t="s">
        <v>138</v>
      </c>
      <c r="E2076" s="5" t="s">
        <v>18453</v>
      </c>
      <c r="F2076" s="5" t="s">
        <v>12445</v>
      </c>
      <c r="G2076" s="5"/>
      <c r="H2076" s="5"/>
      <c r="I2076" s="5"/>
      <c r="J2076" s="5"/>
      <c r="K2076" s="5"/>
      <c r="L2076" s="5"/>
      <c r="M2076" s="5"/>
      <c r="N2076" s="5"/>
      <c r="O2076" s="5"/>
      <c r="P2076" s="5"/>
      <c r="Q2076" s="5"/>
      <c r="AL2076" s="7" t="str">
        <f>HYPERLINK("http://dx.doi.org/10.1111/j.1442-9993.2011.02282.x","http://dx.doi.org/10.1111/j.1442-9993.2011.02282.x")</f>
        <v>http://dx.doi.org/10.1111/j.1442-9993.2011.02282.x</v>
      </c>
      <c r="AM2076" s="5">
        <v>31</v>
      </c>
      <c r="AN2076" s="5">
        <v>31</v>
      </c>
      <c r="AO2076" s="5">
        <v>37</v>
      </c>
      <c r="AP2076" s="5">
        <v>3</v>
      </c>
      <c r="AQ2076" s="5">
        <v>346</v>
      </c>
      <c r="AR2076" s="5">
        <v>354</v>
      </c>
      <c r="AS2076" s="5" t="s">
        <v>16</v>
      </c>
      <c r="AT2076" s="5" t="s">
        <v>12443</v>
      </c>
      <c r="AU2076" s="5" t="s">
        <v>12444</v>
      </c>
      <c r="AV2076" s="5" t="s">
        <v>12446</v>
      </c>
    </row>
    <row r="2077" spans="1:48" ht="45" customHeight="1" x14ac:dyDescent="0.15">
      <c r="A2077" s="5" t="s">
        <v>12447</v>
      </c>
      <c r="B2077" s="5">
        <v>2018</v>
      </c>
      <c r="C2077" s="5" t="s">
        <v>12448</v>
      </c>
      <c r="D2077" s="5" t="s">
        <v>251</v>
      </c>
      <c r="E2077" s="5" t="s">
        <v>18453</v>
      </c>
      <c r="F2077" s="5" t="s">
        <v>12451</v>
      </c>
      <c r="G2077" s="5"/>
      <c r="H2077" s="5"/>
      <c r="I2077" s="5"/>
      <c r="J2077" s="5"/>
      <c r="K2077" s="5"/>
      <c r="L2077" s="5"/>
      <c r="M2077" s="5"/>
      <c r="N2077" s="5"/>
      <c r="O2077" s="5"/>
      <c r="P2077" s="5"/>
      <c r="Q2077" s="5"/>
      <c r="AL2077" s="7" t="str">
        <f>HYPERLINK("http://dx.doi.org/10.1016/j.biocon.2017.11.021","http://dx.doi.org/10.1016/j.biocon.2017.11.021")</f>
        <v>http://dx.doi.org/10.1016/j.biocon.2017.11.021</v>
      </c>
      <c r="AM2077" s="5">
        <v>19</v>
      </c>
      <c r="AN2077" s="5">
        <v>19</v>
      </c>
      <c r="AO2077" s="5">
        <v>217</v>
      </c>
      <c r="AP2077" s="5" t="s">
        <v>16</v>
      </c>
      <c r="AQ2077" s="5">
        <v>407</v>
      </c>
      <c r="AR2077" s="5">
        <v>418</v>
      </c>
      <c r="AS2077" s="5" t="s">
        <v>16</v>
      </c>
      <c r="AT2077" s="5" t="s">
        <v>12449</v>
      </c>
      <c r="AU2077" s="5" t="s">
        <v>12450</v>
      </c>
      <c r="AV2077" s="5" t="s">
        <v>12452</v>
      </c>
    </row>
    <row r="2078" spans="1:48" ht="45" customHeight="1" x14ac:dyDescent="0.15">
      <c r="A2078" s="5" t="s">
        <v>12453</v>
      </c>
      <c r="B2078" s="5">
        <v>2021</v>
      </c>
      <c r="C2078" s="5" t="s">
        <v>12454</v>
      </c>
      <c r="D2078" s="5" t="s">
        <v>49</v>
      </c>
      <c r="E2078" s="5" t="s">
        <v>18453</v>
      </c>
      <c r="F2078" s="5" t="s">
        <v>12457</v>
      </c>
      <c r="G2078" s="5"/>
      <c r="H2078" s="5"/>
      <c r="I2078" s="5"/>
      <c r="J2078" s="5"/>
      <c r="K2078" s="5"/>
      <c r="L2078" s="5"/>
      <c r="M2078" s="5"/>
      <c r="N2078" s="5"/>
      <c r="O2078" s="5"/>
      <c r="P2078" s="5"/>
      <c r="Q2078" s="5"/>
      <c r="AL2078" s="7" t="str">
        <f>HYPERLINK("http://dx.doi.org/10.3354/meps13662","http://dx.doi.org/10.3354/meps13662")</f>
        <v>http://dx.doi.org/10.3354/meps13662</v>
      </c>
      <c r="AM2078" s="5">
        <v>3</v>
      </c>
      <c r="AN2078" s="5">
        <v>3</v>
      </c>
      <c r="AO2078" s="5">
        <v>665</v>
      </c>
      <c r="AP2078" s="5" t="s">
        <v>16</v>
      </c>
      <c r="AQ2078" s="5">
        <v>177</v>
      </c>
      <c r="AR2078" s="5">
        <v>183</v>
      </c>
      <c r="AS2078" s="5" t="s">
        <v>16</v>
      </c>
      <c r="AT2078" s="5" t="s">
        <v>12455</v>
      </c>
      <c r="AU2078" s="5" t="s">
        <v>12456</v>
      </c>
      <c r="AV2078" s="5" t="s">
        <v>12458</v>
      </c>
    </row>
    <row r="2079" spans="1:48" ht="45" customHeight="1" x14ac:dyDescent="0.15">
      <c r="A2079" s="5" t="s">
        <v>12459</v>
      </c>
      <c r="B2079" s="5">
        <v>2013</v>
      </c>
      <c r="C2079" s="5" t="s">
        <v>12460</v>
      </c>
      <c r="D2079" s="5" t="s">
        <v>83</v>
      </c>
      <c r="E2079" s="5" t="s">
        <v>18453</v>
      </c>
      <c r="F2079" s="5" t="s">
        <v>12463</v>
      </c>
      <c r="G2079" s="5"/>
      <c r="H2079" s="5"/>
      <c r="I2079" s="5"/>
      <c r="J2079" s="5"/>
      <c r="K2079" s="5"/>
      <c r="L2079" s="5"/>
      <c r="M2079" s="5"/>
      <c r="N2079" s="5"/>
      <c r="O2079" s="5"/>
      <c r="P2079" s="5"/>
      <c r="Q2079" s="5"/>
      <c r="AL2079" s="7" t="str">
        <f>HYPERLINK("http://dx.doi.org/10.1007/s10646-012-0999-8","http://dx.doi.org/10.1007/s10646-012-0999-8")</f>
        <v>http://dx.doi.org/10.1007/s10646-012-0999-8</v>
      </c>
      <c r="AM2079" s="5">
        <v>21</v>
      </c>
      <c r="AN2079" s="5">
        <v>21</v>
      </c>
      <c r="AO2079" s="5">
        <v>22</v>
      </c>
      <c r="AP2079" s="5">
        <v>1</v>
      </c>
      <c r="AQ2079" s="5">
        <v>22</v>
      </c>
      <c r="AR2079" s="5">
        <v>32</v>
      </c>
      <c r="AS2079" s="5" t="s">
        <v>16</v>
      </c>
      <c r="AT2079" s="5" t="s">
        <v>12461</v>
      </c>
      <c r="AU2079" s="5" t="s">
        <v>12462</v>
      </c>
      <c r="AV2079" s="5" t="s">
        <v>12464</v>
      </c>
    </row>
    <row r="2080" spans="1:48" ht="45" customHeight="1" x14ac:dyDescent="0.15">
      <c r="A2080" s="5" t="s">
        <v>12465</v>
      </c>
      <c r="B2080" s="5">
        <v>2011</v>
      </c>
      <c r="C2080" s="5" t="s">
        <v>12466</v>
      </c>
      <c r="D2080" s="5" t="s">
        <v>82</v>
      </c>
      <c r="E2080" s="5" t="s">
        <v>18453</v>
      </c>
      <c r="F2080" s="5" t="s">
        <v>12469</v>
      </c>
      <c r="G2080" s="5"/>
      <c r="H2080" s="5"/>
      <c r="I2080" s="5"/>
      <c r="J2080" s="5"/>
      <c r="K2080" s="5"/>
      <c r="L2080" s="5"/>
      <c r="M2080" s="5"/>
      <c r="N2080" s="5"/>
      <c r="O2080" s="5"/>
      <c r="P2080" s="5"/>
      <c r="Q2080" s="5"/>
      <c r="AL2080" s="7" t="str">
        <f>HYPERLINK("http://dx.doi.org/10.1890/09-1427.1","http://dx.doi.org/10.1890/09-1427.1")</f>
        <v>http://dx.doi.org/10.1890/09-1427.1</v>
      </c>
      <c r="AM2080" s="5">
        <v>94</v>
      </c>
      <c r="AN2080" s="5">
        <v>101</v>
      </c>
      <c r="AO2080" s="5">
        <v>21</v>
      </c>
      <c r="AP2080" s="5">
        <v>3</v>
      </c>
      <c r="AQ2080" s="5">
        <v>678</v>
      </c>
      <c r="AR2080" s="5">
        <v>694</v>
      </c>
      <c r="AS2080" s="5" t="s">
        <v>16</v>
      </c>
      <c r="AT2080" s="5" t="s">
        <v>12467</v>
      </c>
      <c r="AU2080" s="5" t="s">
        <v>12468</v>
      </c>
      <c r="AV2080" s="5" t="s">
        <v>12470</v>
      </c>
    </row>
    <row r="2081" spans="1:48" ht="45" customHeight="1" x14ac:dyDescent="0.15">
      <c r="A2081" s="5" t="s">
        <v>12471</v>
      </c>
      <c r="B2081" s="5">
        <v>2015</v>
      </c>
      <c r="C2081" s="5" t="s">
        <v>12472</v>
      </c>
      <c r="D2081" s="5" t="s">
        <v>92</v>
      </c>
      <c r="E2081" s="5" t="s">
        <v>18453</v>
      </c>
      <c r="F2081" s="5" t="s">
        <v>12475</v>
      </c>
      <c r="G2081" s="5"/>
      <c r="H2081" s="5"/>
      <c r="I2081" s="5"/>
      <c r="J2081" s="5"/>
      <c r="K2081" s="5"/>
      <c r="L2081" s="5"/>
      <c r="M2081" s="5"/>
      <c r="N2081" s="5"/>
      <c r="O2081" s="5"/>
      <c r="P2081" s="5"/>
      <c r="Q2081" s="5"/>
      <c r="AL2081" s="7" t="str">
        <f>HYPERLINK("http://dx.doi.org/10.1086/683241","http://dx.doi.org/10.1086/683241")</f>
        <v>http://dx.doi.org/10.1086/683241</v>
      </c>
      <c r="AM2081" s="5">
        <v>13</v>
      </c>
      <c r="AN2081" s="5">
        <v>13</v>
      </c>
      <c r="AO2081" s="5">
        <v>34</v>
      </c>
      <c r="AP2081" s="5">
        <v>4</v>
      </c>
      <c r="AQ2081" s="5">
        <v>1216</v>
      </c>
      <c r="AR2081" s="5">
        <v>1232</v>
      </c>
      <c r="AS2081" s="5" t="s">
        <v>16</v>
      </c>
      <c r="AT2081" s="5" t="s">
        <v>12473</v>
      </c>
      <c r="AU2081" s="5" t="s">
        <v>12474</v>
      </c>
      <c r="AV2081" s="5" t="s">
        <v>12476</v>
      </c>
    </row>
    <row r="2082" spans="1:48" ht="45" customHeight="1" x14ac:dyDescent="0.15">
      <c r="A2082" s="5" t="s">
        <v>12477</v>
      </c>
      <c r="B2082" s="5">
        <v>2018</v>
      </c>
      <c r="C2082" s="5" t="s">
        <v>12478</v>
      </c>
      <c r="D2082" s="5" t="s">
        <v>249</v>
      </c>
      <c r="E2082" s="5" t="s">
        <v>18453</v>
      </c>
      <c r="F2082" s="5" t="s">
        <v>12481</v>
      </c>
      <c r="G2082" s="5"/>
      <c r="H2082" s="5"/>
      <c r="I2082" s="5"/>
      <c r="J2082" s="5"/>
      <c r="K2082" s="5"/>
      <c r="L2082" s="5"/>
      <c r="M2082" s="5"/>
      <c r="N2082" s="5"/>
      <c r="O2082" s="5"/>
      <c r="P2082" s="5"/>
      <c r="Q2082" s="5"/>
      <c r="AL2082" s="7" t="str">
        <f>HYPERLINK("http://dx.doi.org/10.1016/j.jaridenv.2017.12.010","http://dx.doi.org/10.1016/j.jaridenv.2017.12.010")</f>
        <v>http://dx.doi.org/10.1016/j.jaridenv.2017.12.010</v>
      </c>
      <c r="AM2082" s="5">
        <v>5</v>
      </c>
      <c r="AN2082" s="5">
        <v>6</v>
      </c>
      <c r="AO2082" s="5">
        <v>150</v>
      </c>
      <c r="AP2082" s="5" t="s">
        <v>16</v>
      </c>
      <c r="AQ2082" s="5">
        <v>1</v>
      </c>
      <c r="AR2082" s="5">
        <v>8</v>
      </c>
      <c r="AS2082" s="5" t="s">
        <v>16</v>
      </c>
      <c r="AT2082" s="5" t="s">
        <v>12479</v>
      </c>
      <c r="AU2082" s="5" t="s">
        <v>12480</v>
      </c>
      <c r="AV2082" s="5" t="s">
        <v>12482</v>
      </c>
    </row>
    <row r="2083" spans="1:48" ht="45" customHeight="1" x14ac:dyDescent="0.15">
      <c r="A2083" s="5" t="s">
        <v>12483</v>
      </c>
      <c r="B2083" s="5">
        <v>2015</v>
      </c>
      <c r="C2083" s="5" t="s">
        <v>12484</v>
      </c>
      <c r="D2083" s="5" t="s">
        <v>189</v>
      </c>
      <c r="E2083" s="5" t="s">
        <v>18453</v>
      </c>
      <c r="F2083" s="5" t="s">
        <v>12486</v>
      </c>
      <c r="G2083" s="5"/>
      <c r="H2083" s="5"/>
      <c r="I2083" s="5"/>
      <c r="J2083" s="5"/>
      <c r="K2083" s="5"/>
      <c r="L2083" s="5"/>
      <c r="M2083" s="5"/>
      <c r="N2083" s="5"/>
      <c r="O2083" s="5"/>
      <c r="P2083" s="5"/>
      <c r="Q2083" s="5"/>
      <c r="AL2083" s="7" t="str">
        <f>HYPERLINK("http://dx.doi.org/10.1111/ecog.01196","http://dx.doi.org/10.1111/ecog.01196")</f>
        <v>http://dx.doi.org/10.1111/ecog.01196</v>
      </c>
      <c r="AM2083" s="5">
        <v>21</v>
      </c>
      <c r="AN2083" s="5">
        <v>21</v>
      </c>
      <c r="AO2083" s="5">
        <v>38</v>
      </c>
      <c r="AP2083" s="5">
        <v>10</v>
      </c>
      <c r="AQ2083" s="5">
        <v>1006</v>
      </c>
      <c r="AR2083" s="5">
        <v>1014</v>
      </c>
      <c r="AS2083" s="5" t="s">
        <v>16</v>
      </c>
      <c r="AT2083" s="5" t="s">
        <v>16</v>
      </c>
      <c r="AU2083" s="5" t="s">
        <v>12485</v>
      </c>
      <c r="AV2083" s="5" t="s">
        <v>12487</v>
      </c>
    </row>
    <row r="2084" spans="1:48" ht="45" customHeight="1" x14ac:dyDescent="0.15">
      <c r="A2084" s="5" t="s">
        <v>12488</v>
      </c>
      <c r="B2084" s="5">
        <v>2014</v>
      </c>
      <c r="C2084" s="5" t="s">
        <v>12489</v>
      </c>
      <c r="D2084" s="5" t="s">
        <v>49</v>
      </c>
      <c r="E2084" s="5" t="s">
        <v>18453</v>
      </c>
      <c r="F2084" s="5" t="s">
        <v>12492</v>
      </c>
      <c r="G2084" s="5"/>
      <c r="H2084" s="5"/>
      <c r="I2084" s="5"/>
      <c r="J2084" s="5"/>
      <c r="K2084" s="5"/>
      <c r="L2084" s="5"/>
      <c r="M2084" s="5"/>
      <c r="N2084" s="5"/>
      <c r="O2084" s="5"/>
      <c r="P2084" s="5"/>
      <c r="Q2084" s="5"/>
      <c r="AL2084" s="7" t="str">
        <f>HYPERLINK("http://dx.doi.org/10.3354/meps10902","http://dx.doi.org/10.3354/meps10902")</f>
        <v>http://dx.doi.org/10.3354/meps10902</v>
      </c>
      <c r="AM2084" s="5">
        <v>11</v>
      </c>
      <c r="AN2084" s="5">
        <v>11</v>
      </c>
      <c r="AO2084" s="5">
        <v>509</v>
      </c>
      <c r="AP2084" s="5" t="s">
        <v>16</v>
      </c>
      <c r="AQ2084" s="5">
        <v>255</v>
      </c>
      <c r="AR2084" s="5">
        <v>269</v>
      </c>
      <c r="AS2084" s="5" t="s">
        <v>16</v>
      </c>
      <c r="AT2084" s="5" t="s">
        <v>12490</v>
      </c>
      <c r="AU2084" s="5" t="s">
        <v>12491</v>
      </c>
      <c r="AV2084" s="5" t="s">
        <v>12493</v>
      </c>
    </row>
    <row r="2085" spans="1:48" ht="45" customHeight="1" x14ac:dyDescent="0.15">
      <c r="A2085" s="5" t="s">
        <v>12494</v>
      </c>
      <c r="B2085" s="5">
        <v>2002</v>
      </c>
      <c r="C2085" s="5" t="s">
        <v>12495</v>
      </c>
      <c r="D2085" s="5" t="s">
        <v>690</v>
      </c>
      <c r="E2085" s="5" t="s">
        <v>18453</v>
      </c>
      <c r="F2085" s="5" t="s">
        <v>12498</v>
      </c>
      <c r="G2085" s="5"/>
      <c r="H2085" s="5"/>
      <c r="I2085" s="5"/>
      <c r="J2085" s="5"/>
      <c r="K2085" s="5"/>
      <c r="L2085" s="5"/>
      <c r="M2085" s="5"/>
      <c r="N2085" s="5"/>
      <c r="O2085" s="5"/>
      <c r="P2085" s="5"/>
      <c r="Q2085" s="5"/>
      <c r="AL2085" s="7" t="str">
        <f>HYPERLINK("http://dx.doi.org/10.1046/j.1365-294X.2002.01492.x","http://dx.doi.org/10.1046/j.1365-294X.2002.01492.x")</f>
        <v>http://dx.doi.org/10.1046/j.1365-294X.2002.01492.x</v>
      </c>
      <c r="AM2085" s="5">
        <v>62</v>
      </c>
      <c r="AN2085" s="5">
        <v>67</v>
      </c>
      <c r="AO2085" s="5">
        <v>11</v>
      </c>
      <c r="AP2085" s="5">
        <v>5</v>
      </c>
      <c r="AQ2085" s="5">
        <v>913</v>
      </c>
      <c r="AR2085" s="5">
        <v>924</v>
      </c>
      <c r="AS2085" s="5" t="s">
        <v>16</v>
      </c>
      <c r="AT2085" s="5" t="s">
        <v>12496</v>
      </c>
      <c r="AU2085" s="5" t="s">
        <v>12497</v>
      </c>
      <c r="AV2085" s="5" t="s">
        <v>12499</v>
      </c>
    </row>
    <row r="2086" spans="1:48" ht="45" customHeight="1" x14ac:dyDescent="0.15">
      <c r="A2086" s="5" t="s">
        <v>12500</v>
      </c>
      <c r="B2086" s="5">
        <v>2014</v>
      </c>
      <c r="C2086" s="5" t="s">
        <v>12501</v>
      </c>
      <c r="D2086" s="5" t="s">
        <v>526</v>
      </c>
      <c r="E2086" s="5" t="s">
        <v>18453</v>
      </c>
      <c r="F2086" s="5" t="s">
        <v>12504</v>
      </c>
      <c r="G2086" s="5"/>
      <c r="H2086" s="5"/>
      <c r="I2086" s="5"/>
      <c r="J2086" s="5"/>
      <c r="K2086" s="5"/>
      <c r="L2086" s="5"/>
      <c r="M2086" s="5"/>
      <c r="N2086" s="5"/>
      <c r="O2086" s="5"/>
      <c r="P2086" s="5"/>
      <c r="Q2086" s="5"/>
      <c r="AL2086" s="7" t="str">
        <f>HYPERLINK("http://dx.doi.org/10.1111/jvs.12202","http://dx.doi.org/10.1111/jvs.12202")</f>
        <v>http://dx.doi.org/10.1111/jvs.12202</v>
      </c>
      <c r="AM2086" s="5">
        <v>9</v>
      </c>
      <c r="AN2086" s="5">
        <v>9</v>
      </c>
      <c r="AO2086" s="5">
        <v>25</v>
      </c>
      <c r="AP2086" s="5">
        <v>6</v>
      </c>
      <c r="AQ2086" s="5">
        <v>1450</v>
      </c>
      <c r="AR2086" s="5">
        <v>1464</v>
      </c>
      <c r="AS2086" s="5" t="s">
        <v>16</v>
      </c>
      <c r="AT2086" s="5" t="s">
        <v>12502</v>
      </c>
      <c r="AU2086" s="5" t="s">
        <v>12503</v>
      </c>
      <c r="AV2086" s="5" t="s">
        <v>12505</v>
      </c>
    </row>
    <row r="2087" spans="1:48" ht="45" customHeight="1" x14ac:dyDescent="0.15">
      <c r="A2087" s="5" t="s">
        <v>12506</v>
      </c>
      <c r="B2087" s="5">
        <v>2018</v>
      </c>
      <c r="C2087" s="5" t="s">
        <v>12507</v>
      </c>
      <c r="D2087" s="5" t="s">
        <v>116</v>
      </c>
      <c r="E2087" s="5" t="s">
        <v>18453</v>
      </c>
      <c r="F2087" s="5" t="s">
        <v>12510</v>
      </c>
      <c r="G2087" s="5"/>
      <c r="H2087" s="5"/>
      <c r="I2087" s="5"/>
      <c r="J2087" s="5"/>
      <c r="K2087" s="5"/>
      <c r="L2087" s="5"/>
      <c r="M2087" s="5"/>
      <c r="N2087" s="5"/>
      <c r="O2087" s="5"/>
      <c r="P2087" s="5"/>
      <c r="Q2087" s="5"/>
      <c r="AL2087" s="7" t="str">
        <f>HYPERLINK("http://dx.doi.org/10.1007/s10641-018-0719-1","http://dx.doi.org/10.1007/s10641-018-0719-1")</f>
        <v>http://dx.doi.org/10.1007/s10641-018-0719-1</v>
      </c>
      <c r="AM2087" s="5">
        <v>2</v>
      </c>
      <c r="AN2087" s="5">
        <v>2</v>
      </c>
      <c r="AO2087" s="5">
        <v>101</v>
      </c>
      <c r="AP2087" s="5">
        <v>3</v>
      </c>
      <c r="AQ2087" s="5">
        <v>501</v>
      </c>
      <c r="AR2087" s="5">
        <v>514</v>
      </c>
      <c r="AS2087" s="5" t="s">
        <v>16</v>
      </c>
      <c r="AT2087" s="5" t="s">
        <v>12508</v>
      </c>
      <c r="AU2087" s="5" t="s">
        <v>12509</v>
      </c>
      <c r="AV2087" s="5" t="s">
        <v>12511</v>
      </c>
    </row>
    <row r="2088" spans="1:48" ht="45" customHeight="1" x14ac:dyDescent="0.15">
      <c r="A2088" s="5" t="s">
        <v>12512</v>
      </c>
      <c r="B2088" s="5">
        <v>2008</v>
      </c>
      <c r="C2088" s="5" t="s">
        <v>12513</v>
      </c>
      <c r="D2088" s="5" t="s">
        <v>62</v>
      </c>
      <c r="E2088" s="5" t="s">
        <v>18453</v>
      </c>
      <c r="F2088" s="5" t="s">
        <v>12516</v>
      </c>
      <c r="G2088" s="5"/>
      <c r="H2088" s="5"/>
      <c r="I2088" s="5"/>
      <c r="J2088" s="5"/>
      <c r="K2088" s="5"/>
      <c r="L2088" s="5"/>
      <c r="M2088" s="5"/>
      <c r="N2088" s="5"/>
      <c r="O2088" s="5"/>
      <c r="P2088" s="5"/>
      <c r="Q2088" s="5"/>
      <c r="AL2088" s="7" t="str">
        <f>HYPERLINK("http://dx.doi.org/10.1007/s10021-008-9158-8","http://dx.doi.org/10.1007/s10021-008-9158-8")</f>
        <v>http://dx.doi.org/10.1007/s10021-008-9158-8</v>
      </c>
      <c r="AM2088" s="5">
        <v>125</v>
      </c>
      <c r="AN2088" s="5">
        <v>129</v>
      </c>
      <c r="AO2088" s="5">
        <v>11</v>
      </c>
      <c r="AP2088" s="5">
        <v>5</v>
      </c>
      <c r="AQ2088" s="5">
        <v>764</v>
      </c>
      <c r="AR2088" s="5">
        <v>774</v>
      </c>
      <c r="AS2088" s="5" t="s">
        <v>16</v>
      </c>
      <c r="AT2088" s="5" t="s">
        <v>12514</v>
      </c>
      <c r="AU2088" s="5" t="s">
        <v>12515</v>
      </c>
      <c r="AV2088" s="5" t="s">
        <v>12517</v>
      </c>
    </row>
    <row r="2089" spans="1:48" ht="45" customHeight="1" x14ac:dyDescent="0.15">
      <c r="A2089" s="5" t="s">
        <v>12518</v>
      </c>
      <c r="B2089" s="5">
        <v>2020</v>
      </c>
      <c r="C2089" s="5" t="s">
        <v>12519</v>
      </c>
      <c r="D2089" s="5" t="s">
        <v>33</v>
      </c>
      <c r="E2089" s="5" t="s">
        <v>18453</v>
      </c>
      <c r="F2089" s="5" t="s">
        <v>12522</v>
      </c>
      <c r="G2089" s="5"/>
      <c r="H2089" s="5"/>
      <c r="I2089" s="5"/>
      <c r="J2089" s="5"/>
      <c r="K2089" s="5"/>
      <c r="L2089" s="5"/>
      <c r="M2089" s="5"/>
      <c r="N2089" s="5"/>
      <c r="O2089" s="5"/>
      <c r="P2089" s="5"/>
      <c r="Q2089" s="5"/>
      <c r="AL2089" s="7" t="str">
        <f>HYPERLINK("http://dx.doi.org/10.1111/gcb.15129","http://dx.doi.org/10.1111/gcb.15129")</f>
        <v>http://dx.doi.org/10.1111/gcb.15129</v>
      </c>
      <c r="AM2089" s="5">
        <v>15</v>
      </c>
      <c r="AN2089" s="5">
        <v>15</v>
      </c>
      <c r="AO2089" s="5">
        <v>26</v>
      </c>
      <c r="AP2089" s="5">
        <v>7</v>
      </c>
      <c r="AQ2089" s="5">
        <v>4094</v>
      </c>
      <c r="AR2089" s="5">
        <v>4103</v>
      </c>
      <c r="AS2089" s="5" t="s">
        <v>16</v>
      </c>
      <c r="AT2089" s="5" t="s">
        <v>12520</v>
      </c>
      <c r="AU2089" s="5" t="s">
        <v>12521</v>
      </c>
      <c r="AV2089" s="5" t="s">
        <v>12523</v>
      </c>
    </row>
    <row r="2090" spans="1:48" ht="45" customHeight="1" x14ac:dyDescent="0.15">
      <c r="A2090" s="5" t="s">
        <v>12524</v>
      </c>
      <c r="B2090" s="5">
        <v>1998</v>
      </c>
      <c r="C2090" s="5" t="s">
        <v>12525</v>
      </c>
      <c r="D2090" s="5" t="s">
        <v>383</v>
      </c>
      <c r="E2090" s="5" t="s">
        <v>18453</v>
      </c>
      <c r="F2090" s="5" t="s">
        <v>12528</v>
      </c>
      <c r="G2090" s="5"/>
      <c r="H2090" s="5"/>
      <c r="I2090" s="5"/>
      <c r="J2090" s="5"/>
      <c r="K2090" s="5"/>
      <c r="L2090" s="5"/>
      <c r="M2090" s="5"/>
      <c r="N2090" s="5"/>
      <c r="O2090" s="5"/>
      <c r="P2090" s="5"/>
      <c r="Q2090" s="5"/>
      <c r="AL2090" s="7" t="str">
        <f>HYPERLINK("http://dx.doi.org/10.1046/j.1440-1703.1998.00268.x","http://dx.doi.org/10.1046/j.1440-1703.1998.00268.x")</f>
        <v>http://dx.doi.org/10.1046/j.1440-1703.1998.00268.x</v>
      </c>
      <c r="AM2090" s="5">
        <v>60</v>
      </c>
      <c r="AN2090" s="5">
        <v>61</v>
      </c>
      <c r="AO2090" s="5">
        <v>13</v>
      </c>
      <c r="AP2090" s="5">
        <v>3</v>
      </c>
      <c r="AQ2090" s="5">
        <v>377</v>
      </c>
      <c r="AR2090" s="5">
        <v>387</v>
      </c>
      <c r="AS2090" s="5" t="s">
        <v>16</v>
      </c>
      <c r="AT2090" s="5" t="s">
        <v>12526</v>
      </c>
      <c r="AU2090" s="5" t="s">
        <v>12527</v>
      </c>
      <c r="AV2090" s="5" t="s">
        <v>12529</v>
      </c>
    </row>
    <row r="2091" spans="1:48" ht="45" customHeight="1" x14ac:dyDescent="0.15">
      <c r="A2091" s="5" t="s">
        <v>12530</v>
      </c>
      <c r="B2091" s="5">
        <v>2013</v>
      </c>
      <c r="C2091" s="5" t="s">
        <v>12531</v>
      </c>
      <c r="D2091" s="5" t="s">
        <v>49</v>
      </c>
      <c r="E2091" s="5" t="s">
        <v>18453</v>
      </c>
      <c r="F2091" s="5" t="s">
        <v>12534</v>
      </c>
      <c r="G2091" s="5"/>
      <c r="H2091" s="5"/>
      <c r="I2091" s="5"/>
      <c r="J2091" s="5"/>
      <c r="K2091" s="5"/>
      <c r="L2091" s="5"/>
      <c r="M2091" s="5"/>
      <c r="N2091" s="5"/>
      <c r="O2091" s="5"/>
      <c r="P2091" s="5"/>
      <c r="Q2091" s="5"/>
      <c r="AL2091" s="7" t="str">
        <f>HYPERLINK("http://dx.doi.org/10.3354/meps10176","http://dx.doi.org/10.3354/meps10176")</f>
        <v>http://dx.doi.org/10.3354/meps10176</v>
      </c>
      <c r="AM2091" s="5">
        <v>27</v>
      </c>
      <c r="AN2091" s="5">
        <v>27</v>
      </c>
      <c r="AO2091" s="5">
        <v>479</v>
      </c>
      <c r="AP2091" s="5" t="s">
        <v>16</v>
      </c>
      <c r="AQ2091" s="5">
        <v>203</v>
      </c>
      <c r="AR2091" s="5" t="s">
        <v>260</v>
      </c>
      <c r="AS2091" s="5" t="s">
        <v>16</v>
      </c>
      <c r="AT2091" s="5" t="s">
        <v>12532</v>
      </c>
      <c r="AU2091" s="5" t="s">
        <v>12533</v>
      </c>
      <c r="AV2091" s="5" t="s">
        <v>12535</v>
      </c>
    </row>
    <row r="2092" spans="1:48" ht="45" customHeight="1" x14ac:dyDescent="0.15">
      <c r="A2092" s="5" t="s">
        <v>12536</v>
      </c>
      <c r="B2092" s="5">
        <v>2012</v>
      </c>
      <c r="C2092" s="5" t="s">
        <v>12537</v>
      </c>
      <c r="D2092" s="5" t="s">
        <v>116</v>
      </c>
      <c r="E2092" s="5" t="s">
        <v>18453</v>
      </c>
      <c r="F2092" s="5" t="s">
        <v>12540</v>
      </c>
      <c r="G2092" s="5"/>
      <c r="H2092" s="5"/>
      <c r="I2092" s="5"/>
      <c r="J2092" s="5"/>
      <c r="K2092" s="5"/>
      <c r="L2092" s="5"/>
      <c r="M2092" s="5"/>
      <c r="N2092" s="5"/>
      <c r="O2092" s="5"/>
      <c r="P2092" s="5"/>
      <c r="Q2092" s="5"/>
      <c r="AL2092" s="7" t="str">
        <f>HYPERLINK("http://dx.doi.org/10.1007/s10641-012-0057-7","http://dx.doi.org/10.1007/s10641-012-0057-7")</f>
        <v>http://dx.doi.org/10.1007/s10641-012-0057-7</v>
      </c>
      <c r="AM2092" s="5">
        <v>2</v>
      </c>
      <c r="AN2092" s="5">
        <v>2</v>
      </c>
      <c r="AO2092" s="5">
        <v>95</v>
      </c>
      <c r="AP2092" s="5">
        <v>4</v>
      </c>
      <c r="AQ2092" s="5">
        <v>469</v>
      </c>
      <c r="AR2092" s="5">
        <v>479</v>
      </c>
      <c r="AS2092" s="5" t="s">
        <v>16</v>
      </c>
      <c r="AT2092" s="5" t="s">
        <v>12538</v>
      </c>
      <c r="AU2092" s="5" t="s">
        <v>12539</v>
      </c>
      <c r="AV2092" s="5" t="s">
        <v>12541</v>
      </c>
    </row>
    <row r="2093" spans="1:48" ht="45" customHeight="1" x14ac:dyDescent="0.15">
      <c r="A2093" s="5" t="s">
        <v>12542</v>
      </c>
      <c r="B2093" s="5">
        <v>2012</v>
      </c>
      <c r="C2093" s="5" t="s">
        <v>12543</v>
      </c>
      <c r="D2093" s="5" t="s">
        <v>262</v>
      </c>
      <c r="E2093" s="5" t="s">
        <v>18453</v>
      </c>
      <c r="F2093" s="5" t="s">
        <v>12545</v>
      </c>
      <c r="G2093" s="5"/>
      <c r="H2093" s="5"/>
      <c r="I2093" s="5"/>
      <c r="J2093" s="5"/>
      <c r="K2093" s="5"/>
      <c r="L2093" s="5"/>
      <c r="M2093" s="5"/>
      <c r="N2093" s="5"/>
      <c r="O2093" s="5"/>
      <c r="P2093" s="5"/>
      <c r="Q2093" s="5"/>
      <c r="AL2093" s="7" t="str">
        <f>HYPERLINK("http://dx.doi.org/10.1111/j.1600-0706.2011.19773.x","http://dx.doi.org/10.1111/j.1600-0706.2011.19773.x")</f>
        <v>http://dx.doi.org/10.1111/j.1600-0706.2011.19773.x</v>
      </c>
      <c r="AM2093" s="5">
        <v>23</v>
      </c>
      <c r="AN2093" s="5">
        <v>24</v>
      </c>
      <c r="AO2093" s="5">
        <v>121</v>
      </c>
      <c r="AP2093" s="5">
        <v>2</v>
      </c>
      <c r="AQ2093" s="5">
        <v>181</v>
      </c>
      <c r="AR2093" s="5">
        <v>190</v>
      </c>
      <c r="AS2093" s="5" t="s">
        <v>16</v>
      </c>
      <c r="AT2093" s="5" t="s">
        <v>16</v>
      </c>
      <c r="AU2093" s="5" t="s">
        <v>12544</v>
      </c>
      <c r="AV2093" s="5" t="s">
        <v>12546</v>
      </c>
    </row>
    <row r="2094" spans="1:48" ht="45" customHeight="1" x14ac:dyDescent="0.15">
      <c r="A2094" s="5" t="s">
        <v>12547</v>
      </c>
      <c r="B2094" s="5">
        <v>2007</v>
      </c>
      <c r="C2094" s="5" t="s">
        <v>12548</v>
      </c>
      <c r="D2094" s="5" t="s">
        <v>27</v>
      </c>
      <c r="E2094" s="5" t="s">
        <v>18453</v>
      </c>
      <c r="F2094" s="5" t="s">
        <v>12551</v>
      </c>
      <c r="G2094" s="5"/>
      <c r="H2094" s="5"/>
      <c r="I2094" s="5"/>
      <c r="J2094" s="5"/>
      <c r="K2094" s="5"/>
      <c r="L2094" s="5"/>
      <c r="M2094" s="5"/>
      <c r="N2094" s="5"/>
      <c r="O2094" s="5"/>
      <c r="P2094" s="5"/>
      <c r="Q2094" s="5"/>
      <c r="AL2094" s="7" t="str">
        <f>HYPERLINK("http://dx.doi.org/10.1890/0012-9658(2007)88[63:AESOCB]2.0.CO;2","http://dx.doi.org/10.1890/0012-9658(2007)88[63:AESOCB]2.0.CO;2")</f>
        <v>http://dx.doi.org/10.1890/0012-9658(2007)88[63:AESOCB]2.0.CO;2</v>
      </c>
      <c r="AM2094" s="5">
        <v>85</v>
      </c>
      <c r="AN2094" s="5">
        <v>87</v>
      </c>
      <c r="AO2094" s="5">
        <v>88</v>
      </c>
      <c r="AP2094" s="5">
        <v>1</v>
      </c>
      <c r="AQ2094" s="5">
        <v>63</v>
      </c>
      <c r="AR2094" s="5">
        <v>75</v>
      </c>
      <c r="AS2094" s="5" t="s">
        <v>16</v>
      </c>
      <c r="AT2094" s="5" t="s">
        <v>12549</v>
      </c>
      <c r="AU2094" s="5" t="s">
        <v>12550</v>
      </c>
      <c r="AV2094" s="5" t="s">
        <v>12552</v>
      </c>
    </row>
    <row r="2095" spans="1:48" ht="45" customHeight="1" x14ac:dyDescent="0.15">
      <c r="A2095" s="5" t="s">
        <v>12553</v>
      </c>
      <c r="B2095" s="5">
        <v>2014</v>
      </c>
      <c r="C2095" s="5" t="s">
        <v>12554</v>
      </c>
      <c r="D2095" s="5" t="s">
        <v>190</v>
      </c>
      <c r="E2095" s="5" t="s">
        <v>18453</v>
      </c>
      <c r="F2095" s="5" t="s">
        <v>12557</v>
      </c>
      <c r="G2095" s="5"/>
      <c r="H2095" s="5"/>
      <c r="I2095" s="5"/>
      <c r="J2095" s="5"/>
      <c r="K2095" s="5"/>
      <c r="L2095" s="5"/>
      <c r="M2095" s="5"/>
      <c r="N2095" s="5"/>
      <c r="O2095" s="5"/>
      <c r="P2095" s="5"/>
      <c r="Q2095" s="5"/>
      <c r="AL2095" s="7" t="str">
        <f>HYPERLINK("http://dx.doi.org/10.1007/s10530-013-0563-3","http://dx.doi.org/10.1007/s10530-013-0563-3")</f>
        <v>http://dx.doi.org/10.1007/s10530-013-0563-3</v>
      </c>
      <c r="AM2095" s="5">
        <v>68</v>
      </c>
      <c r="AN2095" s="5">
        <v>68</v>
      </c>
      <c r="AO2095" s="5">
        <v>16</v>
      </c>
      <c r="AP2095" s="5">
        <v>5</v>
      </c>
      <c r="AQ2095" s="5">
        <v>1095</v>
      </c>
      <c r="AR2095" s="5">
        <v>1103</v>
      </c>
      <c r="AS2095" s="5" t="s">
        <v>16</v>
      </c>
      <c r="AT2095" s="5" t="s">
        <v>12555</v>
      </c>
      <c r="AU2095" s="5" t="s">
        <v>12556</v>
      </c>
      <c r="AV2095" s="5" t="s">
        <v>12558</v>
      </c>
    </row>
    <row r="2096" spans="1:48" ht="45" customHeight="1" x14ac:dyDescent="0.15">
      <c r="A2096" s="5" t="s">
        <v>12559</v>
      </c>
      <c r="B2096" s="5">
        <v>2020</v>
      </c>
      <c r="C2096" s="5" t="s">
        <v>12560</v>
      </c>
      <c r="D2096" s="5" t="s">
        <v>44</v>
      </c>
      <c r="E2096" s="5" t="s">
        <v>18453</v>
      </c>
      <c r="F2096" s="5" t="s">
        <v>12563</v>
      </c>
      <c r="G2096" s="5"/>
      <c r="H2096" s="5"/>
      <c r="I2096" s="5"/>
      <c r="J2096" s="5"/>
      <c r="K2096" s="5"/>
      <c r="L2096" s="5"/>
      <c r="M2096" s="5"/>
      <c r="N2096" s="5"/>
      <c r="O2096" s="5"/>
      <c r="P2096" s="5"/>
      <c r="Q2096" s="5"/>
      <c r="AL2096" s="7" t="str">
        <f>HYPERLINK("http://dx.doi.org/10.3389/fevo.2020.00114","http://dx.doi.org/10.3389/fevo.2020.00114")</f>
        <v>http://dx.doi.org/10.3389/fevo.2020.00114</v>
      </c>
      <c r="AM2096" s="5">
        <v>11</v>
      </c>
      <c r="AN2096" s="5">
        <v>11</v>
      </c>
      <c r="AO2096" s="5">
        <v>8</v>
      </c>
      <c r="AP2096" s="5" t="s">
        <v>16</v>
      </c>
      <c r="AQ2096" s="5" t="s">
        <v>16</v>
      </c>
      <c r="AR2096" s="5" t="s">
        <v>16</v>
      </c>
      <c r="AS2096" s="5">
        <v>114</v>
      </c>
      <c r="AT2096" s="5" t="s">
        <v>12561</v>
      </c>
      <c r="AU2096" s="5" t="s">
        <v>12562</v>
      </c>
      <c r="AV2096" s="5" t="s">
        <v>12564</v>
      </c>
    </row>
    <row r="2097" spans="1:48" ht="45" customHeight="1" x14ac:dyDescent="0.15">
      <c r="A2097" s="5" t="s">
        <v>12565</v>
      </c>
      <c r="B2097" s="5">
        <v>2010</v>
      </c>
      <c r="C2097" s="5" t="s">
        <v>12566</v>
      </c>
      <c r="D2097" s="5" t="s">
        <v>1445</v>
      </c>
      <c r="E2097" s="5" t="s">
        <v>18453</v>
      </c>
      <c r="F2097" s="5" t="s">
        <v>12568</v>
      </c>
      <c r="G2097" s="5"/>
      <c r="H2097" s="5"/>
      <c r="I2097" s="5"/>
      <c r="J2097" s="5"/>
      <c r="K2097" s="5"/>
      <c r="L2097" s="5"/>
      <c r="M2097" s="5"/>
      <c r="N2097" s="5"/>
      <c r="O2097" s="5"/>
      <c r="P2097" s="5"/>
      <c r="Q2097" s="5"/>
      <c r="AL2097" s="7" t="str">
        <f>HYPERLINK("http://dx.doi.org/10.1080/02705060.2010.9664355","http://dx.doi.org/10.1080/02705060.2010.9664355")</f>
        <v>http://dx.doi.org/10.1080/02705060.2010.9664355</v>
      </c>
      <c r="AM2097" s="5">
        <v>2</v>
      </c>
      <c r="AN2097" s="5">
        <v>2</v>
      </c>
      <c r="AO2097" s="5">
        <v>25</v>
      </c>
      <c r="AP2097" s="5">
        <v>1</v>
      </c>
      <c r="AQ2097" s="5">
        <v>41</v>
      </c>
      <c r="AR2097" s="5">
        <v>48</v>
      </c>
      <c r="AS2097" s="5" t="s">
        <v>16</v>
      </c>
      <c r="AT2097" s="5" t="s">
        <v>16</v>
      </c>
      <c r="AU2097" s="5" t="s">
        <v>12567</v>
      </c>
      <c r="AV2097" s="5" t="s">
        <v>12569</v>
      </c>
    </row>
    <row r="2098" spans="1:48" ht="45" customHeight="1" x14ac:dyDescent="0.15">
      <c r="A2098" s="5" t="s">
        <v>12570</v>
      </c>
      <c r="B2098" s="5">
        <v>2022</v>
      </c>
      <c r="C2098" s="5" t="s">
        <v>12571</v>
      </c>
      <c r="D2098" s="5" t="s">
        <v>312</v>
      </c>
      <c r="E2098" s="5" t="s">
        <v>18453</v>
      </c>
      <c r="F2098" s="5" t="s">
        <v>12574</v>
      </c>
      <c r="G2098" s="5"/>
      <c r="H2098" s="5"/>
      <c r="I2098" s="5"/>
      <c r="J2098" s="5"/>
      <c r="K2098" s="5"/>
      <c r="L2098" s="5"/>
      <c r="M2098" s="5"/>
      <c r="N2098" s="5"/>
      <c r="O2098" s="5"/>
      <c r="P2098" s="5"/>
      <c r="Q2098" s="5"/>
      <c r="AL2098" s="7" t="str">
        <f>HYPERLINK("http://dx.doi.org/10.1016/j.ecolmodel.2022.110113","http://dx.doi.org/10.1016/j.ecolmodel.2022.110113")</f>
        <v>http://dx.doi.org/10.1016/j.ecolmodel.2022.110113</v>
      </c>
      <c r="AM2098" s="5">
        <v>0</v>
      </c>
      <c r="AN2098" s="5">
        <v>0</v>
      </c>
      <c r="AO2098" s="5">
        <v>474</v>
      </c>
      <c r="AP2098" s="5" t="s">
        <v>16</v>
      </c>
      <c r="AQ2098" s="5" t="s">
        <v>16</v>
      </c>
      <c r="AR2098" s="5" t="s">
        <v>16</v>
      </c>
      <c r="AS2098" s="5">
        <v>110113</v>
      </c>
      <c r="AT2098" s="5" t="s">
        <v>12572</v>
      </c>
      <c r="AU2098" s="5" t="s">
        <v>12573</v>
      </c>
      <c r="AV2098" s="5" t="s">
        <v>12575</v>
      </c>
    </row>
    <row r="2099" spans="1:48" ht="45" customHeight="1" x14ac:dyDescent="0.15">
      <c r="A2099" s="5" t="s">
        <v>12576</v>
      </c>
      <c r="B2099" s="5">
        <v>2019</v>
      </c>
      <c r="C2099" s="5" t="s">
        <v>12577</v>
      </c>
      <c r="D2099" s="5" t="s">
        <v>162</v>
      </c>
      <c r="E2099" s="5" t="s">
        <v>18453</v>
      </c>
      <c r="F2099" s="5" t="s">
        <v>12580</v>
      </c>
      <c r="G2099" s="5"/>
      <c r="H2099" s="5"/>
      <c r="I2099" s="5"/>
      <c r="J2099" s="5"/>
      <c r="K2099" s="5"/>
      <c r="L2099" s="5"/>
      <c r="M2099" s="5"/>
      <c r="N2099" s="5"/>
      <c r="O2099" s="5"/>
      <c r="P2099" s="5"/>
      <c r="Q2099" s="5"/>
      <c r="AL2099" s="7" t="str">
        <f>HYPERLINK("http://dx.doi.org/10.1111/1365-2435.13284","http://dx.doi.org/10.1111/1365-2435.13284")</f>
        <v>http://dx.doi.org/10.1111/1365-2435.13284</v>
      </c>
      <c r="AM2099" s="5">
        <v>25</v>
      </c>
      <c r="AN2099" s="5">
        <v>26</v>
      </c>
      <c r="AO2099" s="5">
        <v>33</v>
      </c>
      <c r="AP2099" s="5">
        <v>4</v>
      </c>
      <c r="AQ2099" s="5">
        <v>553</v>
      </c>
      <c r="AR2099" s="5">
        <v>565</v>
      </c>
      <c r="AS2099" s="5" t="s">
        <v>16</v>
      </c>
      <c r="AT2099" s="5" t="s">
        <v>12578</v>
      </c>
      <c r="AU2099" s="5" t="s">
        <v>12579</v>
      </c>
      <c r="AV2099" s="5" t="s">
        <v>12581</v>
      </c>
    </row>
    <row r="2100" spans="1:48" ht="45" customHeight="1" x14ac:dyDescent="0.15">
      <c r="A2100" s="5" t="s">
        <v>12582</v>
      </c>
      <c r="B2100" s="5">
        <v>2022</v>
      </c>
      <c r="C2100" s="5" t="s">
        <v>12583</v>
      </c>
      <c r="D2100" s="5" t="s">
        <v>172</v>
      </c>
      <c r="E2100" s="5" t="s">
        <v>18453</v>
      </c>
      <c r="F2100" s="5" t="s">
        <v>12586</v>
      </c>
      <c r="G2100" s="5"/>
      <c r="H2100" s="5"/>
      <c r="I2100" s="5"/>
      <c r="J2100" s="5"/>
      <c r="K2100" s="5"/>
      <c r="L2100" s="5"/>
      <c r="M2100" s="5"/>
      <c r="N2100" s="5"/>
      <c r="O2100" s="5"/>
      <c r="P2100" s="5"/>
      <c r="Q2100" s="5"/>
      <c r="AL2100" s="7" t="str">
        <f>HYPERLINK("http://dx.doi.org/10.1007/s00442-022-05155-2","http://dx.doi.org/10.1007/s00442-022-05155-2")</f>
        <v>http://dx.doi.org/10.1007/s00442-022-05155-2</v>
      </c>
      <c r="AM2100" s="5">
        <v>1</v>
      </c>
      <c r="AN2100" s="5">
        <v>1</v>
      </c>
      <c r="AO2100" s="5">
        <v>198</v>
      </c>
      <c r="AP2100" s="5">
        <v>4</v>
      </c>
      <c r="AQ2100" s="5">
        <v>917</v>
      </c>
      <c r="AR2100" s="5">
        <v>931</v>
      </c>
      <c r="AS2100" s="5" t="s">
        <v>16</v>
      </c>
      <c r="AT2100" s="5" t="s">
        <v>12584</v>
      </c>
      <c r="AU2100" s="5" t="s">
        <v>12585</v>
      </c>
      <c r="AV2100" s="5" t="s">
        <v>12587</v>
      </c>
    </row>
    <row r="2101" spans="1:48" ht="45" customHeight="1" x14ac:dyDescent="0.15">
      <c r="A2101" s="5" t="s">
        <v>12588</v>
      </c>
      <c r="B2101" s="5">
        <v>2020</v>
      </c>
      <c r="C2101" s="5" t="s">
        <v>12589</v>
      </c>
      <c r="D2101" s="5" t="s">
        <v>296</v>
      </c>
      <c r="E2101" s="5" t="s">
        <v>18453</v>
      </c>
      <c r="F2101" s="5" t="s">
        <v>12592</v>
      </c>
      <c r="G2101" s="5"/>
      <c r="H2101" s="5"/>
      <c r="I2101" s="5"/>
      <c r="J2101" s="5"/>
      <c r="K2101" s="5"/>
      <c r="L2101" s="5"/>
      <c r="M2101" s="5"/>
      <c r="N2101" s="5"/>
      <c r="O2101" s="5"/>
      <c r="P2101" s="5"/>
      <c r="Q2101" s="5"/>
      <c r="AL2101" s="7" t="str">
        <f>HYPERLINK("http://dx.doi.org/10.1098/rspb.2020.0732","http://dx.doi.org/10.1098/rspb.2020.0732")</f>
        <v>http://dx.doi.org/10.1098/rspb.2020.0732</v>
      </c>
      <c r="AM2101" s="5">
        <v>8</v>
      </c>
      <c r="AN2101" s="5">
        <v>8</v>
      </c>
      <c r="AO2101" s="5">
        <v>287</v>
      </c>
      <c r="AP2101" s="5">
        <v>1929</v>
      </c>
      <c r="AQ2101" s="5" t="s">
        <v>16</v>
      </c>
      <c r="AR2101" s="5" t="s">
        <v>16</v>
      </c>
      <c r="AS2101" s="5">
        <v>20200732</v>
      </c>
      <c r="AT2101" s="5" t="s">
        <v>12590</v>
      </c>
      <c r="AU2101" s="5" t="s">
        <v>12591</v>
      </c>
      <c r="AV2101" s="5" t="s">
        <v>12593</v>
      </c>
    </row>
    <row r="2102" spans="1:48" ht="45" customHeight="1" x14ac:dyDescent="0.15">
      <c r="A2102" s="5" t="s">
        <v>12594</v>
      </c>
      <c r="B2102" s="5">
        <v>2011</v>
      </c>
      <c r="C2102" s="5" t="s">
        <v>12595</v>
      </c>
      <c r="D2102" s="5" t="s">
        <v>77</v>
      </c>
      <c r="E2102" s="5" t="s">
        <v>18453</v>
      </c>
      <c r="F2102" s="5" t="s">
        <v>12598</v>
      </c>
      <c r="G2102" s="5"/>
      <c r="H2102" s="5"/>
      <c r="I2102" s="5"/>
      <c r="J2102" s="5"/>
      <c r="K2102" s="5"/>
      <c r="L2102" s="5"/>
      <c r="M2102" s="5"/>
      <c r="N2102" s="5"/>
      <c r="O2102" s="5"/>
      <c r="P2102" s="5"/>
      <c r="Q2102" s="5"/>
      <c r="AL2102" s="7" t="str">
        <f>HYPERLINK("http://dx.doi.org/10.1111/j.1365-2656.2011.01840.x","http://dx.doi.org/10.1111/j.1365-2656.2011.01840.x")</f>
        <v>http://dx.doi.org/10.1111/j.1365-2656.2011.01840.x</v>
      </c>
      <c r="AM2102" s="5">
        <v>70</v>
      </c>
      <c r="AN2102" s="5">
        <v>73</v>
      </c>
      <c r="AO2102" s="5">
        <v>80</v>
      </c>
      <c r="AP2102" s="5">
        <v>5</v>
      </c>
      <c r="AQ2102" s="5">
        <v>1049</v>
      </c>
      <c r="AR2102" s="5">
        <v>1060</v>
      </c>
      <c r="AS2102" s="5" t="s">
        <v>16</v>
      </c>
      <c r="AT2102" s="5" t="s">
        <v>12596</v>
      </c>
      <c r="AU2102" s="5" t="s">
        <v>12597</v>
      </c>
      <c r="AV2102" s="5" t="s">
        <v>12599</v>
      </c>
    </row>
    <row r="2103" spans="1:48" ht="45" customHeight="1" x14ac:dyDescent="0.15">
      <c r="A2103" s="5" t="s">
        <v>12600</v>
      </c>
      <c r="B2103" s="5">
        <v>2022</v>
      </c>
      <c r="C2103" s="5" t="s">
        <v>12601</v>
      </c>
      <c r="D2103" s="5" t="s">
        <v>127</v>
      </c>
      <c r="E2103" s="5" t="s">
        <v>18453</v>
      </c>
      <c r="F2103" s="5" t="s">
        <v>12604</v>
      </c>
      <c r="G2103" s="5"/>
      <c r="H2103" s="5"/>
      <c r="I2103" s="5"/>
      <c r="J2103" s="5"/>
      <c r="K2103" s="5"/>
      <c r="L2103" s="5"/>
      <c r="M2103" s="5"/>
      <c r="N2103" s="5"/>
      <c r="O2103" s="5"/>
      <c r="P2103" s="5"/>
      <c r="Q2103" s="5"/>
      <c r="AL2103" s="7" t="str">
        <f>HYPERLINK("http://dx.doi.org/10.1016/j.polar.2022.100838","http://dx.doi.org/10.1016/j.polar.2022.100838")</f>
        <v>http://dx.doi.org/10.1016/j.polar.2022.100838</v>
      </c>
      <c r="AM2103" s="5">
        <v>0</v>
      </c>
      <c r="AN2103" s="5">
        <v>0</v>
      </c>
      <c r="AO2103" s="5">
        <v>32</v>
      </c>
      <c r="AP2103" s="5" t="s">
        <v>16</v>
      </c>
      <c r="AQ2103" s="5" t="s">
        <v>16</v>
      </c>
      <c r="AR2103" s="5" t="s">
        <v>16</v>
      </c>
      <c r="AS2103" s="5">
        <v>100838</v>
      </c>
      <c r="AT2103" s="5" t="s">
        <v>12602</v>
      </c>
      <c r="AU2103" s="5" t="s">
        <v>12603</v>
      </c>
      <c r="AV2103" s="5" t="s">
        <v>12605</v>
      </c>
    </row>
    <row r="2104" spans="1:48" ht="45" customHeight="1" x14ac:dyDescent="0.15">
      <c r="A2104" s="5" t="s">
        <v>12606</v>
      </c>
      <c r="B2104" s="5">
        <v>2012</v>
      </c>
      <c r="C2104" s="5" t="s">
        <v>12607</v>
      </c>
      <c r="D2104" s="5" t="s">
        <v>116</v>
      </c>
      <c r="E2104" s="5" t="s">
        <v>18453</v>
      </c>
      <c r="F2104" s="5" t="s">
        <v>12610</v>
      </c>
      <c r="G2104" s="5"/>
      <c r="H2104" s="5"/>
      <c r="I2104" s="5"/>
      <c r="J2104" s="5"/>
      <c r="K2104" s="5"/>
      <c r="L2104" s="5"/>
      <c r="M2104" s="5"/>
      <c r="N2104" s="5"/>
      <c r="O2104" s="5"/>
      <c r="P2104" s="5"/>
      <c r="Q2104" s="5"/>
      <c r="AL2104" s="7" t="str">
        <f>HYPERLINK("http://dx.doi.org/10.1007/s10641-011-9916-x","http://dx.doi.org/10.1007/s10641-011-9916-x")</f>
        <v>http://dx.doi.org/10.1007/s10641-011-9916-x</v>
      </c>
      <c r="AM2104" s="5">
        <v>3</v>
      </c>
      <c r="AN2104" s="5">
        <v>4</v>
      </c>
      <c r="AO2104" s="5">
        <v>93</v>
      </c>
      <c r="AP2104" s="5">
        <v>3</v>
      </c>
      <c r="AQ2104" s="5">
        <v>319</v>
      </c>
      <c r="AR2104" s="5">
        <v>331</v>
      </c>
      <c r="AS2104" s="5" t="s">
        <v>16</v>
      </c>
      <c r="AT2104" s="5" t="s">
        <v>12608</v>
      </c>
      <c r="AU2104" s="5" t="s">
        <v>12609</v>
      </c>
      <c r="AV2104" s="5" t="s">
        <v>12611</v>
      </c>
    </row>
    <row r="2105" spans="1:48" ht="45" customHeight="1" x14ac:dyDescent="0.15">
      <c r="A2105" s="5" t="s">
        <v>12612</v>
      </c>
      <c r="B2105" s="5">
        <v>2022</v>
      </c>
      <c r="C2105" s="5" t="s">
        <v>12613</v>
      </c>
      <c r="D2105" s="5" t="s">
        <v>1004</v>
      </c>
      <c r="E2105" s="5" t="s">
        <v>18453</v>
      </c>
      <c r="F2105" s="5" t="s">
        <v>12616</v>
      </c>
      <c r="G2105" s="5"/>
      <c r="H2105" s="5"/>
      <c r="I2105" s="5"/>
      <c r="J2105" s="5"/>
      <c r="K2105" s="5"/>
      <c r="L2105" s="5"/>
      <c r="M2105" s="5"/>
      <c r="N2105" s="5"/>
      <c r="O2105" s="5"/>
      <c r="P2105" s="5"/>
      <c r="Q2105" s="5"/>
      <c r="AL2105" s="7" t="str">
        <f>HYPERLINK("http://dx.doi.org/10.1111/aje.13036","http://dx.doi.org/10.1111/aje.13036")</f>
        <v>http://dx.doi.org/10.1111/aje.13036</v>
      </c>
      <c r="AM2105" s="5">
        <v>0</v>
      </c>
      <c r="AN2105" s="5">
        <v>0</v>
      </c>
      <c r="AO2105" s="5">
        <v>60</v>
      </c>
      <c r="AP2105" s="5">
        <v>4</v>
      </c>
      <c r="AQ2105" s="5">
        <v>1007</v>
      </c>
      <c r="AR2105" s="5">
        <v>1018</v>
      </c>
      <c r="AS2105" s="5" t="s">
        <v>16</v>
      </c>
      <c r="AT2105" s="5" t="s">
        <v>12614</v>
      </c>
      <c r="AU2105" s="5" t="s">
        <v>12615</v>
      </c>
      <c r="AV2105" s="5" t="s">
        <v>12617</v>
      </c>
    </row>
    <row r="2106" spans="1:48" ht="45" customHeight="1" x14ac:dyDescent="0.15">
      <c r="A2106" s="5" t="s">
        <v>12618</v>
      </c>
      <c r="B2106" s="5">
        <v>2017</v>
      </c>
      <c r="C2106" s="5" t="s">
        <v>12619</v>
      </c>
      <c r="D2106" s="5" t="s">
        <v>6683</v>
      </c>
      <c r="E2106" s="5" t="s">
        <v>18453</v>
      </c>
      <c r="F2106" s="5" t="s">
        <v>12621</v>
      </c>
      <c r="G2106" s="5"/>
      <c r="H2106" s="5"/>
      <c r="I2106" s="5"/>
      <c r="J2106" s="5"/>
      <c r="K2106" s="5"/>
      <c r="L2106" s="5"/>
      <c r="M2106" s="5"/>
      <c r="N2106" s="5"/>
      <c r="O2106" s="5"/>
      <c r="P2106" s="5"/>
      <c r="Q2106" s="5"/>
      <c r="AL2106" s="7" t="str">
        <f>HYPERLINK("http://dx.doi.org/10.1038/s41559-016-0044","http://dx.doi.org/10.1038/s41559-016-0044")</f>
        <v>http://dx.doi.org/10.1038/s41559-016-0044</v>
      </c>
      <c r="AM2106" s="5">
        <v>16</v>
      </c>
      <c r="AN2106" s="5">
        <v>16</v>
      </c>
      <c r="AO2106" s="5">
        <v>1</v>
      </c>
      <c r="AP2106" s="5">
        <v>3</v>
      </c>
      <c r="AQ2106" s="5" t="s">
        <v>16</v>
      </c>
      <c r="AR2106" s="5" t="s">
        <v>16</v>
      </c>
      <c r="AS2106" s="5">
        <v>44</v>
      </c>
      <c r="AT2106" s="5" t="s">
        <v>16</v>
      </c>
      <c r="AU2106" s="5" t="s">
        <v>12620</v>
      </c>
      <c r="AV2106" s="5" t="s">
        <v>12622</v>
      </c>
    </row>
    <row r="2107" spans="1:48" ht="45" customHeight="1" x14ac:dyDescent="0.15">
      <c r="A2107" s="5" t="s">
        <v>12623</v>
      </c>
      <c r="B2107" s="5">
        <v>2015</v>
      </c>
      <c r="C2107" s="5" t="s">
        <v>12624</v>
      </c>
      <c r="D2107" s="5" t="s">
        <v>33</v>
      </c>
      <c r="E2107" s="5" t="s">
        <v>18453</v>
      </c>
      <c r="F2107" s="5" t="s">
        <v>12627</v>
      </c>
      <c r="G2107" s="5"/>
      <c r="H2107" s="5"/>
      <c r="I2107" s="5"/>
      <c r="J2107" s="5"/>
      <c r="K2107" s="5"/>
      <c r="L2107" s="5"/>
      <c r="M2107" s="5"/>
      <c r="N2107" s="5"/>
      <c r="O2107" s="5"/>
      <c r="P2107" s="5"/>
      <c r="Q2107" s="5"/>
      <c r="AL2107" s="7" t="str">
        <f>HYPERLINK("http://dx.doi.org/10.1111/gcb.12715","http://dx.doi.org/10.1111/gcb.12715")</f>
        <v>http://dx.doi.org/10.1111/gcb.12715</v>
      </c>
      <c r="AM2107" s="5">
        <v>85</v>
      </c>
      <c r="AN2107" s="5">
        <v>92</v>
      </c>
      <c r="AO2107" s="5">
        <v>21</v>
      </c>
      <c r="AP2107" s="5">
        <v>2</v>
      </c>
      <c r="AQ2107" s="5">
        <v>986</v>
      </c>
      <c r="AR2107" s="5">
        <v>996</v>
      </c>
      <c r="AS2107" s="5" t="s">
        <v>16</v>
      </c>
      <c r="AT2107" s="5" t="s">
        <v>12625</v>
      </c>
      <c r="AU2107" s="5" t="s">
        <v>12626</v>
      </c>
      <c r="AV2107" s="5" t="s">
        <v>12628</v>
      </c>
    </row>
    <row r="2108" spans="1:48" ht="45" customHeight="1" x14ac:dyDescent="0.15">
      <c r="A2108" s="5" t="s">
        <v>12629</v>
      </c>
      <c r="B2108" s="5">
        <v>2015</v>
      </c>
      <c r="C2108" s="5" t="s">
        <v>12630</v>
      </c>
      <c r="D2108" s="5" t="s">
        <v>49</v>
      </c>
      <c r="E2108" s="5" t="s">
        <v>18453</v>
      </c>
      <c r="F2108" s="5" t="s">
        <v>12633</v>
      </c>
      <c r="G2108" s="5"/>
      <c r="H2108" s="5"/>
      <c r="I2108" s="5"/>
      <c r="J2108" s="5"/>
      <c r="K2108" s="5"/>
      <c r="L2108" s="5"/>
      <c r="M2108" s="5"/>
      <c r="N2108" s="5"/>
      <c r="O2108" s="5"/>
      <c r="P2108" s="5"/>
      <c r="Q2108" s="5"/>
      <c r="AL2108" s="7" t="str">
        <f>HYPERLINK("http://dx.doi.org/10.3354/meps11145","http://dx.doi.org/10.3354/meps11145")</f>
        <v>http://dx.doi.org/10.3354/meps11145</v>
      </c>
      <c r="AM2108" s="5">
        <v>33</v>
      </c>
      <c r="AN2108" s="5">
        <v>33</v>
      </c>
      <c r="AO2108" s="5">
        <v>522</v>
      </c>
      <c r="AP2108" s="5" t="s">
        <v>16</v>
      </c>
      <c r="AQ2108" s="5">
        <v>269</v>
      </c>
      <c r="AR2108" s="5">
        <v>286</v>
      </c>
      <c r="AS2108" s="5" t="s">
        <v>16</v>
      </c>
      <c r="AT2108" s="5" t="s">
        <v>12631</v>
      </c>
      <c r="AU2108" s="5" t="s">
        <v>12632</v>
      </c>
      <c r="AV2108" s="5" t="s">
        <v>12634</v>
      </c>
    </row>
    <row r="2109" spans="1:48" ht="45" customHeight="1" x14ac:dyDescent="0.15">
      <c r="A2109" s="5" t="s">
        <v>12635</v>
      </c>
      <c r="B2109" s="5">
        <v>1999</v>
      </c>
      <c r="C2109" s="5" t="s">
        <v>12636</v>
      </c>
      <c r="D2109" s="5" t="s">
        <v>77</v>
      </c>
      <c r="E2109" s="5" t="s">
        <v>18453</v>
      </c>
      <c r="F2109" s="5" t="s">
        <v>12639</v>
      </c>
      <c r="G2109" s="5"/>
      <c r="H2109" s="5"/>
      <c r="I2109" s="5"/>
      <c r="J2109" s="5"/>
      <c r="K2109" s="5"/>
      <c r="L2109" s="5"/>
      <c r="M2109" s="5"/>
      <c r="N2109" s="5"/>
      <c r="O2109" s="5"/>
      <c r="P2109" s="5"/>
      <c r="Q2109" s="5"/>
      <c r="AL2109" s="7" t="str">
        <f>HYPERLINK("http://dx.doi.org/10.1046/j.1365-2656.1999.00355.x","http://dx.doi.org/10.1046/j.1365-2656.1999.00355.x")</f>
        <v>http://dx.doi.org/10.1046/j.1365-2656.1999.00355.x</v>
      </c>
      <c r="AM2109" s="5">
        <v>158</v>
      </c>
      <c r="AN2109" s="5">
        <v>164</v>
      </c>
      <c r="AO2109" s="5">
        <v>68</v>
      </c>
      <c r="AP2109" s="5">
        <v>6</v>
      </c>
      <c r="AQ2109" s="5">
        <v>1079</v>
      </c>
      <c r="AR2109" s="5">
        <v>1092</v>
      </c>
      <c r="AS2109" s="5" t="s">
        <v>16</v>
      </c>
      <c r="AT2109" s="5" t="s">
        <v>12637</v>
      </c>
      <c r="AU2109" s="5" t="s">
        <v>12638</v>
      </c>
      <c r="AV2109" s="5" t="s">
        <v>12640</v>
      </c>
    </row>
    <row r="2110" spans="1:48" ht="45" customHeight="1" x14ac:dyDescent="0.15">
      <c r="A2110" s="5" t="s">
        <v>12641</v>
      </c>
      <c r="B2110" s="5">
        <v>2015</v>
      </c>
      <c r="C2110" s="5" t="s">
        <v>12642</v>
      </c>
      <c r="D2110" s="5" t="s">
        <v>217</v>
      </c>
      <c r="E2110" s="5" t="s">
        <v>18453</v>
      </c>
      <c r="F2110" s="5" t="s">
        <v>12645</v>
      </c>
      <c r="G2110" s="5"/>
      <c r="H2110" s="5"/>
      <c r="I2110" s="5"/>
      <c r="J2110" s="5"/>
      <c r="K2110" s="5"/>
      <c r="L2110" s="5"/>
      <c r="M2110" s="5"/>
      <c r="N2110" s="5"/>
      <c r="O2110" s="5"/>
      <c r="P2110" s="5"/>
      <c r="Q2110" s="5"/>
      <c r="AL2110" s="7" t="str">
        <f>HYPERLINK("http://dx.doi.org/10.1111/2041-210X.12381","http://dx.doi.org/10.1111/2041-210X.12381")</f>
        <v>http://dx.doi.org/10.1111/2041-210X.12381</v>
      </c>
      <c r="AM2110" s="5">
        <v>144</v>
      </c>
      <c r="AN2110" s="5">
        <v>148</v>
      </c>
      <c r="AO2110" s="5">
        <v>6</v>
      </c>
      <c r="AP2110" s="5">
        <v>7</v>
      </c>
      <c r="AQ2110" s="5">
        <v>806</v>
      </c>
      <c r="AR2110" s="5">
        <v>816</v>
      </c>
      <c r="AS2110" s="5" t="s">
        <v>16</v>
      </c>
      <c r="AT2110" s="5" t="s">
        <v>12643</v>
      </c>
      <c r="AU2110" s="5" t="s">
        <v>12644</v>
      </c>
      <c r="AV2110" s="5" t="s">
        <v>12646</v>
      </c>
    </row>
    <row r="2111" spans="1:48" ht="45" customHeight="1" x14ac:dyDescent="0.15">
      <c r="A2111" s="5" t="s">
        <v>12647</v>
      </c>
      <c r="B2111" s="5">
        <v>2022</v>
      </c>
      <c r="C2111" s="5" t="s">
        <v>12648</v>
      </c>
      <c r="D2111" s="5" t="s">
        <v>212</v>
      </c>
      <c r="E2111" s="5" t="s">
        <v>18453</v>
      </c>
      <c r="F2111" s="5" t="s">
        <v>12651</v>
      </c>
      <c r="G2111" s="5"/>
      <c r="H2111" s="5"/>
      <c r="I2111" s="5"/>
      <c r="J2111" s="5"/>
      <c r="K2111" s="5"/>
      <c r="L2111" s="5"/>
      <c r="M2111" s="5"/>
      <c r="N2111" s="5"/>
      <c r="O2111" s="5"/>
      <c r="P2111" s="5"/>
      <c r="Q2111" s="5"/>
      <c r="AL2111" s="7" t="str">
        <f>HYPERLINK("http://dx.doi.org/10.1007/s00300-021-02969-3","http://dx.doi.org/10.1007/s00300-021-02969-3")</f>
        <v>http://dx.doi.org/10.1007/s00300-021-02969-3</v>
      </c>
      <c r="AM2111" s="5">
        <v>0</v>
      </c>
      <c r="AN2111" s="5">
        <v>0</v>
      </c>
      <c r="AO2111" s="5">
        <v>45</v>
      </c>
      <c r="AP2111" s="5">
        <v>1</v>
      </c>
      <c r="AQ2111" s="5">
        <v>31</v>
      </c>
      <c r="AR2111" s="5">
        <v>44</v>
      </c>
      <c r="AS2111" s="5" t="s">
        <v>16</v>
      </c>
      <c r="AT2111" s="5" t="s">
        <v>12649</v>
      </c>
      <c r="AU2111" s="5" t="s">
        <v>12650</v>
      </c>
      <c r="AV2111" s="5" t="s">
        <v>12652</v>
      </c>
    </row>
    <row r="2112" spans="1:48" ht="45" customHeight="1" x14ac:dyDescent="0.15">
      <c r="A2112" s="5" t="s">
        <v>12653</v>
      </c>
      <c r="B2112" s="5">
        <v>2011</v>
      </c>
      <c r="C2112" s="5" t="s">
        <v>12654</v>
      </c>
      <c r="D2112" s="5" t="s">
        <v>296</v>
      </c>
      <c r="E2112" s="5" t="s">
        <v>18453</v>
      </c>
      <c r="F2112" s="5" t="s">
        <v>12657</v>
      </c>
      <c r="G2112" s="5"/>
      <c r="H2112" s="5"/>
      <c r="I2112" s="5"/>
      <c r="J2112" s="5"/>
      <c r="K2112" s="5"/>
      <c r="L2112" s="5"/>
      <c r="M2112" s="5"/>
      <c r="N2112" s="5"/>
      <c r="O2112" s="5"/>
      <c r="P2112" s="5"/>
      <c r="Q2112" s="5"/>
      <c r="AL2112" s="7" t="str">
        <f>HYPERLINK("http://dx.doi.org/10.1098/rspb.2010.2036","http://dx.doi.org/10.1098/rspb.2010.2036")</f>
        <v>http://dx.doi.org/10.1098/rspb.2010.2036</v>
      </c>
      <c r="AM2112" s="5">
        <v>41</v>
      </c>
      <c r="AN2112" s="5">
        <v>42</v>
      </c>
      <c r="AO2112" s="5">
        <v>278</v>
      </c>
      <c r="AP2112" s="5">
        <v>1713</v>
      </c>
      <c r="AQ2112" s="5">
        <v>1886</v>
      </c>
      <c r="AR2112" s="5">
        <v>1893</v>
      </c>
      <c r="AS2112" s="5" t="s">
        <v>16</v>
      </c>
      <c r="AT2112" s="5" t="s">
        <v>12655</v>
      </c>
      <c r="AU2112" s="5" t="s">
        <v>12656</v>
      </c>
      <c r="AV2112" s="5" t="s">
        <v>12658</v>
      </c>
    </row>
    <row r="2113" spans="1:48" ht="45" customHeight="1" x14ac:dyDescent="0.15">
      <c r="A2113" s="5" t="s">
        <v>12659</v>
      </c>
      <c r="B2113" s="5">
        <v>2011</v>
      </c>
      <c r="C2113" s="5" t="s">
        <v>12660</v>
      </c>
      <c r="D2113" s="5" t="s">
        <v>17</v>
      </c>
      <c r="E2113" s="5" t="s">
        <v>18453</v>
      </c>
      <c r="F2113" s="5" t="s">
        <v>12663</v>
      </c>
      <c r="G2113" s="5"/>
      <c r="H2113" s="5"/>
      <c r="I2113" s="5"/>
      <c r="J2113" s="5"/>
      <c r="K2113" s="5"/>
      <c r="L2113" s="5"/>
      <c r="M2113" s="5"/>
      <c r="N2113" s="5"/>
      <c r="O2113" s="5"/>
      <c r="P2113" s="5"/>
      <c r="Q2113" s="5"/>
      <c r="AL2113" s="7" t="str">
        <f>HYPERLINK("http://dx.doi.org/10.1111/j.1365-2427.2011.02582.x","http://dx.doi.org/10.1111/j.1365-2427.2011.02582.x")</f>
        <v>http://dx.doi.org/10.1111/j.1365-2427.2011.02582.x</v>
      </c>
      <c r="AM2113" s="5">
        <v>19</v>
      </c>
      <c r="AN2113" s="5">
        <v>22</v>
      </c>
      <c r="AO2113" s="5">
        <v>56</v>
      </c>
      <c r="AP2113" s="5">
        <v>7</v>
      </c>
      <c r="AQ2113" s="5">
        <v>1434</v>
      </c>
      <c r="AR2113" s="5">
        <v>1446</v>
      </c>
      <c r="AS2113" s="5" t="s">
        <v>16</v>
      </c>
      <c r="AT2113" s="5" t="s">
        <v>12661</v>
      </c>
      <c r="AU2113" s="5" t="s">
        <v>12662</v>
      </c>
      <c r="AV2113" s="5" t="s">
        <v>12664</v>
      </c>
    </row>
    <row r="2114" spans="1:48" ht="45" customHeight="1" x14ac:dyDescent="0.15">
      <c r="A2114" s="5" t="s">
        <v>12665</v>
      </c>
      <c r="B2114" s="5">
        <v>2012</v>
      </c>
      <c r="C2114" s="5" t="s">
        <v>12666</v>
      </c>
      <c r="D2114" s="5" t="s">
        <v>116</v>
      </c>
      <c r="E2114" s="5" t="s">
        <v>18453</v>
      </c>
      <c r="F2114" s="5" t="s">
        <v>12669</v>
      </c>
      <c r="G2114" s="5"/>
      <c r="H2114" s="5"/>
      <c r="I2114" s="5"/>
      <c r="J2114" s="5"/>
      <c r="K2114" s="5"/>
      <c r="L2114" s="5"/>
      <c r="M2114" s="5"/>
      <c r="N2114" s="5"/>
      <c r="O2114" s="5"/>
      <c r="P2114" s="5"/>
      <c r="Q2114" s="5"/>
      <c r="AL2114" s="7" t="str">
        <f>HYPERLINK("http://dx.doi.org/10.1007/s10641-011-9792-4","http://dx.doi.org/10.1007/s10641-011-9792-4")</f>
        <v>http://dx.doi.org/10.1007/s10641-011-9792-4</v>
      </c>
      <c r="AM2114" s="5">
        <v>5</v>
      </c>
      <c r="AN2114" s="5">
        <v>5</v>
      </c>
      <c r="AO2114" s="5">
        <v>95</v>
      </c>
      <c r="AP2114" s="5">
        <v>1</v>
      </c>
      <c r="AQ2114" s="5">
        <v>147</v>
      </c>
      <c r="AR2114" s="5">
        <v>154</v>
      </c>
      <c r="AS2114" s="5" t="s">
        <v>16</v>
      </c>
      <c r="AT2114" s="5" t="s">
        <v>12667</v>
      </c>
      <c r="AU2114" s="5" t="s">
        <v>12668</v>
      </c>
      <c r="AV2114" s="5" t="s">
        <v>12670</v>
      </c>
    </row>
    <row r="2115" spans="1:48" ht="45" customHeight="1" x14ac:dyDescent="0.15">
      <c r="A2115" s="5" t="s">
        <v>12671</v>
      </c>
      <c r="B2115" s="5">
        <v>2021</v>
      </c>
      <c r="C2115" s="5" t="s">
        <v>12672</v>
      </c>
      <c r="D2115" s="5" t="s">
        <v>59</v>
      </c>
      <c r="E2115" s="5" t="s">
        <v>18453</v>
      </c>
      <c r="F2115" s="5" t="s">
        <v>12675</v>
      </c>
      <c r="G2115" s="5"/>
      <c r="H2115" s="5"/>
      <c r="I2115" s="5"/>
      <c r="J2115" s="5"/>
      <c r="K2115" s="5"/>
      <c r="L2115" s="5"/>
      <c r="M2115" s="5"/>
      <c r="N2115" s="5"/>
      <c r="O2115" s="5"/>
      <c r="P2115" s="5"/>
      <c r="Q2115" s="5"/>
      <c r="AL2115" s="7" t="str">
        <f>HYPERLINK("http://dx.doi.org/10.1111/ele.13674","http://dx.doi.org/10.1111/ele.13674")</f>
        <v>http://dx.doi.org/10.1111/ele.13674</v>
      </c>
      <c r="AM2115" s="5">
        <v>11</v>
      </c>
      <c r="AN2115" s="5">
        <v>11</v>
      </c>
      <c r="AO2115" s="5">
        <v>24</v>
      </c>
      <c r="AP2115" s="5">
        <v>3</v>
      </c>
      <c r="AQ2115" s="5">
        <v>563</v>
      </c>
      <c r="AR2115" s="5">
        <v>571</v>
      </c>
      <c r="AS2115" s="5" t="s">
        <v>16</v>
      </c>
      <c r="AT2115" s="5" t="s">
        <v>12673</v>
      </c>
      <c r="AU2115" s="5" t="s">
        <v>12674</v>
      </c>
      <c r="AV2115" s="5" t="s">
        <v>12676</v>
      </c>
    </row>
    <row r="2116" spans="1:48" ht="45" customHeight="1" x14ac:dyDescent="0.15">
      <c r="A2116" s="5" t="s">
        <v>12677</v>
      </c>
      <c r="B2116" s="5">
        <v>2020</v>
      </c>
      <c r="C2116" s="5" t="s">
        <v>12678</v>
      </c>
      <c r="D2116" s="5" t="s">
        <v>44</v>
      </c>
      <c r="E2116" s="5" t="s">
        <v>18453</v>
      </c>
      <c r="F2116" s="5" t="s">
        <v>12681</v>
      </c>
      <c r="G2116" s="5"/>
      <c r="H2116" s="5"/>
      <c r="I2116" s="5"/>
      <c r="J2116" s="5"/>
      <c r="K2116" s="5"/>
      <c r="L2116" s="5"/>
      <c r="M2116" s="5"/>
      <c r="N2116" s="5"/>
      <c r="O2116" s="5"/>
      <c r="P2116" s="5"/>
      <c r="Q2116" s="5"/>
      <c r="AL2116" s="7" t="str">
        <f>HYPERLINK("http://dx.doi.org/10.3389/fevo.2020.00150","http://dx.doi.org/10.3389/fevo.2020.00150")</f>
        <v>http://dx.doi.org/10.3389/fevo.2020.00150</v>
      </c>
      <c r="AM2116" s="5">
        <v>8</v>
      </c>
      <c r="AN2116" s="5">
        <v>9</v>
      </c>
      <c r="AO2116" s="5">
        <v>8</v>
      </c>
      <c r="AP2116" s="5" t="s">
        <v>16</v>
      </c>
      <c r="AQ2116" s="5" t="s">
        <v>16</v>
      </c>
      <c r="AR2116" s="5" t="s">
        <v>16</v>
      </c>
      <c r="AS2116" s="5">
        <v>150</v>
      </c>
      <c r="AT2116" s="5" t="s">
        <v>12679</v>
      </c>
      <c r="AU2116" s="5" t="s">
        <v>12680</v>
      </c>
      <c r="AV2116" s="5" t="s">
        <v>12682</v>
      </c>
    </row>
    <row r="2117" spans="1:48" ht="45" customHeight="1" x14ac:dyDescent="0.15">
      <c r="A2117" s="5" t="s">
        <v>12683</v>
      </c>
      <c r="B2117" s="5">
        <v>2018</v>
      </c>
      <c r="C2117" s="5" t="s">
        <v>12684</v>
      </c>
      <c r="D2117" s="5" t="s">
        <v>212</v>
      </c>
      <c r="E2117" s="5" t="s">
        <v>18453</v>
      </c>
      <c r="F2117" s="5" t="s">
        <v>12687</v>
      </c>
      <c r="G2117" s="5"/>
      <c r="H2117" s="5"/>
      <c r="I2117" s="5"/>
      <c r="J2117" s="5"/>
      <c r="K2117" s="5"/>
      <c r="L2117" s="5"/>
      <c r="M2117" s="5"/>
      <c r="N2117" s="5"/>
      <c r="O2117" s="5"/>
      <c r="P2117" s="5"/>
      <c r="Q2117" s="5"/>
      <c r="AL2117" s="7" t="str">
        <f>HYPERLINK("http://dx.doi.org/10.1007/s00300-017-2237-6","http://dx.doi.org/10.1007/s00300-017-2237-6")</f>
        <v>http://dx.doi.org/10.1007/s00300-017-2237-6</v>
      </c>
      <c r="AM2117" s="5">
        <v>17</v>
      </c>
      <c r="AN2117" s="5">
        <v>17</v>
      </c>
      <c r="AO2117" s="5">
        <v>41</v>
      </c>
      <c r="AP2117" s="5">
        <v>4</v>
      </c>
      <c r="AQ2117" s="5">
        <v>763</v>
      </c>
      <c r="AR2117" s="5">
        <v>772</v>
      </c>
      <c r="AS2117" s="5" t="s">
        <v>16</v>
      </c>
      <c r="AT2117" s="5" t="s">
        <v>12685</v>
      </c>
      <c r="AU2117" s="5" t="s">
        <v>12686</v>
      </c>
      <c r="AV2117" s="5" t="s">
        <v>12688</v>
      </c>
    </row>
    <row r="2118" spans="1:48" ht="45" customHeight="1" x14ac:dyDescent="0.15">
      <c r="A2118" s="5" t="s">
        <v>12689</v>
      </c>
      <c r="B2118" s="5">
        <v>2013</v>
      </c>
      <c r="C2118" s="5" t="s">
        <v>12690</v>
      </c>
      <c r="D2118" s="5" t="s">
        <v>973</v>
      </c>
      <c r="E2118" s="5" t="s">
        <v>18453</v>
      </c>
      <c r="F2118" s="5" t="s">
        <v>12692</v>
      </c>
      <c r="G2118" s="5"/>
      <c r="H2118" s="5"/>
      <c r="I2118" s="5"/>
      <c r="J2118" s="5"/>
      <c r="K2118" s="5"/>
      <c r="L2118" s="5"/>
      <c r="M2118" s="5"/>
      <c r="N2118" s="5"/>
      <c r="O2118" s="5"/>
      <c r="P2118" s="5"/>
      <c r="Q2118" s="5"/>
      <c r="AL2118" s="7" t="str">
        <f>HYPERLINK("http://dx.doi.org/10.5194/bg-10-5125-2013","http://dx.doi.org/10.5194/bg-10-5125-2013")</f>
        <v>http://dx.doi.org/10.5194/bg-10-5125-2013</v>
      </c>
      <c r="AM2118" s="5">
        <v>47</v>
      </c>
      <c r="AN2118" s="5">
        <v>48</v>
      </c>
      <c r="AO2118" s="5">
        <v>10</v>
      </c>
      <c r="AP2118" s="5">
        <v>7</v>
      </c>
      <c r="AQ2118" s="5">
        <v>5125</v>
      </c>
      <c r="AR2118" s="5">
        <v>5138</v>
      </c>
      <c r="AS2118" s="5" t="s">
        <v>16</v>
      </c>
      <c r="AT2118" s="5" t="s">
        <v>16</v>
      </c>
      <c r="AU2118" s="5" t="s">
        <v>12691</v>
      </c>
      <c r="AV2118" s="5" t="s">
        <v>12693</v>
      </c>
    </row>
    <row r="2119" spans="1:48" ht="45" customHeight="1" x14ac:dyDescent="0.15">
      <c r="A2119" s="5" t="s">
        <v>12694</v>
      </c>
      <c r="B2119" s="5">
        <v>2018</v>
      </c>
      <c r="C2119" s="5" t="s">
        <v>12695</v>
      </c>
      <c r="D2119" s="5" t="s">
        <v>49</v>
      </c>
      <c r="E2119" s="5" t="s">
        <v>18453</v>
      </c>
      <c r="F2119" s="5" t="s">
        <v>12698</v>
      </c>
      <c r="G2119" s="5"/>
      <c r="H2119" s="5"/>
      <c r="I2119" s="5"/>
      <c r="J2119" s="5"/>
      <c r="K2119" s="5"/>
      <c r="L2119" s="5"/>
      <c r="M2119" s="5"/>
      <c r="N2119" s="5"/>
      <c r="O2119" s="5"/>
      <c r="P2119" s="5"/>
      <c r="Q2119" s="5"/>
      <c r="AL2119" s="7" t="str">
        <f>HYPERLINK("http://dx.doi.org/10.3354/meps12534","http://dx.doi.org/10.3354/meps12534")</f>
        <v>http://dx.doi.org/10.3354/meps12534</v>
      </c>
      <c r="AM2119" s="5">
        <v>14</v>
      </c>
      <c r="AN2119" s="5">
        <v>15</v>
      </c>
      <c r="AO2119" s="5">
        <v>594</v>
      </c>
      <c r="AP2119" s="5" t="s">
        <v>16</v>
      </c>
      <c r="AQ2119" s="5">
        <v>245</v>
      </c>
      <c r="AR2119" s="5">
        <v>261</v>
      </c>
      <c r="AS2119" s="5" t="s">
        <v>16</v>
      </c>
      <c r="AT2119" s="5" t="s">
        <v>12696</v>
      </c>
      <c r="AU2119" s="5" t="s">
        <v>12697</v>
      </c>
      <c r="AV2119" s="5" t="s">
        <v>12699</v>
      </c>
    </row>
    <row r="2120" spans="1:48" ht="45" customHeight="1" x14ac:dyDescent="0.15">
      <c r="A2120" s="5" t="s">
        <v>12700</v>
      </c>
      <c r="B2120" s="5">
        <v>2005</v>
      </c>
      <c r="C2120" s="5" t="s">
        <v>12701</v>
      </c>
      <c r="D2120" s="5" t="s">
        <v>33</v>
      </c>
      <c r="E2120" s="5" t="s">
        <v>18453</v>
      </c>
      <c r="F2120" s="5" t="s">
        <v>12704</v>
      </c>
      <c r="G2120" s="5"/>
      <c r="H2120" s="5"/>
      <c r="I2120" s="5"/>
      <c r="J2120" s="5"/>
      <c r="K2120" s="5"/>
      <c r="L2120" s="5"/>
      <c r="M2120" s="5"/>
      <c r="N2120" s="5"/>
      <c r="O2120" s="5"/>
      <c r="P2120" s="5"/>
      <c r="Q2120" s="5"/>
      <c r="AL2120" s="7" t="str">
        <f>HYPERLINK("http://dx.doi.org/10.1111/j.1365-2486.2005.01041.x","http://dx.doi.org/10.1111/j.1365-2486.2005.01041.x")</f>
        <v>http://dx.doi.org/10.1111/j.1365-2486.2005.01041.x</v>
      </c>
      <c r="AM2120" s="5">
        <v>33</v>
      </c>
      <c r="AN2120" s="5">
        <v>38</v>
      </c>
      <c r="AO2120" s="5">
        <v>11</v>
      </c>
      <c r="AP2120" s="5">
        <v>10</v>
      </c>
      <c r="AQ2120" s="5">
        <v>1816</v>
      </c>
      <c r="AR2120" s="5">
        <v>1827</v>
      </c>
      <c r="AS2120" s="5" t="s">
        <v>16</v>
      </c>
      <c r="AT2120" s="5" t="s">
        <v>12702</v>
      </c>
      <c r="AU2120" s="5" t="s">
        <v>12703</v>
      </c>
      <c r="AV2120" s="5" t="s">
        <v>12705</v>
      </c>
    </row>
    <row r="2121" spans="1:48" ht="45" customHeight="1" x14ac:dyDescent="0.15">
      <c r="A2121" s="5" t="s">
        <v>12706</v>
      </c>
      <c r="B2121" s="5">
        <v>2005</v>
      </c>
      <c r="C2121" s="5" t="s">
        <v>12707</v>
      </c>
      <c r="D2121" s="5" t="s">
        <v>116</v>
      </c>
      <c r="E2121" s="5" t="s">
        <v>18453</v>
      </c>
      <c r="F2121" s="5" t="s">
        <v>12710</v>
      </c>
      <c r="G2121" s="5"/>
      <c r="H2121" s="5"/>
      <c r="I2121" s="5"/>
      <c r="J2121" s="5"/>
      <c r="K2121" s="5"/>
      <c r="L2121" s="5"/>
      <c r="M2121" s="5"/>
      <c r="N2121" s="5"/>
      <c r="O2121" s="5"/>
      <c r="P2121" s="5"/>
      <c r="Q2121" s="5"/>
      <c r="AL2121" s="7" t="str">
        <f>HYPERLINK("http://dx.doi.org/10.1007/s10641-005-2137-4","http://dx.doi.org/10.1007/s10641-005-2137-4")</f>
        <v>http://dx.doi.org/10.1007/s10641-005-2137-4</v>
      </c>
      <c r="AM2121" s="5">
        <v>41</v>
      </c>
      <c r="AN2121" s="5">
        <v>44</v>
      </c>
      <c r="AO2121" s="5">
        <v>73</v>
      </c>
      <c r="AP2121" s="5">
        <v>3</v>
      </c>
      <c r="AQ2121" s="5">
        <v>263</v>
      </c>
      <c r="AR2121" s="5">
        <v>274</v>
      </c>
      <c r="AS2121" s="5" t="s">
        <v>16</v>
      </c>
      <c r="AT2121" s="5" t="s">
        <v>12708</v>
      </c>
      <c r="AU2121" s="5" t="s">
        <v>12709</v>
      </c>
      <c r="AV2121" s="5" t="s">
        <v>12711</v>
      </c>
    </row>
    <row r="2122" spans="1:48" ht="45" customHeight="1" x14ac:dyDescent="0.15">
      <c r="A2122" s="5" t="s">
        <v>12712</v>
      </c>
      <c r="B2122" s="5">
        <v>2014</v>
      </c>
      <c r="C2122" s="5" t="s">
        <v>12713</v>
      </c>
      <c r="D2122" s="5" t="s">
        <v>27</v>
      </c>
      <c r="E2122" s="5" t="s">
        <v>18453</v>
      </c>
      <c r="F2122" s="5" t="s">
        <v>12716</v>
      </c>
      <c r="G2122" s="5"/>
      <c r="H2122" s="5"/>
      <c r="I2122" s="5"/>
      <c r="J2122" s="5"/>
      <c r="K2122" s="5"/>
      <c r="L2122" s="5"/>
      <c r="M2122" s="5"/>
      <c r="N2122" s="5"/>
      <c r="O2122" s="5"/>
      <c r="P2122" s="5"/>
      <c r="Q2122" s="5"/>
      <c r="AL2122" s="7" t="str">
        <f>HYPERLINK("http://dx.doi.org/10.1890/13-1467.1","http://dx.doi.org/10.1890/13-1467.1")</f>
        <v>http://dx.doi.org/10.1890/13-1467.1</v>
      </c>
      <c r="AM2122" s="5">
        <v>57</v>
      </c>
      <c r="AN2122" s="5">
        <v>57</v>
      </c>
      <c r="AO2122" s="5">
        <v>95</v>
      </c>
      <c r="AP2122" s="5">
        <v>6</v>
      </c>
      <c r="AQ2122" s="5">
        <v>1674</v>
      </c>
      <c r="AR2122" s="5">
        <v>1683</v>
      </c>
      <c r="AS2122" s="5" t="s">
        <v>16</v>
      </c>
      <c r="AT2122" s="5" t="s">
        <v>12714</v>
      </c>
      <c r="AU2122" s="5" t="s">
        <v>12715</v>
      </c>
      <c r="AV2122" s="5" t="s">
        <v>12717</v>
      </c>
    </row>
    <row r="2123" spans="1:48" ht="45" customHeight="1" x14ac:dyDescent="0.15">
      <c r="A2123" s="5" t="s">
        <v>12718</v>
      </c>
      <c r="B2123" s="5">
        <v>2023</v>
      </c>
      <c r="C2123" s="5" t="s">
        <v>12719</v>
      </c>
      <c r="D2123" s="5" t="s">
        <v>59</v>
      </c>
      <c r="E2123" s="5" t="s">
        <v>18453</v>
      </c>
      <c r="F2123" s="5" t="s">
        <v>12722</v>
      </c>
      <c r="G2123" s="5"/>
      <c r="H2123" s="5"/>
      <c r="I2123" s="5"/>
      <c r="J2123" s="5"/>
      <c r="K2123" s="5"/>
      <c r="L2123" s="5"/>
      <c r="M2123" s="5"/>
      <c r="N2123" s="5"/>
      <c r="O2123" s="5"/>
      <c r="P2123" s="5"/>
      <c r="Q2123" s="5"/>
      <c r="AL2123" s="7" t="str">
        <f>HYPERLINK("http://dx.doi.org/10.1111/ele.14276","http://dx.doi.org/10.1111/ele.14276")</f>
        <v>http://dx.doi.org/10.1111/ele.14276</v>
      </c>
      <c r="AM2123" s="5">
        <v>0</v>
      </c>
      <c r="AN2123" s="5">
        <v>0</v>
      </c>
      <c r="AO2123" s="5" t="s">
        <v>16</v>
      </c>
      <c r="AP2123" s="5" t="s">
        <v>16</v>
      </c>
      <c r="AQ2123" s="5" t="s">
        <v>16</v>
      </c>
      <c r="AR2123" s="5" t="s">
        <v>16</v>
      </c>
      <c r="AS2123" s="5" t="s">
        <v>16</v>
      </c>
      <c r="AT2123" s="5" t="s">
        <v>12720</v>
      </c>
      <c r="AU2123" s="5" t="s">
        <v>12721</v>
      </c>
      <c r="AV2123" s="5" t="s">
        <v>12723</v>
      </c>
    </row>
    <row r="2124" spans="1:48" ht="45" customHeight="1" x14ac:dyDescent="0.15">
      <c r="A2124" s="5" t="s">
        <v>12724</v>
      </c>
      <c r="B2124" s="5">
        <v>2011</v>
      </c>
      <c r="C2124" s="5" t="s">
        <v>12725</v>
      </c>
      <c r="D2124" s="5" t="s">
        <v>973</v>
      </c>
      <c r="E2124" s="5" t="s">
        <v>18453</v>
      </c>
      <c r="F2124" s="5" t="s">
        <v>12727</v>
      </c>
      <c r="G2124" s="5"/>
      <c r="H2124" s="5"/>
      <c r="I2124" s="5"/>
      <c r="J2124" s="5"/>
      <c r="K2124" s="5"/>
      <c r="L2124" s="5"/>
      <c r="M2124" s="5"/>
      <c r="N2124" s="5"/>
      <c r="O2124" s="5"/>
      <c r="P2124" s="5"/>
      <c r="Q2124" s="5"/>
      <c r="AL2124" s="7" t="str">
        <f>HYPERLINK("http://dx.doi.org/10.5194/bg-8-1487-2011","http://dx.doi.org/10.5194/bg-8-1487-2011")</f>
        <v>http://dx.doi.org/10.5194/bg-8-1487-2011</v>
      </c>
      <c r="AM2124" s="5">
        <v>62</v>
      </c>
      <c r="AN2124" s="5">
        <v>73</v>
      </c>
      <c r="AO2124" s="5">
        <v>8</v>
      </c>
      <c r="AP2124" s="5">
        <v>6</v>
      </c>
      <c r="AQ2124" s="5">
        <v>1487</v>
      </c>
      <c r="AR2124" s="5">
        <v>1498</v>
      </c>
      <c r="AS2124" s="5" t="s">
        <v>16</v>
      </c>
      <c r="AT2124" s="5" t="s">
        <v>16</v>
      </c>
      <c r="AU2124" s="5" t="s">
        <v>12726</v>
      </c>
      <c r="AV2124" s="5" t="s">
        <v>12728</v>
      </c>
    </row>
    <row r="2125" spans="1:48" ht="45" customHeight="1" x14ac:dyDescent="0.15">
      <c r="A2125" s="5" t="s">
        <v>12729</v>
      </c>
      <c r="B2125" s="5">
        <v>2013</v>
      </c>
      <c r="C2125" s="5" t="s">
        <v>12730</v>
      </c>
      <c r="D2125" s="5" t="s">
        <v>295</v>
      </c>
      <c r="E2125" s="5" t="s">
        <v>18453</v>
      </c>
      <c r="F2125" s="5" t="s">
        <v>12733</v>
      </c>
      <c r="G2125" s="5"/>
      <c r="H2125" s="5"/>
      <c r="I2125" s="5"/>
      <c r="J2125" s="5"/>
      <c r="K2125" s="5"/>
      <c r="L2125" s="5"/>
      <c r="M2125" s="5"/>
      <c r="N2125" s="5"/>
      <c r="O2125" s="5"/>
      <c r="P2125" s="5"/>
      <c r="Q2125" s="5"/>
      <c r="AL2125" s="7" t="str">
        <f>HYPERLINK("http://dx.doi.org/10.1016/j.jembe.2013.02.029","http://dx.doi.org/10.1016/j.jembe.2013.02.029")</f>
        <v>http://dx.doi.org/10.1016/j.jembe.2013.02.029</v>
      </c>
      <c r="AM2125" s="5">
        <v>13</v>
      </c>
      <c r="AN2125" s="5">
        <v>13</v>
      </c>
      <c r="AO2125" s="5">
        <v>443</v>
      </c>
      <c r="AP2125" s="5" t="s">
        <v>16</v>
      </c>
      <c r="AQ2125" s="5">
        <v>65</v>
      </c>
      <c r="AR2125" s="5">
        <v>74</v>
      </c>
      <c r="AS2125" s="5" t="s">
        <v>16</v>
      </c>
      <c r="AT2125" s="5" t="s">
        <v>12731</v>
      </c>
      <c r="AU2125" s="5" t="s">
        <v>12732</v>
      </c>
      <c r="AV2125" s="5" t="s">
        <v>12734</v>
      </c>
    </row>
    <row r="2126" spans="1:48" ht="45" customHeight="1" x14ac:dyDescent="0.15">
      <c r="A2126" s="5" t="s">
        <v>12735</v>
      </c>
      <c r="B2126" s="5">
        <v>2008</v>
      </c>
      <c r="C2126" s="5" t="s">
        <v>12736</v>
      </c>
      <c r="D2126" s="5" t="s">
        <v>312</v>
      </c>
      <c r="E2126" s="5" t="s">
        <v>18453</v>
      </c>
      <c r="F2126" s="5" t="s">
        <v>12739</v>
      </c>
      <c r="G2126" s="5"/>
      <c r="H2126" s="5"/>
      <c r="I2126" s="5"/>
      <c r="J2126" s="5"/>
      <c r="K2126" s="5"/>
      <c r="L2126" s="5"/>
      <c r="M2126" s="5"/>
      <c r="N2126" s="5"/>
      <c r="O2126" s="5"/>
      <c r="P2126" s="5"/>
      <c r="Q2126" s="5"/>
      <c r="AL2126" s="7" t="str">
        <f>HYPERLINK("http://dx.doi.org/10.1016/j.ecolmodel.2007.08.004","http://dx.doi.org/10.1016/j.ecolmodel.2007.08.004")</f>
        <v>http://dx.doi.org/10.1016/j.ecolmodel.2007.08.004</v>
      </c>
      <c r="AM2126" s="5">
        <v>49</v>
      </c>
      <c r="AN2126" s="5">
        <v>53</v>
      </c>
      <c r="AO2126" s="5">
        <v>210</v>
      </c>
      <c r="AP2126" s="5">
        <v>3</v>
      </c>
      <c r="AQ2126" s="5">
        <v>327</v>
      </c>
      <c r="AR2126" s="5">
        <v>338</v>
      </c>
      <c r="AS2126" s="5" t="s">
        <v>16</v>
      </c>
      <c r="AT2126" s="5" t="s">
        <v>12737</v>
      </c>
      <c r="AU2126" s="5" t="s">
        <v>12738</v>
      </c>
      <c r="AV2126" s="5" t="s">
        <v>12740</v>
      </c>
    </row>
    <row r="2127" spans="1:48" ht="45" customHeight="1" x14ac:dyDescent="0.15">
      <c r="A2127" s="5" t="s">
        <v>12741</v>
      </c>
      <c r="B2127" s="5">
        <v>2022</v>
      </c>
      <c r="C2127" s="5" t="s">
        <v>12742</v>
      </c>
      <c r="D2127" s="5" t="s">
        <v>44</v>
      </c>
      <c r="E2127" s="5" t="s">
        <v>18453</v>
      </c>
      <c r="F2127" s="5" t="s">
        <v>12745</v>
      </c>
      <c r="G2127" s="5"/>
      <c r="H2127" s="5"/>
      <c r="I2127" s="5"/>
      <c r="J2127" s="5"/>
      <c r="K2127" s="5"/>
      <c r="L2127" s="5"/>
      <c r="M2127" s="5"/>
      <c r="N2127" s="5"/>
      <c r="O2127" s="5"/>
      <c r="P2127" s="5"/>
      <c r="Q2127" s="5"/>
      <c r="AL2127" s="7" t="str">
        <f>HYPERLINK("http://dx.doi.org/10.3389/fevo.2022.666238","http://dx.doi.org/10.3389/fevo.2022.666238")</f>
        <v>http://dx.doi.org/10.3389/fevo.2022.666238</v>
      </c>
      <c r="AM2127" s="5">
        <v>1</v>
      </c>
      <c r="AN2127" s="5">
        <v>1</v>
      </c>
      <c r="AO2127" s="5">
        <v>10</v>
      </c>
      <c r="AP2127" s="5" t="s">
        <v>16</v>
      </c>
      <c r="AQ2127" s="5" t="s">
        <v>16</v>
      </c>
      <c r="AR2127" s="5" t="s">
        <v>16</v>
      </c>
      <c r="AS2127" s="5">
        <v>666238</v>
      </c>
      <c r="AT2127" s="5" t="s">
        <v>12743</v>
      </c>
      <c r="AU2127" s="5" t="s">
        <v>12744</v>
      </c>
      <c r="AV2127" s="5" t="s">
        <v>12746</v>
      </c>
    </row>
    <row r="2128" spans="1:48" ht="45" customHeight="1" x14ac:dyDescent="0.15">
      <c r="A2128" s="5" t="s">
        <v>12747</v>
      </c>
      <c r="B2128" s="5">
        <v>2020</v>
      </c>
      <c r="C2128" s="5" t="s">
        <v>12748</v>
      </c>
      <c r="D2128" s="5" t="s">
        <v>1765</v>
      </c>
      <c r="E2128" s="5" t="s">
        <v>18453</v>
      </c>
      <c r="F2128" s="5" t="s">
        <v>12751</v>
      </c>
      <c r="G2128" s="5"/>
      <c r="H2128" s="5"/>
      <c r="I2128" s="5"/>
      <c r="J2128" s="5"/>
      <c r="K2128" s="5"/>
      <c r="L2128" s="5"/>
      <c r="M2128" s="5"/>
      <c r="N2128" s="5"/>
      <c r="O2128" s="5"/>
      <c r="P2128" s="5"/>
      <c r="Q2128" s="5"/>
      <c r="AL2128" s="7" t="str">
        <f>HYPERLINK("http://dx.doi.org/10.1016/j.agee.2020.106937","http://dx.doi.org/10.1016/j.agee.2020.106937")</f>
        <v>http://dx.doi.org/10.1016/j.agee.2020.106937</v>
      </c>
      <c r="AM2128" s="5">
        <v>17</v>
      </c>
      <c r="AN2128" s="5">
        <v>18</v>
      </c>
      <c r="AO2128" s="5">
        <v>298</v>
      </c>
      <c r="AP2128" s="5" t="s">
        <v>16</v>
      </c>
      <c r="AQ2128" s="5" t="s">
        <v>16</v>
      </c>
      <c r="AR2128" s="5" t="s">
        <v>16</v>
      </c>
      <c r="AS2128" s="5">
        <v>106937</v>
      </c>
      <c r="AT2128" s="5" t="s">
        <v>12749</v>
      </c>
      <c r="AU2128" s="5" t="s">
        <v>12750</v>
      </c>
      <c r="AV2128" s="5" t="s">
        <v>12752</v>
      </c>
    </row>
    <row r="2129" spans="1:48" ht="45" customHeight="1" x14ac:dyDescent="0.15">
      <c r="A2129" s="5" t="s">
        <v>12753</v>
      </c>
      <c r="B2129" s="5">
        <v>2014</v>
      </c>
      <c r="C2129" s="5" t="s">
        <v>12754</v>
      </c>
      <c r="D2129" s="5" t="s">
        <v>49</v>
      </c>
      <c r="E2129" s="5" t="s">
        <v>18453</v>
      </c>
      <c r="F2129" s="5" t="s">
        <v>12757</v>
      </c>
      <c r="G2129" s="5"/>
      <c r="H2129" s="5"/>
      <c r="I2129" s="5"/>
      <c r="J2129" s="5"/>
      <c r="K2129" s="5"/>
      <c r="L2129" s="5"/>
      <c r="M2129" s="5"/>
      <c r="N2129" s="5"/>
      <c r="O2129" s="5"/>
      <c r="P2129" s="5"/>
      <c r="Q2129" s="5"/>
      <c r="AL2129" s="7" t="str">
        <f>HYPERLINK("http://dx.doi.org/10.3354/meps10980","http://dx.doi.org/10.3354/meps10980")</f>
        <v>http://dx.doi.org/10.3354/meps10980</v>
      </c>
      <c r="AM2129" s="5">
        <v>32</v>
      </c>
      <c r="AN2129" s="5">
        <v>32</v>
      </c>
      <c r="AO2129" s="5">
        <v>514</v>
      </c>
      <c r="AP2129" s="5" t="s">
        <v>16</v>
      </c>
      <c r="AQ2129" s="5">
        <v>247</v>
      </c>
      <c r="AR2129" s="5">
        <v>261</v>
      </c>
      <c r="AS2129" s="5" t="s">
        <v>16</v>
      </c>
      <c r="AT2129" s="5" t="s">
        <v>12755</v>
      </c>
      <c r="AU2129" s="5" t="s">
        <v>12756</v>
      </c>
      <c r="AV2129" s="5" t="s">
        <v>12758</v>
      </c>
    </row>
    <row r="2130" spans="1:48" ht="45" customHeight="1" x14ac:dyDescent="0.15">
      <c r="A2130" s="5" t="s">
        <v>12759</v>
      </c>
      <c r="B2130" s="5">
        <v>2016</v>
      </c>
      <c r="C2130" s="5" t="s">
        <v>12760</v>
      </c>
      <c r="D2130" s="5" t="s">
        <v>111</v>
      </c>
      <c r="E2130" s="5" t="s">
        <v>18453</v>
      </c>
      <c r="F2130" s="5" t="s">
        <v>12763</v>
      </c>
      <c r="G2130" s="5"/>
      <c r="H2130" s="5"/>
      <c r="I2130" s="5"/>
      <c r="J2130" s="5"/>
      <c r="K2130" s="5"/>
      <c r="L2130" s="5"/>
      <c r="M2130" s="5"/>
      <c r="N2130" s="5"/>
      <c r="O2130" s="5"/>
      <c r="P2130" s="5"/>
      <c r="Q2130" s="5"/>
      <c r="AL2130" s="7" t="str">
        <f>HYPERLINK("http://dx.doi.org/10.1007/s10452-016-9580-5","http://dx.doi.org/10.1007/s10452-016-9580-5")</f>
        <v>http://dx.doi.org/10.1007/s10452-016-9580-5</v>
      </c>
      <c r="AM2130" s="5">
        <v>10</v>
      </c>
      <c r="AN2130" s="5">
        <v>10</v>
      </c>
      <c r="AO2130" s="5">
        <v>50</v>
      </c>
      <c r="AP2130" s="5">
        <v>2</v>
      </c>
      <c r="AQ2130" s="5">
        <v>315</v>
      </c>
      <c r="AR2130" s="5">
        <v>326</v>
      </c>
      <c r="AS2130" s="5" t="s">
        <v>16</v>
      </c>
      <c r="AT2130" s="5" t="s">
        <v>12761</v>
      </c>
      <c r="AU2130" s="5" t="s">
        <v>12762</v>
      </c>
      <c r="AV2130" s="5" t="s">
        <v>12764</v>
      </c>
    </row>
    <row r="2131" spans="1:48" ht="45" customHeight="1" x14ac:dyDescent="0.15">
      <c r="A2131" s="5" t="s">
        <v>12765</v>
      </c>
      <c r="B2131" s="5">
        <v>2021</v>
      </c>
      <c r="C2131" s="5" t="s">
        <v>12766</v>
      </c>
      <c r="D2131" s="5" t="s">
        <v>18</v>
      </c>
      <c r="E2131" s="5" t="s">
        <v>18453</v>
      </c>
      <c r="F2131" s="5" t="s">
        <v>12769</v>
      </c>
      <c r="G2131" s="5"/>
      <c r="H2131" s="5"/>
      <c r="I2131" s="5"/>
      <c r="J2131" s="5"/>
      <c r="K2131" s="5"/>
      <c r="L2131" s="5"/>
      <c r="M2131" s="5"/>
      <c r="N2131" s="5"/>
      <c r="O2131" s="5"/>
      <c r="P2131" s="5"/>
      <c r="Q2131" s="5"/>
      <c r="AL2131" s="7" t="str">
        <f>HYPERLINK("http://dx.doi.org/10.1002/ecs2.3625","http://dx.doi.org/10.1002/ecs2.3625")</f>
        <v>http://dx.doi.org/10.1002/ecs2.3625</v>
      </c>
      <c r="AM2131" s="5">
        <v>4</v>
      </c>
      <c r="AN2131" s="5">
        <v>5</v>
      </c>
      <c r="AO2131" s="5">
        <v>12</v>
      </c>
      <c r="AP2131" s="5">
        <v>7</v>
      </c>
      <c r="AQ2131" s="5" t="s">
        <v>16</v>
      </c>
      <c r="AR2131" s="5" t="s">
        <v>16</v>
      </c>
      <c r="AS2131" s="5" t="s">
        <v>12770</v>
      </c>
      <c r="AT2131" s="5" t="s">
        <v>12767</v>
      </c>
      <c r="AU2131" s="5" t="s">
        <v>12768</v>
      </c>
      <c r="AV2131" s="5" t="s">
        <v>12771</v>
      </c>
    </row>
    <row r="2132" spans="1:48" ht="45" customHeight="1" x14ac:dyDescent="0.15">
      <c r="A2132" s="5" t="s">
        <v>12772</v>
      </c>
      <c r="B2132" s="5">
        <v>2017</v>
      </c>
      <c r="C2132" s="5" t="s">
        <v>12773</v>
      </c>
      <c r="D2132" s="5" t="s">
        <v>116</v>
      </c>
      <c r="E2132" s="5" t="s">
        <v>18453</v>
      </c>
      <c r="F2132" s="5" t="s">
        <v>12776</v>
      </c>
      <c r="G2132" s="5"/>
      <c r="H2132" s="5"/>
      <c r="I2132" s="5"/>
      <c r="J2132" s="5"/>
      <c r="K2132" s="5"/>
      <c r="L2132" s="5"/>
      <c r="M2132" s="5"/>
      <c r="N2132" s="5"/>
      <c r="O2132" s="5"/>
      <c r="P2132" s="5"/>
      <c r="Q2132" s="5"/>
      <c r="AL2132" s="7" t="str">
        <f>HYPERLINK("http://dx.doi.org/10.1007/s10641-016-0543-4","http://dx.doi.org/10.1007/s10641-016-0543-4")</f>
        <v>http://dx.doi.org/10.1007/s10641-016-0543-4</v>
      </c>
      <c r="AM2132" s="5">
        <v>12</v>
      </c>
      <c r="AN2132" s="5">
        <v>12</v>
      </c>
      <c r="AO2132" s="5">
        <v>100</v>
      </c>
      <c r="AP2132" s="5">
        <v>4</v>
      </c>
      <c r="AQ2132" s="5">
        <v>309</v>
      </c>
      <c r="AR2132" s="5">
        <v>323</v>
      </c>
      <c r="AS2132" s="5" t="s">
        <v>16</v>
      </c>
      <c r="AT2132" s="5" t="s">
        <v>12774</v>
      </c>
      <c r="AU2132" s="5" t="s">
        <v>12775</v>
      </c>
      <c r="AV2132" s="5" t="s">
        <v>12777</v>
      </c>
    </row>
    <row r="2133" spans="1:48" ht="45" customHeight="1" x14ac:dyDescent="0.15">
      <c r="A2133" s="5" t="s">
        <v>12371</v>
      </c>
      <c r="B2133" s="5">
        <v>2018</v>
      </c>
      <c r="C2133" s="5" t="s">
        <v>12778</v>
      </c>
      <c r="D2133" s="5" t="s">
        <v>942</v>
      </c>
      <c r="E2133" s="5" t="s">
        <v>18453</v>
      </c>
      <c r="F2133" s="5" t="s">
        <v>12781</v>
      </c>
      <c r="G2133" s="5"/>
      <c r="H2133" s="5"/>
      <c r="I2133" s="5"/>
      <c r="J2133" s="5"/>
      <c r="K2133" s="5"/>
      <c r="L2133" s="5"/>
      <c r="M2133" s="5"/>
      <c r="N2133" s="5"/>
      <c r="O2133" s="5"/>
      <c r="P2133" s="5"/>
      <c r="Q2133" s="5"/>
      <c r="AL2133" s="7" t="str">
        <f>HYPERLINK("http://dx.doi.org/10.1016/j.rsma.2017.10.007","http://dx.doi.org/10.1016/j.rsma.2017.10.007")</f>
        <v>http://dx.doi.org/10.1016/j.rsma.2017.10.007</v>
      </c>
      <c r="AM2133" s="5">
        <v>5</v>
      </c>
      <c r="AN2133" s="5">
        <v>5</v>
      </c>
      <c r="AO2133" s="5">
        <v>18</v>
      </c>
      <c r="AP2133" s="5" t="s">
        <v>16</v>
      </c>
      <c r="AQ2133" s="5">
        <v>188</v>
      </c>
      <c r="AR2133" s="5">
        <v>196</v>
      </c>
      <c r="AS2133" s="5" t="s">
        <v>16</v>
      </c>
      <c r="AT2133" s="5" t="s">
        <v>12779</v>
      </c>
      <c r="AU2133" s="5" t="s">
        <v>12780</v>
      </c>
      <c r="AV2133" s="5" t="s">
        <v>12782</v>
      </c>
    </row>
    <row r="2134" spans="1:48" ht="45" customHeight="1" x14ac:dyDescent="0.15">
      <c r="A2134" s="5" t="s">
        <v>12783</v>
      </c>
      <c r="B2134" s="5">
        <v>2020</v>
      </c>
      <c r="C2134" s="5" t="s">
        <v>12784</v>
      </c>
      <c r="D2134" s="5" t="s">
        <v>942</v>
      </c>
      <c r="E2134" s="5" t="s">
        <v>18453</v>
      </c>
      <c r="F2134" s="5" t="s">
        <v>12787</v>
      </c>
      <c r="G2134" s="5"/>
      <c r="H2134" s="5"/>
      <c r="I2134" s="5"/>
      <c r="J2134" s="5"/>
      <c r="K2134" s="5"/>
      <c r="L2134" s="5"/>
      <c r="M2134" s="5"/>
      <c r="N2134" s="5"/>
      <c r="O2134" s="5"/>
      <c r="P2134" s="5"/>
      <c r="Q2134" s="5"/>
      <c r="AL2134" s="7" t="str">
        <f>HYPERLINK("http://dx.doi.org/10.1016/j.rsma.2020.101357","http://dx.doi.org/10.1016/j.rsma.2020.101357")</f>
        <v>http://dx.doi.org/10.1016/j.rsma.2020.101357</v>
      </c>
      <c r="AM2134" s="5">
        <v>1</v>
      </c>
      <c r="AN2134" s="5">
        <v>1</v>
      </c>
      <c r="AO2134" s="5">
        <v>38</v>
      </c>
      <c r="AP2134" s="5" t="s">
        <v>16</v>
      </c>
      <c r="AQ2134" s="5" t="s">
        <v>16</v>
      </c>
      <c r="AR2134" s="5" t="s">
        <v>16</v>
      </c>
      <c r="AS2134" s="5">
        <v>101357</v>
      </c>
      <c r="AT2134" s="5" t="s">
        <v>12785</v>
      </c>
      <c r="AU2134" s="5" t="s">
        <v>12786</v>
      </c>
      <c r="AV2134" s="5" t="s">
        <v>12788</v>
      </c>
    </row>
    <row r="2135" spans="1:48" ht="45" customHeight="1" x14ac:dyDescent="0.15">
      <c r="A2135" s="5" t="s">
        <v>12789</v>
      </c>
      <c r="B2135" s="5">
        <v>2001</v>
      </c>
      <c r="C2135" s="5" t="s">
        <v>12790</v>
      </c>
      <c r="D2135" s="5" t="s">
        <v>1109</v>
      </c>
      <c r="E2135" s="5" t="s">
        <v>18453</v>
      </c>
      <c r="F2135" s="5" t="s">
        <v>12793</v>
      </c>
      <c r="G2135" s="5"/>
      <c r="H2135" s="5"/>
      <c r="I2135" s="5"/>
      <c r="J2135" s="5"/>
      <c r="K2135" s="5"/>
      <c r="L2135" s="5"/>
      <c r="M2135" s="5"/>
      <c r="N2135" s="5"/>
      <c r="O2135" s="5"/>
      <c r="P2135" s="5"/>
      <c r="Q2135" s="5"/>
      <c r="AL2135" s="7" t="str">
        <f>HYPERLINK("http://dx.doi.org/10.1017/S0266467401001614","http://dx.doi.org/10.1017/S0266467401001614")</f>
        <v>http://dx.doi.org/10.1017/S0266467401001614</v>
      </c>
      <c r="AM2135" s="5">
        <v>51</v>
      </c>
      <c r="AN2135" s="5">
        <v>52</v>
      </c>
      <c r="AO2135" s="5">
        <v>17</v>
      </c>
      <c r="AP2135" s="5" t="s">
        <v>16</v>
      </c>
      <c r="AQ2135" s="5">
        <v>809</v>
      </c>
      <c r="AR2135" s="5">
        <v>832</v>
      </c>
      <c r="AS2135" s="5" t="s">
        <v>16</v>
      </c>
      <c r="AT2135" s="5" t="s">
        <v>12791</v>
      </c>
      <c r="AU2135" s="5" t="s">
        <v>12792</v>
      </c>
      <c r="AV2135" s="5" t="s">
        <v>12794</v>
      </c>
    </row>
    <row r="2136" spans="1:48" ht="45" customHeight="1" x14ac:dyDescent="0.15">
      <c r="A2136" s="5" t="s">
        <v>12795</v>
      </c>
      <c r="B2136" s="5">
        <v>2022</v>
      </c>
      <c r="C2136" s="5" t="s">
        <v>12796</v>
      </c>
      <c r="D2136" s="5" t="s">
        <v>973</v>
      </c>
      <c r="E2136" s="5" t="s">
        <v>18453</v>
      </c>
      <c r="F2136" s="5" t="s">
        <v>12798</v>
      </c>
      <c r="G2136" s="5"/>
      <c r="H2136" s="5"/>
      <c r="I2136" s="5"/>
      <c r="J2136" s="5"/>
      <c r="K2136" s="5"/>
      <c r="L2136" s="5"/>
      <c r="M2136" s="5"/>
      <c r="N2136" s="5"/>
      <c r="O2136" s="5"/>
      <c r="P2136" s="5"/>
      <c r="Q2136" s="5"/>
      <c r="AL2136" s="7" t="str">
        <f>HYPERLINK("http://dx.doi.org/10.5194/bg-19-2465-2022","http://dx.doi.org/10.5194/bg-19-2465-2022")</f>
        <v>http://dx.doi.org/10.5194/bg-19-2465-2022</v>
      </c>
      <c r="AM2136" s="5">
        <v>6</v>
      </c>
      <c r="AN2136" s="5">
        <v>6</v>
      </c>
      <c r="AO2136" s="5">
        <v>19</v>
      </c>
      <c r="AP2136" s="5">
        <v>9</v>
      </c>
      <c r="AQ2136" s="5">
        <v>2465</v>
      </c>
      <c r="AR2136" s="5">
        <v>2485</v>
      </c>
      <c r="AS2136" s="5" t="s">
        <v>16</v>
      </c>
      <c r="AT2136" s="5" t="s">
        <v>16</v>
      </c>
      <c r="AU2136" s="5" t="s">
        <v>12797</v>
      </c>
      <c r="AV2136" s="5" t="s">
        <v>12799</v>
      </c>
    </row>
    <row r="2137" spans="1:48" ht="45" customHeight="1" x14ac:dyDescent="0.15">
      <c r="A2137" s="5" t="s">
        <v>12800</v>
      </c>
      <c r="B2137" s="5">
        <v>2022</v>
      </c>
      <c r="C2137" s="5" t="s">
        <v>12801</v>
      </c>
      <c r="D2137" s="5" t="s">
        <v>2057</v>
      </c>
      <c r="E2137" s="5" t="s">
        <v>18453</v>
      </c>
      <c r="F2137" s="5" t="s">
        <v>12804</v>
      </c>
      <c r="G2137" s="5"/>
      <c r="H2137" s="5"/>
      <c r="I2137" s="5"/>
      <c r="J2137" s="5"/>
      <c r="K2137" s="5"/>
      <c r="L2137" s="5"/>
      <c r="M2137" s="5"/>
      <c r="N2137" s="5"/>
      <c r="O2137" s="5"/>
      <c r="P2137" s="5"/>
      <c r="Q2137" s="5"/>
      <c r="AL2137" s="7" t="str">
        <f>HYPERLINK("http://dx.doi.org/10.1139/AS-2021-0040","http://dx.doi.org/10.1139/AS-2021-0040")</f>
        <v>http://dx.doi.org/10.1139/AS-2021-0040</v>
      </c>
      <c r="AM2137" s="5">
        <v>0</v>
      </c>
      <c r="AN2137" s="5">
        <v>0</v>
      </c>
      <c r="AO2137" s="5" t="s">
        <v>16</v>
      </c>
      <c r="AP2137" s="5" t="s">
        <v>16</v>
      </c>
      <c r="AQ2137" s="5" t="s">
        <v>16</v>
      </c>
      <c r="AR2137" s="5" t="s">
        <v>16</v>
      </c>
      <c r="AS2137" s="5" t="s">
        <v>16</v>
      </c>
      <c r="AT2137" s="5" t="s">
        <v>12802</v>
      </c>
      <c r="AU2137" s="5" t="s">
        <v>12803</v>
      </c>
      <c r="AV2137" s="5" t="s">
        <v>12805</v>
      </c>
    </row>
    <row r="2138" spans="1:48" ht="45" customHeight="1" x14ac:dyDescent="0.15">
      <c r="A2138" s="5" t="s">
        <v>12806</v>
      </c>
      <c r="B2138" s="5">
        <v>2011</v>
      </c>
      <c r="C2138" s="5" t="s">
        <v>12807</v>
      </c>
      <c r="D2138" s="5" t="s">
        <v>49</v>
      </c>
      <c r="E2138" s="5" t="s">
        <v>18453</v>
      </c>
      <c r="F2138" s="5" t="s">
        <v>12810</v>
      </c>
      <c r="G2138" s="5"/>
      <c r="H2138" s="5"/>
      <c r="I2138" s="5"/>
      <c r="J2138" s="5"/>
      <c r="K2138" s="5"/>
      <c r="L2138" s="5"/>
      <c r="M2138" s="5"/>
      <c r="N2138" s="5"/>
      <c r="O2138" s="5"/>
      <c r="P2138" s="5"/>
      <c r="Q2138" s="5"/>
      <c r="AL2138" s="7" t="str">
        <f>HYPERLINK("http://dx.doi.org/10.3354/meps09165","http://dx.doi.org/10.3354/meps09165")</f>
        <v>http://dx.doi.org/10.3354/meps09165</v>
      </c>
      <c r="AM2138" s="5">
        <v>62</v>
      </c>
      <c r="AN2138" s="5">
        <v>62</v>
      </c>
      <c r="AO2138" s="5">
        <v>433</v>
      </c>
      <c r="AP2138" s="5" t="s">
        <v>16</v>
      </c>
      <c r="AQ2138" s="5">
        <v>273</v>
      </c>
      <c r="AR2138" s="5">
        <v>288</v>
      </c>
      <c r="AS2138" s="5" t="s">
        <v>16</v>
      </c>
      <c r="AT2138" s="5" t="s">
        <v>12808</v>
      </c>
      <c r="AU2138" s="5" t="s">
        <v>12809</v>
      </c>
      <c r="AV2138" s="5" t="s">
        <v>12811</v>
      </c>
    </row>
    <row r="2139" spans="1:48" ht="45" customHeight="1" x14ac:dyDescent="0.15">
      <c r="A2139" s="5" t="s">
        <v>12812</v>
      </c>
      <c r="B2139" s="5">
        <v>2009</v>
      </c>
      <c r="C2139" s="5" t="s">
        <v>12813</v>
      </c>
      <c r="D2139" s="5" t="s">
        <v>262</v>
      </c>
      <c r="E2139" s="5" t="s">
        <v>18453</v>
      </c>
      <c r="F2139" s="5" t="s">
        <v>12815</v>
      </c>
      <c r="G2139" s="5"/>
      <c r="H2139" s="5"/>
      <c r="I2139" s="5"/>
      <c r="J2139" s="5"/>
      <c r="K2139" s="5"/>
      <c r="L2139" s="5"/>
      <c r="M2139" s="5"/>
      <c r="N2139" s="5"/>
      <c r="O2139" s="5"/>
      <c r="P2139" s="5"/>
      <c r="Q2139" s="5"/>
      <c r="AL2139" s="7" t="str">
        <f>HYPERLINK("http://dx.doi.org/10.1111/j.1600-0706.2009.17239.x","http://dx.doi.org/10.1111/j.1600-0706.2009.17239.x")</f>
        <v>http://dx.doi.org/10.1111/j.1600-0706.2009.17239.x</v>
      </c>
      <c r="AM2139" s="5">
        <v>33</v>
      </c>
      <c r="AN2139" s="5">
        <v>35</v>
      </c>
      <c r="AO2139" s="5">
        <v>118</v>
      </c>
      <c r="AP2139" s="5">
        <v>4</v>
      </c>
      <c r="AQ2139" s="5">
        <v>539</v>
      </c>
      <c r="AR2139" s="5">
        <v>544</v>
      </c>
      <c r="AS2139" s="5" t="s">
        <v>16</v>
      </c>
      <c r="AT2139" s="5" t="s">
        <v>16</v>
      </c>
      <c r="AU2139" s="5" t="s">
        <v>12814</v>
      </c>
      <c r="AV2139" s="5" t="s">
        <v>12816</v>
      </c>
    </row>
    <row r="2140" spans="1:48" ht="45" customHeight="1" x14ac:dyDescent="0.15">
      <c r="A2140" s="5" t="s">
        <v>12817</v>
      </c>
      <c r="B2140" s="5">
        <v>2010</v>
      </c>
      <c r="C2140" s="5" t="s">
        <v>12818</v>
      </c>
      <c r="D2140" s="5" t="s">
        <v>160</v>
      </c>
      <c r="E2140" s="5" t="s">
        <v>18453</v>
      </c>
      <c r="F2140" s="5" t="s">
        <v>12821</v>
      </c>
      <c r="G2140" s="5"/>
      <c r="H2140" s="5"/>
      <c r="I2140" s="5"/>
      <c r="J2140" s="5"/>
      <c r="K2140" s="5"/>
      <c r="L2140" s="5"/>
      <c r="M2140" s="5"/>
      <c r="N2140" s="5"/>
      <c r="O2140" s="5"/>
      <c r="P2140" s="5"/>
      <c r="Q2140" s="5"/>
      <c r="AL2140" s="7" t="str">
        <f>HYPERLINK("http://dx.doi.org/10.1111/j.1365-2664.2010.01841.x","http://dx.doi.org/10.1111/j.1365-2664.2010.01841.x")</f>
        <v>http://dx.doi.org/10.1111/j.1365-2664.2010.01841.x</v>
      </c>
      <c r="AM2140" s="5">
        <v>44</v>
      </c>
      <c r="AN2140" s="5">
        <v>44</v>
      </c>
      <c r="AO2140" s="5">
        <v>47</v>
      </c>
      <c r="AP2140" s="5">
        <v>4</v>
      </c>
      <c r="AQ2140" s="5">
        <v>741</v>
      </c>
      <c r="AR2140" s="5">
        <v>750</v>
      </c>
      <c r="AS2140" s="5" t="s">
        <v>16</v>
      </c>
      <c r="AT2140" s="5" t="s">
        <v>12819</v>
      </c>
      <c r="AU2140" s="5" t="s">
        <v>12820</v>
      </c>
      <c r="AV2140" s="5" t="s">
        <v>12822</v>
      </c>
    </row>
    <row r="2141" spans="1:48" ht="45" customHeight="1" x14ac:dyDescent="0.15">
      <c r="A2141" s="5" t="s">
        <v>12823</v>
      </c>
      <c r="B2141" s="5">
        <v>2022</v>
      </c>
      <c r="C2141" s="5" t="s">
        <v>12824</v>
      </c>
      <c r="D2141" s="5" t="s">
        <v>44</v>
      </c>
      <c r="E2141" s="5" t="s">
        <v>18453</v>
      </c>
      <c r="F2141" s="5" t="s">
        <v>12827</v>
      </c>
      <c r="G2141" s="5"/>
      <c r="H2141" s="5"/>
      <c r="I2141" s="5"/>
      <c r="J2141" s="5"/>
      <c r="K2141" s="5"/>
      <c r="L2141" s="5"/>
      <c r="M2141" s="5"/>
      <c r="N2141" s="5"/>
      <c r="O2141" s="5"/>
      <c r="P2141" s="5"/>
      <c r="Q2141" s="5"/>
      <c r="AL2141" s="7" t="str">
        <f>HYPERLINK("http://dx.doi.org/10.3389/fevo.2022.768020","http://dx.doi.org/10.3389/fevo.2022.768020")</f>
        <v>http://dx.doi.org/10.3389/fevo.2022.768020</v>
      </c>
      <c r="AM2141" s="5">
        <v>1</v>
      </c>
      <c r="AN2141" s="5">
        <v>1</v>
      </c>
      <c r="AO2141" s="5">
        <v>10</v>
      </c>
      <c r="AP2141" s="5" t="s">
        <v>16</v>
      </c>
      <c r="AQ2141" s="5" t="s">
        <v>16</v>
      </c>
      <c r="AR2141" s="5" t="s">
        <v>16</v>
      </c>
      <c r="AS2141" s="5">
        <v>768020</v>
      </c>
      <c r="AT2141" s="5" t="s">
        <v>12825</v>
      </c>
      <c r="AU2141" s="5" t="s">
        <v>12826</v>
      </c>
      <c r="AV2141" s="5" t="s">
        <v>12828</v>
      </c>
    </row>
    <row r="2142" spans="1:48" ht="45" customHeight="1" x14ac:dyDescent="0.15">
      <c r="A2142" s="5" t="s">
        <v>12829</v>
      </c>
      <c r="B2142" s="5">
        <v>2007</v>
      </c>
      <c r="C2142" s="5" t="s">
        <v>12830</v>
      </c>
      <c r="D2142" s="5" t="s">
        <v>27</v>
      </c>
      <c r="E2142" s="5" t="s">
        <v>18453</v>
      </c>
      <c r="F2142" s="5" t="s">
        <v>12833</v>
      </c>
      <c r="G2142" s="5"/>
      <c r="H2142" s="5"/>
      <c r="I2142" s="5"/>
      <c r="J2142" s="5"/>
      <c r="K2142" s="5"/>
      <c r="L2142" s="5"/>
      <c r="M2142" s="5"/>
      <c r="N2142" s="5"/>
      <c r="O2142" s="5"/>
      <c r="P2142" s="5"/>
      <c r="Q2142" s="5"/>
      <c r="AL2142" s="7" t="str">
        <f>HYPERLINK("http://dx.doi.org/10.1890/07-0147.1","http://dx.doi.org/10.1890/07-0147.1")</f>
        <v>http://dx.doi.org/10.1890/07-0147.1</v>
      </c>
      <c r="AM2142" s="5">
        <v>48</v>
      </c>
      <c r="AN2142" s="5">
        <v>49</v>
      </c>
      <c r="AO2142" s="5">
        <v>88</v>
      </c>
      <c r="AP2142" s="5">
        <v>11</v>
      </c>
      <c r="AQ2142" s="5">
        <v>2736</v>
      </c>
      <c r="AR2142" s="5">
        <v>2743</v>
      </c>
      <c r="AS2142" s="5" t="s">
        <v>16</v>
      </c>
      <c r="AT2142" s="5" t="s">
        <v>12831</v>
      </c>
      <c r="AU2142" s="5" t="s">
        <v>12832</v>
      </c>
      <c r="AV2142" s="5" t="s">
        <v>12834</v>
      </c>
    </row>
    <row r="2143" spans="1:48" ht="45" customHeight="1" x14ac:dyDescent="0.15">
      <c r="A2143" s="5" t="s">
        <v>12835</v>
      </c>
      <c r="B2143" s="5">
        <v>2008</v>
      </c>
      <c r="C2143" s="5" t="s">
        <v>12836</v>
      </c>
      <c r="D2143" s="5" t="s">
        <v>49</v>
      </c>
      <c r="E2143" s="5" t="s">
        <v>18453</v>
      </c>
      <c r="F2143" s="5" t="s">
        <v>12839</v>
      </c>
      <c r="G2143" s="5"/>
      <c r="H2143" s="5"/>
      <c r="I2143" s="5"/>
      <c r="J2143" s="5"/>
      <c r="K2143" s="5"/>
      <c r="L2143" s="5"/>
      <c r="M2143" s="5"/>
      <c r="N2143" s="5"/>
      <c r="O2143" s="5"/>
      <c r="P2143" s="5"/>
      <c r="Q2143" s="5"/>
      <c r="AL2143" s="7" t="str">
        <f>HYPERLINK("http://dx.doi.org/10.3354/meps07202","http://dx.doi.org/10.3354/meps07202")</f>
        <v>http://dx.doi.org/10.3354/meps07202</v>
      </c>
      <c r="AM2143" s="5">
        <v>12</v>
      </c>
      <c r="AN2143" s="5">
        <v>14</v>
      </c>
      <c r="AO2143" s="5">
        <v>353</v>
      </c>
      <c r="AP2143" s="5" t="s">
        <v>16</v>
      </c>
      <c r="AQ2143" s="5">
        <v>107</v>
      </c>
      <c r="AR2143" s="5">
        <v>113</v>
      </c>
      <c r="AS2143" s="5" t="s">
        <v>16</v>
      </c>
      <c r="AT2143" s="5" t="s">
        <v>12837</v>
      </c>
      <c r="AU2143" s="5" t="s">
        <v>12838</v>
      </c>
      <c r="AV2143" s="5" t="s">
        <v>12840</v>
      </c>
    </row>
    <row r="2144" spans="1:48" ht="45" customHeight="1" x14ac:dyDescent="0.15">
      <c r="A2144" s="5" t="s">
        <v>12841</v>
      </c>
      <c r="B2144" s="5">
        <v>2008</v>
      </c>
      <c r="C2144" s="5" t="s">
        <v>12842</v>
      </c>
      <c r="D2144" s="5" t="s">
        <v>49</v>
      </c>
      <c r="E2144" s="5" t="s">
        <v>18453</v>
      </c>
      <c r="F2144" s="5" t="s">
        <v>12845</v>
      </c>
      <c r="G2144" s="5"/>
      <c r="H2144" s="5"/>
      <c r="I2144" s="5"/>
      <c r="J2144" s="5"/>
      <c r="K2144" s="5"/>
      <c r="L2144" s="5"/>
      <c r="M2144" s="5"/>
      <c r="N2144" s="5"/>
      <c r="O2144" s="5"/>
      <c r="P2144" s="5"/>
      <c r="Q2144" s="5"/>
      <c r="AL2144" s="7" t="str">
        <f>HYPERLINK("http://dx.doi.org/10.3354/meps07306","http://dx.doi.org/10.3354/meps07306")</f>
        <v>http://dx.doi.org/10.3354/meps07306</v>
      </c>
      <c r="AM2144" s="5">
        <v>15</v>
      </c>
      <c r="AN2144" s="5">
        <v>16</v>
      </c>
      <c r="AO2144" s="5">
        <v>358</v>
      </c>
      <c r="AP2144" s="5" t="s">
        <v>16</v>
      </c>
      <c r="AQ2144" s="5">
        <v>173</v>
      </c>
      <c r="AR2144" s="5">
        <v>179</v>
      </c>
      <c r="AS2144" s="5" t="s">
        <v>16</v>
      </c>
      <c r="AT2144" s="5" t="s">
        <v>12843</v>
      </c>
      <c r="AU2144" s="5" t="s">
        <v>12844</v>
      </c>
      <c r="AV2144" s="5" t="s">
        <v>12846</v>
      </c>
    </row>
    <row r="2145" spans="1:48" ht="45" customHeight="1" x14ac:dyDescent="0.15">
      <c r="A2145" s="5" t="s">
        <v>12847</v>
      </c>
      <c r="B2145" s="5">
        <v>2020</v>
      </c>
      <c r="C2145" s="5" t="s">
        <v>12848</v>
      </c>
      <c r="D2145" s="5" t="s">
        <v>162</v>
      </c>
      <c r="E2145" s="5" t="s">
        <v>18453</v>
      </c>
      <c r="F2145" s="5" t="s">
        <v>12851</v>
      </c>
      <c r="G2145" s="5"/>
      <c r="H2145" s="5"/>
      <c r="I2145" s="5"/>
      <c r="J2145" s="5"/>
      <c r="K2145" s="5"/>
      <c r="L2145" s="5"/>
      <c r="M2145" s="5"/>
      <c r="N2145" s="5"/>
      <c r="O2145" s="5"/>
      <c r="P2145" s="5"/>
      <c r="Q2145" s="5"/>
      <c r="AL2145" s="7" t="str">
        <f>HYPERLINK("http://dx.doi.org/10.1111/1365-2435.13510","http://dx.doi.org/10.1111/1365-2435.13510")</f>
        <v>http://dx.doi.org/10.1111/1365-2435.13510</v>
      </c>
      <c r="AM2145" s="5">
        <v>22</v>
      </c>
      <c r="AN2145" s="5">
        <v>23</v>
      </c>
      <c r="AO2145" s="5">
        <v>34</v>
      </c>
      <c r="AP2145" s="5">
        <v>4</v>
      </c>
      <c r="AQ2145" s="5">
        <v>899</v>
      </c>
      <c r="AR2145" s="5">
        <v>910</v>
      </c>
      <c r="AS2145" s="5" t="s">
        <v>16</v>
      </c>
      <c r="AT2145" s="5" t="s">
        <v>12849</v>
      </c>
      <c r="AU2145" s="5" t="s">
        <v>12850</v>
      </c>
      <c r="AV2145" s="5" t="s">
        <v>12852</v>
      </c>
    </row>
    <row r="2146" spans="1:48" ht="45" customHeight="1" x14ac:dyDescent="0.15">
      <c r="A2146" s="5" t="s">
        <v>12853</v>
      </c>
      <c r="B2146" s="5">
        <v>2022</v>
      </c>
      <c r="C2146" s="5" t="s">
        <v>12854</v>
      </c>
      <c r="D2146" s="5" t="s">
        <v>17</v>
      </c>
      <c r="E2146" s="5" t="s">
        <v>18453</v>
      </c>
      <c r="F2146" s="5" t="s">
        <v>12857</v>
      </c>
      <c r="G2146" s="5"/>
      <c r="H2146" s="5"/>
      <c r="I2146" s="5"/>
      <c r="J2146" s="5"/>
      <c r="K2146" s="5"/>
      <c r="L2146" s="5"/>
      <c r="M2146" s="5"/>
      <c r="N2146" s="5"/>
      <c r="O2146" s="5"/>
      <c r="P2146" s="5"/>
      <c r="Q2146" s="5"/>
      <c r="AL2146" s="7" t="str">
        <f>HYPERLINK("http://dx.doi.org/10.1111/fwb.13883","http://dx.doi.org/10.1111/fwb.13883")</f>
        <v>http://dx.doi.org/10.1111/fwb.13883</v>
      </c>
      <c r="AM2146" s="5">
        <v>2</v>
      </c>
      <c r="AN2146" s="5">
        <v>2</v>
      </c>
      <c r="AO2146" s="5">
        <v>67</v>
      </c>
      <c r="AP2146" s="5">
        <v>5</v>
      </c>
      <c r="AQ2146" s="5">
        <v>812</v>
      </c>
      <c r="AR2146" s="5">
        <v>827</v>
      </c>
      <c r="AS2146" s="5" t="s">
        <v>16</v>
      </c>
      <c r="AT2146" s="5" t="s">
        <v>12855</v>
      </c>
      <c r="AU2146" s="5" t="s">
        <v>12856</v>
      </c>
      <c r="AV2146" s="5" t="s">
        <v>12858</v>
      </c>
    </row>
    <row r="2147" spans="1:48" ht="45" customHeight="1" x14ac:dyDescent="0.15">
      <c r="A2147" s="5" t="s">
        <v>12859</v>
      </c>
      <c r="B2147" s="5">
        <v>2022</v>
      </c>
      <c r="C2147" s="5" t="s">
        <v>12860</v>
      </c>
      <c r="D2147" s="5" t="s">
        <v>49</v>
      </c>
      <c r="E2147" s="5" t="s">
        <v>18453</v>
      </c>
      <c r="F2147" s="5" t="s">
        <v>12863</v>
      </c>
      <c r="G2147" s="5"/>
      <c r="H2147" s="5"/>
      <c r="I2147" s="5"/>
      <c r="J2147" s="5"/>
      <c r="K2147" s="5"/>
      <c r="L2147" s="5"/>
      <c r="M2147" s="5"/>
      <c r="N2147" s="5"/>
      <c r="O2147" s="5"/>
      <c r="P2147" s="5"/>
      <c r="Q2147" s="5"/>
      <c r="AL2147" s="7" t="str">
        <f>HYPERLINK("http://dx.doi.org/10.3354/meps13985","http://dx.doi.org/10.3354/meps13985")</f>
        <v>http://dx.doi.org/10.3354/meps13985</v>
      </c>
      <c r="AM2147" s="5">
        <v>2</v>
      </c>
      <c r="AN2147" s="5">
        <v>2</v>
      </c>
      <c r="AO2147" s="5">
        <v>686</v>
      </c>
      <c r="AP2147" s="5" t="s">
        <v>16</v>
      </c>
      <c r="AQ2147" s="5">
        <v>159</v>
      </c>
      <c r="AR2147" s="5">
        <v>175</v>
      </c>
      <c r="AS2147" s="5" t="s">
        <v>16</v>
      </c>
      <c r="AT2147" s="5" t="s">
        <v>12861</v>
      </c>
      <c r="AU2147" s="5" t="s">
        <v>12862</v>
      </c>
      <c r="AV2147" s="5" t="s">
        <v>12864</v>
      </c>
    </row>
    <row r="2148" spans="1:48" ht="45" customHeight="1" x14ac:dyDescent="0.15">
      <c r="A2148" s="5" t="s">
        <v>12865</v>
      </c>
      <c r="B2148" s="5">
        <v>2022</v>
      </c>
      <c r="C2148" s="5" t="s">
        <v>12866</v>
      </c>
      <c r="D2148" s="5" t="s">
        <v>27</v>
      </c>
      <c r="E2148" s="5" t="s">
        <v>18453</v>
      </c>
      <c r="F2148" s="5" t="s">
        <v>12868</v>
      </c>
      <c r="G2148" s="5"/>
      <c r="H2148" s="5"/>
      <c r="I2148" s="5"/>
      <c r="J2148" s="5"/>
      <c r="K2148" s="5"/>
      <c r="L2148" s="5"/>
      <c r="M2148" s="5"/>
      <c r="N2148" s="5"/>
      <c r="O2148" s="5"/>
      <c r="P2148" s="5"/>
      <c r="Q2148" s="5"/>
      <c r="AL2148" s="7" t="str">
        <f>HYPERLINK("http://dx.doi.org/10.1002/ecy.3611","http://dx.doi.org/10.1002/ecy.3611")</f>
        <v>http://dx.doi.org/10.1002/ecy.3611</v>
      </c>
      <c r="AM2148" s="5">
        <v>0</v>
      </c>
      <c r="AN2148" s="5">
        <v>0</v>
      </c>
      <c r="AO2148" s="5">
        <v>103</v>
      </c>
      <c r="AP2148" s="5">
        <v>3</v>
      </c>
      <c r="AQ2148" s="5" t="s">
        <v>16</v>
      </c>
      <c r="AR2148" s="5" t="s">
        <v>16</v>
      </c>
      <c r="AS2148" s="5" t="s">
        <v>12869</v>
      </c>
      <c r="AT2148" s="5" t="s">
        <v>12867</v>
      </c>
      <c r="AU2148" s="5" t="s">
        <v>16</v>
      </c>
      <c r="AV2148" s="5" t="s">
        <v>12870</v>
      </c>
    </row>
    <row r="2149" spans="1:48" ht="45" customHeight="1" x14ac:dyDescent="0.15">
      <c r="A2149" s="5" t="s">
        <v>12871</v>
      </c>
      <c r="B2149" s="5">
        <v>2021</v>
      </c>
      <c r="C2149" s="5" t="s">
        <v>12872</v>
      </c>
      <c r="D2149" s="5" t="s">
        <v>262</v>
      </c>
      <c r="E2149" s="5" t="s">
        <v>18453</v>
      </c>
      <c r="F2149" s="5" t="s">
        <v>12875</v>
      </c>
      <c r="G2149" s="5"/>
      <c r="H2149" s="5"/>
      <c r="I2149" s="5"/>
      <c r="J2149" s="5"/>
      <c r="K2149" s="5"/>
      <c r="L2149" s="5"/>
      <c r="M2149" s="5"/>
      <c r="N2149" s="5"/>
      <c r="O2149" s="5"/>
      <c r="P2149" s="5"/>
      <c r="Q2149" s="5"/>
      <c r="AL2149" s="7" t="str">
        <f>HYPERLINK("http://dx.doi.org/10.1111/oik.08341","http://dx.doi.org/10.1111/oik.08341")</f>
        <v>http://dx.doi.org/10.1111/oik.08341</v>
      </c>
      <c r="AM2149" s="5">
        <v>2</v>
      </c>
      <c r="AN2149" s="5">
        <v>2</v>
      </c>
      <c r="AO2149" s="5">
        <v>130</v>
      </c>
      <c r="AP2149" s="5">
        <v>10</v>
      </c>
      <c r="AQ2149" s="5">
        <v>1750</v>
      </c>
      <c r="AR2149" s="5">
        <v>1761</v>
      </c>
      <c r="AS2149" s="5" t="s">
        <v>16</v>
      </c>
      <c r="AT2149" s="5" t="s">
        <v>12873</v>
      </c>
      <c r="AU2149" s="5" t="s">
        <v>12874</v>
      </c>
      <c r="AV2149" s="5" t="s">
        <v>12876</v>
      </c>
    </row>
    <row r="2150" spans="1:48" ht="45" customHeight="1" x14ac:dyDescent="0.15">
      <c r="A2150" s="5" t="s">
        <v>12877</v>
      </c>
      <c r="B2150" s="5">
        <v>2020</v>
      </c>
      <c r="C2150" s="5" t="s">
        <v>12878</v>
      </c>
      <c r="D2150" s="5" t="s">
        <v>49</v>
      </c>
      <c r="E2150" s="5" t="s">
        <v>18453</v>
      </c>
      <c r="F2150" s="5" t="s">
        <v>12881</v>
      </c>
      <c r="G2150" s="5"/>
      <c r="H2150" s="5"/>
      <c r="I2150" s="5"/>
      <c r="J2150" s="5"/>
      <c r="K2150" s="5"/>
      <c r="L2150" s="5"/>
      <c r="M2150" s="5"/>
      <c r="N2150" s="5"/>
      <c r="O2150" s="5"/>
      <c r="P2150" s="5"/>
      <c r="Q2150" s="5"/>
      <c r="AL2150" s="7" t="str">
        <f>HYPERLINK("http://dx.doi.org/10.3354/meps13315","http://dx.doi.org/10.3354/meps13315")</f>
        <v>http://dx.doi.org/10.3354/meps13315</v>
      </c>
      <c r="AM2150" s="5">
        <v>13</v>
      </c>
      <c r="AN2150" s="5">
        <v>13</v>
      </c>
      <c r="AO2150" s="5">
        <v>650</v>
      </c>
      <c r="AP2150" s="5" t="s">
        <v>16</v>
      </c>
      <c r="AQ2150" s="5">
        <v>107</v>
      </c>
      <c r="AR2150" s="5">
        <v>123</v>
      </c>
      <c r="AS2150" s="5" t="s">
        <v>16</v>
      </c>
      <c r="AT2150" s="5" t="s">
        <v>12879</v>
      </c>
      <c r="AU2150" s="5" t="s">
        <v>12880</v>
      </c>
      <c r="AV2150" s="5" t="s">
        <v>12882</v>
      </c>
    </row>
    <row r="2151" spans="1:48" ht="45" customHeight="1" x14ac:dyDescent="0.15">
      <c r="A2151" s="5" t="s">
        <v>12883</v>
      </c>
      <c r="B2151" s="5">
        <v>2014</v>
      </c>
      <c r="C2151" s="5" t="s">
        <v>12884</v>
      </c>
      <c r="D2151" s="5" t="s">
        <v>2087</v>
      </c>
      <c r="E2151" s="5" t="s">
        <v>18453</v>
      </c>
      <c r="F2151" s="5" t="s">
        <v>12887</v>
      </c>
      <c r="G2151" s="5"/>
      <c r="H2151" s="5"/>
      <c r="I2151" s="5"/>
      <c r="J2151" s="5"/>
      <c r="K2151" s="5"/>
      <c r="L2151" s="5"/>
      <c r="M2151" s="5"/>
      <c r="N2151" s="5"/>
      <c r="O2151" s="5"/>
      <c r="P2151" s="5"/>
      <c r="Q2151" s="5"/>
      <c r="AL2151" s="7" t="str">
        <f>HYPERLINK("http://dx.doi.org/10.1002/eco.1408","http://dx.doi.org/10.1002/eco.1408")</f>
        <v>http://dx.doi.org/10.1002/eco.1408</v>
      </c>
      <c r="AM2151" s="5">
        <v>58</v>
      </c>
      <c r="AN2151" s="5">
        <v>60</v>
      </c>
      <c r="AO2151" s="5">
        <v>7</v>
      </c>
      <c r="AP2151" s="5">
        <v>2</v>
      </c>
      <c r="AQ2151" s="5">
        <v>858</v>
      </c>
      <c r="AR2151" s="5">
        <v>868</v>
      </c>
      <c r="AS2151" s="5" t="s">
        <v>16</v>
      </c>
      <c r="AT2151" s="5" t="s">
        <v>12885</v>
      </c>
      <c r="AU2151" s="5" t="s">
        <v>12886</v>
      </c>
      <c r="AV2151" s="5" t="s">
        <v>12888</v>
      </c>
    </row>
    <row r="2152" spans="1:48" ht="45" customHeight="1" x14ac:dyDescent="0.15">
      <c r="A2152" s="5" t="s">
        <v>12889</v>
      </c>
      <c r="B2152" s="5">
        <v>2007</v>
      </c>
      <c r="C2152" s="5" t="s">
        <v>12890</v>
      </c>
      <c r="D2152" s="5" t="s">
        <v>262</v>
      </c>
      <c r="E2152" s="5" t="s">
        <v>18453</v>
      </c>
      <c r="F2152" s="5" t="s">
        <v>12892</v>
      </c>
      <c r="G2152" s="5"/>
      <c r="H2152" s="5"/>
      <c r="I2152" s="5"/>
      <c r="J2152" s="5"/>
      <c r="K2152" s="5"/>
      <c r="L2152" s="5"/>
      <c r="M2152" s="5"/>
      <c r="N2152" s="5"/>
      <c r="O2152" s="5"/>
      <c r="P2152" s="5"/>
      <c r="Q2152" s="5"/>
      <c r="AL2152" s="7" t="str">
        <f>HYPERLINK("http://dx.doi.org/10.1111/j.2006.0030-1299.15007.x","http://dx.doi.org/10.1111/j.2006.0030-1299.15007.x")</f>
        <v>http://dx.doi.org/10.1111/j.2006.0030-1299.15007.x</v>
      </c>
      <c r="AM2152" s="5">
        <v>51</v>
      </c>
      <c r="AN2152" s="5">
        <v>51</v>
      </c>
      <c r="AO2152" s="5">
        <v>116</v>
      </c>
      <c r="AP2152" s="5">
        <v>1</v>
      </c>
      <c r="AQ2152" s="5">
        <v>163</v>
      </c>
      <c r="AR2152" s="5">
        <v>173</v>
      </c>
      <c r="AS2152" s="5" t="s">
        <v>16</v>
      </c>
      <c r="AT2152" s="5" t="s">
        <v>16</v>
      </c>
      <c r="AU2152" s="5" t="s">
        <v>12891</v>
      </c>
      <c r="AV2152" s="5" t="s">
        <v>12893</v>
      </c>
    </row>
    <row r="2153" spans="1:48" ht="45" customHeight="1" x14ac:dyDescent="0.15">
      <c r="A2153" s="5" t="s">
        <v>12894</v>
      </c>
      <c r="B2153" s="5">
        <v>2020</v>
      </c>
      <c r="C2153" s="5" t="s">
        <v>12895</v>
      </c>
      <c r="D2153" s="5" t="s">
        <v>18</v>
      </c>
      <c r="E2153" s="5" t="s">
        <v>18453</v>
      </c>
      <c r="F2153" s="5" t="s">
        <v>12898</v>
      </c>
      <c r="G2153" s="5"/>
      <c r="H2153" s="5"/>
      <c r="I2153" s="5"/>
      <c r="J2153" s="5"/>
      <c r="K2153" s="5"/>
      <c r="L2153" s="5"/>
      <c r="M2153" s="5"/>
      <c r="N2153" s="5"/>
      <c r="O2153" s="5"/>
      <c r="P2153" s="5"/>
      <c r="Q2153" s="5"/>
      <c r="AL2153" s="7" t="str">
        <f>HYPERLINK("http://dx.doi.org/10.1002/ecs2.3099","http://dx.doi.org/10.1002/ecs2.3099")</f>
        <v>http://dx.doi.org/10.1002/ecs2.3099</v>
      </c>
      <c r="AM2153" s="5">
        <v>14</v>
      </c>
      <c r="AN2153" s="5">
        <v>14</v>
      </c>
      <c r="AO2153" s="5">
        <v>11</v>
      </c>
      <c r="AP2153" s="5">
        <v>6</v>
      </c>
      <c r="AQ2153" s="5" t="s">
        <v>16</v>
      </c>
      <c r="AR2153" s="5" t="s">
        <v>16</v>
      </c>
      <c r="AS2153" s="5" t="s">
        <v>12899</v>
      </c>
      <c r="AT2153" s="5" t="s">
        <v>12896</v>
      </c>
      <c r="AU2153" s="5" t="s">
        <v>12897</v>
      </c>
      <c r="AV2153" s="5" t="s">
        <v>12900</v>
      </c>
    </row>
    <row r="2154" spans="1:48" ht="45" customHeight="1" x14ac:dyDescent="0.15">
      <c r="A2154" s="5" t="s">
        <v>12901</v>
      </c>
      <c r="B2154" s="5">
        <v>1996</v>
      </c>
      <c r="C2154" s="5" t="s">
        <v>12902</v>
      </c>
      <c r="D2154" s="5" t="s">
        <v>1765</v>
      </c>
      <c r="E2154" s="5" t="s">
        <v>18453</v>
      </c>
      <c r="F2154" s="5" t="s">
        <v>12905</v>
      </c>
      <c r="G2154" s="5"/>
      <c r="H2154" s="5"/>
      <c r="I2154" s="5"/>
      <c r="J2154" s="5"/>
      <c r="K2154" s="5"/>
      <c r="L2154" s="5"/>
      <c r="M2154" s="5"/>
      <c r="N2154" s="5"/>
      <c r="O2154" s="5"/>
      <c r="P2154" s="5"/>
      <c r="Q2154" s="5"/>
      <c r="AL2154" s="7" t="str">
        <f>HYPERLINK("http://dx.doi.org/10.1016/0167-8809(96)01042-0","http://dx.doi.org/10.1016/0167-8809(96)01042-0")</f>
        <v>http://dx.doi.org/10.1016/0167-8809(96)01042-0</v>
      </c>
      <c r="AM2154" s="5">
        <v>15</v>
      </c>
      <c r="AN2154" s="5">
        <v>19</v>
      </c>
      <c r="AO2154" s="5">
        <v>59</v>
      </c>
      <c r="AP2154" s="5" t="s">
        <v>778</v>
      </c>
      <c r="AQ2154" s="5">
        <v>69</v>
      </c>
      <c r="AR2154" s="5">
        <v>80</v>
      </c>
      <c r="AS2154" s="5" t="s">
        <v>16</v>
      </c>
      <c r="AT2154" s="5" t="s">
        <v>12903</v>
      </c>
      <c r="AU2154" s="5" t="s">
        <v>12904</v>
      </c>
      <c r="AV2154" s="5" t="s">
        <v>12906</v>
      </c>
    </row>
    <row r="2155" spans="1:48" ht="45" customHeight="1" x14ac:dyDescent="0.15">
      <c r="A2155" s="5" t="s">
        <v>12907</v>
      </c>
      <c r="B2155" s="5">
        <v>2022</v>
      </c>
      <c r="C2155" s="5" t="s">
        <v>12908</v>
      </c>
      <c r="D2155" s="5" t="s">
        <v>2087</v>
      </c>
      <c r="E2155" s="5" t="s">
        <v>18453</v>
      </c>
      <c r="F2155" s="5" t="s">
        <v>12911</v>
      </c>
      <c r="G2155" s="5"/>
      <c r="H2155" s="5"/>
      <c r="I2155" s="5"/>
      <c r="J2155" s="5"/>
      <c r="K2155" s="5"/>
      <c r="L2155" s="5"/>
      <c r="M2155" s="5"/>
      <c r="N2155" s="5"/>
      <c r="O2155" s="5"/>
      <c r="P2155" s="5"/>
      <c r="Q2155" s="5"/>
      <c r="AL2155" s="7" t="str">
        <f>HYPERLINK("http://dx.doi.org/10.1002/eco.2478","http://dx.doi.org/10.1002/eco.2478")</f>
        <v>http://dx.doi.org/10.1002/eco.2478</v>
      </c>
      <c r="AM2155" s="5">
        <v>2</v>
      </c>
      <c r="AN2155" s="5">
        <v>2</v>
      </c>
      <c r="AO2155" s="5">
        <v>15</v>
      </c>
      <c r="AP2155" s="5">
        <v>8</v>
      </c>
      <c r="AQ2155" s="5" t="s">
        <v>16</v>
      </c>
      <c r="AR2155" s="5" t="s">
        <v>16</v>
      </c>
      <c r="AS2155" s="5" t="s">
        <v>16</v>
      </c>
      <c r="AT2155" s="5" t="s">
        <v>12909</v>
      </c>
      <c r="AU2155" s="5" t="s">
        <v>12910</v>
      </c>
      <c r="AV2155" s="5" t="s">
        <v>12912</v>
      </c>
    </row>
    <row r="2156" spans="1:48" ht="45" customHeight="1" x14ac:dyDescent="0.15">
      <c r="A2156" s="5" t="s">
        <v>12913</v>
      </c>
      <c r="B2156" s="5">
        <v>2004</v>
      </c>
      <c r="C2156" s="5" t="s">
        <v>12914</v>
      </c>
      <c r="D2156" s="5" t="s">
        <v>212</v>
      </c>
      <c r="E2156" s="5" t="s">
        <v>18453</v>
      </c>
      <c r="F2156" s="5" t="s">
        <v>12916</v>
      </c>
      <c r="G2156" s="5"/>
      <c r="H2156" s="5"/>
      <c r="I2156" s="5"/>
      <c r="J2156" s="5"/>
      <c r="K2156" s="5"/>
      <c r="L2156" s="5"/>
      <c r="M2156" s="5"/>
      <c r="N2156" s="5"/>
      <c r="O2156" s="5"/>
      <c r="P2156" s="5"/>
      <c r="Q2156" s="5"/>
      <c r="AL2156" s="7" t="str">
        <f>HYPERLINK("http://dx.doi.org/10.1007/s00300-004-0598-0","http://dx.doi.org/10.1007/s00300-004-0598-0")</f>
        <v>http://dx.doi.org/10.1007/s00300-004-0598-0</v>
      </c>
      <c r="AM2156" s="5">
        <v>50</v>
      </c>
      <c r="AN2156" s="5">
        <v>51</v>
      </c>
      <c r="AO2156" s="5">
        <v>27</v>
      </c>
      <c r="AP2156" s="5">
        <v>6</v>
      </c>
      <c r="AQ2156" s="5">
        <v>368</v>
      </c>
      <c r="AR2156" s="5">
        <v>373</v>
      </c>
      <c r="AS2156" s="5" t="s">
        <v>16</v>
      </c>
      <c r="AT2156" s="5" t="s">
        <v>16</v>
      </c>
      <c r="AU2156" s="5" t="s">
        <v>12915</v>
      </c>
      <c r="AV2156" s="5" t="s">
        <v>12917</v>
      </c>
    </row>
    <row r="2157" spans="1:48" ht="45" customHeight="1" x14ac:dyDescent="0.15">
      <c r="A2157" s="5" t="s">
        <v>12918</v>
      </c>
      <c r="B2157" s="5">
        <v>2016</v>
      </c>
      <c r="C2157" s="5" t="s">
        <v>12919</v>
      </c>
      <c r="D2157" s="5" t="s">
        <v>77</v>
      </c>
      <c r="E2157" s="5" t="s">
        <v>18453</v>
      </c>
      <c r="F2157" s="5" t="s">
        <v>12922</v>
      </c>
      <c r="G2157" s="5"/>
      <c r="H2157" s="5"/>
      <c r="I2157" s="5"/>
      <c r="J2157" s="5"/>
      <c r="K2157" s="5"/>
      <c r="L2157" s="5"/>
      <c r="M2157" s="5"/>
      <c r="N2157" s="5"/>
      <c r="O2157" s="5"/>
      <c r="P2157" s="5"/>
      <c r="Q2157" s="5"/>
      <c r="AL2157" s="7" t="str">
        <f>HYPERLINK("http://dx.doi.org/10.1111/1365-2656.12434","http://dx.doi.org/10.1111/1365-2656.12434")</f>
        <v>http://dx.doi.org/10.1111/1365-2656.12434</v>
      </c>
      <c r="AM2157" s="5">
        <v>20</v>
      </c>
      <c r="AN2157" s="5">
        <v>20</v>
      </c>
      <c r="AO2157" s="5">
        <v>85</v>
      </c>
      <c r="AP2157" s="5">
        <v>1</v>
      </c>
      <c r="AQ2157" s="5">
        <v>199</v>
      </c>
      <c r="AR2157" s="5">
        <v>212</v>
      </c>
      <c r="AS2157" s="5" t="s">
        <v>16</v>
      </c>
      <c r="AT2157" s="5" t="s">
        <v>12920</v>
      </c>
      <c r="AU2157" s="5" t="s">
        <v>12921</v>
      </c>
      <c r="AV2157" s="5" t="s">
        <v>12923</v>
      </c>
    </row>
    <row r="2158" spans="1:48" ht="45" customHeight="1" x14ac:dyDescent="0.15">
      <c r="A2158" s="5" t="s">
        <v>12924</v>
      </c>
      <c r="B2158" s="5">
        <v>2009</v>
      </c>
      <c r="C2158" s="5" t="s">
        <v>12925</v>
      </c>
      <c r="D2158" s="5" t="s">
        <v>172</v>
      </c>
      <c r="E2158" s="5" t="s">
        <v>18453</v>
      </c>
      <c r="F2158" s="5" t="s">
        <v>12928</v>
      </c>
      <c r="G2158" s="5"/>
      <c r="H2158" s="5"/>
      <c r="I2158" s="5"/>
      <c r="J2158" s="5"/>
      <c r="K2158" s="5"/>
      <c r="L2158" s="5"/>
      <c r="M2158" s="5"/>
      <c r="N2158" s="5"/>
      <c r="O2158" s="5"/>
      <c r="P2158" s="5"/>
      <c r="Q2158" s="5"/>
      <c r="AL2158" s="7" t="str">
        <f>HYPERLINK("http://dx.doi.org/10.1007/s00442-008-1271-z","http://dx.doi.org/10.1007/s00442-008-1271-z")</f>
        <v>http://dx.doi.org/10.1007/s00442-008-1271-z</v>
      </c>
      <c r="AM2158" s="5">
        <v>80</v>
      </c>
      <c r="AN2158" s="5">
        <v>80</v>
      </c>
      <c r="AO2158" s="5">
        <v>159</v>
      </c>
      <c r="AP2158" s="5">
        <v>4</v>
      </c>
      <c r="AQ2158" s="5">
        <v>789</v>
      </c>
      <c r="AR2158" s="5">
        <v>802</v>
      </c>
      <c r="AS2158" s="5" t="s">
        <v>16</v>
      </c>
      <c r="AT2158" s="5" t="s">
        <v>12926</v>
      </c>
      <c r="AU2158" s="5" t="s">
        <v>12927</v>
      </c>
      <c r="AV2158" s="5" t="s">
        <v>12929</v>
      </c>
    </row>
    <row r="2159" spans="1:48" ht="45" customHeight="1" x14ac:dyDescent="0.15">
      <c r="A2159" s="5" t="s">
        <v>12930</v>
      </c>
      <c r="B2159" s="5">
        <v>2016</v>
      </c>
      <c r="C2159" s="5" t="s">
        <v>12931</v>
      </c>
      <c r="D2159" s="5" t="s">
        <v>2087</v>
      </c>
      <c r="E2159" s="5" t="s">
        <v>18453</v>
      </c>
      <c r="F2159" s="5" t="s">
        <v>12934</v>
      </c>
      <c r="G2159" s="5"/>
      <c r="H2159" s="5"/>
      <c r="I2159" s="5"/>
      <c r="J2159" s="5"/>
      <c r="K2159" s="5"/>
      <c r="L2159" s="5"/>
      <c r="M2159" s="5"/>
      <c r="N2159" s="5"/>
      <c r="O2159" s="5"/>
      <c r="P2159" s="5"/>
      <c r="Q2159" s="5"/>
      <c r="AL2159" s="7" t="str">
        <f>HYPERLINK("http://dx.doi.org/10.1002/eco.1730","http://dx.doi.org/10.1002/eco.1730")</f>
        <v>http://dx.doi.org/10.1002/eco.1730</v>
      </c>
      <c r="AM2159" s="5">
        <v>32</v>
      </c>
      <c r="AN2159" s="5">
        <v>33</v>
      </c>
      <c r="AO2159" s="5">
        <v>9</v>
      </c>
      <c r="AP2159" s="5">
        <v>7</v>
      </c>
      <c r="AQ2159" s="5">
        <v>1328</v>
      </c>
      <c r="AR2159" s="5">
        <v>1345</v>
      </c>
      <c r="AS2159" s="5" t="s">
        <v>16</v>
      </c>
      <c r="AT2159" s="5" t="s">
        <v>12932</v>
      </c>
      <c r="AU2159" s="5" t="s">
        <v>12933</v>
      </c>
      <c r="AV2159" s="5" t="s">
        <v>12935</v>
      </c>
    </row>
    <row r="2160" spans="1:48" ht="45" customHeight="1" x14ac:dyDescent="0.15">
      <c r="A2160" s="5" t="s">
        <v>12936</v>
      </c>
      <c r="B2160" s="5">
        <v>2021</v>
      </c>
      <c r="C2160" s="5" t="s">
        <v>12937</v>
      </c>
      <c r="D2160" s="5" t="s">
        <v>942</v>
      </c>
      <c r="E2160" s="5" t="s">
        <v>18453</v>
      </c>
      <c r="F2160" s="5" t="s">
        <v>12940</v>
      </c>
      <c r="G2160" s="5"/>
      <c r="H2160" s="5"/>
      <c r="I2160" s="5"/>
      <c r="J2160" s="5"/>
      <c r="K2160" s="5"/>
      <c r="L2160" s="5"/>
      <c r="M2160" s="5"/>
      <c r="N2160" s="5"/>
      <c r="O2160" s="5"/>
      <c r="P2160" s="5"/>
      <c r="Q2160" s="5"/>
      <c r="AL2160" s="7" t="str">
        <f>HYPERLINK("http://dx.doi.org/10.1016/j.rsma.2021.101640","http://dx.doi.org/10.1016/j.rsma.2021.101640")</f>
        <v>http://dx.doi.org/10.1016/j.rsma.2021.101640</v>
      </c>
      <c r="AM2160" s="5">
        <v>3</v>
      </c>
      <c r="AN2160" s="5">
        <v>3</v>
      </c>
      <c r="AO2160" s="5">
        <v>42</v>
      </c>
      <c r="AP2160" s="5" t="s">
        <v>16</v>
      </c>
      <c r="AQ2160" s="5" t="s">
        <v>16</v>
      </c>
      <c r="AR2160" s="5" t="s">
        <v>16</v>
      </c>
      <c r="AS2160" s="5">
        <v>101640</v>
      </c>
      <c r="AT2160" s="5" t="s">
        <v>12938</v>
      </c>
      <c r="AU2160" s="5" t="s">
        <v>12939</v>
      </c>
      <c r="AV2160" s="5" t="s">
        <v>12941</v>
      </c>
    </row>
    <row r="2161" spans="1:48" ht="45" customHeight="1" x14ac:dyDescent="0.15">
      <c r="A2161" s="5" t="s">
        <v>12942</v>
      </c>
      <c r="B2161" s="5">
        <v>2005</v>
      </c>
      <c r="C2161" s="5" t="s">
        <v>12943</v>
      </c>
      <c r="D2161" s="5" t="s">
        <v>49</v>
      </c>
      <c r="E2161" s="5" t="s">
        <v>18453</v>
      </c>
      <c r="F2161" s="5" t="s">
        <v>12946</v>
      </c>
      <c r="G2161" s="5"/>
      <c r="H2161" s="5"/>
      <c r="I2161" s="5"/>
      <c r="J2161" s="5"/>
      <c r="K2161" s="5"/>
      <c r="L2161" s="5"/>
      <c r="M2161" s="5"/>
      <c r="N2161" s="5"/>
      <c r="O2161" s="5"/>
      <c r="P2161" s="5"/>
      <c r="Q2161" s="5"/>
      <c r="AL2161" s="7" t="str">
        <f>HYPERLINK("http://dx.doi.org/10.3354/meps296155","http://dx.doi.org/10.3354/meps296155")</f>
        <v>http://dx.doi.org/10.3354/meps296155</v>
      </c>
      <c r="AM2161" s="5">
        <v>48</v>
      </c>
      <c r="AN2161" s="5">
        <v>49</v>
      </c>
      <c r="AO2161" s="5">
        <v>296</v>
      </c>
      <c r="AP2161" s="5" t="s">
        <v>16</v>
      </c>
      <c r="AQ2161" s="5">
        <v>155</v>
      </c>
      <c r="AR2161" s="5">
        <v>163</v>
      </c>
      <c r="AS2161" s="5" t="s">
        <v>16</v>
      </c>
      <c r="AT2161" s="5" t="s">
        <v>12944</v>
      </c>
      <c r="AU2161" s="5" t="s">
        <v>12945</v>
      </c>
      <c r="AV2161" s="5" t="s">
        <v>12947</v>
      </c>
    </row>
    <row r="2162" spans="1:48" ht="45" customHeight="1" x14ac:dyDescent="0.15">
      <c r="A2162" s="5" t="s">
        <v>12948</v>
      </c>
      <c r="B2162" s="5">
        <v>2012</v>
      </c>
      <c r="C2162" s="5" t="s">
        <v>12949</v>
      </c>
      <c r="D2162" s="5" t="s">
        <v>18</v>
      </c>
      <c r="E2162" s="5" t="s">
        <v>18453</v>
      </c>
      <c r="F2162" s="5" t="s">
        <v>12952</v>
      </c>
      <c r="G2162" s="5"/>
      <c r="H2162" s="5"/>
      <c r="I2162" s="5"/>
      <c r="J2162" s="5"/>
      <c r="K2162" s="5"/>
      <c r="L2162" s="5"/>
      <c r="M2162" s="5"/>
      <c r="N2162" s="5"/>
      <c r="O2162" s="5"/>
      <c r="P2162" s="5"/>
      <c r="Q2162" s="5"/>
      <c r="AL2162" s="7" t="str">
        <f>HYPERLINK("http://dx.doi.org/10.1890/ES12-00094.1","http://dx.doi.org/10.1890/ES12-00094.1")</f>
        <v>http://dx.doi.org/10.1890/ES12-00094.1</v>
      </c>
      <c r="AM2162" s="5">
        <v>45</v>
      </c>
      <c r="AN2162" s="5">
        <v>50</v>
      </c>
      <c r="AO2162" s="5">
        <v>3</v>
      </c>
      <c r="AP2162" s="5">
        <v>7</v>
      </c>
      <c r="AQ2162" s="5" t="s">
        <v>16</v>
      </c>
      <c r="AR2162" s="5" t="s">
        <v>16</v>
      </c>
      <c r="AS2162" s="5">
        <v>63</v>
      </c>
      <c r="AT2162" s="5" t="s">
        <v>12950</v>
      </c>
      <c r="AU2162" s="5" t="s">
        <v>12951</v>
      </c>
      <c r="AV2162" s="5" t="s">
        <v>12953</v>
      </c>
    </row>
    <row r="2163" spans="1:48" ht="45" customHeight="1" x14ac:dyDescent="0.15">
      <c r="A2163" s="5" t="s">
        <v>12954</v>
      </c>
      <c r="B2163" s="5">
        <v>2018</v>
      </c>
      <c r="C2163" s="5" t="s">
        <v>12955</v>
      </c>
      <c r="D2163" s="5" t="s">
        <v>1765</v>
      </c>
      <c r="E2163" s="5" t="s">
        <v>18453</v>
      </c>
      <c r="F2163" s="5" t="s">
        <v>12958</v>
      </c>
      <c r="G2163" s="5"/>
      <c r="H2163" s="5"/>
      <c r="I2163" s="5"/>
      <c r="J2163" s="5"/>
      <c r="K2163" s="5"/>
      <c r="L2163" s="5"/>
      <c r="M2163" s="5"/>
      <c r="N2163" s="5"/>
      <c r="O2163" s="5"/>
      <c r="P2163" s="5"/>
      <c r="Q2163" s="5"/>
      <c r="AL2163" s="7" t="str">
        <f>HYPERLINK("http://dx.doi.org/10.1016/j.agee.2017.12.006","http://dx.doi.org/10.1016/j.agee.2017.12.006")</f>
        <v>http://dx.doi.org/10.1016/j.agee.2017.12.006</v>
      </c>
      <c r="AM2163" s="5">
        <v>37</v>
      </c>
      <c r="AN2163" s="5">
        <v>39</v>
      </c>
      <c r="AO2163" s="5">
        <v>256</v>
      </c>
      <c r="AP2163" s="5" t="s">
        <v>16</v>
      </c>
      <c r="AQ2163" s="5">
        <v>82</v>
      </c>
      <c r="AR2163" s="5">
        <v>91</v>
      </c>
      <c r="AS2163" s="5" t="s">
        <v>16</v>
      </c>
      <c r="AT2163" s="5" t="s">
        <v>12956</v>
      </c>
      <c r="AU2163" s="5" t="s">
        <v>12957</v>
      </c>
      <c r="AV2163" s="5" t="s">
        <v>12959</v>
      </c>
    </row>
    <row r="2164" spans="1:48" ht="45" customHeight="1" x14ac:dyDescent="0.15">
      <c r="A2164" s="5" t="s">
        <v>12960</v>
      </c>
      <c r="B2164" s="5">
        <v>2002</v>
      </c>
      <c r="C2164" s="5" t="s">
        <v>12961</v>
      </c>
      <c r="D2164" s="5" t="s">
        <v>868</v>
      </c>
      <c r="E2164" s="5" t="s">
        <v>18453</v>
      </c>
      <c r="F2164" s="5" t="s">
        <v>12964</v>
      </c>
      <c r="G2164" s="5"/>
      <c r="H2164" s="5"/>
      <c r="I2164" s="5"/>
      <c r="J2164" s="5"/>
      <c r="K2164" s="5"/>
      <c r="L2164" s="5"/>
      <c r="M2164" s="5"/>
      <c r="N2164" s="5"/>
      <c r="O2164" s="5"/>
      <c r="P2164" s="5"/>
      <c r="Q2164" s="5"/>
      <c r="AL2164" s="5" t="s">
        <v>16</v>
      </c>
      <c r="AM2164" s="5">
        <v>3</v>
      </c>
      <c r="AN2164" s="5">
        <v>3</v>
      </c>
      <c r="AO2164" s="5">
        <v>50</v>
      </c>
      <c r="AP2164" s="5">
        <v>4</v>
      </c>
      <c r="AQ2164" s="5">
        <v>543</v>
      </c>
      <c r="AR2164" s="5">
        <v>550</v>
      </c>
      <c r="AS2164" s="5" t="s">
        <v>16</v>
      </c>
      <c r="AT2164" s="5" t="s">
        <v>12962</v>
      </c>
      <c r="AU2164" s="5" t="s">
        <v>12963</v>
      </c>
      <c r="AV2164" s="5" t="s">
        <v>16</v>
      </c>
    </row>
    <row r="2165" spans="1:48" ht="45" customHeight="1" x14ac:dyDescent="0.15">
      <c r="A2165" s="5" t="s">
        <v>12965</v>
      </c>
      <c r="B2165" s="5">
        <v>2020</v>
      </c>
      <c r="C2165" s="5" t="s">
        <v>12966</v>
      </c>
      <c r="D2165" s="5" t="s">
        <v>2614</v>
      </c>
      <c r="E2165" s="5" t="s">
        <v>18453</v>
      </c>
      <c r="F2165" s="5" t="s">
        <v>12969</v>
      </c>
      <c r="G2165" s="5"/>
      <c r="H2165" s="5"/>
      <c r="I2165" s="5"/>
      <c r="J2165" s="5"/>
      <c r="K2165" s="5"/>
      <c r="L2165" s="5"/>
      <c r="M2165" s="5"/>
      <c r="N2165" s="5"/>
      <c r="O2165" s="5"/>
      <c r="P2165" s="5"/>
      <c r="Q2165" s="5"/>
      <c r="AL2165" s="7" t="str">
        <f>HYPERLINK("http://dx.doi.org/10.1111/acv.12595","http://dx.doi.org/10.1111/acv.12595")</f>
        <v>http://dx.doi.org/10.1111/acv.12595</v>
      </c>
      <c r="AM2165" s="5">
        <v>5</v>
      </c>
      <c r="AN2165" s="5">
        <v>5</v>
      </c>
      <c r="AO2165" s="5">
        <v>23</v>
      </c>
      <c r="AP2165" s="5">
        <v>6</v>
      </c>
      <c r="AQ2165" s="5">
        <v>762</v>
      </c>
      <c r="AR2165" s="5">
        <v>773</v>
      </c>
      <c r="AS2165" s="5" t="s">
        <v>16</v>
      </c>
      <c r="AT2165" s="5" t="s">
        <v>12967</v>
      </c>
      <c r="AU2165" s="5" t="s">
        <v>12968</v>
      </c>
      <c r="AV2165" s="5" t="s">
        <v>12970</v>
      </c>
    </row>
    <row r="2166" spans="1:48" ht="45" customHeight="1" x14ac:dyDescent="0.15">
      <c r="A2166" s="5" t="s">
        <v>12971</v>
      </c>
      <c r="B2166" s="5">
        <v>2021</v>
      </c>
      <c r="C2166" s="5" t="s">
        <v>12972</v>
      </c>
      <c r="D2166" s="5" t="s">
        <v>18</v>
      </c>
      <c r="E2166" s="5" t="s">
        <v>18453</v>
      </c>
      <c r="F2166" s="5" t="s">
        <v>12975</v>
      </c>
      <c r="G2166" s="5"/>
      <c r="H2166" s="5"/>
      <c r="I2166" s="5"/>
      <c r="J2166" s="5"/>
      <c r="K2166" s="5"/>
      <c r="L2166" s="5"/>
      <c r="M2166" s="5"/>
      <c r="N2166" s="5"/>
      <c r="O2166" s="5"/>
      <c r="P2166" s="5"/>
      <c r="Q2166" s="5"/>
      <c r="AL2166" s="7" t="str">
        <f>HYPERLINK("http://dx.doi.org/10.1002/ecs2.3464","http://dx.doi.org/10.1002/ecs2.3464")</f>
        <v>http://dx.doi.org/10.1002/ecs2.3464</v>
      </c>
      <c r="AM2166" s="5">
        <v>4</v>
      </c>
      <c r="AN2166" s="5">
        <v>4</v>
      </c>
      <c r="AO2166" s="5">
        <v>12</v>
      </c>
      <c r="AP2166" s="5">
        <v>4</v>
      </c>
      <c r="AQ2166" s="5" t="s">
        <v>16</v>
      </c>
      <c r="AR2166" s="5" t="s">
        <v>16</v>
      </c>
      <c r="AS2166" s="5" t="s">
        <v>12976</v>
      </c>
      <c r="AT2166" s="5" t="s">
        <v>12973</v>
      </c>
      <c r="AU2166" s="5" t="s">
        <v>12974</v>
      </c>
      <c r="AV2166" s="5" t="s">
        <v>12977</v>
      </c>
    </row>
    <row r="2167" spans="1:48" ht="45" customHeight="1" x14ac:dyDescent="0.15">
      <c r="A2167" s="5" t="s">
        <v>12978</v>
      </c>
      <c r="B2167" s="5">
        <v>2022</v>
      </c>
      <c r="C2167" s="5" t="s">
        <v>12979</v>
      </c>
      <c r="D2167" s="5" t="s">
        <v>15</v>
      </c>
      <c r="E2167" s="5" t="s">
        <v>18453</v>
      </c>
      <c r="F2167" s="5" t="s">
        <v>12982</v>
      </c>
      <c r="G2167" s="5"/>
      <c r="H2167" s="5"/>
      <c r="I2167" s="5"/>
      <c r="J2167" s="5"/>
      <c r="K2167" s="5"/>
      <c r="L2167" s="5"/>
      <c r="M2167" s="5"/>
      <c r="N2167" s="5"/>
      <c r="O2167" s="5"/>
      <c r="P2167" s="5"/>
      <c r="Q2167" s="5"/>
      <c r="AL2167" s="7" t="str">
        <f>HYPERLINK("http://dx.doi.org/10.1002/ece3.9129","http://dx.doi.org/10.1002/ece3.9129")</f>
        <v>http://dx.doi.org/10.1002/ece3.9129</v>
      </c>
      <c r="AM2167" s="5">
        <v>0</v>
      </c>
      <c r="AN2167" s="5">
        <v>0</v>
      </c>
      <c r="AO2167" s="5">
        <v>12</v>
      </c>
      <c r="AP2167" s="5">
        <v>8</v>
      </c>
      <c r="AQ2167" s="5" t="s">
        <v>16</v>
      </c>
      <c r="AR2167" s="5" t="s">
        <v>16</v>
      </c>
      <c r="AS2167" s="5" t="s">
        <v>12983</v>
      </c>
      <c r="AT2167" s="5" t="s">
        <v>12980</v>
      </c>
      <c r="AU2167" s="5" t="s">
        <v>12981</v>
      </c>
      <c r="AV2167" s="5" t="s">
        <v>12984</v>
      </c>
    </row>
    <row r="2168" spans="1:48" ht="45" customHeight="1" x14ac:dyDescent="0.15">
      <c r="A2168" s="5" t="s">
        <v>12985</v>
      </c>
      <c r="B2168" s="5">
        <v>2021</v>
      </c>
      <c r="C2168" s="5" t="s">
        <v>12986</v>
      </c>
      <c r="D2168" s="5" t="s">
        <v>2437</v>
      </c>
      <c r="E2168" s="5" t="s">
        <v>18453</v>
      </c>
      <c r="F2168" s="5" t="s">
        <v>12989</v>
      </c>
      <c r="G2168" s="5"/>
      <c r="H2168" s="5"/>
      <c r="I2168" s="5"/>
      <c r="J2168" s="5"/>
      <c r="K2168" s="5"/>
      <c r="L2168" s="5"/>
      <c r="M2168" s="5"/>
      <c r="N2168" s="5"/>
      <c r="O2168" s="5"/>
      <c r="P2168" s="5"/>
      <c r="Q2168" s="5"/>
      <c r="AL2168" s="7" t="str">
        <f>HYPERLINK("http://dx.doi.org/10.1002/ecm.1442","http://dx.doi.org/10.1002/ecm.1442")</f>
        <v>http://dx.doi.org/10.1002/ecm.1442</v>
      </c>
      <c r="AM2168" s="5">
        <v>7</v>
      </c>
      <c r="AN2168" s="5">
        <v>7</v>
      </c>
      <c r="AO2168" s="5">
        <v>91</v>
      </c>
      <c r="AP2168" s="5">
        <v>2</v>
      </c>
      <c r="AQ2168" s="5" t="s">
        <v>16</v>
      </c>
      <c r="AR2168" s="5" t="s">
        <v>16</v>
      </c>
      <c r="AS2168" s="5" t="s">
        <v>12990</v>
      </c>
      <c r="AT2168" s="5" t="s">
        <v>12987</v>
      </c>
      <c r="AU2168" s="5" t="s">
        <v>12988</v>
      </c>
      <c r="AV2168" s="5" t="s">
        <v>12991</v>
      </c>
    </row>
    <row r="2169" spans="1:48" ht="45" customHeight="1" x14ac:dyDescent="0.15">
      <c r="A2169" s="5" t="s">
        <v>12992</v>
      </c>
      <c r="B2169" s="5">
        <v>2015</v>
      </c>
      <c r="C2169" s="5" t="s">
        <v>12993</v>
      </c>
      <c r="D2169" s="5" t="s">
        <v>172</v>
      </c>
      <c r="E2169" s="5" t="s">
        <v>18453</v>
      </c>
      <c r="F2169" s="5" t="s">
        <v>12996</v>
      </c>
      <c r="G2169" s="5"/>
      <c r="H2169" s="5"/>
      <c r="I2169" s="5"/>
      <c r="J2169" s="5"/>
      <c r="K2169" s="5"/>
      <c r="L2169" s="5"/>
      <c r="M2169" s="5"/>
      <c r="N2169" s="5"/>
      <c r="O2169" s="5"/>
      <c r="P2169" s="5"/>
      <c r="Q2169" s="5"/>
      <c r="AL2169" s="7" t="str">
        <f>HYPERLINK("http://dx.doi.org/10.1007/s00442-015-3223-8","http://dx.doi.org/10.1007/s00442-015-3223-8")</f>
        <v>http://dx.doi.org/10.1007/s00442-015-3223-8</v>
      </c>
      <c r="AM2169" s="5">
        <v>71</v>
      </c>
      <c r="AN2169" s="5">
        <v>71</v>
      </c>
      <c r="AO2169" s="5">
        <v>178</v>
      </c>
      <c r="AP2169" s="5">
        <v>1</v>
      </c>
      <c r="AQ2169" s="5">
        <v>45</v>
      </c>
      <c r="AR2169" s="5">
        <v>59</v>
      </c>
      <c r="AS2169" s="5" t="s">
        <v>16</v>
      </c>
      <c r="AT2169" s="5" t="s">
        <v>12994</v>
      </c>
      <c r="AU2169" s="5" t="s">
        <v>12995</v>
      </c>
      <c r="AV2169" s="5" t="s">
        <v>12997</v>
      </c>
    </row>
    <row r="2170" spans="1:48" ht="45" customHeight="1" x14ac:dyDescent="0.15">
      <c r="A2170" s="5" t="s">
        <v>12998</v>
      </c>
      <c r="B2170" s="5">
        <v>2023</v>
      </c>
      <c r="C2170" s="5" t="s">
        <v>12999</v>
      </c>
      <c r="D2170" s="5" t="s">
        <v>2087</v>
      </c>
      <c r="E2170" s="5" t="s">
        <v>18453</v>
      </c>
      <c r="F2170" s="5" t="s">
        <v>13002</v>
      </c>
      <c r="G2170" s="5"/>
      <c r="H2170" s="5"/>
      <c r="I2170" s="5"/>
      <c r="J2170" s="5"/>
      <c r="K2170" s="5"/>
      <c r="L2170" s="5"/>
      <c r="M2170" s="5"/>
      <c r="N2170" s="5"/>
      <c r="O2170" s="5"/>
      <c r="P2170" s="5"/>
      <c r="Q2170" s="5"/>
      <c r="AL2170" s="7" t="str">
        <f>HYPERLINK("http://dx.doi.org/10.1002/eco.2541","http://dx.doi.org/10.1002/eco.2541")</f>
        <v>http://dx.doi.org/10.1002/eco.2541</v>
      </c>
      <c r="AM2170" s="5">
        <v>0</v>
      </c>
      <c r="AN2170" s="5">
        <v>0</v>
      </c>
      <c r="AO2170" s="5" t="s">
        <v>16</v>
      </c>
      <c r="AP2170" s="5" t="s">
        <v>16</v>
      </c>
      <c r="AQ2170" s="5" t="s">
        <v>16</v>
      </c>
      <c r="AR2170" s="5" t="s">
        <v>16</v>
      </c>
      <c r="AS2170" s="5" t="s">
        <v>13003</v>
      </c>
      <c r="AT2170" s="5" t="s">
        <v>13000</v>
      </c>
      <c r="AU2170" s="5" t="s">
        <v>13001</v>
      </c>
      <c r="AV2170" s="5" t="s">
        <v>13004</v>
      </c>
    </row>
    <row r="2171" spans="1:48" ht="45" customHeight="1" x14ac:dyDescent="0.15">
      <c r="A2171" s="5" t="s">
        <v>13005</v>
      </c>
      <c r="B2171" s="5">
        <v>2020</v>
      </c>
      <c r="C2171" s="5" t="s">
        <v>13006</v>
      </c>
      <c r="D2171" s="5" t="s">
        <v>289</v>
      </c>
      <c r="E2171" s="5" t="s">
        <v>18453</v>
      </c>
      <c r="F2171" s="5" t="s">
        <v>13009</v>
      </c>
      <c r="G2171" s="5"/>
      <c r="H2171" s="5"/>
      <c r="I2171" s="5"/>
      <c r="J2171" s="5"/>
      <c r="K2171" s="5"/>
      <c r="L2171" s="5"/>
      <c r="M2171" s="5"/>
      <c r="N2171" s="5"/>
      <c r="O2171" s="5"/>
      <c r="P2171" s="5"/>
      <c r="Q2171" s="5"/>
      <c r="AL2171" s="7" t="str">
        <f>HYPERLINK("http://dx.doi.org/10.1111/1365-2745.13288","http://dx.doi.org/10.1111/1365-2745.13288")</f>
        <v>http://dx.doi.org/10.1111/1365-2745.13288</v>
      </c>
      <c r="AM2171" s="5">
        <v>14</v>
      </c>
      <c r="AN2171" s="5">
        <v>14</v>
      </c>
      <c r="AO2171" s="5">
        <v>108</v>
      </c>
      <c r="AP2171" s="5">
        <v>2</v>
      </c>
      <c r="AQ2171" s="5">
        <v>626</v>
      </c>
      <c r="AR2171" s="5">
        <v>640</v>
      </c>
      <c r="AS2171" s="5" t="s">
        <v>16</v>
      </c>
      <c r="AT2171" s="5" t="s">
        <v>13007</v>
      </c>
      <c r="AU2171" s="5" t="s">
        <v>13008</v>
      </c>
      <c r="AV2171" s="5" t="s">
        <v>13010</v>
      </c>
    </row>
    <row r="2172" spans="1:48" ht="45" customHeight="1" x14ac:dyDescent="0.15">
      <c r="A2172" s="5" t="s">
        <v>13011</v>
      </c>
      <c r="B2172" s="5">
        <v>2009</v>
      </c>
      <c r="C2172" s="5" t="s">
        <v>13012</v>
      </c>
      <c r="D2172" s="5" t="s">
        <v>262</v>
      </c>
      <c r="E2172" s="5" t="s">
        <v>18453</v>
      </c>
      <c r="F2172" s="5" t="s">
        <v>13014</v>
      </c>
      <c r="G2172" s="5"/>
      <c r="H2172" s="5"/>
      <c r="I2172" s="5"/>
      <c r="J2172" s="5"/>
      <c r="K2172" s="5"/>
      <c r="L2172" s="5"/>
      <c r="M2172" s="5"/>
      <c r="N2172" s="5"/>
      <c r="O2172" s="5"/>
      <c r="P2172" s="5"/>
      <c r="Q2172" s="5"/>
      <c r="AL2172" s="7" t="str">
        <f>HYPERLINK("http://dx.doi.org/10.1111/j.1600-0706.2009.17302.x","http://dx.doi.org/10.1111/j.1600-0706.2009.17302.x")</f>
        <v>http://dx.doi.org/10.1111/j.1600-0706.2009.17302.x</v>
      </c>
      <c r="AM2172" s="5">
        <v>51</v>
      </c>
      <c r="AN2172" s="5">
        <v>51</v>
      </c>
      <c r="AO2172" s="5">
        <v>118</v>
      </c>
      <c r="AP2172" s="5">
        <v>9</v>
      </c>
      <c r="AQ2172" s="5">
        <v>1307</v>
      </c>
      <c r="AR2172" s="5">
        <v>1318</v>
      </c>
      <c r="AS2172" s="5" t="s">
        <v>16</v>
      </c>
      <c r="AT2172" s="5" t="s">
        <v>16</v>
      </c>
      <c r="AU2172" s="5" t="s">
        <v>13013</v>
      </c>
      <c r="AV2172" s="5" t="s">
        <v>13015</v>
      </c>
    </row>
    <row r="2173" spans="1:48" ht="45" customHeight="1" x14ac:dyDescent="0.15">
      <c r="A2173" s="5" t="s">
        <v>13016</v>
      </c>
      <c r="B2173" s="5">
        <v>2022</v>
      </c>
      <c r="C2173" s="5" t="s">
        <v>13017</v>
      </c>
      <c r="D2173" s="5" t="s">
        <v>2437</v>
      </c>
      <c r="E2173" s="5" t="s">
        <v>18453</v>
      </c>
      <c r="F2173" s="5" t="s">
        <v>13020</v>
      </c>
      <c r="G2173" s="5"/>
      <c r="H2173" s="5"/>
      <c r="I2173" s="5"/>
      <c r="J2173" s="5"/>
      <c r="K2173" s="5"/>
      <c r="L2173" s="5"/>
      <c r="M2173" s="5"/>
      <c r="N2173" s="5"/>
      <c r="O2173" s="5"/>
      <c r="P2173" s="5"/>
      <c r="Q2173" s="5"/>
      <c r="AL2173" s="7" t="str">
        <f>HYPERLINK("http://dx.doi.org/10.1002/ecm.1525","http://dx.doi.org/10.1002/ecm.1525")</f>
        <v>http://dx.doi.org/10.1002/ecm.1525</v>
      </c>
      <c r="AM2173" s="5">
        <v>11</v>
      </c>
      <c r="AN2173" s="5">
        <v>11</v>
      </c>
      <c r="AO2173" s="5">
        <v>92</v>
      </c>
      <c r="AP2173" s="5">
        <v>3</v>
      </c>
      <c r="AQ2173" s="5" t="s">
        <v>16</v>
      </c>
      <c r="AR2173" s="5" t="s">
        <v>16</v>
      </c>
      <c r="AS2173" s="5" t="s">
        <v>13021</v>
      </c>
      <c r="AT2173" s="5" t="s">
        <v>13018</v>
      </c>
      <c r="AU2173" s="5" t="s">
        <v>13019</v>
      </c>
      <c r="AV2173" s="5" t="s">
        <v>13022</v>
      </c>
    </row>
    <row r="2174" spans="1:48" ht="45" customHeight="1" x14ac:dyDescent="0.15">
      <c r="A2174" s="5" t="s">
        <v>13023</v>
      </c>
      <c r="B2174" s="5">
        <v>2016</v>
      </c>
      <c r="C2174" s="5" t="s">
        <v>13024</v>
      </c>
      <c r="D2174" s="5" t="s">
        <v>27</v>
      </c>
      <c r="E2174" s="5" t="s">
        <v>18453</v>
      </c>
      <c r="F2174" s="5" t="s">
        <v>13027</v>
      </c>
      <c r="G2174" s="5"/>
      <c r="H2174" s="5"/>
      <c r="I2174" s="5"/>
      <c r="J2174" s="5"/>
      <c r="K2174" s="5"/>
      <c r="L2174" s="5"/>
      <c r="M2174" s="5"/>
      <c r="N2174" s="5"/>
      <c r="O2174" s="5"/>
      <c r="P2174" s="5"/>
      <c r="Q2174" s="5"/>
      <c r="AL2174" s="7" t="str">
        <f>HYPERLINK("http://dx.doi.org/10.1890/15-1133.1","http://dx.doi.org/10.1890/15-1133.1")</f>
        <v>http://dx.doi.org/10.1890/15-1133.1</v>
      </c>
      <c r="AM2174" s="5">
        <v>18</v>
      </c>
      <c r="AN2174" s="5">
        <v>19</v>
      </c>
      <c r="AO2174" s="5">
        <v>97</v>
      </c>
      <c r="AP2174" s="5">
        <v>5</v>
      </c>
      <c r="AQ2174" s="5">
        <v>1146</v>
      </c>
      <c r="AR2174" s="5">
        <v>1158</v>
      </c>
      <c r="AS2174" s="5" t="s">
        <v>16</v>
      </c>
      <c r="AT2174" s="5" t="s">
        <v>13025</v>
      </c>
      <c r="AU2174" s="5" t="s">
        <v>13026</v>
      </c>
      <c r="AV2174" s="5" t="s">
        <v>13028</v>
      </c>
    </row>
    <row r="2175" spans="1:48" ht="45" customHeight="1" x14ac:dyDescent="0.15">
      <c r="A2175" s="5" t="s">
        <v>13029</v>
      </c>
      <c r="B2175" s="5">
        <v>2019</v>
      </c>
      <c r="C2175" s="5" t="s">
        <v>13030</v>
      </c>
      <c r="D2175" s="5" t="s">
        <v>59</v>
      </c>
      <c r="E2175" s="5" t="s">
        <v>18453</v>
      </c>
      <c r="F2175" s="5" t="s">
        <v>13033</v>
      </c>
      <c r="G2175" s="5"/>
      <c r="H2175" s="5"/>
      <c r="I2175" s="5"/>
      <c r="J2175" s="5"/>
      <c r="K2175" s="5"/>
      <c r="L2175" s="5"/>
      <c r="M2175" s="5"/>
      <c r="N2175" s="5"/>
      <c r="O2175" s="5"/>
      <c r="P2175" s="5"/>
      <c r="Q2175" s="5"/>
      <c r="AL2175" s="7" t="str">
        <f>HYPERLINK("http://dx.doi.org/10.1111/ele.13390","http://dx.doi.org/10.1111/ele.13390")</f>
        <v>http://dx.doi.org/10.1111/ele.13390</v>
      </c>
      <c r="AM2175" s="5">
        <v>22</v>
      </c>
      <c r="AN2175" s="5">
        <v>22</v>
      </c>
      <c r="AO2175" s="5">
        <v>22</v>
      </c>
      <c r="AP2175" s="5">
        <v>12</v>
      </c>
      <c r="AQ2175" s="5">
        <v>2067</v>
      </c>
      <c r="AR2175" s="5">
        <v>2076</v>
      </c>
      <c r="AS2175" s="5" t="s">
        <v>16</v>
      </c>
      <c r="AT2175" s="5" t="s">
        <v>13031</v>
      </c>
      <c r="AU2175" s="5" t="s">
        <v>13032</v>
      </c>
      <c r="AV2175" s="5" t="s">
        <v>13034</v>
      </c>
    </row>
    <row r="2176" spans="1:48" ht="45" customHeight="1" x14ac:dyDescent="0.15">
      <c r="A2176" s="5" t="s">
        <v>13035</v>
      </c>
      <c r="B2176" s="5">
        <v>2015</v>
      </c>
      <c r="C2176" s="5" t="s">
        <v>13036</v>
      </c>
      <c r="D2176" s="5" t="s">
        <v>160</v>
      </c>
      <c r="E2176" s="5" t="s">
        <v>18453</v>
      </c>
      <c r="F2176" s="5" t="s">
        <v>13039</v>
      </c>
      <c r="G2176" s="5"/>
      <c r="H2176" s="5"/>
      <c r="I2176" s="5"/>
      <c r="J2176" s="5"/>
      <c r="K2176" s="5"/>
      <c r="L2176" s="5"/>
      <c r="M2176" s="5"/>
      <c r="N2176" s="5"/>
      <c r="O2176" s="5"/>
      <c r="P2176" s="5"/>
      <c r="Q2176" s="5"/>
      <c r="AL2176" s="7" t="str">
        <f>HYPERLINK("http://dx.doi.org/10.1111/1365-2664.12531","http://dx.doi.org/10.1111/1365-2664.12531")</f>
        <v>http://dx.doi.org/10.1111/1365-2664.12531</v>
      </c>
      <c r="AM2176" s="5">
        <v>57</v>
      </c>
      <c r="AN2176" s="5">
        <v>57</v>
      </c>
      <c r="AO2176" s="5">
        <v>52</v>
      </c>
      <c r="AP2176" s="5">
        <v>6</v>
      </c>
      <c r="AQ2176" s="5">
        <v>1518</v>
      </c>
      <c r="AR2176" s="5">
        <v>1527</v>
      </c>
      <c r="AS2176" s="5" t="s">
        <v>16</v>
      </c>
      <c r="AT2176" s="5" t="s">
        <v>13037</v>
      </c>
      <c r="AU2176" s="5" t="s">
        <v>13038</v>
      </c>
      <c r="AV2176" s="5" t="s">
        <v>13040</v>
      </c>
    </row>
    <row r="2177" spans="1:48" ht="45" customHeight="1" x14ac:dyDescent="0.15">
      <c r="A2177" s="5" t="s">
        <v>13041</v>
      </c>
      <c r="B2177" s="5">
        <v>2021</v>
      </c>
      <c r="C2177" s="5" t="s">
        <v>13042</v>
      </c>
      <c r="D2177" s="5" t="s">
        <v>251</v>
      </c>
      <c r="E2177" s="5" t="s">
        <v>18453</v>
      </c>
      <c r="F2177" s="5" t="s">
        <v>13045</v>
      </c>
      <c r="G2177" s="5"/>
      <c r="H2177" s="5"/>
      <c r="I2177" s="5"/>
      <c r="J2177" s="5"/>
      <c r="K2177" s="5"/>
      <c r="L2177" s="5"/>
      <c r="M2177" s="5"/>
      <c r="N2177" s="5"/>
      <c r="O2177" s="5"/>
      <c r="P2177" s="5"/>
      <c r="Q2177" s="5"/>
      <c r="AL2177" s="7" t="str">
        <f>HYPERLINK("http://dx.doi.org/10.1016/j.biocon.2020.108898","http://dx.doi.org/10.1016/j.biocon.2020.108898")</f>
        <v>http://dx.doi.org/10.1016/j.biocon.2020.108898</v>
      </c>
      <c r="AM2177" s="5">
        <v>10</v>
      </c>
      <c r="AN2177" s="5">
        <v>10</v>
      </c>
      <c r="AO2177" s="5">
        <v>253</v>
      </c>
      <c r="AP2177" s="5" t="s">
        <v>16</v>
      </c>
      <c r="AQ2177" s="5" t="s">
        <v>16</v>
      </c>
      <c r="AR2177" s="5" t="s">
        <v>16</v>
      </c>
      <c r="AS2177" s="5">
        <v>108898</v>
      </c>
      <c r="AT2177" s="5" t="s">
        <v>13043</v>
      </c>
      <c r="AU2177" s="5" t="s">
        <v>13044</v>
      </c>
      <c r="AV2177" s="5" t="s">
        <v>13046</v>
      </c>
    </row>
    <row r="2178" spans="1:48" ht="45" customHeight="1" x14ac:dyDescent="0.15">
      <c r="A2178" s="5" t="s">
        <v>13047</v>
      </c>
      <c r="B2178" s="5">
        <v>2001</v>
      </c>
      <c r="C2178" s="5" t="s">
        <v>13048</v>
      </c>
      <c r="D2178" s="5" t="s">
        <v>17</v>
      </c>
      <c r="E2178" s="5" t="s">
        <v>18453</v>
      </c>
      <c r="F2178" s="5" t="s">
        <v>13051</v>
      </c>
      <c r="G2178" s="5"/>
      <c r="H2178" s="5"/>
      <c r="I2178" s="5"/>
      <c r="J2178" s="5"/>
      <c r="K2178" s="5"/>
      <c r="L2178" s="5"/>
      <c r="M2178" s="5"/>
      <c r="N2178" s="5"/>
      <c r="O2178" s="5"/>
      <c r="P2178" s="5"/>
      <c r="Q2178" s="5"/>
      <c r="AL2178" s="7" t="str">
        <f>HYPERLINK("http://dx.doi.org/10.1046/j.1365-2427.2001.00716.x","http://dx.doi.org/10.1046/j.1365-2427.2001.00716.x")</f>
        <v>http://dx.doi.org/10.1046/j.1365-2427.2001.00716.x</v>
      </c>
      <c r="AM2178" s="5">
        <v>55</v>
      </c>
      <c r="AN2178" s="5">
        <v>55</v>
      </c>
      <c r="AO2178" s="5">
        <v>46</v>
      </c>
      <c r="AP2178" s="5">
        <v>6</v>
      </c>
      <c r="AQ2178" s="5">
        <v>759</v>
      </c>
      <c r="AR2178" s="5">
        <v>775</v>
      </c>
      <c r="AS2178" s="5" t="s">
        <v>16</v>
      </c>
      <c r="AT2178" s="5" t="s">
        <v>13049</v>
      </c>
      <c r="AU2178" s="5" t="s">
        <v>13050</v>
      </c>
      <c r="AV2178" s="5" t="s">
        <v>13052</v>
      </c>
    </row>
    <row r="2179" spans="1:48" ht="45" customHeight="1" x14ac:dyDescent="0.15">
      <c r="A2179" s="5" t="s">
        <v>13053</v>
      </c>
      <c r="B2179" s="5">
        <v>2018</v>
      </c>
      <c r="C2179" s="5" t="s">
        <v>13054</v>
      </c>
      <c r="D2179" s="5" t="s">
        <v>49</v>
      </c>
      <c r="E2179" s="5" t="s">
        <v>18453</v>
      </c>
      <c r="F2179" s="5" t="s">
        <v>13057</v>
      </c>
      <c r="G2179" s="5"/>
      <c r="H2179" s="5"/>
      <c r="I2179" s="5"/>
      <c r="J2179" s="5"/>
      <c r="K2179" s="5"/>
      <c r="L2179" s="5"/>
      <c r="M2179" s="5"/>
      <c r="N2179" s="5"/>
      <c r="O2179" s="5"/>
      <c r="P2179" s="5"/>
      <c r="Q2179" s="5"/>
      <c r="AL2179" s="7" t="str">
        <f>HYPERLINK("http://dx.doi.org/10.3354/meps12365","http://dx.doi.org/10.3354/meps12365")</f>
        <v>http://dx.doi.org/10.3354/meps12365</v>
      </c>
      <c r="AM2179" s="5">
        <v>18</v>
      </c>
      <c r="AN2179" s="5">
        <v>18</v>
      </c>
      <c r="AO2179" s="5">
        <v>593</v>
      </c>
      <c r="AP2179" s="5" t="s">
        <v>16</v>
      </c>
      <c r="AQ2179" s="5">
        <v>195</v>
      </c>
      <c r="AR2179" s="5">
        <v>208</v>
      </c>
      <c r="AS2179" s="5" t="s">
        <v>16</v>
      </c>
      <c r="AT2179" s="5" t="s">
        <v>13055</v>
      </c>
      <c r="AU2179" s="5" t="s">
        <v>13056</v>
      </c>
      <c r="AV2179" s="5" t="s">
        <v>13058</v>
      </c>
    </row>
    <row r="2180" spans="1:48" ht="45" customHeight="1" x14ac:dyDescent="0.15">
      <c r="A2180" s="5" t="s">
        <v>13059</v>
      </c>
      <c r="B2180" s="5">
        <v>2022</v>
      </c>
      <c r="C2180" s="5" t="s">
        <v>13060</v>
      </c>
      <c r="D2180" s="5" t="s">
        <v>123</v>
      </c>
      <c r="E2180" s="5" t="s">
        <v>18453</v>
      </c>
      <c r="F2180" s="5" t="s">
        <v>13063</v>
      </c>
      <c r="G2180" s="5"/>
      <c r="H2180" s="5"/>
      <c r="I2180" s="5"/>
      <c r="J2180" s="5"/>
      <c r="K2180" s="5"/>
      <c r="L2180" s="5"/>
      <c r="M2180" s="5"/>
      <c r="N2180" s="5"/>
      <c r="O2180" s="5"/>
      <c r="P2180" s="5"/>
      <c r="Q2180" s="5"/>
      <c r="AL2180" s="7" t="str">
        <f>HYPERLINK("http://dx.doi.org/10.1111/ddi.13584","http://dx.doi.org/10.1111/ddi.13584")</f>
        <v>http://dx.doi.org/10.1111/ddi.13584</v>
      </c>
      <c r="AM2180" s="5">
        <v>2</v>
      </c>
      <c r="AN2180" s="5">
        <v>2</v>
      </c>
      <c r="AO2180" s="5">
        <v>28</v>
      </c>
      <c r="AP2180" s="5">
        <v>9</v>
      </c>
      <c r="AQ2180" s="5">
        <v>1820</v>
      </c>
      <c r="AR2180" s="5">
        <v>1831</v>
      </c>
      <c r="AS2180" s="5" t="s">
        <v>16</v>
      </c>
      <c r="AT2180" s="5" t="s">
        <v>13061</v>
      </c>
      <c r="AU2180" s="5" t="s">
        <v>13062</v>
      </c>
      <c r="AV2180" s="5" t="s">
        <v>13064</v>
      </c>
    </row>
    <row r="2181" spans="1:48" ht="45" customHeight="1" x14ac:dyDescent="0.15">
      <c r="A2181" s="5" t="s">
        <v>13065</v>
      </c>
      <c r="B2181" s="5">
        <v>2022</v>
      </c>
      <c r="C2181" s="5" t="s">
        <v>13066</v>
      </c>
      <c r="D2181" s="5" t="s">
        <v>1059</v>
      </c>
      <c r="E2181" s="5" t="s">
        <v>18453</v>
      </c>
      <c r="F2181" s="5" t="s">
        <v>13069</v>
      </c>
      <c r="G2181" s="5"/>
      <c r="H2181" s="5"/>
      <c r="I2181" s="5"/>
      <c r="J2181" s="5"/>
      <c r="K2181" s="5"/>
      <c r="L2181" s="5"/>
      <c r="M2181" s="5"/>
      <c r="N2181" s="5"/>
      <c r="O2181" s="5"/>
      <c r="P2181" s="5"/>
      <c r="Q2181" s="5"/>
      <c r="AL2181" s="7" t="str">
        <f>HYPERLINK("http://dx.doi.org/10.33265/polar.v41.6351","http://dx.doi.org/10.33265/polar.v41.6351")</f>
        <v>http://dx.doi.org/10.33265/polar.v41.6351</v>
      </c>
      <c r="AM2181" s="5">
        <v>0</v>
      </c>
      <c r="AN2181" s="5">
        <v>0</v>
      </c>
      <c r="AO2181" s="5">
        <v>41</v>
      </c>
      <c r="AP2181" s="5" t="s">
        <v>16</v>
      </c>
      <c r="AQ2181" s="5" t="s">
        <v>16</v>
      </c>
      <c r="AR2181" s="5" t="s">
        <v>16</v>
      </c>
      <c r="AS2181" s="5">
        <v>6351</v>
      </c>
      <c r="AT2181" s="5" t="s">
        <v>13067</v>
      </c>
      <c r="AU2181" s="5" t="s">
        <v>13068</v>
      </c>
      <c r="AV2181" s="5" t="s">
        <v>13070</v>
      </c>
    </row>
    <row r="2182" spans="1:48" ht="45" customHeight="1" x14ac:dyDescent="0.15">
      <c r="A2182" s="5" t="s">
        <v>13071</v>
      </c>
      <c r="B2182" s="5">
        <v>2013</v>
      </c>
      <c r="C2182" s="5" t="s">
        <v>13072</v>
      </c>
      <c r="D2182" s="5" t="s">
        <v>18</v>
      </c>
      <c r="E2182" s="5" t="s">
        <v>18453</v>
      </c>
      <c r="F2182" s="5" t="s">
        <v>13075</v>
      </c>
      <c r="G2182" s="5"/>
      <c r="H2182" s="5"/>
      <c r="I2182" s="5"/>
      <c r="J2182" s="5"/>
      <c r="K2182" s="5"/>
      <c r="L2182" s="5"/>
      <c r="M2182" s="5"/>
      <c r="N2182" s="5"/>
      <c r="O2182" s="5"/>
      <c r="P2182" s="5"/>
      <c r="Q2182" s="5"/>
      <c r="AL2182" s="7" t="str">
        <f>HYPERLINK("http://dx.doi.org/10.1890/ES12-00262.1","http://dx.doi.org/10.1890/ES12-00262.1")</f>
        <v>http://dx.doi.org/10.1890/ES12-00262.1</v>
      </c>
      <c r="AM2182" s="5">
        <v>50</v>
      </c>
      <c r="AN2182" s="5">
        <v>57</v>
      </c>
      <c r="AO2182" s="5">
        <v>4</v>
      </c>
      <c r="AP2182" s="5">
        <v>5</v>
      </c>
      <c r="AQ2182" s="5" t="s">
        <v>16</v>
      </c>
      <c r="AR2182" s="5" t="s">
        <v>16</v>
      </c>
      <c r="AS2182" s="5">
        <v>60</v>
      </c>
      <c r="AT2182" s="5" t="s">
        <v>13073</v>
      </c>
      <c r="AU2182" s="5" t="s">
        <v>13074</v>
      </c>
      <c r="AV2182" s="5" t="s">
        <v>13076</v>
      </c>
    </row>
    <row r="2183" spans="1:48" ht="45" customHeight="1" x14ac:dyDescent="0.15">
      <c r="A2183" s="5" t="s">
        <v>13077</v>
      </c>
      <c r="B2183" s="5">
        <v>2019</v>
      </c>
      <c r="C2183" s="5" t="s">
        <v>13078</v>
      </c>
      <c r="D2183" s="5" t="s">
        <v>296</v>
      </c>
      <c r="E2183" s="5" t="s">
        <v>18453</v>
      </c>
      <c r="F2183" s="5" t="s">
        <v>13081</v>
      </c>
      <c r="G2183" s="5"/>
      <c r="H2183" s="5"/>
      <c r="I2183" s="5"/>
      <c r="J2183" s="5"/>
      <c r="K2183" s="5"/>
      <c r="L2183" s="5"/>
      <c r="M2183" s="5"/>
      <c r="N2183" s="5"/>
      <c r="O2183" s="5"/>
      <c r="P2183" s="5"/>
      <c r="Q2183" s="5"/>
      <c r="AL2183" s="7" t="str">
        <f>HYPERLINK("http://dx.doi.org/10.1098/rspb.2019.2153","http://dx.doi.org/10.1098/rspb.2019.2153")</f>
        <v>http://dx.doi.org/10.1098/rspb.2019.2153</v>
      </c>
      <c r="AM2183" s="5">
        <v>23</v>
      </c>
      <c r="AN2183" s="5">
        <v>23</v>
      </c>
      <c r="AO2183" s="5">
        <v>286</v>
      </c>
      <c r="AP2183" s="5">
        <v>1916</v>
      </c>
      <c r="AQ2183" s="5" t="s">
        <v>16</v>
      </c>
      <c r="AR2183" s="5" t="s">
        <v>16</v>
      </c>
      <c r="AS2183" s="5">
        <v>20192153</v>
      </c>
      <c r="AT2183" s="5" t="s">
        <v>13079</v>
      </c>
      <c r="AU2183" s="5" t="s">
        <v>13080</v>
      </c>
      <c r="AV2183" s="5" t="s">
        <v>13082</v>
      </c>
    </row>
    <row r="2184" spans="1:48" ht="45" customHeight="1" x14ac:dyDescent="0.15">
      <c r="A2184" s="5" t="s">
        <v>13083</v>
      </c>
      <c r="B2184" s="5">
        <v>2022</v>
      </c>
      <c r="C2184" s="5" t="s">
        <v>13084</v>
      </c>
      <c r="D2184" s="5" t="s">
        <v>18</v>
      </c>
      <c r="E2184" s="5" t="s">
        <v>18453</v>
      </c>
      <c r="F2184" s="5" t="s">
        <v>13087</v>
      </c>
      <c r="G2184" s="5"/>
      <c r="H2184" s="5"/>
      <c r="I2184" s="5"/>
      <c r="J2184" s="5"/>
      <c r="K2184" s="5"/>
      <c r="L2184" s="5"/>
      <c r="M2184" s="5"/>
      <c r="N2184" s="5"/>
      <c r="O2184" s="5"/>
      <c r="P2184" s="5"/>
      <c r="Q2184" s="5"/>
      <c r="AL2184" s="7" t="str">
        <f>HYPERLINK("http://dx.doi.org/10.1002/ecs2.4246","http://dx.doi.org/10.1002/ecs2.4246")</f>
        <v>http://dx.doi.org/10.1002/ecs2.4246</v>
      </c>
      <c r="AM2184" s="5">
        <v>0</v>
      </c>
      <c r="AN2184" s="5">
        <v>0</v>
      </c>
      <c r="AO2184" s="5">
        <v>13</v>
      </c>
      <c r="AP2184" s="5">
        <v>9</v>
      </c>
      <c r="AQ2184" s="5" t="s">
        <v>16</v>
      </c>
      <c r="AR2184" s="5" t="s">
        <v>16</v>
      </c>
      <c r="AS2184" s="5" t="s">
        <v>13088</v>
      </c>
      <c r="AT2184" s="5" t="s">
        <v>13085</v>
      </c>
      <c r="AU2184" s="5" t="s">
        <v>13086</v>
      </c>
      <c r="AV2184" s="5" t="s">
        <v>13089</v>
      </c>
    </row>
    <row r="2185" spans="1:48" ht="45" customHeight="1" x14ac:dyDescent="0.15">
      <c r="A2185" s="5" t="s">
        <v>13090</v>
      </c>
      <c r="B2185" s="5">
        <v>2020</v>
      </c>
      <c r="C2185" s="5" t="s">
        <v>13091</v>
      </c>
      <c r="D2185" s="5" t="s">
        <v>13092</v>
      </c>
      <c r="E2185" s="5" t="s">
        <v>18453</v>
      </c>
      <c r="F2185" s="5" t="s">
        <v>13095</v>
      </c>
      <c r="G2185" s="5"/>
      <c r="H2185" s="5"/>
      <c r="I2185" s="5"/>
      <c r="J2185" s="5"/>
      <c r="K2185" s="5"/>
      <c r="L2185" s="5"/>
      <c r="M2185" s="5"/>
      <c r="N2185" s="5"/>
      <c r="O2185" s="5"/>
      <c r="P2185" s="5"/>
      <c r="Q2185" s="5"/>
      <c r="AL2185" s="7" t="str">
        <f>HYPERLINK("http://dx.doi.org/10.1007/s10682-020-10056-y","http://dx.doi.org/10.1007/s10682-020-10056-y")</f>
        <v>http://dx.doi.org/10.1007/s10682-020-10056-y</v>
      </c>
      <c r="AM2185" s="5">
        <v>1</v>
      </c>
      <c r="AN2185" s="5">
        <v>1</v>
      </c>
      <c r="AO2185" s="5">
        <v>34</v>
      </c>
      <c r="AP2185" s="5">
        <v>4</v>
      </c>
      <c r="AQ2185" s="5">
        <v>645</v>
      </c>
      <c r="AR2185" s="5">
        <v>657</v>
      </c>
      <c r="AS2185" s="5" t="s">
        <v>16</v>
      </c>
      <c r="AT2185" s="5" t="s">
        <v>13093</v>
      </c>
      <c r="AU2185" s="5" t="s">
        <v>13094</v>
      </c>
      <c r="AV2185" s="5" t="s">
        <v>13096</v>
      </c>
    </row>
    <row r="2186" spans="1:48" ht="45" customHeight="1" x14ac:dyDescent="0.15">
      <c r="A2186" s="5" t="s">
        <v>13097</v>
      </c>
      <c r="B2186" s="5">
        <v>2021</v>
      </c>
      <c r="C2186" s="5" t="s">
        <v>13098</v>
      </c>
      <c r="D2186" s="5" t="s">
        <v>6380</v>
      </c>
      <c r="E2186" s="5" t="s">
        <v>18453</v>
      </c>
      <c r="F2186" s="5" t="s">
        <v>13100</v>
      </c>
      <c r="G2186" s="5"/>
      <c r="H2186" s="5"/>
      <c r="I2186" s="5"/>
      <c r="J2186" s="5"/>
      <c r="K2186" s="5"/>
      <c r="L2186" s="5"/>
      <c r="M2186" s="5"/>
      <c r="N2186" s="5"/>
      <c r="O2186" s="5"/>
      <c r="P2186" s="5"/>
      <c r="Q2186" s="5"/>
      <c r="AL2186" s="7" t="str">
        <f>HYPERLINK("http://dx.doi.org/10.1017/pab.2021.1","http://dx.doi.org/10.1017/pab.2021.1")</f>
        <v>http://dx.doi.org/10.1017/pab.2021.1</v>
      </c>
      <c r="AM2186" s="5">
        <v>1</v>
      </c>
      <c r="AN2186" s="5">
        <v>1</v>
      </c>
      <c r="AO2186" s="5">
        <v>47</v>
      </c>
      <c r="AP2186" s="5">
        <v>3</v>
      </c>
      <c r="AQ2186" s="5">
        <v>533</v>
      </c>
      <c r="AR2186" s="5">
        <v>549</v>
      </c>
      <c r="AS2186" s="5" t="s">
        <v>13101</v>
      </c>
      <c r="AT2186" s="5" t="s">
        <v>16</v>
      </c>
      <c r="AU2186" s="5" t="s">
        <v>13099</v>
      </c>
      <c r="AV2186" s="5" t="s">
        <v>13102</v>
      </c>
    </row>
    <row r="2187" spans="1:48" ht="45" customHeight="1" x14ac:dyDescent="0.15">
      <c r="A2187" s="5" t="s">
        <v>13103</v>
      </c>
      <c r="B2187" s="5">
        <v>2012</v>
      </c>
      <c r="C2187" s="5" t="s">
        <v>13104</v>
      </c>
      <c r="D2187" s="5" t="s">
        <v>124</v>
      </c>
      <c r="E2187" s="5" t="s">
        <v>18453</v>
      </c>
      <c r="F2187" s="5" t="s">
        <v>13107</v>
      </c>
      <c r="G2187" s="5"/>
      <c r="H2187" s="5"/>
      <c r="I2187" s="5"/>
      <c r="J2187" s="5"/>
      <c r="K2187" s="5"/>
      <c r="L2187" s="5"/>
      <c r="M2187" s="5"/>
      <c r="N2187" s="5"/>
      <c r="O2187" s="5"/>
      <c r="P2187" s="5"/>
      <c r="Q2187" s="5"/>
      <c r="AL2187" s="7" t="str">
        <f>HYPERLINK("http://dx.doi.org/10.1086/668080","http://dx.doi.org/10.1086/668080")</f>
        <v>http://dx.doi.org/10.1086/668080</v>
      </c>
      <c r="AM2187" s="5">
        <v>16</v>
      </c>
      <c r="AN2187" s="5">
        <v>16</v>
      </c>
      <c r="AO2187" s="5">
        <v>180</v>
      </c>
      <c r="AP2187" s="5">
        <v>6</v>
      </c>
      <c r="AQ2187" s="5">
        <v>791</v>
      </c>
      <c r="AR2187" s="5">
        <v>801</v>
      </c>
      <c r="AS2187" s="5" t="s">
        <v>16</v>
      </c>
      <c r="AT2187" s="5" t="s">
        <v>13105</v>
      </c>
      <c r="AU2187" s="5" t="s">
        <v>13106</v>
      </c>
      <c r="AV2187" s="5" t="s">
        <v>13108</v>
      </c>
    </row>
    <row r="2188" spans="1:48" ht="45" customHeight="1" x14ac:dyDescent="0.15">
      <c r="A2188" s="5" t="s">
        <v>13109</v>
      </c>
      <c r="B2188" s="5">
        <v>2015</v>
      </c>
      <c r="C2188" s="5" t="s">
        <v>13110</v>
      </c>
      <c r="D2188" s="5" t="s">
        <v>116</v>
      </c>
      <c r="E2188" s="5" t="s">
        <v>18453</v>
      </c>
      <c r="F2188" s="5" t="s">
        <v>13113</v>
      </c>
      <c r="G2188" s="5"/>
      <c r="H2188" s="5"/>
      <c r="I2188" s="5"/>
      <c r="J2188" s="5"/>
      <c r="K2188" s="5"/>
      <c r="L2188" s="5"/>
      <c r="M2188" s="5"/>
      <c r="N2188" s="5"/>
      <c r="O2188" s="5"/>
      <c r="P2188" s="5"/>
      <c r="Q2188" s="5"/>
      <c r="AL2188" s="7" t="str">
        <f>HYPERLINK("http://dx.doi.org/10.1007/s10641-014-0351-7","http://dx.doi.org/10.1007/s10641-014-0351-7")</f>
        <v>http://dx.doi.org/10.1007/s10641-014-0351-7</v>
      </c>
      <c r="AM2188" s="5">
        <v>9</v>
      </c>
      <c r="AN2188" s="5">
        <v>12</v>
      </c>
      <c r="AO2188" s="5">
        <v>98</v>
      </c>
      <c r="AP2188" s="5">
        <v>4</v>
      </c>
      <c r="AQ2188" s="5">
        <v>1185</v>
      </c>
      <c r="AR2188" s="5">
        <v>1199</v>
      </c>
      <c r="AS2188" s="5" t="s">
        <v>16</v>
      </c>
      <c r="AT2188" s="5" t="s">
        <v>13111</v>
      </c>
      <c r="AU2188" s="5" t="s">
        <v>13112</v>
      </c>
      <c r="AV2188" s="5" t="s">
        <v>13114</v>
      </c>
    </row>
    <row r="2189" spans="1:48" ht="45" customHeight="1" x14ac:dyDescent="0.15">
      <c r="A2189" s="5" t="s">
        <v>13115</v>
      </c>
      <c r="B2189" s="5">
        <v>2009</v>
      </c>
      <c r="C2189" s="5" t="s">
        <v>13116</v>
      </c>
      <c r="D2189" s="5" t="s">
        <v>2087</v>
      </c>
      <c r="E2189" s="5" t="s">
        <v>18453</v>
      </c>
      <c r="F2189" s="5" t="s">
        <v>13119</v>
      </c>
      <c r="G2189" s="5"/>
      <c r="H2189" s="5"/>
      <c r="I2189" s="5"/>
      <c r="J2189" s="5"/>
      <c r="K2189" s="5"/>
      <c r="L2189" s="5"/>
      <c r="M2189" s="5"/>
      <c r="N2189" s="5"/>
      <c r="O2189" s="5"/>
      <c r="P2189" s="5"/>
      <c r="Q2189" s="5"/>
      <c r="AL2189" s="7" t="str">
        <f>HYPERLINK("http://dx.doi.org/10.1002/eco.42","http://dx.doi.org/10.1002/eco.42")</f>
        <v>http://dx.doi.org/10.1002/eco.42</v>
      </c>
      <c r="AM2189" s="5">
        <v>19</v>
      </c>
      <c r="AN2189" s="5">
        <v>23</v>
      </c>
      <c r="AO2189" s="5">
        <v>2</v>
      </c>
      <c r="AP2189" s="5">
        <v>1</v>
      </c>
      <c r="AQ2189" s="5">
        <v>81</v>
      </c>
      <c r="AR2189" s="5">
        <v>87</v>
      </c>
      <c r="AS2189" s="5" t="s">
        <v>16</v>
      </c>
      <c r="AT2189" s="5" t="s">
        <v>13117</v>
      </c>
      <c r="AU2189" s="5" t="s">
        <v>13118</v>
      </c>
      <c r="AV2189" s="5" t="s">
        <v>13120</v>
      </c>
    </row>
    <row r="2190" spans="1:48" ht="45" customHeight="1" x14ac:dyDescent="0.15">
      <c r="A2190" s="5" t="s">
        <v>13121</v>
      </c>
      <c r="B2190" s="5">
        <v>2020</v>
      </c>
      <c r="C2190" s="5" t="s">
        <v>13122</v>
      </c>
      <c r="D2190" s="5" t="s">
        <v>973</v>
      </c>
      <c r="E2190" s="5" t="s">
        <v>18453</v>
      </c>
      <c r="F2190" s="5" t="s">
        <v>13124</v>
      </c>
      <c r="G2190" s="5"/>
      <c r="H2190" s="5"/>
      <c r="I2190" s="5"/>
      <c r="J2190" s="5"/>
      <c r="K2190" s="5"/>
      <c r="L2190" s="5"/>
      <c r="M2190" s="5"/>
      <c r="N2190" s="5"/>
      <c r="O2190" s="5"/>
      <c r="P2190" s="5"/>
      <c r="Q2190" s="5"/>
      <c r="AL2190" s="7" t="str">
        <f>HYPERLINK("http://dx.doi.org/10.5194/bg-17-4797-2020","http://dx.doi.org/10.5194/bg-17-4797-2020")</f>
        <v>http://dx.doi.org/10.5194/bg-17-4797-2020</v>
      </c>
      <c r="AM2190" s="5">
        <v>12</v>
      </c>
      <c r="AN2190" s="5">
        <v>12</v>
      </c>
      <c r="AO2190" s="5">
        <v>17</v>
      </c>
      <c r="AP2190" s="5">
        <v>19</v>
      </c>
      <c r="AQ2190" s="5">
        <v>4797</v>
      </c>
      <c r="AR2190" s="5">
        <v>4813</v>
      </c>
      <c r="AS2190" s="5" t="s">
        <v>16</v>
      </c>
      <c r="AT2190" s="5" t="s">
        <v>16</v>
      </c>
      <c r="AU2190" s="5" t="s">
        <v>13123</v>
      </c>
      <c r="AV2190" s="5" t="s">
        <v>13125</v>
      </c>
    </row>
    <row r="2191" spans="1:48" ht="45" customHeight="1" x14ac:dyDescent="0.15">
      <c r="A2191" s="5" t="s">
        <v>13126</v>
      </c>
      <c r="B2191" s="5">
        <v>2021</v>
      </c>
      <c r="C2191" s="5" t="s">
        <v>13127</v>
      </c>
      <c r="D2191" s="5" t="s">
        <v>2437</v>
      </c>
      <c r="E2191" s="5" t="s">
        <v>18453</v>
      </c>
      <c r="F2191" s="5" t="s">
        <v>13130</v>
      </c>
      <c r="G2191" s="5"/>
      <c r="H2191" s="5"/>
      <c r="I2191" s="5"/>
      <c r="J2191" s="5"/>
      <c r="K2191" s="5"/>
      <c r="L2191" s="5"/>
      <c r="M2191" s="5"/>
      <c r="N2191" s="5"/>
      <c r="O2191" s="5"/>
      <c r="P2191" s="5"/>
      <c r="Q2191" s="5"/>
      <c r="AL2191" s="7" t="str">
        <f>HYPERLINK("http://dx.doi.org/10.1002/ecm.1455","http://dx.doi.org/10.1002/ecm.1455")</f>
        <v>http://dx.doi.org/10.1002/ecm.1455</v>
      </c>
      <c r="AM2191" s="5">
        <v>2</v>
      </c>
      <c r="AN2191" s="5">
        <v>2</v>
      </c>
      <c r="AO2191" s="5">
        <v>91</v>
      </c>
      <c r="AP2191" s="5">
        <v>3</v>
      </c>
      <c r="AQ2191" s="5" t="s">
        <v>16</v>
      </c>
      <c r="AR2191" s="5" t="s">
        <v>16</v>
      </c>
      <c r="AS2191" s="5" t="s">
        <v>13131</v>
      </c>
      <c r="AT2191" s="5" t="s">
        <v>13128</v>
      </c>
      <c r="AU2191" s="5" t="s">
        <v>13129</v>
      </c>
      <c r="AV2191" s="5" t="s">
        <v>13132</v>
      </c>
    </row>
    <row r="2192" spans="1:48" ht="45" customHeight="1" x14ac:dyDescent="0.15">
      <c r="A2192" s="5" t="s">
        <v>13133</v>
      </c>
      <c r="B2192" s="5">
        <v>2004</v>
      </c>
      <c r="C2192" s="5" t="s">
        <v>13134</v>
      </c>
      <c r="D2192" s="5" t="s">
        <v>49</v>
      </c>
      <c r="E2192" s="5" t="s">
        <v>18453</v>
      </c>
      <c r="F2192" s="5" t="s">
        <v>13137</v>
      </c>
      <c r="G2192" s="5"/>
      <c r="H2192" s="5"/>
      <c r="I2192" s="5"/>
      <c r="J2192" s="5"/>
      <c r="K2192" s="5"/>
      <c r="L2192" s="5"/>
      <c r="M2192" s="5"/>
      <c r="N2192" s="5"/>
      <c r="O2192" s="5"/>
      <c r="P2192" s="5"/>
      <c r="Q2192" s="5"/>
      <c r="AL2192" s="7" t="str">
        <f>HYPERLINK("http://dx.doi.org/10.3354/meps266027","http://dx.doi.org/10.3354/meps266027")</f>
        <v>http://dx.doi.org/10.3354/meps266027</v>
      </c>
      <c r="AM2192" s="5">
        <v>24</v>
      </c>
      <c r="AN2192" s="5">
        <v>24</v>
      </c>
      <c r="AO2192" s="5">
        <v>266</v>
      </c>
      <c r="AP2192" s="5" t="s">
        <v>16</v>
      </c>
      <c r="AQ2192" s="5">
        <v>27</v>
      </c>
      <c r="AR2192" s="5">
        <v>33</v>
      </c>
      <c r="AS2192" s="5" t="s">
        <v>16</v>
      </c>
      <c r="AT2192" s="5" t="s">
        <v>13135</v>
      </c>
      <c r="AU2192" s="5" t="s">
        <v>13136</v>
      </c>
      <c r="AV2192" s="5" t="s">
        <v>13138</v>
      </c>
    </row>
    <row r="2193" spans="1:48" ht="45" customHeight="1" x14ac:dyDescent="0.15">
      <c r="A2193" s="5" t="s">
        <v>13139</v>
      </c>
      <c r="B2193" s="5">
        <v>2005</v>
      </c>
      <c r="C2193" s="5" t="s">
        <v>13140</v>
      </c>
      <c r="D2193" s="5" t="s">
        <v>49</v>
      </c>
      <c r="E2193" s="5" t="s">
        <v>18453</v>
      </c>
      <c r="F2193" s="5" t="s">
        <v>13143</v>
      </c>
      <c r="G2193" s="5"/>
      <c r="H2193" s="5"/>
      <c r="I2193" s="5"/>
      <c r="J2193" s="5"/>
      <c r="K2193" s="5"/>
      <c r="L2193" s="5"/>
      <c r="M2193" s="5"/>
      <c r="N2193" s="5"/>
      <c r="O2193" s="5"/>
      <c r="P2193" s="5"/>
      <c r="Q2193" s="5"/>
      <c r="AL2193" s="7" t="str">
        <f>HYPERLINK("http://dx.doi.org/10.3354/meps304101","http://dx.doi.org/10.3354/meps304101")</f>
        <v>http://dx.doi.org/10.3354/meps304101</v>
      </c>
      <c r="AM2193" s="5">
        <v>77</v>
      </c>
      <c r="AN2193" s="5">
        <v>83</v>
      </c>
      <c r="AO2193" s="5">
        <v>304</v>
      </c>
      <c r="AP2193" s="5" t="s">
        <v>16</v>
      </c>
      <c r="AQ2193" s="5">
        <v>101</v>
      </c>
      <c r="AR2193" s="5">
        <v>116</v>
      </c>
      <c r="AS2193" s="5" t="s">
        <v>16</v>
      </c>
      <c r="AT2193" s="5" t="s">
        <v>13141</v>
      </c>
      <c r="AU2193" s="5" t="s">
        <v>13142</v>
      </c>
      <c r="AV2193" s="5" t="s">
        <v>13144</v>
      </c>
    </row>
    <row r="2194" spans="1:48" ht="45" customHeight="1" x14ac:dyDescent="0.15">
      <c r="A2194" s="5" t="s">
        <v>13145</v>
      </c>
      <c r="B2194" s="5">
        <v>2008</v>
      </c>
      <c r="C2194" s="5" t="s">
        <v>13146</v>
      </c>
      <c r="D2194" s="5" t="s">
        <v>6380</v>
      </c>
      <c r="E2194" s="5" t="s">
        <v>18453</v>
      </c>
      <c r="F2194" s="5" t="s">
        <v>13148</v>
      </c>
      <c r="G2194" s="5"/>
      <c r="H2194" s="5"/>
      <c r="I2194" s="5"/>
      <c r="J2194" s="5"/>
      <c r="K2194" s="5"/>
      <c r="L2194" s="5"/>
      <c r="M2194" s="5"/>
      <c r="N2194" s="5"/>
      <c r="O2194" s="5"/>
      <c r="P2194" s="5"/>
      <c r="Q2194" s="5"/>
      <c r="AL2194" s="7" t="str">
        <f>HYPERLINK("http://dx.doi.org/10.1666/08020.1","http://dx.doi.org/10.1666/08020.1")</f>
        <v>http://dx.doi.org/10.1666/08020.1</v>
      </c>
      <c r="AM2194" s="5">
        <v>46</v>
      </c>
      <c r="AN2194" s="5">
        <v>46</v>
      </c>
      <c r="AO2194" s="5">
        <v>34</v>
      </c>
      <c r="AP2194" s="5">
        <v>4</v>
      </c>
      <c r="AQ2194" s="5">
        <v>534</v>
      </c>
      <c r="AR2194" s="5">
        <v>552</v>
      </c>
      <c r="AS2194" s="5" t="s">
        <v>16</v>
      </c>
      <c r="AT2194" s="5" t="s">
        <v>16</v>
      </c>
      <c r="AU2194" s="5" t="s">
        <v>13147</v>
      </c>
      <c r="AV2194" s="5" t="s">
        <v>13149</v>
      </c>
    </row>
    <row r="2195" spans="1:48" ht="45" customHeight="1" x14ac:dyDescent="0.15">
      <c r="A2195" s="5" t="s">
        <v>13150</v>
      </c>
      <c r="B2195" s="5">
        <v>1994</v>
      </c>
      <c r="C2195" s="5" t="s">
        <v>13151</v>
      </c>
      <c r="D2195" s="5" t="s">
        <v>1765</v>
      </c>
      <c r="E2195" s="5" t="s">
        <v>18453</v>
      </c>
      <c r="F2195" s="5" t="s">
        <v>13153</v>
      </c>
      <c r="G2195" s="5"/>
      <c r="H2195" s="5"/>
      <c r="I2195" s="5"/>
      <c r="J2195" s="5"/>
      <c r="K2195" s="5"/>
      <c r="L2195" s="5"/>
      <c r="M2195" s="5"/>
      <c r="N2195" s="5"/>
      <c r="O2195" s="5"/>
      <c r="P2195" s="5"/>
      <c r="Q2195" s="5"/>
      <c r="AL2195" s="7" t="str">
        <f>HYPERLINK("http://dx.doi.org/10.1016/0167-8809(94)90108-2","http://dx.doi.org/10.1016/0167-8809(94)90108-2")</f>
        <v>http://dx.doi.org/10.1016/0167-8809(94)90108-2</v>
      </c>
      <c r="AM2195" s="5">
        <v>39</v>
      </c>
      <c r="AN2195" s="5">
        <v>39</v>
      </c>
      <c r="AO2195" s="5">
        <v>48</v>
      </c>
      <c r="AP2195" s="5">
        <v>3</v>
      </c>
      <c r="AQ2195" s="5">
        <v>263</v>
      </c>
      <c r="AR2195" s="5">
        <v>271</v>
      </c>
      <c r="AS2195" s="5" t="s">
        <v>16</v>
      </c>
      <c r="AT2195" s="5" t="s">
        <v>16</v>
      </c>
      <c r="AU2195" s="5" t="s">
        <v>13152</v>
      </c>
      <c r="AV2195" s="5" t="s">
        <v>13154</v>
      </c>
    </row>
    <row r="2196" spans="1:48" ht="45" customHeight="1" x14ac:dyDescent="0.15">
      <c r="A2196" s="5" t="s">
        <v>13155</v>
      </c>
      <c r="B2196" s="5">
        <v>2018</v>
      </c>
      <c r="C2196" s="5" t="s">
        <v>13156</v>
      </c>
      <c r="D2196" s="5" t="s">
        <v>513</v>
      </c>
      <c r="E2196" s="5" t="s">
        <v>18453</v>
      </c>
      <c r="F2196" s="5" t="s">
        <v>13159</v>
      </c>
      <c r="G2196" s="5"/>
      <c r="H2196" s="5"/>
      <c r="I2196" s="5"/>
      <c r="J2196" s="5"/>
      <c r="K2196" s="5"/>
      <c r="L2196" s="5"/>
      <c r="M2196" s="5"/>
      <c r="N2196" s="5"/>
      <c r="O2196" s="5"/>
      <c r="P2196" s="5"/>
      <c r="Q2196" s="5"/>
      <c r="AL2196" s="7" t="str">
        <f>HYPERLINK("http://dx.doi.org/10.1016/j.ecoleng.2018.08.018","http://dx.doi.org/10.1016/j.ecoleng.2018.08.018")</f>
        <v>http://dx.doi.org/10.1016/j.ecoleng.2018.08.018</v>
      </c>
      <c r="AM2196" s="5">
        <v>29</v>
      </c>
      <c r="AN2196" s="5">
        <v>31</v>
      </c>
      <c r="AO2196" s="5">
        <v>122</v>
      </c>
      <c r="AP2196" s="5" t="s">
        <v>16</v>
      </c>
      <c r="AQ2196" s="5">
        <v>295</v>
      </c>
      <c r="AR2196" s="5">
        <v>302</v>
      </c>
      <c r="AS2196" s="5" t="s">
        <v>16</v>
      </c>
      <c r="AT2196" s="5" t="s">
        <v>13157</v>
      </c>
      <c r="AU2196" s="5" t="s">
        <v>13158</v>
      </c>
      <c r="AV2196" s="5" t="s">
        <v>13160</v>
      </c>
    </row>
    <row r="2197" spans="1:48" ht="45" customHeight="1" x14ac:dyDescent="0.15">
      <c r="A2197" s="5" t="s">
        <v>13161</v>
      </c>
      <c r="B2197" s="5">
        <v>2003</v>
      </c>
      <c r="C2197" s="5" t="s">
        <v>13162</v>
      </c>
      <c r="D2197" s="5" t="s">
        <v>251</v>
      </c>
      <c r="E2197" s="5" t="s">
        <v>18453</v>
      </c>
      <c r="F2197" s="5" t="s">
        <v>13165</v>
      </c>
      <c r="G2197" s="5"/>
      <c r="H2197" s="5"/>
      <c r="I2197" s="5"/>
      <c r="J2197" s="5"/>
      <c r="K2197" s="5"/>
      <c r="L2197" s="5"/>
      <c r="M2197" s="5"/>
      <c r="N2197" s="5"/>
      <c r="O2197" s="5"/>
      <c r="P2197" s="5"/>
      <c r="Q2197" s="5"/>
      <c r="AL2197" s="7" t="str">
        <f>HYPERLINK("http://dx.doi.org/10.1016/S0006-3207(02)00310-5","http://dx.doi.org/10.1016/S0006-3207(02)00310-5")</f>
        <v>http://dx.doi.org/10.1016/S0006-3207(02)00310-5</v>
      </c>
      <c r="AM2197" s="5">
        <v>180</v>
      </c>
      <c r="AN2197" s="5">
        <v>190</v>
      </c>
      <c r="AO2197" s="5">
        <v>111</v>
      </c>
      <c r="AP2197" s="5">
        <v>3</v>
      </c>
      <c r="AQ2197" s="5">
        <v>415</v>
      </c>
      <c r="AR2197" s="5">
        <v>425</v>
      </c>
      <c r="AS2197" s="5" t="s">
        <v>13166</v>
      </c>
      <c r="AT2197" s="5" t="s">
        <v>13163</v>
      </c>
      <c r="AU2197" s="5" t="s">
        <v>13164</v>
      </c>
      <c r="AV2197" s="5" t="s">
        <v>13167</v>
      </c>
    </row>
    <row r="2198" spans="1:48" ht="45" customHeight="1" x14ac:dyDescent="0.15">
      <c r="A2198" s="5" t="s">
        <v>13168</v>
      </c>
      <c r="B2198" s="5">
        <v>2013</v>
      </c>
      <c r="C2198" s="5" t="s">
        <v>13169</v>
      </c>
      <c r="D2198" s="5" t="s">
        <v>5517</v>
      </c>
      <c r="E2198" s="5" t="s">
        <v>18453</v>
      </c>
      <c r="F2198" s="5" t="s">
        <v>13172</v>
      </c>
      <c r="G2198" s="5"/>
      <c r="H2198" s="5"/>
      <c r="I2198" s="5"/>
      <c r="J2198" s="5"/>
      <c r="K2198" s="5"/>
      <c r="L2198" s="5"/>
      <c r="M2198" s="5"/>
      <c r="N2198" s="5"/>
      <c r="O2198" s="5"/>
      <c r="P2198" s="5"/>
      <c r="Q2198" s="5"/>
      <c r="AL2198" s="7" t="str">
        <f>HYPERLINK("http://dx.doi.org/10.1038/ismej.2013.12","http://dx.doi.org/10.1038/ismej.2013.12")</f>
        <v>http://dx.doi.org/10.1038/ismej.2013.12</v>
      </c>
      <c r="AM2198" s="5">
        <v>88</v>
      </c>
      <c r="AN2198" s="5">
        <v>88</v>
      </c>
      <c r="AO2198" s="5">
        <v>7</v>
      </c>
      <c r="AP2198" s="5">
        <v>6</v>
      </c>
      <c r="AQ2198" s="5">
        <v>1248</v>
      </c>
      <c r="AR2198" s="5">
        <v>1251</v>
      </c>
      <c r="AS2198" s="5" t="s">
        <v>16</v>
      </c>
      <c r="AT2198" s="5" t="s">
        <v>13170</v>
      </c>
      <c r="AU2198" s="5" t="s">
        <v>13171</v>
      </c>
      <c r="AV2198" s="5" t="s">
        <v>13173</v>
      </c>
    </row>
    <row r="2199" spans="1:48" ht="45" customHeight="1" x14ac:dyDescent="0.15">
      <c r="A2199" s="5" t="s">
        <v>13174</v>
      </c>
      <c r="B2199" s="5">
        <v>2022</v>
      </c>
      <c r="C2199" s="5" t="s">
        <v>13175</v>
      </c>
      <c r="D2199" s="5" t="s">
        <v>62</v>
      </c>
      <c r="E2199" s="5" t="s">
        <v>18453</v>
      </c>
      <c r="F2199" s="5" t="s">
        <v>13178</v>
      </c>
      <c r="G2199" s="5"/>
      <c r="H2199" s="5"/>
      <c r="I2199" s="5"/>
      <c r="J2199" s="5"/>
      <c r="K2199" s="5"/>
      <c r="L2199" s="5"/>
      <c r="M2199" s="5"/>
      <c r="N2199" s="5"/>
      <c r="O2199" s="5"/>
      <c r="P2199" s="5"/>
      <c r="Q2199" s="5"/>
      <c r="AL2199" s="7" t="str">
        <f>HYPERLINK("http://dx.doi.org/10.1007/s10021-021-00665-1","http://dx.doi.org/10.1007/s10021-021-00665-1")</f>
        <v>http://dx.doi.org/10.1007/s10021-021-00665-1</v>
      </c>
      <c r="AM2199" s="5">
        <v>2</v>
      </c>
      <c r="AN2199" s="5">
        <v>2</v>
      </c>
      <c r="AO2199" s="5">
        <v>25</v>
      </c>
      <c r="AP2199" s="5">
        <v>2</v>
      </c>
      <c r="AQ2199" s="5">
        <v>457</v>
      </c>
      <c r="AR2199" s="5">
        <v>470</v>
      </c>
      <c r="AS2199" s="5" t="s">
        <v>16</v>
      </c>
      <c r="AT2199" s="5" t="s">
        <v>13176</v>
      </c>
      <c r="AU2199" s="5" t="s">
        <v>13177</v>
      </c>
      <c r="AV2199" s="5" t="s">
        <v>13179</v>
      </c>
    </row>
    <row r="2200" spans="1:48" ht="45" customHeight="1" x14ac:dyDescent="0.15">
      <c r="A2200" s="5" t="s">
        <v>13180</v>
      </c>
      <c r="B2200" s="5">
        <v>2014</v>
      </c>
      <c r="C2200" s="5" t="s">
        <v>13181</v>
      </c>
      <c r="D2200" s="5" t="s">
        <v>77</v>
      </c>
      <c r="E2200" s="5" t="s">
        <v>18453</v>
      </c>
      <c r="F2200" s="5" t="s">
        <v>13184</v>
      </c>
      <c r="G2200" s="5"/>
      <c r="H2200" s="5"/>
      <c r="I2200" s="5"/>
      <c r="J2200" s="5"/>
      <c r="K2200" s="5"/>
      <c r="L2200" s="5"/>
      <c r="M2200" s="5"/>
      <c r="N2200" s="5"/>
      <c r="O2200" s="5"/>
      <c r="P2200" s="5"/>
      <c r="Q2200" s="5"/>
      <c r="AL2200" s="7" t="str">
        <f>HYPERLINK("http://dx.doi.org/10.1111/1365-2656.12138","http://dx.doi.org/10.1111/1365-2656.12138")</f>
        <v>http://dx.doi.org/10.1111/1365-2656.12138</v>
      </c>
      <c r="AM2200" s="5">
        <v>11</v>
      </c>
      <c r="AN2200" s="5">
        <v>12</v>
      </c>
      <c r="AO2200" s="5">
        <v>83</v>
      </c>
      <c r="AP2200" s="5">
        <v>2</v>
      </c>
      <c r="AQ2200" s="5">
        <v>479</v>
      </c>
      <c r="AR2200" s="5">
        <v>490</v>
      </c>
      <c r="AS2200" s="5" t="s">
        <v>16</v>
      </c>
      <c r="AT2200" s="5" t="s">
        <v>13182</v>
      </c>
      <c r="AU2200" s="5" t="s">
        <v>13183</v>
      </c>
      <c r="AV2200" s="5" t="s">
        <v>13185</v>
      </c>
    </row>
    <row r="2201" spans="1:48" ht="45" customHeight="1" x14ac:dyDescent="0.15">
      <c r="A2201" s="5" t="s">
        <v>13186</v>
      </c>
      <c r="B2201" s="5">
        <v>2022</v>
      </c>
      <c r="C2201" s="5" t="s">
        <v>13187</v>
      </c>
      <c r="D2201" s="5" t="s">
        <v>1954</v>
      </c>
      <c r="E2201" s="5" t="s">
        <v>18453</v>
      </c>
      <c r="F2201" s="5" t="s">
        <v>13189</v>
      </c>
      <c r="G2201" s="5"/>
      <c r="H2201" s="5"/>
      <c r="I2201" s="5"/>
      <c r="J2201" s="5"/>
      <c r="K2201" s="5"/>
      <c r="L2201" s="5"/>
      <c r="M2201" s="5"/>
      <c r="N2201" s="5"/>
      <c r="O2201" s="5"/>
      <c r="P2201" s="5"/>
      <c r="Q2201" s="5"/>
      <c r="AL2201" s="7" t="str">
        <f>HYPERLINK("http://dx.doi.org/10.3897/neobiota.72.80500","http://dx.doi.org/10.3897/neobiota.72.80500")</f>
        <v>http://dx.doi.org/10.3897/neobiota.72.80500</v>
      </c>
      <c r="AM2201" s="5">
        <v>1</v>
      </c>
      <c r="AN2201" s="5">
        <v>1</v>
      </c>
      <c r="AO2201" s="5">
        <v>72</v>
      </c>
      <c r="AP2201" s="5" t="s">
        <v>16</v>
      </c>
      <c r="AQ2201" s="5">
        <v>109</v>
      </c>
      <c r="AR2201" s="5">
        <v>128</v>
      </c>
      <c r="AS2201" s="5" t="s">
        <v>16</v>
      </c>
      <c r="AT2201" s="5" t="s">
        <v>13188</v>
      </c>
      <c r="AU2201" s="5" t="s">
        <v>16</v>
      </c>
      <c r="AV2201" s="5" t="s">
        <v>13190</v>
      </c>
    </row>
    <row r="2202" spans="1:48" ht="45" customHeight="1" x14ac:dyDescent="0.15">
      <c r="A2202" s="5" t="s">
        <v>13191</v>
      </c>
      <c r="B2202" s="5">
        <v>2007</v>
      </c>
      <c r="C2202" s="5" t="s">
        <v>13192</v>
      </c>
      <c r="D2202" s="5" t="s">
        <v>27</v>
      </c>
      <c r="E2202" s="5" t="s">
        <v>18453</v>
      </c>
      <c r="F2202" s="5" t="s">
        <v>13195</v>
      </c>
      <c r="G2202" s="5"/>
      <c r="H2202" s="5"/>
      <c r="I2202" s="5"/>
      <c r="J2202" s="5"/>
      <c r="K2202" s="5"/>
      <c r="L2202" s="5"/>
      <c r="M2202" s="5"/>
      <c r="N2202" s="5"/>
      <c r="O2202" s="5"/>
      <c r="P2202" s="5"/>
      <c r="Q2202" s="5"/>
      <c r="AL2202" s="7" t="str">
        <f>HYPERLINK("http://dx.doi.org/10.1890/06-1018","http://dx.doi.org/10.1890/06-1018")</f>
        <v>http://dx.doi.org/10.1890/06-1018</v>
      </c>
      <c r="AM2202" s="5">
        <v>204</v>
      </c>
      <c r="AN2202" s="5">
        <v>222</v>
      </c>
      <c r="AO2202" s="5">
        <v>88</v>
      </c>
      <c r="AP2202" s="5">
        <v>4</v>
      </c>
      <c r="AQ2202" s="5">
        <v>989</v>
      </c>
      <c r="AR2202" s="5">
        <v>999</v>
      </c>
      <c r="AS2202" s="5" t="s">
        <v>16</v>
      </c>
      <c r="AT2202" s="5" t="s">
        <v>13193</v>
      </c>
      <c r="AU2202" s="5" t="s">
        <v>13194</v>
      </c>
      <c r="AV2202" s="5" t="s">
        <v>13196</v>
      </c>
    </row>
    <row r="2203" spans="1:48" ht="45" customHeight="1" x14ac:dyDescent="0.15">
      <c r="A2203" s="5" t="s">
        <v>13197</v>
      </c>
      <c r="B2203" s="5">
        <v>2022</v>
      </c>
      <c r="C2203" s="5" t="s">
        <v>13198</v>
      </c>
      <c r="D2203" s="5" t="s">
        <v>190</v>
      </c>
      <c r="E2203" s="5" t="s">
        <v>18453</v>
      </c>
      <c r="F2203" s="5" t="s">
        <v>13201</v>
      </c>
      <c r="G2203" s="5"/>
      <c r="H2203" s="5"/>
      <c r="I2203" s="5"/>
      <c r="J2203" s="5"/>
      <c r="K2203" s="5"/>
      <c r="L2203" s="5"/>
      <c r="M2203" s="5"/>
      <c r="N2203" s="5"/>
      <c r="O2203" s="5"/>
      <c r="P2203" s="5"/>
      <c r="Q2203" s="5"/>
      <c r="AL2203" s="7" t="str">
        <f>HYPERLINK("http://dx.doi.org/10.1007/s10530-021-02715-0","http://dx.doi.org/10.1007/s10530-021-02715-0")</f>
        <v>http://dx.doi.org/10.1007/s10530-021-02715-0</v>
      </c>
      <c r="AM2203" s="5">
        <v>2</v>
      </c>
      <c r="AN2203" s="5">
        <v>2</v>
      </c>
      <c r="AO2203" s="5">
        <v>24</v>
      </c>
      <c r="AP2203" s="5">
        <v>5</v>
      </c>
      <c r="AQ2203" s="5">
        <v>1253</v>
      </c>
      <c r="AR2203" s="5">
        <v>1265</v>
      </c>
      <c r="AS2203" s="5" t="s">
        <v>16</v>
      </c>
      <c r="AT2203" s="5" t="s">
        <v>13199</v>
      </c>
      <c r="AU2203" s="5" t="s">
        <v>13200</v>
      </c>
      <c r="AV2203" s="5" t="s">
        <v>13202</v>
      </c>
    </row>
    <row r="2204" spans="1:48" ht="45" customHeight="1" x14ac:dyDescent="0.15">
      <c r="A2204" s="5" t="s">
        <v>13203</v>
      </c>
      <c r="B2204" s="5">
        <v>2022</v>
      </c>
      <c r="C2204" s="5" t="s">
        <v>13204</v>
      </c>
      <c r="D2204" s="5" t="s">
        <v>6683</v>
      </c>
      <c r="E2204" s="5" t="s">
        <v>18453</v>
      </c>
      <c r="F2204" s="5" t="s">
        <v>13206</v>
      </c>
      <c r="G2204" s="5"/>
      <c r="H2204" s="5"/>
      <c r="I2204" s="5"/>
      <c r="J2204" s="5"/>
      <c r="K2204" s="5"/>
      <c r="L2204" s="5"/>
      <c r="M2204" s="5"/>
      <c r="N2204" s="5"/>
      <c r="O2204" s="5"/>
      <c r="P2204" s="5"/>
      <c r="Q2204" s="5"/>
      <c r="AL2204" s="7" t="str">
        <f>HYPERLINK("http://dx.doi.org/10.1038/s41559-021-01644-4","http://dx.doi.org/10.1038/s41559-021-01644-4")</f>
        <v>http://dx.doi.org/10.1038/s41559-021-01644-4</v>
      </c>
      <c r="AM2204" s="5">
        <v>19</v>
      </c>
      <c r="AN2204" s="5">
        <v>19</v>
      </c>
      <c r="AO2204" s="5">
        <v>6</v>
      </c>
      <c r="AP2204" s="5">
        <v>3</v>
      </c>
      <c r="AQ2204" s="5">
        <v>307</v>
      </c>
      <c r="AR2204" s="5" t="s">
        <v>260</v>
      </c>
      <c r="AS2204" s="5" t="s">
        <v>16</v>
      </c>
      <c r="AT2204" s="5" t="s">
        <v>16</v>
      </c>
      <c r="AU2204" s="5" t="s">
        <v>13205</v>
      </c>
      <c r="AV2204" s="5" t="s">
        <v>13207</v>
      </c>
    </row>
    <row r="2205" spans="1:48" ht="45" customHeight="1" x14ac:dyDescent="0.15">
      <c r="A2205" s="5" t="s">
        <v>13208</v>
      </c>
      <c r="B2205" s="5">
        <v>2021</v>
      </c>
      <c r="C2205" s="5" t="s">
        <v>13209</v>
      </c>
      <c r="D2205" s="5" t="s">
        <v>44</v>
      </c>
      <c r="E2205" s="5" t="s">
        <v>18453</v>
      </c>
      <c r="F2205" s="5" t="s">
        <v>13212</v>
      </c>
      <c r="G2205" s="5"/>
      <c r="H2205" s="5"/>
      <c r="I2205" s="5"/>
      <c r="J2205" s="5"/>
      <c r="K2205" s="5"/>
      <c r="L2205" s="5"/>
      <c r="M2205" s="5"/>
      <c r="N2205" s="5"/>
      <c r="O2205" s="5"/>
      <c r="P2205" s="5"/>
      <c r="Q2205" s="5"/>
      <c r="AL2205" s="7" t="str">
        <f>HYPERLINK("http://dx.doi.org/10.3389/fevo.2021.633160","http://dx.doi.org/10.3389/fevo.2021.633160")</f>
        <v>http://dx.doi.org/10.3389/fevo.2021.633160</v>
      </c>
      <c r="AM2205" s="5">
        <v>10</v>
      </c>
      <c r="AN2205" s="5">
        <v>10</v>
      </c>
      <c r="AO2205" s="5">
        <v>9</v>
      </c>
      <c r="AP2205" s="5" t="s">
        <v>16</v>
      </c>
      <c r="AQ2205" s="5" t="s">
        <v>16</v>
      </c>
      <c r="AR2205" s="5" t="s">
        <v>16</v>
      </c>
      <c r="AS2205" s="5">
        <v>633160</v>
      </c>
      <c r="AT2205" s="5" t="s">
        <v>13210</v>
      </c>
      <c r="AU2205" s="5" t="s">
        <v>13211</v>
      </c>
      <c r="AV2205" s="5" t="s">
        <v>13213</v>
      </c>
    </row>
    <row r="2206" spans="1:48" ht="45" customHeight="1" x14ac:dyDescent="0.15">
      <c r="A2206" s="5" t="s">
        <v>13214</v>
      </c>
      <c r="B2206" s="5">
        <v>2014</v>
      </c>
      <c r="C2206" s="5" t="s">
        <v>13215</v>
      </c>
      <c r="D2206" s="5" t="s">
        <v>127</v>
      </c>
      <c r="E2206" s="5" t="s">
        <v>18453</v>
      </c>
      <c r="F2206" s="5" t="s">
        <v>13218</v>
      </c>
      <c r="G2206" s="5"/>
      <c r="H2206" s="5"/>
      <c r="I2206" s="5"/>
      <c r="J2206" s="5"/>
      <c r="K2206" s="5"/>
      <c r="L2206" s="5"/>
      <c r="M2206" s="5"/>
      <c r="N2206" s="5"/>
      <c r="O2206" s="5"/>
      <c r="P2206" s="5"/>
      <c r="Q2206" s="5"/>
      <c r="AL2206" s="7" t="str">
        <f>HYPERLINK("http://dx.doi.org/10.1016/j.polar.2014.07.008","http://dx.doi.org/10.1016/j.polar.2014.07.008")</f>
        <v>http://dx.doi.org/10.1016/j.polar.2014.07.008</v>
      </c>
      <c r="AM2206" s="5">
        <v>31</v>
      </c>
      <c r="AN2206" s="5">
        <v>31</v>
      </c>
      <c r="AO2206" s="5">
        <v>8</v>
      </c>
      <c r="AP2206" s="5">
        <v>4</v>
      </c>
      <c r="AQ2206" s="5">
        <v>327</v>
      </c>
      <c r="AR2206" s="5">
        <v>341</v>
      </c>
      <c r="AS2206" s="5" t="s">
        <v>16</v>
      </c>
      <c r="AT2206" s="5" t="s">
        <v>13216</v>
      </c>
      <c r="AU2206" s="5" t="s">
        <v>13217</v>
      </c>
      <c r="AV2206" s="5" t="s">
        <v>13219</v>
      </c>
    </row>
    <row r="2207" spans="1:48" ht="45" customHeight="1" x14ac:dyDescent="0.15">
      <c r="A2207" s="5" t="s">
        <v>13220</v>
      </c>
      <c r="B2207" s="5">
        <v>2023</v>
      </c>
      <c r="C2207" s="5" t="s">
        <v>13221</v>
      </c>
      <c r="D2207" s="5" t="s">
        <v>295</v>
      </c>
      <c r="E2207" s="5" t="s">
        <v>18453</v>
      </c>
      <c r="F2207" s="5" t="s">
        <v>13224</v>
      </c>
      <c r="G2207" s="5"/>
      <c r="H2207" s="5"/>
      <c r="I2207" s="5"/>
      <c r="J2207" s="5"/>
      <c r="K2207" s="5"/>
      <c r="L2207" s="5"/>
      <c r="M2207" s="5"/>
      <c r="N2207" s="5"/>
      <c r="O2207" s="5"/>
      <c r="P2207" s="5"/>
      <c r="Q2207" s="5"/>
      <c r="AL2207" s="7" t="str">
        <f>HYPERLINK("http://dx.doi.org/10.1016/j.jembe.2023.151894","http://dx.doi.org/10.1016/j.jembe.2023.151894")</f>
        <v>http://dx.doi.org/10.1016/j.jembe.2023.151894</v>
      </c>
      <c r="AM2207" s="5">
        <v>0</v>
      </c>
      <c r="AN2207" s="5">
        <v>0</v>
      </c>
      <c r="AO2207" s="5">
        <v>563</v>
      </c>
      <c r="AP2207" s="5" t="s">
        <v>16</v>
      </c>
      <c r="AQ2207" s="5" t="s">
        <v>16</v>
      </c>
      <c r="AR2207" s="5" t="s">
        <v>16</v>
      </c>
      <c r="AS2207" s="5">
        <v>151894</v>
      </c>
      <c r="AT2207" s="5" t="s">
        <v>13222</v>
      </c>
      <c r="AU2207" s="5" t="s">
        <v>13223</v>
      </c>
      <c r="AV2207" s="5" t="s">
        <v>13225</v>
      </c>
    </row>
    <row r="2208" spans="1:48" ht="45" customHeight="1" x14ac:dyDescent="0.15">
      <c r="A2208" s="5" t="s">
        <v>13226</v>
      </c>
      <c r="B2208" s="5">
        <v>2011</v>
      </c>
      <c r="C2208" s="5" t="s">
        <v>13227</v>
      </c>
      <c r="D2208" s="5" t="s">
        <v>249</v>
      </c>
      <c r="E2208" s="5" t="s">
        <v>18453</v>
      </c>
      <c r="F2208" s="5" t="s">
        <v>13230</v>
      </c>
      <c r="G2208" s="5"/>
      <c r="H2208" s="5"/>
      <c r="I2208" s="5"/>
      <c r="J2208" s="5"/>
      <c r="K2208" s="5"/>
      <c r="L2208" s="5"/>
      <c r="M2208" s="5"/>
      <c r="N2208" s="5"/>
      <c r="O2208" s="5"/>
      <c r="P2208" s="5"/>
      <c r="Q2208" s="5"/>
      <c r="AL2208" s="7" t="str">
        <f>HYPERLINK("http://dx.doi.org/10.1016/j.jaridenv.2010.10.004","http://dx.doi.org/10.1016/j.jaridenv.2010.10.004")</f>
        <v>http://dx.doi.org/10.1016/j.jaridenv.2010.10.004</v>
      </c>
      <c r="AM2208" s="5">
        <v>11</v>
      </c>
      <c r="AN2208" s="5">
        <v>14</v>
      </c>
      <c r="AO2208" s="5">
        <v>75</v>
      </c>
      <c r="AP2208" s="5">
        <v>2</v>
      </c>
      <c r="AQ2208" s="5">
        <v>211</v>
      </c>
      <c r="AR2208" s="5">
        <v>214</v>
      </c>
      <c r="AS2208" s="5" t="s">
        <v>16</v>
      </c>
      <c r="AT2208" s="5" t="s">
        <v>13228</v>
      </c>
      <c r="AU2208" s="5" t="s">
        <v>13229</v>
      </c>
      <c r="AV2208" s="5" t="s">
        <v>13231</v>
      </c>
    </row>
    <row r="2209" spans="1:48" ht="45" customHeight="1" x14ac:dyDescent="0.15">
      <c r="A2209" s="5" t="s">
        <v>13232</v>
      </c>
      <c r="B2209" s="5">
        <v>2015</v>
      </c>
      <c r="C2209" s="5" t="s">
        <v>13233</v>
      </c>
      <c r="D2209" s="5" t="s">
        <v>296</v>
      </c>
      <c r="E2209" s="5" t="s">
        <v>18453</v>
      </c>
      <c r="F2209" s="5" t="s">
        <v>13236</v>
      </c>
      <c r="G2209" s="5"/>
      <c r="H2209" s="5"/>
      <c r="I2209" s="5"/>
      <c r="J2209" s="5"/>
      <c r="K2209" s="5"/>
      <c r="L2209" s="5"/>
      <c r="M2209" s="5"/>
      <c r="N2209" s="5"/>
      <c r="O2209" s="5"/>
      <c r="P2209" s="5"/>
      <c r="Q2209" s="5"/>
      <c r="AL2209" s="7" t="str">
        <f>HYPERLINK("http://dx.doi.org/10.1098/rspb.2015.1537","http://dx.doi.org/10.1098/rspb.2015.1537")</f>
        <v>http://dx.doi.org/10.1098/rspb.2015.1537</v>
      </c>
      <c r="AM2209" s="5">
        <v>82</v>
      </c>
      <c r="AN2209" s="5">
        <v>85</v>
      </c>
      <c r="AO2209" s="5">
        <v>282</v>
      </c>
      <c r="AP2209" s="5">
        <v>1817</v>
      </c>
      <c r="AQ2209" s="5" t="s">
        <v>16</v>
      </c>
      <c r="AR2209" s="5" t="s">
        <v>16</v>
      </c>
      <c r="AS2209" s="5">
        <v>20151537</v>
      </c>
      <c r="AT2209" s="5" t="s">
        <v>13234</v>
      </c>
      <c r="AU2209" s="5" t="s">
        <v>13235</v>
      </c>
      <c r="AV2209" s="5" t="s">
        <v>13237</v>
      </c>
    </row>
    <row r="2210" spans="1:48" ht="45" customHeight="1" x14ac:dyDescent="0.15">
      <c r="A2210" s="5" t="s">
        <v>13238</v>
      </c>
      <c r="B2210" s="5">
        <v>2017</v>
      </c>
      <c r="C2210" s="5" t="s">
        <v>13239</v>
      </c>
      <c r="D2210" s="5" t="s">
        <v>77</v>
      </c>
      <c r="E2210" s="5" t="s">
        <v>18453</v>
      </c>
      <c r="F2210" s="5" t="s">
        <v>13242</v>
      </c>
      <c r="G2210" s="5"/>
      <c r="H2210" s="5"/>
      <c r="I2210" s="5"/>
      <c r="J2210" s="5"/>
      <c r="K2210" s="5"/>
      <c r="L2210" s="5"/>
      <c r="M2210" s="5"/>
      <c r="N2210" s="5"/>
      <c r="O2210" s="5"/>
      <c r="P2210" s="5"/>
      <c r="Q2210" s="5"/>
      <c r="AL2210" s="7" t="str">
        <f>HYPERLINK("http://dx.doi.org/10.1111/1365-2656.12637","http://dx.doi.org/10.1111/1365-2656.12637")</f>
        <v>http://dx.doi.org/10.1111/1365-2656.12637</v>
      </c>
      <c r="AM2210" s="5">
        <v>14</v>
      </c>
      <c r="AN2210" s="5">
        <v>15</v>
      </c>
      <c r="AO2210" s="5">
        <v>86</v>
      </c>
      <c r="AP2210" s="5">
        <v>3</v>
      </c>
      <c r="AQ2210" s="5">
        <v>577</v>
      </c>
      <c r="AR2210" s="5">
        <v>589</v>
      </c>
      <c r="AS2210" s="5" t="s">
        <v>16</v>
      </c>
      <c r="AT2210" s="5" t="s">
        <v>13240</v>
      </c>
      <c r="AU2210" s="5" t="s">
        <v>13241</v>
      </c>
      <c r="AV2210" s="5" t="s">
        <v>13243</v>
      </c>
    </row>
    <row r="2211" spans="1:48" ht="45" customHeight="1" x14ac:dyDescent="0.15">
      <c r="A2211" s="5" t="s">
        <v>13244</v>
      </c>
      <c r="B2211" s="5">
        <v>2023</v>
      </c>
      <c r="C2211" s="5" t="s">
        <v>13245</v>
      </c>
      <c r="D2211" s="5" t="s">
        <v>44</v>
      </c>
      <c r="E2211" s="5" t="s">
        <v>18453</v>
      </c>
      <c r="F2211" s="5" t="s">
        <v>13248</v>
      </c>
      <c r="G2211" s="5"/>
      <c r="H2211" s="5"/>
      <c r="I2211" s="5"/>
      <c r="J2211" s="5"/>
      <c r="K2211" s="5"/>
      <c r="L2211" s="5"/>
      <c r="M2211" s="5"/>
      <c r="N2211" s="5"/>
      <c r="O2211" s="5"/>
      <c r="P2211" s="5"/>
      <c r="Q2211" s="5"/>
      <c r="AL2211" s="7" t="str">
        <f>HYPERLINK("http://dx.doi.org/10.3389/fevo.2023.1053535","http://dx.doi.org/10.3389/fevo.2023.1053535")</f>
        <v>http://dx.doi.org/10.3389/fevo.2023.1053535</v>
      </c>
      <c r="AM2211" s="5">
        <v>0</v>
      </c>
      <c r="AN2211" s="5">
        <v>0</v>
      </c>
      <c r="AO2211" s="5">
        <v>11</v>
      </c>
      <c r="AP2211" s="5" t="s">
        <v>16</v>
      </c>
      <c r="AQ2211" s="5" t="s">
        <v>16</v>
      </c>
      <c r="AR2211" s="5" t="s">
        <v>16</v>
      </c>
      <c r="AS2211" s="5">
        <v>1053535</v>
      </c>
      <c r="AT2211" s="5" t="s">
        <v>13246</v>
      </c>
      <c r="AU2211" s="5" t="s">
        <v>13247</v>
      </c>
      <c r="AV2211" s="5" t="s">
        <v>13249</v>
      </c>
    </row>
    <row r="2212" spans="1:48" ht="45" customHeight="1" x14ac:dyDescent="0.15">
      <c r="A2212" s="5" t="s">
        <v>290</v>
      </c>
      <c r="B2212" s="5">
        <v>2007</v>
      </c>
      <c r="C2212" s="5" t="s">
        <v>13250</v>
      </c>
      <c r="D2212" s="5" t="s">
        <v>62</v>
      </c>
      <c r="E2212" s="5" t="s">
        <v>18453</v>
      </c>
      <c r="F2212" s="5" t="s">
        <v>13253</v>
      </c>
      <c r="G2212" s="5"/>
      <c r="H2212" s="5"/>
      <c r="I2212" s="5"/>
      <c r="J2212" s="5"/>
      <c r="K2212" s="5"/>
      <c r="L2212" s="5"/>
      <c r="M2212" s="5"/>
      <c r="N2212" s="5"/>
      <c r="O2212" s="5"/>
      <c r="P2212" s="5"/>
      <c r="Q2212" s="5"/>
      <c r="AL2212" s="7" t="str">
        <f>HYPERLINK("http://dx.doi.org/10.1007/s10021-007-9075-2","http://dx.doi.org/10.1007/s10021-007-9075-2")</f>
        <v>http://dx.doi.org/10.1007/s10021-007-9075-2</v>
      </c>
      <c r="AM2212" s="5">
        <v>102</v>
      </c>
      <c r="AN2212" s="5">
        <v>109</v>
      </c>
      <c r="AO2212" s="5">
        <v>10</v>
      </c>
      <c r="AP2212" s="5">
        <v>6</v>
      </c>
      <c r="AQ2212" s="5">
        <v>1019</v>
      </c>
      <c r="AR2212" s="5">
        <v>1033</v>
      </c>
      <c r="AS2212" s="5" t="s">
        <v>16</v>
      </c>
      <c r="AT2212" s="5" t="s">
        <v>13251</v>
      </c>
      <c r="AU2212" s="5" t="s">
        <v>13252</v>
      </c>
      <c r="AV2212" s="5" t="s">
        <v>13254</v>
      </c>
    </row>
    <row r="2213" spans="1:48" ht="45" customHeight="1" x14ac:dyDescent="0.15">
      <c r="A2213" s="5" t="s">
        <v>13255</v>
      </c>
      <c r="B2213" s="5">
        <v>2019</v>
      </c>
      <c r="C2213" s="5" t="s">
        <v>13256</v>
      </c>
      <c r="D2213" s="5" t="s">
        <v>2087</v>
      </c>
      <c r="E2213" s="5" t="s">
        <v>18453</v>
      </c>
      <c r="F2213" s="5" t="s">
        <v>13259</v>
      </c>
      <c r="G2213" s="5"/>
      <c r="H2213" s="5"/>
      <c r="I2213" s="5"/>
      <c r="J2213" s="5"/>
      <c r="K2213" s="5"/>
      <c r="L2213" s="5"/>
      <c r="M2213" s="5"/>
      <c r="N2213" s="5"/>
      <c r="O2213" s="5"/>
      <c r="P2213" s="5"/>
      <c r="Q2213" s="5"/>
      <c r="AL2213" s="7" t="str">
        <f>HYPERLINK("http://dx.doi.org/10.1002/eco.2078","http://dx.doi.org/10.1002/eco.2078")</f>
        <v>http://dx.doi.org/10.1002/eco.2078</v>
      </c>
      <c r="AM2213" s="5">
        <v>16</v>
      </c>
      <c r="AN2213" s="5">
        <v>17</v>
      </c>
      <c r="AO2213" s="5">
        <v>12</v>
      </c>
      <c r="AP2213" s="5">
        <v>3</v>
      </c>
      <c r="AQ2213" s="5" t="s">
        <v>16</v>
      </c>
      <c r="AR2213" s="5" t="s">
        <v>16</v>
      </c>
      <c r="AS2213" s="5" t="s">
        <v>13260</v>
      </c>
      <c r="AT2213" s="5" t="s">
        <v>13257</v>
      </c>
      <c r="AU2213" s="5" t="s">
        <v>13258</v>
      </c>
      <c r="AV2213" s="5" t="s">
        <v>13261</v>
      </c>
    </row>
    <row r="2214" spans="1:48" ht="45" customHeight="1" x14ac:dyDescent="0.15">
      <c r="A2214" s="5" t="s">
        <v>13262</v>
      </c>
      <c r="B2214" s="5">
        <v>2022</v>
      </c>
      <c r="C2214" s="5" t="s">
        <v>13263</v>
      </c>
      <c r="D2214" s="5" t="s">
        <v>973</v>
      </c>
      <c r="E2214" s="5" t="s">
        <v>18453</v>
      </c>
      <c r="F2214" s="5" t="s">
        <v>13265</v>
      </c>
      <c r="G2214" s="5"/>
      <c r="H2214" s="5"/>
      <c r="I2214" s="5"/>
      <c r="J2214" s="5"/>
      <c r="K2214" s="5"/>
      <c r="L2214" s="5"/>
      <c r="M2214" s="5"/>
      <c r="N2214" s="5"/>
      <c r="O2214" s="5"/>
      <c r="P2214" s="5"/>
      <c r="Q2214" s="5"/>
      <c r="AL2214" s="7" t="str">
        <f>HYPERLINK("http://dx.doi.org/10.5194/bg-19-2729-2022","http://dx.doi.org/10.5194/bg-19-2729-2022")</f>
        <v>http://dx.doi.org/10.5194/bg-19-2729-2022</v>
      </c>
      <c r="AM2214" s="5">
        <v>1</v>
      </c>
      <c r="AN2214" s="5">
        <v>1</v>
      </c>
      <c r="AO2214" s="5">
        <v>19</v>
      </c>
      <c r="AP2214" s="5">
        <v>10</v>
      </c>
      <c r="AQ2214" s="5">
        <v>2729</v>
      </c>
      <c r="AR2214" s="5">
        <v>2740</v>
      </c>
      <c r="AS2214" s="5" t="s">
        <v>16</v>
      </c>
      <c r="AT2214" s="5" t="s">
        <v>16</v>
      </c>
      <c r="AU2214" s="5" t="s">
        <v>13264</v>
      </c>
      <c r="AV2214" s="5" t="s">
        <v>13266</v>
      </c>
    </row>
    <row r="2215" spans="1:48" ht="45" customHeight="1" x14ac:dyDescent="0.15">
      <c r="A2215" s="5" t="s">
        <v>13267</v>
      </c>
      <c r="B2215" s="5">
        <v>2004</v>
      </c>
      <c r="C2215" s="5" t="s">
        <v>13268</v>
      </c>
      <c r="D2215" s="5" t="s">
        <v>312</v>
      </c>
      <c r="E2215" s="5" t="s">
        <v>18453</v>
      </c>
      <c r="F2215" s="5" t="s">
        <v>13271</v>
      </c>
      <c r="G2215" s="5"/>
      <c r="H2215" s="5"/>
      <c r="I2215" s="5"/>
      <c r="J2215" s="5"/>
      <c r="K2215" s="5"/>
      <c r="L2215" s="5"/>
      <c r="M2215" s="5"/>
      <c r="N2215" s="5"/>
      <c r="O2215" s="5"/>
      <c r="P2215" s="5"/>
      <c r="Q2215" s="5"/>
      <c r="AL2215" s="7" t="str">
        <f>HYPERLINK("http://dx.doi.org/10.1016/j.ecolmodel.2003.09.007","http://dx.doi.org/10.1016/j.ecolmodel.2003.09.007")</f>
        <v>http://dx.doi.org/10.1016/j.ecolmodel.2003.09.007</v>
      </c>
      <c r="AM2215" s="5">
        <v>53</v>
      </c>
      <c r="AN2215" s="5">
        <v>57</v>
      </c>
      <c r="AO2215" s="5">
        <v>172</v>
      </c>
      <c r="AP2215" s="5" t="s">
        <v>3943</v>
      </c>
      <c r="AQ2215" s="5">
        <v>197</v>
      </c>
      <c r="AR2215" s="5">
        <v>212</v>
      </c>
      <c r="AS2215" s="5" t="s">
        <v>16</v>
      </c>
      <c r="AT2215" s="5" t="s">
        <v>13269</v>
      </c>
      <c r="AU2215" s="5" t="s">
        <v>13270</v>
      </c>
      <c r="AV2215" s="5" t="s">
        <v>13272</v>
      </c>
    </row>
    <row r="2216" spans="1:48" ht="45" customHeight="1" x14ac:dyDescent="0.15">
      <c r="A2216" s="5" t="s">
        <v>13273</v>
      </c>
      <c r="B2216" s="5">
        <v>2014</v>
      </c>
      <c r="C2216" s="5" t="s">
        <v>13274</v>
      </c>
      <c r="D2216" s="5" t="s">
        <v>6695</v>
      </c>
      <c r="E2216" s="5" t="s">
        <v>18453</v>
      </c>
      <c r="F2216" s="5" t="s">
        <v>13277</v>
      </c>
      <c r="G2216" s="5"/>
      <c r="H2216" s="5"/>
      <c r="I2216" s="5"/>
      <c r="J2216" s="5"/>
      <c r="K2216" s="5"/>
      <c r="L2216" s="5"/>
      <c r="M2216" s="5"/>
      <c r="N2216" s="5"/>
      <c r="O2216" s="5"/>
      <c r="P2216" s="5"/>
      <c r="Q2216" s="5"/>
      <c r="AL2216" s="7" t="str">
        <f>HYPERLINK("http://dx.doi.org/10.3955/046.088.0405","http://dx.doi.org/10.3955/046.088.0405")</f>
        <v>http://dx.doi.org/10.3955/046.088.0405</v>
      </c>
      <c r="AM2216" s="5">
        <v>9</v>
      </c>
      <c r="AN2216" s="5">
        <v>9</v>
      </c>
      <c r="AO2216" s="5">
        <v>88</v>
      </c>
      <c r="AP2216" s="5">
        <v>4</v>
      </c>
      <c r="AQ2216" s="5">
        <v>305</v>
      </c>
      <c r="AR2216" s="5">
        <v>313</v>
      </c>
      <c r="AS2216" s="5" t="s">
        <v>16</v>
      </c>
      <c r="AT2216" s="5" t="s">
        <v>13275</v>
      </c>
      <c r="AU2216" s="5" t="s">
        <v>13276</v>
      </c>
      <c r="AV2216" s="5" t="s">
        <v>13278</v>
      </c>
    </row>
    <row r="2217" spans="1:48" ht="45" customHeight="1" x14ac:dyDescent="0.15">
      <c r="A2217" s="5" t="s">
        <v>13279</v>
      </c>
      <c r="B2217" s="5">
        <v>2020</v>
      </c>
      <c r="C2217" s="5" t="s">
        <v>13280</v>
      </c>
      <c r="D2217" s="5" t="s">
        <v>190</v>
      </c>
      <c r="E2217" s="5" t="s">
        <v>18453</v>
      </c>
      <c r="F2217" s="5" t="s">
        <v>13283</v>
      </c>
      <c r="G2217" s="5"/>
      <c r="H2217" s="5"/>
      <c r="I2217" s="5"/>
      <c r="J2217" s="5"/>
      <c r="K2217" s="5"/>
      <c r="L2217" s="5"/>
      <c r="M2217" s="5"/>
      <c r="N2217" s="5"/>
      <c r="O2217" s="5"/>
      <c r="P2217" s="5"/>
      <c r="Q2217" s="5"/>
      <c r="AL2217" s="7" t="str">
        <f>HYPERLINK("http://dx.doi.org/10.1007/s10530-019-02194-4","http://dx.doi.org/10.1007/s10530-019-02194-4")</f>
        <v>http://dx.doi.org/10.1007/s10530-019-02194-4</v>
      </c>
      <c r="AM2217" s="5">
        <v>10</v>
      </c>
      <c r="AN2217" s="5">
        <v>10</v>
      </c>
      <c r="AO2217" s="5">
        <v>22</v>
      </c>
      <c r="AP2217" s="5">
        <v>4</v>
      </c>
      <c r="AQ2217" s="5">
        <v>1265</v>
      </c>
      <c r="AR2217" s="5">
        <v>1278</v>
      </c>
      <c r="AS2217" s="5" t="s">
        <v>16</v>
      </c>
      <c r="AT2217" s="5" t="s">
        <v>13281</v>
      </c>
      <c r="AU2217" s="5" t="s">
        <v>13282</v>
      </c>
      <c r="AV2217" s="5" t="s">
        <v>13284</v>
      </c>
    </row>
    <row r="2218" spans="1:48" ht="45" customHeight="1" x14ac:dyDescent="0.15">
      <c r="A2218" s="5" t="s">
        <v>13285</v>
      </c>
      <c r="B2218" s="5">
        <v>2019</v>
      </c>
      <c r="C2218" s="5" t="s">
        <v>13286</v>
      </c>
      <c r="D2218" s="5" t="s">
        <v>49</v>
      </c>
      <c r="E2218" s="5" t="s">
        <v>18453</v>
      </c>
      <c r="F2218" s="5" t="s">
        <v>13289</v>
      </c>
      <c r="G2218" s="5"/>
      <c r="H2218" s="5"/>
      <c r="I2218" s="5"/>
      <c r="J2218" s="5"/>
      <c r="K2218" s="5"/>
      <c r="L2218" s="5"/>
      <c r="M2218" s="5"/>
      <c r="N2218" s="5"/>
      <c r="O2218" s="5"/>
      <c r="P2218" s="5"/>
      <c r="Q2218" s="5"/>
      <c r="AL2218" s="7" t="str">
        <f>HYPERLINK("http://dx.doi.org/10.3354/meps12798","http://dx.doi.org/10.3354/meps12798")</f>
        <v>http://dx.doi.org/10.3354/meps12798</v>
      </c>
      <c r="AM2218" s="5">
        <v>6</v>
      </c>
      <c r="AN2218" s="5">
        <v>6</v>
      </c>
      <c r="AO2218" s="5">
        <v>608</v>
      </c>
      <c r="AP2218" s="5" t="s">
        <v>16</v>
      </c>
      <c r="AQ2218" s="5">
        <v>221</v>
      </c>
      <c r="AR2218" s="5">
        <v>232</v>
      </c>
      <c r="AS2218" s="5" t="s">
        <v>16</v>
      </c>
      <c r="AT2218" s="5" t="s">
        <v>13287</v>
      </c>
      <c r="AU2218" s="5" t="s">
        <v>13288</v>
      </c>
      <c r="AV2218" s="5" t="s">
        <v>13290</v>
      </c>
    </row>
    <row r="2219" spans="1:48" ht="45" customHeight="1" x14ac:dyDescent="0.15">
      <c r="A2219" s="5" t="s">
        <v>13291</v>
      </c>
      <c r="B2219" s="5">
        <v>2020</v>
      </c>
      <c r="C2219" s="5" t="s">
        <v>13292</v>
      </c>
      <c r="D2219" s="5" t="s">
        <v>49</v>
      </c>
      <c r="E2219" s="5" t="s">
        <v>18453</v>
      </c>
      <c r="F2219" s="5" t="s">
        <v>13295</v>
      </c>
      <c r="G2219" s="5"/>
      <c r="H2219" s="5"/>
      <c r="I2219" s="5"/>
      <c r="J2219" s="5"/>
      <c r="K2219" s="5"/>
      <c r="L2219" s="5"/>
      <c r="M2219" s="5"/>
      <c r="N2219" s="5"/>
      <c r="O2219" s="5"/>
      <c r="P2219" s="5"/>
      <c r="Q2219" s="5"/>
      <c r="AL2219" s="7" t="str">
        <f>HYPERLINK("http://dx.doi.org/10.3354/meps13289","http://dx.doi.org/10.3354/meps13289")</f>
        <v>http://dx.doi.org/10.3354/meps13289</v>
      </c>
      <c r="AM2219" s="5">
        <v>8</v>
      </c>
      <c r="AN2219" s="5">
        <v>8</v>
      </c>
      <c r="AO2219" s="5">
        <v>640</v>
      </c>
      <c r="AP2219" s="5" t="s">
        <v>16</v>
      </c>
      <c r="AQ2219" s="5">
        <v>215</v>
      </c>
      <c r="AR2219" s="5">
        <v>230</v>
      </c>
      <c r="AS2219" s="5" t="s">
        <v>16</v>
      </c>
      <c r="AT2219" s="5" t="s">
        <v>13293</v>
      </c>
      <c r="AU2219" s="5" t="s">
        <v>13294</v>
      </c>
      <c r="AV2219" s="5" t="s">
        <v>13296</v>
      </c>
    </row>
    <row r="2220" spans="1:48" ht="45" customHeight="1" x14ac:dyDescent="0.15">
      <c r="A2220" s="5" t="s">
        <v>13297</v>
      </c>
      <c r="B2220" s="5">
        <v>2011</v>
      </c>
      <c r="C2220" s="5" t="s">
        <v>13298</v>
      </c>
      <c r="D2220" s="5" t="s">
        <v>49</v>
      </c>
      <c r="E2220" s="5" t="s">
        <v>18453</v>
      </c>
      <c r="F2220" s="5" t="s">
        <v>13301</v>
      </c>
      <c r="G2220" s="5"/>
      <c r="H2220" s="5"/>
      <c r="I2220" s="5"/>
      <c r="J2220" s="5"/>
      <c r="K2220" s="5"/>
      <c r="L2220" s="5"/>
      <c r="M2220" s="5"/>
      <c r="N2220" s="5"/>
      <c r="O2220" s="5"/>
      <c r="P2220" s="5"/>
      <c r="Q2220" s="5"/>
      <c r="AL2220" s="7" t="str">
        <f>HYPERLINK("http://dx.doi.org/10.3354/meps09338","http://dx.doi.org/10.3354/meps09338")</f>
        <v>http://dx.doi.org/10.3354/meps09338</v>
      </c>
      <c r="AM2220" s="5">
        <v>19</v>
      </c>
      <c r="AN2220" s="5">
        <v>19</v>
      </c>
      <c r="AO2220" s="5">
        <v>439</v>
      </c>
      <c r="AP2220" s="5" t="s">
        <v>16</v>
      </c>
      <c r="AQ2220" s="5">
        <v>203</v>
      </c>
      <c r="AR2220" s="5">
        <v>212</v>
      </c>
      <c r="AS2220" s="5" t="s">
        <v>16</v>
      </c>
      <c r="AT2220" s="5" t="s">
        <v>13299</v>
      </c>
      <c r="AU2220" s="5" t="s">
        <v>13300</v>
      </c>
      <c r="AV2220" s="5" t="s">
        <v>13302</v>
      </c>
    </row>
    <row r="2221" spans="1:48" ht="45" customHeight="1" x14ac:dyDescent="0.15">
      <c r="A2221" s="5" t="s">
        <v>13303</v>
      </c>
      <c r="B2221" s="5">
        <v>2022</v>
      </c>
      <c r="C2221" s="5" t="s">
        <v>13304</v>
      </c>
      <c r="D2221" s="5" t="s">
        <v>18</v>
      </c>
      <c r="E2221" s="5" t="s">
        <v>18453</v>
      </c>
      <c r="F2221" s="5" t="s">
        <v>13307</v>
      </c>
      <c r="G2221" s="5"/>
      <c r="H2221" s="5"/>
      <c r="I2221" s="5"/>
      <c r="J2221" s="5"/>
      <c r="K2221" s="5"/>
      <c r="L2221" s="5"/>
      <c r="M2221" s="5"/>
      <c r="N2221" s="5"/>
      <c r="O2221" s="5"/>
      <c r="P2221" s="5"/>
      <c r="Q2221" s="5"/>
      <c r="AL2221" s="7" t="str">
        <f>HYPERLINK("http://dx.doi.org/10.1002/ecs2.3881","http://dx.doi.org/10.1002/ecs2.3881")</f>
        <v>http://dx.doi.org/10.1002/ecs2.3881</v>
      </c>
      <c r="AM2221" s="5">
        <v>6</v>
      </c>
      <c r="AN2221" s="5">
        <v>6</v>
      </c>
      <c r="AO2221" s="5">
        <v>13</v>
      </c>
      <c r="AP2221" s="5">
        <v>1</v>
      </c>
      <c r="AQ2221" s="5" t="s">
        <v>16</v>
      </c>
      <c r="AR2221" s="5" t="s">
        <v>16</v>
      </c>
      <c r="AS2221" s="5" t="s">
        <v>13308</v>
      </c>
      <c r="AT2221" s="5" t="s">
        <v>13305</v>
      </c>
      <c r="AU2221" s="5" t="s">
        <v>13306</v>
      </c>
      <c r="AV2221" s="5" t="s">
        <v>13309</v>
      </c>
    </row>
    <row r="2222" spans="1:48" ht="45" customHeight="1" x14ac:dyDescent="0.15">
      <c r="A2222" s="5" t="s">
        <v>13310</v>
      </c>
      <c r="B2222" s="5">
        <v>2022</v>
      </c>
      <c r="C2222" s="5" t="s">
        <v>13311</v>
      </c>
      <c r="D2222" s="5" t="s">
        <v>2087</v>
      </c>
      <c r="E2222" s="5" t="s">
        <v>18453</v>
      </c>
      <c r="F2222" s="5" t="s">
        <v>13314</v>
      </c>
      <c r="G2222" s="5"/>
      <c r="H2222" s="5"/>
      <c r="I2222" s="5"/>
      <c r="J2222" s="5"/>
      <c r="K2222" s="5"/>
      <c r="L2222" s="5"/>
      <c r="M2222" s="5"/>
      <c r="N2222" s="5"/>
      <c r="O2222" s="5"/>
      <c r="P2222" s="5"/>
      <c r="Q2222" s="5"/>
      <c r="AL2222" s="7" t="str">
        <f>HYPERLINK("http://dx.doi.org/10.1002/eco.2402","http://dx.doi.org/10.1002/eco.2402")</f>
        <v>http://dx.doi.org/10.1002/eco.2402</v>
      </c>
      <c r="AM2222" s="5">
        <v>0</v>
      </c>
      <c r="AN2222" s="5">
        <v>0</v>
      </c>
      <c r="AO2222" s="5">
        <v>15</v>
      </c>
      <c r="AP2222" s="5">
        <v>3</v>
      </c>
      <c r="AQ2222" s="5" t="s">
        <v>16</v>
      </c>
      <c r="AR2222" s="5" t="s">
        <v>16</v>
      </c>
      <c r="AS2222" s="5" t="s">
        <v>13315</v>
      </c>
      <c r="AT2222" s="5" t="s">
        <v>13312</v>
      </c>
      <c r="AU2222" s="5" t="s">
        <v>13313</v>
      </c>
      <c r="AV2222" s="5" t="s">
        <v>13316</v>
      </c>
    </row>
    <row r="2223" spans="1:48" ht="45" customHeight="1" x14ac:dyDescent="0.15">
      <c r="A2223" s="5" t="s">
        <v>13317</v>
      </c>
      <c r="B2223" s="5">
        <v>2020</v>
      </c>
      <c r="C2223" s="5" t="s">
        <v>13318</v>
      </c>
      <c r="D2223" s="5" t="s">
        <v>2450</v>
      </c>
      <c r="E2223" s="5" t="s">
        <v>18453</v>
      </c>
      <c r="F2223" s="5" t="s">
        <v>13321</v>
      </c>
      <c r="G2223" s="5"/>
      <c r="H2223" s="5"/>
      <c r="I2223" s="5"/>
      <c r="J2223" s="5"/>
      <c r="K2223" s="5"/>
      <c r="L2223" s="5"/>
      <c r="M2223" s="5"/>
      <c r="N2223" s="5"/>
      <c r="O2223" s="5"/>
      <c r="P2223" s="5"/>
      <c r="Q2223" s="5"/>
      <c r="AL2223" s="7" t="str">
        <f>HYPERLINK("http://dx.doi.org/10.1016/j.baae.2020.04.006","http://dx.doi.org/10.1016/j.baae.2020.04.006")</f>
        <v>http://dx.doi.org/10.1016/j.baae.2020.04.006</v>
      </c>
      <c r="AM2223" s="5">
        <v>8</v>
      </c>
      <c r="AN2223" s="5">
        <v>8</v>
      </c>
      <c r="AO2223" s="5">
        <v>47</v>
      </c>
      <c r="AP2223" s="5" t="s">
        <v>16</v>
      </c>
      <c r="AQ2223" s="5">
        <v>83</v>
      </c>
      <c r="AR2223" s="5">
        <v>94</v>
      </c>
      <c r="AS2223" s="5" t="s">
        <v>16</v>
      </c>
      <c r="AT2223" s="5" t="s">
        <v>13319</v>
      </c>
      <c r="AU2223" s="5" t="s">
        <v>13320</v>
      </c>
      <c r="AV2223" s="5" t="s">
        <v>13322</v>
      </c>
    </row>
    <row r="2224" spans="1:48" ht="45" customHeight="1" x14ac:dyDescent="0.15">
      <c r="A2224" s="5" t="s">
        <v>13323</v>
      </c>
      <c r="B2224" s="5">
        <v>2019</v>
      </c>
      <c r="C2224" s="5" t="s">
        <v>13324</v>
      </c>
      <c r="D2224" s="5" t="s">
        <v>111</v>
      </c>
      <c r="E2224" s="5" t="s">
        <v>18453</v>
      </c>
      <c r="F2224" s="5" t="s">
        <v>13327</v>
      </c>
      <c r="G2224" s="5"/>
      <c r="H2224" s="5"/>
      <c r="I2224" s="5"/>
      <c r="J2224" s="5"/>
      <c r="K2224" s="5"/>
      <c r="L2224" s="5"/>
      <c r="M2224" s="5"/>
      <c r="N2224" s="5"/>
      <c r="O2224" s="5"/>
      <c r="P2224" s="5"/>
      <c r="Q2224" s="5"/>
      <c r="AL2224" s="7" t="str">
        <f>HYPERLINK("http://dx.doi.org/10.1007/s10452-019-09685-5","http://dx.doi.org/10.1007/s10452-019-09685-5")</f>
        <v>http://dx.doi.org/10.1007/s10452-019-09685-5</v>
      </c>
      <c r="AM2224" s="5">
        <v>13</v>
      </c>
      <c r="AN2224" s="5">
        <v>13</v>
      </c>
      <c r="AO2224" s="5">
        <v>53</v>
      </c>
      <c r="AP2224" s="5">
        <v>2</v>
      </c>
      <c r="AQ2224" s="5">
        <v>233</v>
      </c>
      <c r="AR2224" s="5">
        <v>250</v>
      </c>
      <c r="AS2224" s="5" t="s">
        <v>16</v>
      </c>
      <c r="AT2224" s="5" t="s">
        <v>13325</v>
      </c>
      <c r="AU2224" s="5" t="s">
        <v>13326</v>
      </c>
      <c r="AV2224" s="5" t="s">
        <v>13328</v>
      </c>
    </row>
    <row r="2225" spans="1:48" ht="45" customHeight="1" x14ac:dyDescent="0.15">
      <c r="A2225" s="5" t="s">
        <v>13329</v>
      </c>
      <c r="B2225" s="5">
        <v>2007</v>
      </c>
      <c r="C2225" s="5" t="s">
        <v>13330</v>
      </c>
      <c r="D2225" s="5" t="s">
        <v>77</v>
      </c>
      <c r="E2225" s="5" t="s">
        <v>18453</v>
      </c>
      <c r="F2225" s="5" t="s">
        <v>13333</v>
      </c>
      <c r="G2225" s="5"/>
      <c r="H2225" s="5"/>
      <c r="I2225" s="5"/>
      <c r="J2225" s="5"/>
      <c r="K2225" s="5"/>
      <c r="L2225" s="5"/>
      <c r="M2225" s="5"/>
      <c r="N2225" s="5"/>
      <c r="O2225" s="5"/>
      <c r="P2225" s="5"/>
      <c r="Q2225" s="5"/>
      <c r="AL2225" s="7" t="str">
        <f>HYPERLINK("http://dx.doi.org/10.1111/j.1365-2656.2007.01278.x","http://dx.doi.org/10.1111/j.1365-2656.2007.01278.x")</f>
        <v>http://dx.doi.org/10.1111/j.1365-2656.2007.01278.x</v>
      </c>
      <c r="AM2225" s="5">
        <v>45</v>
      </c>
      <c r="AN2225" s="5">
        <v>48</v>
      </c>
      <c r="AO2225" s="5">
        <v>76</v>
      </c>
      <c r="AP2225" s="5">
        <v>5</v>
      </c>
      <c r="AQ2225" s="5">
        <v>873</v>
      </c>
      <c r="AR2225" s="5">
        <v>880</v>
      </c>
      <c r="AS2225" s="5" t="s">
        <v>16</v>
      </c>
      <c r="AT2225" s="5" t="s">
        <v>13331</v>
      </c>
      <c r="AU2225" s="5" t="s">
        <v>13332</v>
      </c>
      <c r="AV2225" s="5" t="s">
        <v>13334</v>
      </c>
    </row>
    <row r="2226" spans="1:48" ht="45" customHeight="1" x14ac:dyDescent="0.15">
      <c r="A2226" s="5" t="s">
        <v>13335</v>
      </c>
      <c r="B2226" s="5">
        <v>2017</v>
      </c>
      <c r="C2226" s="5" t="s">
        <v>13336</v>
      </c>
      <c r="D2226" s="5" t="s">
        <v>49</v>
      </c>
      <c r="E2226" s="5" t="s">
        <v>18453</v>
      </c>
      <c r="F2226" s="5" t="s">
        <v>13339</v>
      </c>
      <c r="G2226" s="5"/>
      <c r="H2226" s="5"/>
      <c r="I2226" s="5"/>
      <c r="J2226" s="5"/>
      <c r="K2226" s="5"/>
      <c r="L2226" s="5"/>
      <c r="M2226" s="5"/>
      <c r="N2226" s="5"/>
      <c r="O2226" s="5"/>
      <c r="P2226" s="5"/>
      <c r="Q2226" s="5"/>
      <c r="AL2226" s="7" t="str">
        <f>HYPERLINK("http://dx.doi.org/10.3354/meps12112","http://dx.doi.org/10.3354/meps12112")</f>
        <v>http://dx.doi.org/10.3354/meps12112</v>
      </c>
      <c r="AM2226" s="5">
        <v>7</v>
      </c>
      <c r="AN2226" s="5">
        <v>7</v>
      </c>
      <c r="AO2226" s="5">
        <v>570</v>
      </c>
      <c r="AP2226" s="5" t="s">
        <v>16</v>
      </c>
      <c r="AQ2226" s="5">
        <v>57</v>
      </c>
      <c r="AR2226" s="5">
        <v>70</v>
      </c>
      <c r="AS2226" s="5" t="s">
        <v>16</v>
      </c>
      <c r="AT2226" s="5" t="s">
        <v>13337</v>
      </c>
      <c r="AU2226" s="5" t="s">
        <v>13338</v>
      </c>
      <c r="AV2226" s="5" t="s">
        <v>13340</v>
      </c>
    </row>
    <row r="2227" spans="1:48" ht="45" customHeight="1" x14ac:dyDescent="0.15">
      <c r="A2227" s="5" t="s">
        <v>13341</v>
      </c>
      <c r="B2227" s="5">
        <v>2016</v>
      </c>
      <c r="C2227" s="5" t="s">
        <v>13342</v>
      </c>
      <c r="D2227" s="5" t="s">
        <v>2087</v>
      </c>
      <c r="E2227" s="5" t="s">
        <v>18453</v>
      </c>
      <c r="F2227" s="5" t="s">
        <v>13345</v>
      </c>
      <c r="G2227" s="5"/>
      <c r="H2227" s="5"/>
      <c r="I2227" s="5"/>
      <c r="J2227" s="5"/>
      <c r="K2227" s="5"/>
      <c r="L2227" s="5"/>
      <c r="M2227" s="5"/>
      <c r="N2227" s="5"/>
      <c r="O2227" s="5"/>
      <c r="P2227" s="5"/>
      <c r="Q2227" s="5"/>
      <c r="AL2227" s="7" t="str">
        <f>HYPERLINK("http://dx.doi.org/10.1002/eco.1692","http://dx.doi.org/10.1002/eco.1692")</f>
        <v>http://dx.doi.org/10.1002/eco.1692</v>
      </c>
      <c r="AM2227" s="5">
        <v>7</v>
      </c>
      <c r="AN2227" s="5">
        <v>8</v>
      </c>
      <c r="AO2227" s="5">
        <v>9</v>
      </c>
      <c r="AP2227" s="5">
        <v>6</v>
      </c>
      <c r="AQ2227" s="5">
        <v>950</v>
      </c>
      <c r="AR2227" s="5">
        <v>963</v>
      </c>
      <c r="AS2227" s="5" t="s">
        <v>16</v>
      </c>
      <c r="AT2227" s="5" t="s">
        <v>13343</v>
      </c>
      <c r="AU2227" s="5" t="s">
        <v>13344</v>
      </c>
      <c r="AV2227" s="5" t="s">
        <v>13346</v>
      </c>
    </row>
    <row r="2228" spans="1:48" ht="45" customHeight="1" x14ac:dyDescent="0.15">
      <c r="A2228" s="5" t="s">
        <v>13347</v>
      </c>
      <c r="B2228" s="5">
        <v>2022</v>
      </c>
      <c r="C2228" s="5" t="s">
        <v>13348</v>
      </c>
      <c r="D2228" s="5" t="s">
        <v>27</v>
      </c>
      <c r="E2228" s="5" t="s">
        <v>18453</v>
      </c>
      <c r="F2228" s="5" t="s">
        <v>13350</v>
      </c>
      <c r="G2228" s="5"/>
      <c r="H2228" s="5"/>
      <c r="I2228" s="5"/>
      <c r="J2228" s="5"/>
      <c r="K2228" s="5"/>
      <c r="L2228" s="5"/>
      <c r="M2228" s="5"/>
      <c r="N2228" s="5"/>
      <c r="O2228" s="5"/>
      <c r="P2228" s="5"/>
      <c r="Q2228" s="5"/>
      <c r="AL2228" s="7" t="str">
        <f>HYPERLINK("http://dx.doi.org/10.1002/ecy.3708","http://dx.doi.org/10.1002/ecy.3708")</f>
        <v>http://dx.doi.org/10.1002/ecy.3708</v>
      </c>
      <c r="AM2228" s="5">
        <v>0</v>
      </c>
      <c r="AN2228" s="5">
        <v>0</v>
      </c>
      <c r="AO2228" s="5">
        <v>103</v>
      </c>
      <c r="AP2228" s="5">
        <v>8</v>
      </c>
      <c r="AQ2228" s="5" t="s">
        <v>16</v>
      </c>
      <c r="AR2228" s="5" t="s">
        <v>16</v>
      </c>
      <c r="AS2228" s="5" t="s">
        <v>13351</v>
      </c>
      <c r="AT2228" s="5" t="s">
        <v>13349</v>
      </c>
      <c r="AU2228" s="5" t="s">
        <v>16</v>
      </c>
      <c r="AV2228" s="5" t="s">
        <v>13352</v>
      </c>
    </row>
    <row r="2229" spans="1:48" ht="45" customHeight="1" x14ac:dyDescent="0.15">
      <c r="A2229" s="5" t="s">
        <v>13353</v>
      </c>
      <c r="B2229" s="5">
        <v>2015</v>
      </c>
      <c r="C2229" s="5" t="s">
        <v>13354</v>
      </c>
      <c r="D2229" s="5" t="s">
        <v>2020</v>
      </c>
      <c r="E2229" s="5" t="s">
        <v>18453</v>
      </c>
      <c r="F2229" s="5" t="s">
        <v>13357</v>
      </c>
      <c r="G2229" s="5"/>
      <c r="H2229" s="5"/>
      <c r="I2229" s="5"/>
      <c r="J2229" s="5"/>
      <c r="K2229" s="5"/>
      <c r="L2229" s="5"/>
      <c r="M2229" s="5"/>
      <c r="N2229" s="5"/>
      <c r="O2229" s="5"/>
      <c r="P2229" s="5"/>
      <c r="Q2229" s="5"/>
      <c r="AL2229" s="7" t="str">
        <f>HYPERLINK("http://dx.doi.org/10.5751/ES-07694-200311","http://dx.doi.org/10.5751/ES-07694-200311")</f>
        <v>http://dx.doi.org/10.5751/ES-07694-200311</v>
      </c>
      <c r="AM2229" s="5">
        <v>16</v>
      </c>
      <c r="AN2229" s="5">
        <v>16</v>
      </c>
      <c r="AO2229" s="5">
        <v>20</v>
      </c>
      <c r="AP2229" s="5">
        <v>3</v>
      </c>
      <c r="AQ2229" s="5" t="s">
        <v>16</v>
      </c>
      <c r="AR2229" s="5" t="s">
        <v>16</v>
      </c>
      <c r="AS2229" s="5">
        <v>11</v>
      </c>
      <c r="AT2229" s="5" t="s">
        <v>13355</v>
      </c>
      <c r="AU2229" s="5" t="s">
        <v>13356</v>
      </c>
      <c r="AV2229" s="5" t="s">
        <v>13358</v>
      </c>
    </row>
    <row r="2230" spans="1:48" ht="45" customHeight="1" x14ac:dyDescent="0.15">
      <c r="A2230" s="5" t="s">
        <v>13359</v>
      </c>
      <c r="B2230" s="5">
        <v>2010</v>
      </c>
      <c r="C2230" s="5" t="s">
        <v>13360</v>
      </c>
      <c r="D2230" s="5" t="s">
        <v>62</v>
      </c>
      <c r="E2230" s="5" t="s">
        <v>18453</v>
      </c>
      <c r="F2230" s="5" t="s">
        <v>13363</v>
      </c>
      <c r="G2230" s="5"/>
      <c r="H2230" s="5"/>
      <c r="I2230" s="5"/>
      <c r="J2230" s="5"/>
      <c r="K2230" s="5"/>
      <c r="L2230" s="5"/>
      <c r="M2230" s="5"/>
      <c r="N2230" s="5"/>
      <c r="O2230" s="5"/>
      <c r="P2230" s="5"/>
      <c r="Q2230" s="5"/>
      <c r="AL2230" s="7" t="str">
        <f>HYPERLINK("http://dx.doi.org/10.1007/s10021-010-9316-7","http://dx.doi.org/10.1007/s10021-010-9316-7")</f>
        <v>http://dx.doi.org/10.1007/s10021-010-9316-7</v>
      </c>
      <c r="AM2230" s="5">
        <v>22</v>
      </c>
      <c r="AN2230" s="5">
        <v>24</v>
      </c>
      <c r="AO2230" s="5">
        <v>13</v>
      </c>
      <c r="AP2230" s="5">
        <v>2</v>
      </c>
      <c r="AQ2230" s="5">
        <v>261</v>
      </c>
      <c r="AR2230" s="5">
        <v>274</v>
      </c>
      <c r="AS2230" s="5" t="s">
        <v>16</v>
      </c>
      <c r="AT2230" s="5" t="s">
        <v>13361</v>
      </c>
      <c r="AU2230" s="5" t="s">
        <v>13362</v>
      </c>
      <c r="AV2230" s="5" t="s">
        <v>13364</v>
      </c>
    </row>
    <row r="2231" spans="1:48" ht="45" customHeight="1" x14ac:dyDescent="0.15">
      <c r="A2231" s="5" t="s">
        <v>13365</v>
      </c>
      <c r="B2231" s="5">
        <v>2006</v>
      </c>
      <c r="C2231" s="5" t="s">
        <v>13366</v>
      </c>
      <c r="D2231" s="5" t="s">
        <v>49</v>
      </c>
      <c r="E2231" s="5" t="s">
        <v>18453</v>
      </c>
      <c r="F2231" s="5" t="s">
        <v>13369</v>
      </c>
      <c r="G2231" s="5"/>
      <c r="H2231" s="5"/>
      <c r="I2231" s="5"/>
      <c r="J2231" s="5"/>
      <c r="K2231" s="5"/>
      <c r="L2231" s="5"/>
      <c r="M2231" s="5"/>
      <c r="N2231" s="5"/>
      <c r="O2231" s="5"/>
      <c r="P2231" s="5"/>
      <c r="Q2231" s="5"/>
      <c r="AL2231" s="7" t="str">
        <f>HYPERLINK("http://dx.doi.org/10.3354/meps308271","http://dx.doi.org/10.3354/meps308271")</f>
        <v>http://dx.doi.org/10.3354/meps308271</v>
      </c>
      <c r="AM2231" s="5">
        <v>92</v>
      </c>
      <c r="AN2231" s="5">
        <v>96</v>
      </c>
      <c r="AO2231" s="5">
        <v>308</v>
      </c>
      <c r="AP2231" s="5" t="s">
        <v>16</v>
      </c>
      <c r="AQ2231" s="5">
        <v>271</v>
      </c>
      <c r="AR2231" s="5">
        <v>278</v>
      </c>
      <c r="AS2231" s="5" t="s">
        <v>16</v>
      </c>
      <c r="AT2231" s="5" t="s">
        <v>13367</v>
      </c>
      <c r="AU2231" s="5" t="s">
        <v>13368</v>
      </c>
      <c r="AV2231" s="5" t="s">
        <v>13370</v>
      </c>
    </row>
    <row r="2232" spans="1:48" ht="45" customHeight="1" x14ac:dyDescent="0.15">
      <c r="A2232" s="5" t="s">
        <v>13371</v>
      </c>
      <c r="B2232" s="5">
        <v>2022</v>
      </c>
      <c r="C2232" s="5" t="s">
        <v>13372</v>
      </c>
      <c r="D2232" s="5" t="s">
        <v>6380</v>
      </c>
      <c r="E2232" s="5" t="s">
        <v>18453</v>
      </c>
      <c r="F2232" s="5" t="s">
        <v>13374</v>
      </c>
      <c r="G2232" s="5"/>
      <c r="H2232" s="5"/>
      <c r="I2232" s="5"/>
      <c r="J2232" s="5"/>
      <c r="K2232" s="5"/>
      <c r="L2232" s="5"/>
      <c r="M2232" s="5"/>
      <c r="N2232" s="5"/>
      <c r="O2232" s="5"/>
      <c r="P2232" s="5"/>
      <c r="Q2232" s="5"/>
      <c r="AL2232" s="7" t="str">
        <f>HYPERLINK("http://dx.doi.org/10.1017/pab.2022.10","http://dx.doi.org/10.1017/pab.2022.10")</f>
        <v>http://dx.doi.org/10.1017/pab.2022.10</v>
      </c>
      <c r="AM2232" s="5">
        <v>0</v>
      </c>
      <c r="AN2232" s="5">
        <v>0</v>
      </c>
      <c r="AO2232" s="5">
        <v>48</v>
      </c>
      <c r="AP2232" s="5">
        <v>3</v>
      </c>
      <c r="AQ2232" s="5">
        <v>513</v>
      </c>
      <c r="AR2232" s="5">
        <v>526</v>
      </c>
      <c r="AS2232" s="5" t="s">
        <v>13375</v>
      </c>
      <c r="AT2232" s="5" t="s">
        <v>16</v>
      </c>
      <c r="AU2232" s="5" t="s">
        <v>13373</v>
      </c>
      <c r="AV2232" s="5" t="s">
        <v>13376</v>
      </c>
    </row>
    <row r="2233" spans="1:48" ht="45" customHeight="1" x14ac:dyDescent="0.15">
      <c r="A2233" s="5" t="s">
        <v>13377</v>
      </c>
      <c r="B2233" s="5">
        <v>2013</v>
      </c>
      <c r="C2233" s="5" t="s">
        <v>13378</v>
      </c>
      <c r="D2233" s="5" t="s">
        <v>312</v>
      </c>
      <c r="E2233" s="5" t="s">
        <v>18453</v>
      </c>
      <c r="F2233" s="5" t="s">
        <v>13381</v>
      </c>
      <c r="G2233" s="5"/>
      <c r="H2233" s="5"/>
      <c r="I2233" s="5"/>
      <c r="J2233" s="5"/>
      <c r="K2233" s="5"/>
      <c r="L2233" s="5"/>
      <c r="M2233" s="5"/>
      <c r="N2233" s="5"/>
      <c r="O2233" s="5"/>
      <c r="P2233" s="5"/>
      <c r="Q2233" s="5"/>
      <c r="AL2233" s="7" t="str">
        <f>HYPERLINK("http://dx.doi.org/10.1016/j.ecolmodel.2013.01.011","http://dx.doi.org/10.1016/j.ecolmodel.2013.01.011")</f>
        <v>http://dx.doi.org/10.1016/j.ecolmodel.2013.01.011</v>
      </c>
      <c r="AM2233" s="5">
        <v>20</v>
      </c>
      <c r="AN2233" s="5">
        <v>20</v>
      </c>
      <c r="AO2233" s="5">
        <v>254</v>
      </c>
      <c r="AP2233" s="5" t="s">
        <v>16</v>
      </c>
      <c r="AQ2233" s="5">
        <v>1</v>
      </c>
      <c r="AR2233" s="5">
        <v>14</v>
      </c>
      <c r="AS2233" s="5" t="s">
        <v>16</v>
      </c>
      <c r="AT2233" s="5" t="s">
        <v>13379</v>
      </c>
      <c r="AU2233" s="5" t="s">
        <v>13380</v>
      </c>
      <c r="AV2233" s="5" t="s">
        <v>13382</v>
      </c>
    </row>
    <row r="2234" spans="1:48" ht="45" customHeight="1" x14ac:dyDescent="0.15">
      <c r="A2234" s="5" t="s">
        <v>13383</v>
      </c>
      <c r="B2234" s="5">
        <v>2021</v>
      </c>
      <c r="C2234" s="5" t="s">
        <v>13384</v>
      </c>
      <c r="D2234" s="5" t="s">
        <v>296</v>
      </c>
      <c r="E2234" s="5" t="s">
        <v>18453</v>
      </c>
      <c r="F2234" s="5" t="s">
        <v>13387</v>
      </c>
      <c r="G2234" s="5"/>
      <c r="H2234" s="5"/>
      <c r="I2234" s="5"/>
      <c r="J2234" s="5"/>
      <c r="K2234" s="5"/>
      <c r="L2234" s="5"/>
      <c r="M2234" s="5"/>
      <c r="N2234" s="5"/>
      <c r="O2234" s="5"/>
      <c r="P2234" s="5"/>
      <c r="Q2234" s="5"/>
      <c r="AL2234" s="7" t="str">
        <f>HYPERLINK("http://dx.doi.org/10.1098/rspb.2021.1220","http://dx.doi.org/10.1098/rspb.2021.1220")</f>
        <v>http://dx.doi.org/10.1098/rspb.2021.1220</v>
      </c>
      <c r="AM2234" s="5">
        <v>4</v>
      </c>
      <c r="AN2234" s="5">
        <v>4</v>
      </c>
      <c r="AO2234" s="5">
        <v>288</v>
      </c>
      <c r="AP2234" s="5">
        <v>1955</v>
      </c>
      <c r="AQ2234" s="5" t="s">
        <v>16</v>
      </c>
      <c r="AR2234" s="5" t="s">
        <v>16</v>
      </c>
      <c r="AS2234" s="5">
        <v>20211220</v>
      </c>
      <c r="AT2234" s="5" t="s">
        <v>13385</v>
      </c>
      <c r="AU2234" s="5" t="s">
        <v>13386</v>
      </c>
      <c r="AV2234" s="5" t="s">
        <v>13388</v>
      </c>
    </row>
    <row r="2235" spans="1:48" ht="45" customHeight="1" x14ac:dyDescent="0.15">
      <c r="A2235" s="5" t="s">
        <v>13389</v>
      </c>
      <c r="B2235" s="5">
        <v>2017</v>
      </c>
      <c r="C2235" s="5" t="s">
        <v>13390</v>
      </c>
      <c r="D2235" s="5" t="s">
        <v>973</v>
      </c>
      <c r="E2235" s="5" t="s">
        <v>18453</v>
      </c>
      <c r="F2235" s="5" t="s">
        <v>13392</v>
      </c>
      <c r="G2235" s="5"/>
      <c r="H2235" s="5"/>
      <c r="I2235" s="5"/>
      <c r="J2235" s="5"/>
      <c r="K2235" s="5"/>
      <c r="L2235" s="5"/>
      <c r="M2235" s="5"/>
      <c r="N2235" s="5"/>
      <c r="O2235" s="5"/>
      <c r="P2235" s="5"/>
      <c r="Q2235" s="5"/>
      <c r="AL2235" s="7" t="str">
        <f>HYPERLINK("http://dx.doi.org/10.5194/bg-14-767-2017","http://dx.doi.org/10.5194/bg-14-767-2017")</f>
        <v>http://dx.doi.org/10.5194/bg-14-767-2017</v>
      </c>
      <c r="AM2235" s="5">
        <v>20</v>
      </c>
      <c r="AN2235" s="5">
        <v>24</v>
      </c>
      <c r="AO2235" s="5">
        <v>14</v>
      </c>
      <c r="AP2235" s="5">
        <v>4</v>
      </c>
      <c r="AQ2235" s="5">
        <v>767</v>
      </c>
      <c r="AR2235" s="5">
        <v>779</v>
      </c>
      <c r="AS2235" s="5" t="s">
        <v>16</v>
      </c>
      <c r="AT2235" s="5" t="s">
        <v>16</v>
      </c>
      <c r="AU2235" s="5" t="s">
        <v>13391</v>
      </c>
      <c r="AV2235" s="5" t="s">
        <v>13393</v>
      </c>
    </row>
    <row r="2236" spans="1:48" ht="45" customHeight="1" x14ac:dyDescent="0.15">
      <c r="A2236" s="5" t="s">
        <v>13394</v>
      </c>
      <c r="B2236" s="5">
        <v>2011</v>
      </c>
      <c r="C2236" s="5" t="s">
        <v>13395</v>
      </c>
      <c r="D2236" s="5" t="s">
        <v>33</v>
      </c>
      <c r="E2236" s="5" t="s">
        <v>18453</v>
      </c>
      <c r="F2236" s="5" t="s">
        <v>13398</v>
      </c>
      <c r="G2236" s="5"/>
      <c r="H2236" s="5"/>
      <c r="I2236" s="5"/>
      <c r="J2236" s="5"/>
      <c r="K2236" s="5"/>
      <c r="L2236" s="5"/>
      <c r="M2236" s="5"/>
      <c r="N2236" s="5"/>
      <c r="O2236" s="5"/>
      <c r="P2236" s="5"/>
      <c r="Q2236" s="5"/>
      <c r="AL2236" s="7" t="str">
        <f>HYPERLINK("http://dx.doi.org/10.1111/j.1365-2486.2010.02282.x","http://dx.doi.org/10.1111/j.1365-2486.2010.02282.x")</f>
        <v>http://dx.doi.org/10.1111/j.1365-2486.2010.02282.x</v>
      </c>
      <c r="AM2236" s="5">
        <v>329</v>
      </c>
      <c r="AN2236" s="5">
        <v>356</v>
      </c>
      <c r="AO2236" s="5">
        <v>17</v>
      </c>
      <c r="AP2236" s="5">
        <v>2</v>
      </c>
      <c r="AQ2236" s="5">
        <v>1167</v>
      </c>
      <c r="AR2236" s="5">
        <v>1185</v>
      </c>
      <c r="AS2236" s="5" t="s">
        <v>16</v>
      </c>
      <c r="AT2236" s="5" t="s">
        <v>13396</v>
      </c>
      <c r="AU2236" s="5" t="s">
        <v>13397</v>
      </c>
      <c r="AV2236" s="5" t="s">
        <v>13399</v>
      </c>
    </row>
    <row r="2237" spans="1:48" ht="45" customHeight="1" x14ac:dyDescent="0.15">
      <c r="A2237" s="5" t="s">
        <v>13400</v>
      </c>
      <c r="B2237" s="5">
        <v>2023</v>
      </c>
      <c r="C2237" s="5" t="s">
        <v>13401</v>
      </c>
      <c r="D2237" s="5" t="s">
        <v>172</v>
      </c>
      <c r="E2237" s="5" t="s">
        <v>18453</v>
      </c>
      <c r="F2237" s="5" t="s">
        <v>13404</v>
      </c>
      <c r="G2237" s="5"/>
      <c r="H2237" s="5"/>
      <c r="I2237" s="5"/>
      <c r="J2237" s="5"/>
      <c r="K2237" s="5"/>
      <c r="L2237" s="5"/>
      <c r="M2237" s="5"/>
      <c r="N2237" s="5"/>
      <c r="O2237" s="5"/>
      <c r="P2237" s="5"/>
      <c r="Q2237" s="5"/>
      <c r="AL2237" s="7" t="str">
        <f>HYPERLINK("http://dx.doi.org/10.1007/s00442-022-05312-7","http://dx.doi.org/10.1007/s00442-022-05312-7")</f>
        <v>http://dx.doi.org/10.1007/s00442-022-05312-7</v>
      </c>
      <c r="AM2237" s="5">
        <v>0</v>
      </c>
      <c r="AN2237" s="5">
        <v>0</v>
      </c>
      <c r="AO2237" s="5">
        <v>201</v>
      </c>
      <c r="AP2237" s="5">
        <v>2</v>
      </c>
      <c r="AQ2237" s="5">
        <v>397</v>
      </c>
      <c r="AR2237" s="5">
        <v>408</v>
      </c>
      <c r="AS2237" s="5" t="s">
        <v>16</v>
      </c>
      <c r="AT2237" s="5" t="s">
        <v>13402</v>
      </c>
      <c r="AU2237" s="5" t="s">
        <v>13403</v>
      </c>
      <c r="AV2237" s="5" t="s">
        <v>13405</v>
      </c>
    </row>
    <row r="2238" spans="1:48" ht="45" customHeight="1" x14ac:dyDescent="0.15">
      <c r="A2238" s="5" t="s">
        <v>13406</v>
      </c>
      <c r="B2238" s="5">
        <v>2012</v>
      </c>
      <c r="C2238" s="5" t="s">
        <v>13407</v>
      </c>
      <c r="D2238" s="5" t="s">
        <v>49</v>
      </c>
      <c r="E2238" s="5" t="s">
        <v>18453</v>
      </c>
      <c r="F2238" s="5" t="s">
        <v>13410</v>
      </c>
      <c r="G2238" s="5"/>
      <c r="H2238" s="5"/>
      <c r="I2238" s="5"/>
      <c r="J2238" s="5"/>
      <c r="K2238" s="5"/>
      <c r="L2238" s="5"/>
      <c r="M2238" s="5"/>
      <c r="N2238" s="5"/>
      <c r="O2238" s="5"/>
      <c r="P2238" s="5"/>
      <c r="Q2238" s="5"/>
      <c r="AL2238" s="7" t="str">
        <f>HYPERLINK("http://dx.doi.org/10.3354/meps09461","http://dx.doi.org/10.3354/meps09461")</f>
        <v>http://dx.doi.org/10.3354/meps09461</v>
      </c>
      <c r="AM2238" s="5">
        <v>36</v>
      </c>
      <c r="AN2238" s="5">
        <v>36</v>
      </c>
      <c r="AO2238" s="5">
        <v>445</v>
      </c>
      <c r="AP2238" s="5" t="s">
        <v>16</v>
      </c>
      <c r="AQ2238" s="5">
        <v>65</v>
      </c>
      <c r="AR2238" s="5">
        <v>74</v>
      </c>
      <c r="AS2238" s="5" t="s">
        <v>16</v>
      </c>
      <c r="AT2238" s="5" t="s">
        <v>13408</v>
      </c>
      <c r="AU2238" s="5" t="s">
        <v>13409</v>
      </c>
      <c r="AV2238" s="5" t="s">
        <v>13411</v>
      </c>
    </row>
    <row r="2239" spans="1:48" ht="45" customHeight="1" x14ac:dyDescent="0.15">
      <c r="A2239" s="5" t="s">
        <v>13412</v>
      </c>
      <c r="B2239" s="5">
        <v>2021</v>
      </c>
      <c r="C2239" s="5" t="s">
        <v>13413</v>
      </c>
      <c r="D2239" s="5" t="s">
        <v>190</v>
      </c>
      <c r="E2239" s="5" t="s">
        <v>18453</v>
      </c>
      <c r="F2239" s="5" t="s">
        <v>13416</v>
      </c>
      <c r="G2239" s="5"/>
      <c r="H2239" s="5"/>
      <c r="I2239" s="5"/>
      <c r="J2239" s="5"/>
      <c r="K2239" s="5"/>
      <c r="L2239" s="5"/>
      <c r="M2239" s="5"/>
      <c r="N2239" s="5"/>
      <c r="O2239" s="5"/>
      <c r="P2239" s="5"/>
      <c r="Q2239" s="5"/>
      <c r="AL2239" s="7" t="str">
        <f>HYPERLINK("http://dx.doi.org/10.1007/s10530-021-02553-0","http://dx.doi.org/10.1007/s10530-021-02553-0")</f>
        <v>http://dx.doi.org/10.1007/s10530-021-02553-0</v>
      </c>
      <c r="AM2239" s="5">
        <v>7</v>
      </c>
      <c r="AN2239" s="5">
        <v>7</v>
      </c>
      <c r="AO2239" s="5">
        <v>23</v>
      </c>
      <c r="AP2239" s="5">
        <v>9</v>
      </c>
      <c r="AQ2239" s="5">
        <v>2985</v>
      </c>
      <c r="AR2239" s="5">
        <v>3002</v>
      </c>
      <c r="AS2239" s="5" t="s">
        <v>16</v>
      </c>
      <c r="AT2239" s="5" t="s">
        <v>13414</v>
      </c>
      <c r="AU2239" s="5" t="s">
        <v>13415</v>
      </c>
      <c r="AV2239" s="5" t="s">
        <v>13417</v>
      </c>
    </row>
    <row r="2240" spans="1:48" ht="45" customHeight="1" x14ac:dyDescent="0.15">
      <c r="A2240" s="5" t="s">
        <v>13418</v>
      </c>
      <c r="B2240" s="5">
        <v>2022</v>
      </c>
      <c r="C2240" s="5" t="s">
        <v>13419</v>
      </c>
      <c r="D2240" s="5" t="s">
        <v>15</v>
      </c>
      <c r="E2240" s="5" t="s">
        <v>18453</v>
      </c>
      <c r="F2240" s="5" t="s">
        <v>13422</v>
      </c>
      <c r="G2240" s="5"/>
      <c r="H2240" s="5"/>
      <c r="I2240" s="5"/>
      <c r="J2240" s="5"/>
      <c r="K2240" s="5"/>
      <c r="L2240" s="5"/>
      <c r="M2240" s="5"/>
      <c r="N2240" s="5"/>
      <c r="O2240" s="5"/>
      <c r="P2240" s="5"/>
      <c r="Q2240" s="5"/>
      <c r="AL2240" s="7" t="str">
        <f>HYPERLINK("http://dx.doi.org/10.1002/ece3.9622","http://dx.doi.org/10.1002/ece3.9622")</f>
        <v>http://dx.doi.org/10.1002/ece3.9622</v>
      </c>
      <c r="AM2240" s="5">
        <v>0</v>
      </c>
      <c r="AN2240" s="5">
        <v>0</v>
      </c>
      <c r="AO2240" s="5">
        <v>12</v>
      </c>
      <c r="AP2240" s="5">
        <v>12</v>
      </c>
      <c r="AQ2240" s="5" t="s">
        <v>16</v>
      </c>
      <c r="AR2240" s="5" t="s">
        <v>16</v>
      </c>
      <c r="AS2240" s="5" t="s">
        <v>13423</v>
      </c>
      <c r="AT2240" s="5" t="s">
        <v>13420</v>
      </c>
      <c r="AU2240" s="5" t="s">
        <v>13421</v>
      </c>
      <c r="AV2240" s="5" t="s">
        <v>13424</v>
      </c>
    </row>
    <row r="2241" spans="1:48" ht="45" customHeight="1" x14ac:dyDescent="0.15">
      <c r="A2241" s="5" t="s">
        <v>13425</v>
      </c>
      <c r="B2241" s="5">
        <v>2020</v>
      </c>
      <c r="C2241" s="5" t="s">
        <v>13426</v>
      </c>
      <c r="D2241" s="5" t="s">
        <v>1621</v>
      </c>
      <c r="E2241" s="5" t="s">
        <v>18453</v>
      </c>
      <c r="F2241" s="5" t="s">
        <v>13429</v>
      </c>
      <c r="G2241" s="5"/>
      <c r="H2241" s="5"/>
      <c r="I2241" s="5"/>
      <c r="J2241" s="5"/>
      <c r="K2241" s="5"/>
      <c r="L2241" s="5"/>
      <c r="M2241" s="5"/>
      <c r="N2241" s="5"/>
      <c r="O2241" s="5"/>
      <c r="P2241" s="5"/>
      <c r="Q2241" s="5"/>
      <c r="AL2241" s="7" t="str">
        <f>HYPERLINK("http://dx.doi.org/10.1093/conphys/coaa121","http://dx.doi.org/10.1093/conphys/coaa121")</f>
        <v>http://dx.doi.org/10.1093/conphys/coaa121</v>
      </c>
      <c r="AM2241" s="5">
        <v>6</v>
      </c>
      <c r="AN2241" s="5">
        <v>6</v>
      </c>
      <c r="AO2241" s="5">
        <v>8</v>
      </c>
      <c r="AP2241" s="5" t="s">
        <v>16</v>
      </c>
      <c r="AQ2241" s="5" t="s">
        <v>16</v>
      </c>
      <c r="AR2241" s="5" t="s">
        <v>16</v>
      </c>
      <c r="AS2241" s="5" t="s">
        <v>13430</v>
      </c>
      <c r="AT2241" s="5" t="s">
        <v>13427</v>
      </c>
      <c r="AU2241" s="5" t="s">
        <v>13428</v>
      </c>
      <c r="AV2241" s="5" t="s">
        <v>13431</v>
      </c>
    </row>
    <row r="2242" spans="1:48" ht="45" customHeight="1" x14ac:dyDescent="0.15">
      <c r="A2242" s="5" t="s">
        <v>13432</v>
      </c>
      <c r="B2242" s="5">
        <v>2008</v>
      </c>
      <c r="C2242" s="5" t="s">
        <v>13433</v>
      </c>
      <c r="D2242" s="5" t="s">
        <v>77</v>
      </c>
      <c r="E2242" s="5" t="s">
        <v>18453</v>
      </c>
      <c r="F2242" s="5" t="s">
        <v>13436</v>
      </c>
      <c r="G2242" s="5"/>
      <c r="H2242" s="5"/>
      <c r="I2242" s="5"/>
      <c r="J2242" s="5"/>
      <c r="K2242" s="5"/>
      <c r="L2242" s="5"/>
      <c r="M2242" s="5"/>
      <c r="N2242" s="5"/>
      <c r="O2242" s="5"/>
      <c r="P2242" s="5"/>
      <c r="Q2242" s="5"/>
      <c r="AL2242" s="7" t="str">
        <f>HYPERLINK("http://dx.doi.org/10.1111/j.1365-2656.2008.01420.x","http://dx.doi.org/10.1111/j.1365-2656.2008.01420.x")</f>
        <v>http://dx.doi.org/10.1111/j.1365-2656.2008.01420.x</v>
      </c>
      <c r="AM2242" s="5">
        <v>89</v>
      </c>
      <c r="AN2242" s="5">
        <v>99</v>
      </c>
      <c r="AO2242" s="5">
        <v>77</v>
      </c>
      <c r="AP2242" s="5">
        <v>5</v>
      </c>
      <c r="AQ2242" s="5">
        <v>1008</v>
      </c>
      <c r="AR2242" s="5">
        <v>1019</v>
      </c>
      <c r="AS2242" s="5" t="s">
        <v>16</v>
      </c>
      <c r="AT2242" s="5" t="s">
        <v>13434</v>
      </c>
      <c r="AU2242" s="5" t="s">
        <v>13435</v>
      </c>
      <c r="AV2242" s="5" t="s">
        <v>13437</v>
      </c>
    </row>
    <row r="2243" spans="1:48" ht="45" customHeight="1" x14ac:dyDescent="0.15">
      <c r="A2243" s="5" t="s">
        <v>13438</v>
      </c>
      <c r="B2243" s="5">
        <v>2009</v>
      </c>
      <c r="C2243" s="5" t="s">
        <v>13439</v>
      </c>
      <c r="D2243" s="5" t="s">
        <v>2768</v>
      </c>
      <c r="E2243" s="5" t="s">
        <v>18453</v>
      </c>
      <c r="F2243" s="5" t="s">
        <v>13442</v>
      </c>
      <c r="G2243" s="5"/>
      <c r="H2243" s="5"/>
      <c r="I2243" s="5"/>
      <c r="J2243" s="5"/>
      <c r="K2243" s="5"/>
      <c r="L2243" s="5"/>
      <c r="M2243" s="5"/>
      <c r="N2243" s="5"/>
      <c r="O2243" s="5"/>
      <c r="P2243" s="5"/>
      <c r="Q2243" s="5"/>
      <c r="AL2243" s="7" t="str">
        <f>HYPERLINK("http://dx.doi.org/10.1007/s10531-008-9543-9","http://dx.doi.org/10.1007/s10531-008-9543-9")</f>
        <v>http://dx.doi.org/10.1007/s10531-008-9543-9</v>
      </c>
      <c r="AM2243" s="5">
        <v>21</v>
      </c>
      <c r="AN2243" s="5">
        <v>21</v>
      </c>
      <c r="AO2243" s="5">
        <v>18</v>
      </c>
      <c r="AP2243" s="5">
        <v>6</v>
      </c>
      <c r="AQ2243" s="5">
        <v>1555</v>
      </c>
      <c r="AR2243" s="5">
        <v>1573</v>
      </c>
      <c r="AS2243" s="5" t="s">
        <v>16</v>
      </c>
      <c r="AT2243" s="5" t="s">
        <v>13440</v>
      </c>
      <c r="AU2243" s="5" t="s">
        <v>13441</v>
      </c>
      <c r="AV2243" s="5" t="s">
        <v>13443</v>
      </c>
    </row>
    <row r="2244" spans="1:48" ht="45" customHeight="1" x14ac:dyDescent="0.15">
      <c r="A2244" s="5" t="s">
        <v>13444</v>
      </c>
      <c r="B2244" s="5">
        <v>2020</v>
      </c>
      <c r="C2244" s="5" t="s">
        <v>13445</v>
      </c>
      <c r="D2244" s="5" t="s">
        <v>212</v>
      </c>
      <c r="E2244" s="5" t="s">
        <v>18453</v>
      </c>
      <c r="F2244" s="5" t="s">
        <v>13448</v>
      </c>
      <c r="G2244" s="5"/>
      <c r="H2244" s="5"/>
      <c r="I2244" s="5"/>
      <c r="J2244" s="5"/>
      <c r="K2244" s="5"/>
      <c r="L2244" s="5"/>
      <c r="M2244" s="5"/>
      <c r="N2244" s="5"/>
      <c r="O2244" s="5"/>
      <c r="P2244" s="5"/>
      <c r="Q2244" s="5"/>
      <c r="AL2244" s="7" t="str">
        <f>HYPERLINK("http://dx.doi.org/10.1007/s00300-020-02690-7","http://dx.doi.org/10.1007/s00300-020-02690-7")</f>
        <v>http://dx.doi.org/10.1007/s00300-020-02690-7</v>
      </c>
      <c r="AM2244" s="5">
        <v>9</v>
      </c>
      <c r="AN2244" s="5">
        <v>9</v>
      </c>
      <c r="AO2244" s="5">
        <v>43</v>
      </c>
      <c r="AP2244" s="5">
        <v>7</v>
      </c>
      <c r="AQ2244" s="5">
        <v>825</v>
      </c>
      <c r="AR2244" s="5">
        <v>833</v>
      </c>
      <c r="AS2244" s="5" t="s">
        <v>16</v>
      </c>
      <c r="AT2244" s="5" t="s">
        <v>13446</v>
      </c>
      <c r="AU2244" s="5" t="s">
        <v>13447</v>
      </c>
      <c r="AV2244" s="5" t="s">
        <v>13449</v>
      </c>
    </row>
    <row r="2245" spans="1:48" ht="45" customHeight="1" x14ac:dyDescent="0.15">
      <c r="A2245" s="5" t="s">
        <v>13450</v>
      </c>
      <c r="B2245" s="5">
        <v>2017</v>
      </c>
      <c r="C2245" s="5" t="s">
        <v>13451</v>
      </c>
      <c r="D2245" s="5" t="s">
        <v>18</v>
      </c>
      <c r="E2245" s="5" t="s">
        <v>18453</v>
      </c>
      <c r="F2245" s="5" t="s">
        <v>13454</v>
      </c>
      <c r="G2245" s="5"/>
      <c r="H2245" s="5"/>
      <c r="I2245" s="5"/>
      <c r="J2245" s="5"/>
      <c r="K2245" s="5"/>
      <c r="L2245" s="5"/>
      <c r="M2245" s="5"/>
      <c r="N2245" s="5"/>
      <c r="O2245" s="5"/>
      <c r="P2245" s="5"/>
      <c r="Q2245" s="5"/>
      <c r="AL2245" s="7" t="str">
        <f>HYPERLINK("http://dx.doi.org/10.1002/ecs2.1795","http://dx.doi.org/10.1002/ecs2.1795")</f>
        <v>http://dx.doi.org/10.1002/ecs2.1795</v>
      </c>
      <c r="AM2245" s="5">
        <v>30</v>
      </c>
      <c r="AN2245" s="5">
        <v>31</v>
      </c>
      <c r="AO2245" s="5">
        <v>8</v>
      </c>
      <c r="AP2245" s="5">
        <v>4</v>
      </c>
      <c r="AQ2245" s="5" t="s">
        <v>16</v>
      </c>
      <c r="AR2245" s="5" t="s">
        <v>16</v>
      </c>
      <c r="AS2245" s="5" t="s">
        <v>13455</v>
      </c>
      <c r="AT2245" s="5" t="s">
        <v>13452</v>
      </c>
      <c r="AU2245" s="5" t="s">
        <v>13453</v>
      </c>
      <c r="AV2245" s="5" t="s">
        <v>13456</v>
      </c>
    </row>
    <row r="2246" spans="1:48" ht="45" customHeight="1" x14ac:dyDescent="0.15">
      <c r="A2246" s="5" t="s">
        <v>13457</v>
      </c>
      <c r="B2246" s="5">
        <v>2012</v>
      </c>
      <c r="C2246" s="5" t="s">
        <v>13458</v>
      </c>
      <c r="D2246" s="5" t="s">
        <v>138</v>
      </c>
      <c r="E2246" s="5" t="s">
        <v>18453</v>
      </c>
      <c r="F2246" s="5" t="s">
        <v>13461</v>
      </c>
      <c r="G2246" s="5"/>
      <c r="H2246" s="5"/>
      <c r="I2246" s="5"/>
      <c r="J2246" s="5"/>
      <c r="K2246" s="5"/>
      <c r="L2246" s="5"/>
      <c r="M2246" s="5"/>
      <c r="N2246" s="5"/>
      <c r="O2246" s="5"/>
      <c r="P2246" s="5"/>
      <c r="Q2246" s="5"/>
      <c r="AL2246" s="7" t="str">
        <f>HYPERLINK("http://dx.doi.org/10.1111/j.1442-9993.2011.02290.x","http://dx.doi.org/10.1111/j.1442-9993.2011.02290.x")</f>
        <v>http://dx.doi.org/10.1111/j.1442-9993.2011.02290.x</v>
      </c>
      <c r="AM2246" s="5">
        <v>11</v>
      </c>
      <c r="AN2246" s="5">
        <v>11</v>
      </c>
      <c r="AO2246" s="5">
        <v>37</v>
      </c>
      <c r="AP2246" s="5">
        <v>5</v>
      </c>
      <c r="AQ2246" s="5">
        <v>537</v>
      </c>
      <c r="AR2246" s="5">
        <v>546</v>
      </c>
      <c r="AS2246" s="5" t="s">
        <v>16</v>
      </c>
      <c r="AT2246" s="5" t="s">
        <v>13459</v>
      </c>
      <c r="AU2246" s="5" t="s">
        <v>13460</v>
      </c>
      <c r="AV2246" s="5" t="s">
        <v>13462</v>
      </c>
    </row>
    <row r="2247" spans="1:48" ht="45" customHeight="1" x14ac:dyDescent="0.15">
      <c r="A2247" s="5" t="s">
        <v>13463</v>
      </c>
      <c r="B2247" s="5">
        <v>2018</v>
      </c>
      <c r="C2247" s="5" t="s">
        <v>13464</v>
      </c>
      <c r="D2247" s="5" t="s">
        <v>62</v>
      </c>
      <c r="E2247" s="5" t="s">
        <v>18453</v>
      </c>
      <c r="F2247" s="5" t="s">
        <v>13467</v>
      </c>
      <c r="G2247" s="5"/>
      <c r="H2247" s="5"/>
      <c r="I2247" s="5"/>
      <c r="J2247" s="5"/>
      <c r="K2247" s="5"/>
      <c r="L2247" s="5"/>
      <c r="M2247" s="5"/>
      <c r="N2247" s="5"/>
      <c r="O2247" s="5"/>
      <c r="P2247" s="5"/>
      <c r="Q2247" s="5"/>
      <c r="AL2247" s="7" t="str">
        <f>HYPERLINK("http://dx.doi.org/10.1007/s10021-018-0245-1","http://dx.doi.org/10.1007/s10021-018-0245-1")</f>
        <v>http://dx.doi.org/10.1007/s10021-018-0245-1</v>
      </c>
      <c r="AM2247" s="5">
        <v>24</v>
      </c>
      <c r="AN2247" s="5">
        <v>25</v>
      </c>
      <c r="AO2247" s="5">
        <v>21</v>
      </c>
      <c r="AP2247" s="5">
        <v>8</v>
      </c>
      <c r="AQ2247" s="5">
        <v>1659</v>
      </c>
      <c r="AR2247" s="5">
        <v>1675</v>
      </c>
      <c r="AS2247" s="5" t="s">
        <v>16</v>
      </c>
      <c r="AT2247" s="5" t="s">
        <v>13465</v>
      </c>
      <c r="AU2247" s="5" t="s">
        <v>13466</v>
      </c>
      <c r="AV2247" s="5" t="s">
        <v>13468</v>
      </c>
    </row>
    <row r="2248" spans="1:48" ht="45" customHeight="1" x14ac:dyDescent="0.15">
      <c r="A2248" s="5" t="s">
        <v>13469</v>
      </c>
      <c r="B2248" s="5">
        <v>1996</v>
      </c>
      <c r="C2248" s="5" t="s">
        <v>13470</v>
      </c>
      <c r="D2248" s="5" t="s">
        <v>33</v>
      </c>
      <c r="E2248" s="5" t="s">
        <v>18453</v>
      </c>
      <c r="F2248" s="5" t="s">
        <v>13473</v>
      </c>
      <c r="G2248" s="5"/>
      <c r="H2248" s="5"/>
      <c r="I2248" s="5"/>
      <c r="J2248" s="5"/>
      <c r="K2248" s="5"/>
      <c r="L2248" s="5"/>
      <c r="M2248" s="5"/>
      <c r="N2248" s="5"/>
      <c r="O2248" s="5"/>
      <c r="P2248" s="5"/>
      <c r="Q2248" s="5"/>
      <c r="AL2248" s="7" t="str">
        <f>HYPERLINK("http://dx.doi.org/10.1111/j.1365-2486.1996.tb00069.x","http://dx.doi.org/10.1111/j.1365-2486.1996.tb00069.x")</f>
        <v>http://dx.doi.org/10.1111/j.1365-2486.1996.tb00069.x</v>
      </c>
      <c r="AM2248" s="5">
        <v>304</v>
      </c>
      <c r="AN2248" s="5">
        <v>348</v>
      </c>
      <c r="AO2248" s="5">
        <v>2</v>
      </c>
      <c r="AP2248" s="5">
        <v>3</v>
      </c>
      <c r="AQ2248" s="5">
        <v>159</v>
      </c>
      <c r="AR2248" s="5">
        <v>168</v>
      </c>
      <c r="AS2248" s="5" t="s">
        <v>16</v>
      </c>
      <c r="AT2248" s="5" t="s">
        <v>13471</v>
      </c>
      <c r="AU2248" s="5" t="s">
        <v>13472</v>
      </c>
      <c r="AV2248" s="5" t="s">
        <v>13474</v>
      </c>
    </row>
    <row r="2249" spans="1:48" ht="45" customHeight="1" x14ac:dyDescent="0.15">
      <c r="A2249" s="5" t="s">
        <v>13475</v>
      </c>
      <c r="B2249" s="5">
        <v>2010</v>
      </c>
      <c r="C2249" s="5" t="s">
        <v>13476</v>
      </c>
      <c r="D2249" s="5" t="s">
        <v>77</v>
      </c>
      <c r="E2249" s="5" t="s">
        <v>18453</v>
      </c>
      <c r="F2249" s="5" t="s">
        <v>13479</v>
      </c>
      <c r="G2249" s="5"/>
      <c r="H2249" s="5"/>
      <c r="I2249" s="5"/>
      <c r="J2249" s="5"/>
      <c r="K2249" s="5"/>
      <c r="L2249" s="5"/>
      <c r="M2249" s="5"/>
      <c r="N2249" s="5"/>
      <c r="O2249" s="5"/>
      <c r="P2249" s="5"/>
      <c r="Q2249" s="5"/>
      <c r="AL2249" s="7" t="str">
        <f>HYPERLINK("http://dx.doi.org/10.1111/j.1365-2656.2010.01702.x","http://dx.doi.org/10.1111/j.1365-2656.2010.01702.x")</f>
        <v>http://dx.doi.org/10.1111/j.1365-2656.2010.01702.x</v>
      </c>
      <c r="AM2249" s="5">
        <v>106</v>
      </c>
      <c r="AN2249" s="5">
        <v>107</v>
      </c>
      <c r="AO2249" s="5">
        <v>79</v>
      </c>
      <c r="AP2249" s="5">
        <v>5</v>
      </c>
      <c r="AQ2249" s="5">
        <v>1057</v>
      </c>
      <c r="AR2249" s="5">
        <v>1068</v>
      </c>
      <c r="AS2249" s="5" t="s">
        <v>16</v>
      </c>
      <c r="AT2249" s="5" t="s">
        <v>13477</v>
      </c>
      <c r="AU2249" s="5" t="s">
        <v>13478</v>
      </c>
      <c r="AV2249" s="5" t="s">
        <v>13480</v>
      </c>
    </row>
    <row r="2250" spans="1:48" ht="45" customHeight="1" x14ac:dyDescent="0.15">
      <c r="A2250" s="5" t="s">
        <v>13481</v>
      </c>
      <c r="B2250" s="5">
        <v>2020</v>
      </c>
      <c r="C2250" s="5" t="s">
        <v>13482</v>
      </c>
      <c r="D2250" s="5" t="s">
        <v>162</v>
      </c>
      <c r="E2250" s="5" t="s">
        <v>18453</v>
      </c>
      <c r="F2250" s="5" t="s">
        <v>13485</v>
      </c>
      <c r="G2250" s="5"/>
      <c r="H2250" s="5"/>
      <c r="I2250" s="5"/>
      <c r="J2250" s="5"/>
      <c r="K2250" s="5"/>
      <c r="L2250" s="5"/>
      <c r="M2250" s="5"/>
      <c r="N2250" s="5"/>
      <c r="O2250" s="5"/>
      <c r="P2250" s="5"/>
      <c r="Q2250" s="5"/>
      <c r="AL2250" s="7" t="str">
        <f>HYPERLINK("http://dx.doi.org/10.1111/1365-2435.13632","http://dx.doi.org/10.1111/1365-2435.13632")</f>
        <v>http://dx.doi.org/10.1111/1365-2435.13632</v>
      </c>
      <c r="AM2250" s="5">
        <v>10</v>
      </c>
      <c r="AN2250" s="5">
        <v>10</v>
      </c>
      <c r="AO2250" s="5">
        <v>34</v>
      </c>
      <c r="AP2250" s="5">
        <v>9</v>
      </c>
      <c r="AQ2250" s="5">
        <v>1839</v>
      </c>
      <c r="AR2250" s="5">
        <v>1856</v>
      </c>
      <c r="AS2250" s="5" t="s">
        <v>16</v>
      </c>
      <c r="AT2250" s="5" t="s">
        <v>13483</v>
      </c>
      <c r="AU2250" s="5" t="s">
        <v>13484</v>
      </c>
      <c r="AV2250" s="5" t="s">
        <v>13486</v>
      </c>
    </row>
    <row r="2251" spans="1:48" ht="45" customHeight="1" x14ac:dyDescent="0.15">
      <c r="A2251" s="5" t="s">
        <v>13487</v>
      </c>
      <c r="B2251" s="5">
        <v>1994</v>
      </c>
      <c r="C2251" s="5" t="s">
        <v>13488</v>
      </c>
      <c r="D2251" s="5" t="s">
        <v>162</v>
      </c>
      <c r="E2251" s="5" t="s">
        <v>18453</v>
      </c>
      <c r="F2251" s="5" t="s">
        <v>13490</v>
      </c>
      <c r="G2251" s="5"/>
      <c r="H2251" s="5"/>
      <c r="I2251" s="5"/>
      <c r="J2251" s="5"/>
      <c r="K2251" s="5"/>
      <c r="L2251" s="5"/>
      <c r="M2251" s="5"/>
      <c r="N2251" s="5"/>
      <c r="O2251" s="5"/>
      <c r="P2251" s="5"/>
      <c r="Q2251" s="5"/>
      <c r="AL2251" s="7" t="str">
        <f>HYPERLINK("http://dx.doi.org/10.2307/2389823","http://dx.doi.org/10.2307/2389823")</f>
        <v>http://dx.doi.org/10.2307/2389823</v>
      </c>
      <c r="AM2251" s="5">
        <v>60</v>
      </c>
      <c r="AN2251" s="5">
        <v>65</v>
      </c>
      <c r="AO2251" s="5">
        <v>8</v>
      </c>
      <c r="AP2251" s="5">
        <v>3</v>
      </c>
      <c r="AQ2251" s="5">
        <v>306</v>
      </c>
      <c r="AR2251" s="5">
        <v>314</v>
      </c>
      <c r="AS2251" s="5" t="s">
        <v>16</v>
      </c>
      <c r="AT2251" s="5" t="s">
        <v>13489</v>
      </c>
      <c r="AU2251" s="5" t="s">
        <v>16</v>
      </c>
      <c r="AV2251" s="5" t="s">
        <v>13491</v>
      </c>
    </row>
    <row r="2252" spans="1:48" ht="45" customHeight="1" x14ac:dyDescent="0.15">
      <c r="A2252" s="5" t="s">
        <v>13492</v>
      </c>
      <c r="B2252" s="5">
        <v>2006</v>
      </c>
      <c r="C2252" s="5" t="s">
        <v>13493</v>
      </c>
      <c r="D2252" s="5" t="s">
        <v>10366</v>
      </c>
      <c r="E2252" s="5" t="s">
        <v>18453</v>
      </c>
      <c r="F2252" s="5" t="s">
        <v>13495</v>
      </c>
      <c r="G2252" s="5"/>
      <c r="H2252" s="5"/>
      <c r="I2252" s="5"/>
      <c r="J2252" s="5"/>
      <c r="K2252" s="5"/>
      <c r="L2252" s="5"/>
      <c r="M2252" s="5"/>
      <c r="N2252" s="5"/>
      <c r="O2252" s="5"/>
      <c r="P2252" s="5"/>
      <c r="Q2252" s="5"/>
      <c r="AL2252" s="7" t="str">
        <f>HYPERLINK("http://dx.doi.org/10.1674/0003-0031(2006)156[363:RORMEC]2.0.CO;2","http://dx.doi.org/10.1674/0003-0031(2006)156[363:RORMEC]2.0.CO;2")</f>
        <v>http://dx.doi.org/10.1674/0003-0031(2006)156[363:RORMEC]2.0.CO;2</v>
      </c>
      <c r="AM2252" s="5">
        <v>20</v>
      </c>
      <c r="AN2252" s="5">
        <v>21</v>
      </c>
      <c r="AO2252" s="5">
        <v>156</v>
      </c>
      <c r="AP2252" s="5">
        <v>2</v>
      </c>
      <c r="AQ2252" s="5">
        <v>363</v>
      </c>
      <c r="AR2252" s="5">
        <v>375</v>
      </c>
      <c r="AS2252" s="5" t="s">
        <v>16</v>
      </c>
      <c r="AT2252" s="5" t="s">
        <v>16</v>
      </c>
      <c r="AU2252" s="5" t="s">
        <v>13494</v>
      </c>
      <c r="AV2252" s="5" t="s">
        <v>13496</v>
      </c>
    </row>
    <row r="2253" spans="1:48" ht="45" customHeight="1" x14ac:dyDescent="0.15">
      <c r="A2253" s="5" t="s">
        <v>13497</v>
      </c>
      <c r="B2253" s="5">
        <v>2005</v>
      </c>
      <c r="C2253" s="5" t="s">
        <v>13498</v>
      </c>
      <c r="D2253" s="5" t="s">
        <v>172</v>
      </c>
      <c r="E2253" s="5" t="s">
        <v>18453</v>
      </c>
      <c r="F2253" s="5" t="s">
        <v>13501</v>
      </c>
      <c r="G2253" s="5"/>
      <c r="H2253" s="5"/>
      <c r="I2253" s="5"/>
      <c r="J2253" s="5"/>
      <c r="K2253" s="5"/>
      <c r="L2253" s="5"/>
      <c r="M2253" s="5"/>
      <c r="N2253" s="5"/>
      <c r="O2253" s="5"/>
      <c r="P2253" s="5"/>
      <c r="Q2253" s="5"/>
      <c r="AL2253" s="7" t="str">
        <f>HYPERLINK("http://dx.doi.org/10.1007/s00442-005-0078-4","http://dx.doi.org/10.1007/s00442-005-0078-4")</f>
        <v>http://dx.doi.org/10.1007/s00442-005-0078-4</v>
      </c>
      <c r="AM2253" s="5">
        <v>101</v>
      </c>
      <c r="AN2253" s="5">
        <v>108</v>
      </c>
      <c r="AO2253" s="5">
        <v>144</v>
      </c>
      <c r="AP2253" s="5">
        <v>4</v>
      </c>
      <c r="AQ2253" s="5">
        <v>618</v>
      </c>
      <c r="AR2253" s="5">
        <v>627</v>
      </c>
      <c r="AS2253" s="5" t="s">
        <v>16</v>
      </c>
      <c r="AT2253" s="5" t="s">
        <v>13499</v>
      </c>
      <c r="AU2253" s="5" t="s">
        <v>13500</v>
      </c>
      <c r="AV2253" s="5" t="s">
        <v>13502</v>
      </c>
    </row>
    <row r="2254" spans="1:48" ht="45" customHeight="1" x14ac:dyDescent="0.15">
      <c r="A2254" s="5" t="s">
        <v>13503</v>
      </c>
      <c r="B2254" s="5">
        <v>2006</v>
      </c>
      <c r="C2254" s="5" t="s">
        <v>13504</v>
      </c>
      <c r="D2254" s="5" t="s">
        <v>296</v>
      </c>
      <c r="E2254" s="5" t="s">
        <v>18453</v>
      </c>
      <c r="F2254" s="5" t="s">
        <v>13507</v>
      </c>
      <c r="G2254" s="5"/>
      <c r="H2254" s="5"/>
      <c r="I2254" s="5"/>
      <c r="J2254" s="5"/>
      <c r="K2254" s="5"/>
      <c r="L2254" s="5"/>
      <c r="M2254" s="5"/>
      <c r="N2254" s="5"/>
      <c r="O2254" s="5"/>
      <c r="P2254" s="5"/>
      <c r="Q2254" s="5"/>
      <c r="AL2254" s="7" t="str">
        <f>HYPERLINK("http://dx.doi.org/10.1098/rspb.2006.3529","http://dx.doi.org/10.1098/rspb.2006.3529")</f>
        <v>http://dx.doi.org/10.1098/rspb.2006.3529</v>
      </c>
      <c r="AM2254" s="5">
        <v>45</v>
      </c>
      <c r="AN2254" s="5">
        <v>50</v>
      </c>
      <c r="AO2254" s="5">
        <v>273</v>
      </c>
      <c r="AP2254" s="5">
        <v>1596</v>
      </c>
      <c r="AQ2254" s="5">
        <v>1953</v>
      </c>
      <c r="AR2254" s="5">
        <v>1960</v>
      </c>
      <c r="AS2254" s="5" t="s">
        <v>16</v>
      </c>
      <c r="AT2254" s="5" t="s">
        <v>13505</v>
      </c>
      <c r="AU2254" s="5" t="s">
        <v>13506</v>
      </c>
      <c r="AV2254" s="5" t="s">
        <v>13508</v>
      </c>
    </row>
    <row r="2255" spans="1:48" ht="45" customHeight="1" x14ac:dyDescent="0.15">
      <c r="A2255" s="5" t="s">
        <v>13509</v>
      </c>
      <c r="B2255" s="5">
        <v>2007</v>
      </c>
      <c r="C2255" s="5" t="s">
        <v>13510</v>
      </c>
      <c r="D2255" s="5" t="s">
        <v>49</v>
      </c>
      <c r="E2255" s="5" t="s">
        <v>18453</v>
      </c>
      <c r="F2255" s="5" t="s">
        <v>13513</v>
      </c>
      <c r="G2255" s="5"/>
      <c r="H2255" s="5"/>
      <c r="I2255" s="5"/>
      <c r="J2255" s="5"/>
      <c r="K2255" s="5"/>
      <c r="L2255" s="5"/>
      <c r="M2255" s="5"/>
      <c r="N2255" s="5"/>
      <c r="O2255" s="5"/>
      <c r="P2255" s="5"/>
      <c r="Q2255" s="5"/>
      <c r="AL2255" s="7" t="str">
        <f>HYPERLINK("http://dx.doi.org/10.3354/meps06968","http://dx.doi.org/10.3354/meps06968")</f>
        <v>http://dx.doi.org/10.3354/meps06968</v>
      </c>
      <c r="AM2255" s="5">
        <v>42</v>
      </c>
      <c r="AN2255" s="5">
        <v>44</v>
      </c>
      <c r="AO2255" s="5">
        <v>346</v>
      </c>
      <c r="AP2255" s="5" t="s">
        <v>16</v>
      </c>
      <c r="AQ2255" s="5">
        <v>277</v>
      </c>
      <c r="AR2255" s="5">
        <v>283</v>
      </c>
      <c r="AS2255" s="5" t="s">
        <v>16</v>
      </c>
      <c r="AT2255" s="5" t="s">
        <v>13511</v>
      </c>
      <c r="AU2255" s="5" t="s">
        <v>13512</v>
      </c>
      <c r="AV2255" s="5" t="s">
        <v>13514</v>
      </c>
    </row>
    <row r="2256" spans="1:48" ht="45" customHeight="1" x14ac:dyDescent="0.15">
      <c r="A2256" s="5" t="s">
        <v>13515</v>
      </c>
      <c r="B2256" s="5">
        <v>2013</v>
      </c>
      <c r="C2256" s="5" t="s">
        <v>13516</v>
      </c>
      <c r="D2256" s="5" t="s">
        <v>49</v>
      </c>
      <c r="E2256" s="5" t="s">
        <v>18453</v>
      </c>
      <c r="F2256" s="5" t="s">
        <v>13519</v>
      </c>
      <c r="G2256" s="5"/>
      <c r="H2256" s="5"/>
      <c r="I2256" s="5"/>
      <c r="J2256" s="5"/>
      <c r="K2256" s="5"/>
      <c r="L2256" s="5"/>
      <c r="M2256" s="5"/>
      <c r="N2256" s="5"/>
      <c r="O2256" s="5"/>
      <c r="P2256" s="5"/>
      <c r="Q2256" s="5"/>
      <c r="AL2256" s="7" t="str">
        <f>HYPERLINK("http://dx.doi.org/10.3354/meps10327","http://dx.doi.org/10.3354/meps10327")</f>
        <v>http://dx.doi.org/10.3354/meps10327</v>
      </c>
      <c r="AM2256" s="5">
        <v>18</v>
      </c>
      <c r="AN2256" s="5">
        <v>18</v>
      </c>
      <c r="AO2256" s="5">
        <v>479</v>
      </c>
      <c r="AP2256" s="5" t="s">
        <v>16</v>
      </c>
      <c r="AQ2256" s="5">
        <v>1</v>
      </c>
      <c r="AR2256" s="5">
        <v>12</v>
      </c>
      <c r="AS2256" s="5" t="s">
        <v>16</v>
      </c>
      <c r="AT2256" s="5" t="s">
        <v>13517</v>
      </c>
      <c r="AU2256" s="5" t="s">
        <v>13518</v>
      </c>
      <c r="AV2256" s="5" t="s">
        <v>13520</v>
      </c>
    </row>
    <row r="2257" spans="1:48" ht="45" customHeight="1" x14ac:dyDescent="0.15">
      <c r="A2257" s="5" t="s">
        <v>13521</v>
      </c>
      <c r="B2257" s="5">
        <v>2012</v>
      </c>
      <c r="C2257" s="5" t="s">
        <v>13522</v>
      </c>
      <c r="D2257" s="5" t="s">
        <v>6309</v>
      </c>
      <c r="E2257" s="5" t="s">
        <v>18453</v>
      </c>
      <c r="F2257" s="5" t="s">
        <v>13524</v>
      </c>
      <c r="G2257" s="5"/>
      <c r="H2257" s="5"/>
      <c r="I2257" s="5"/>
      <c r="J2257" s="5"/>
      <c r="K2257" s="5"/>
      <c r="L2257" s="5"/>
      <c r="M2257" s="5"/>
      <c r="N2257" s="5"/>
      <c r="O2257" s="5"/>
      <c r="P2257" s="5"/>
      <c r="Q2257" s="5"/>
      <c r="AL2257" s="7" t="str">
        <f>HYPERLINK("http://dx.doi.org/10.1007/s11252-011-0196-1","http://dx.doi.org/10.1007/s11252-011-0196-1")</f>
        <v>http://dx.doi.org/10.1007/s11252-011-0196-1</v>
      </c>
      <c r="AM2257" s="5">
        <v>46</v>
      </c>
      <c r="AN2257" s="5">
        <v>46</v>
      </c>
      <c r="AO2257" s="5">
        <v>15</v>
      </c>
      <c r="AP2257" s="5">
        <v>1</v>
      </c>
      <c r="AQ2257" s="5">
        <v>195</v>
      </c>
      <c r="AR2257" s="5">
        <v>214</v>
      </c>
      <c r="AS2257" s="5" t="s">
        <v>16</v>
      </c>
      <c r="AT2257" s="5" t="s">
        <v>16</v>
      </c>
      <c r="AU2257" s="5" t="s">
        <v>13523</v>
      </c>
      <c r="AV2257" s="5" t="s">
        <v>13525</v>
      </c>
    </row>
    <row r="2258" spans="1:48" ht="45" customHeight="1" x14ac:dyDescent="0.15">
      <c r="A2258" s="5" t="s">
        <v>13526</v>
      </c>
      <c r="B2258" s="5">
        <v>2020</v>
      </c>
      <c r="C2258" s="5" t="s">
        <v>13527</v>
      </c>
      <c r="D2258" s="5" t="s">
        <v>259</v>
      </c>
      <c r="E2258" s="5" t="s">
        <v>18453</v>
      </c>
      <c r="F2258" s="5" t="s">
        <v>13530</v>
      </c>
      <c r="G2258" s="5"/>
      <c r="H2258" s="5"/>
      <c r="I2258" s="5"/>
      <c r="J2258" s="5"/>
      <c r="K2258" s="5"/>
      <c r="L2258" s="5"/>
      <c r="M2258" s="5"/>
      <c r="N2258" s="5"/>
      <c r="O2258" s="5"/>
      <c r="P2258" s="5"/>
      <c r="Q2258" s="5"/>
      <c r="AL2258" s="7" t="str">
        <f>HYPERLINK("http://dx.doi.org/10.1002/jwmg.21870","http://dx.doi.org/10.1002/jwmg.21870")</f>
        <v>http://dx.doi.org/10.1002/jwmg.21870</v>
      </c>
      <c r="AM2258" s="5">
        <v>10</v>
      </c>
      <c r="AN2258" s="5">
        <v>10</v>
      </c>
      <c r="AO2258" s="5">
        <v>84</v>
      </c>
      <c r="AP2258" s="5">
        <v>6</v>
      </c>
      <c r="AQ2258" s="5">
        <v>1038</v>
      </c>
      <c r="AR2258" s="5">
        <v>1050</v>
      </c>
      <c r="AS2258" s="5" t="s">
        <v>16</v>
      </c>
      <c r="AT2258" s="5" t="s">
        <v>13528</v>
      </c>
      <c r="AU2258" s="5" t="s">
        <v>13529</v>
      </c>
      <c r="AV2258" s="5" t="s">
        <v>13531</v>
      </c>
    </row>
    <row r="2259" spans="1:48" ht="45" customHeight="1" x14ac:dyDescent="0.15">
      <c r="A2259" s="5" t="s">
        <v>13532</v>
      </c>
      <c r="B2259" s="5">
        <v>2012</v>
      </c>
      <c r="C2259" s="5" t="s">
        <v>13533</v>
      </c>
      <c r="D2259" s="5" t="s">
        <v>1758</v>
      </c>
      <c r="E2259" s="5" t="s">
        <v>18453</v>
      </c>
      <c r="F2259" s="5" t="s">
        <v>13536</v>
      </c>
      <c r="G2259" s="5"/>
      <c r="H2259" s="5"/>
      <c r="I2259" s="5"/>
      <c r="J2259" s="5"/>
      <c r="K2259" s="5"/>
      <c r="L2259" s="5"/>
      <c r="M2259" s="5"/>
      <c r="N2259" s="5"/>
      <c r="O2259" s="5"/>
      <c r="P2259" s="5"/>
      <c r="Q2259" s="5"/>
      <c r="AL2259" s="7" t="str">
        <f>HYPERLINK("http://dx.doi.org/10.1007/s13157-011-0258-4","http://dx.doi.org/10.1007/s13157-011-0258-4")</f>
        <v>http://dx.doi.org/10.1007/s13157-011-0258-4</v>
      </c>
      <c r="AM2259" s="5">
        <v>14</v>
      </c>
      <c r="AN2259" s="5">
        <v>14</v>
      </c>
      <c r="AO2259" s="5">
        <v>32</v>
      </c>
      <c r="AP2259" s="5">
        <v>1</v>
      </c>
      <c r="AQ2259" s="5">
        <v>137</v>
      </c>
      <c r="AR2259" s="5">
        <v>148</v>
      </c>
      <c r="AS2259" s="5" t="s">
        <v>16</v>
      </c>
      <c r="AT2259" s="5" t="s">
        <v>13534</v>
      </c>
      <c r="AU2259" s="5" t="s">
        <v>13535</v>
      </c>
      <c r="AV2259" s="5" t="s">
        <v>13537</v>
      </c>
    </row>
    <row r="2260" spans="1:48" ht="45" customHeight="1" x14ac:dyDescent="0.15">
      <c r="A2260" s="5" t="s">
        <v>13538</v>
      </c>
      <c r="B2260" s="5">
        <v>2019</v>
      </c>
      <c r="C2260" s="5" t="s">
        <v>13539</v>
      </c>
      <c r="D2260" s="5" t="s">
        <v>160</v>
      </c>
      <c r="E2260" s="5" t="s">
        <v>18453</v>
      </c>
      <c r="F2260" s="5" t="s">
        <v>13542</v>
      </c>
      <c r="G2260" s="5"/>
      <c r="H2260" s="5"/>
      <c r="I2260" s="5"/>
      <c r="J2260" s="5"/>
      <c r="K2260" s="5"/>
      <c r="L2260" s="5"/>
      <c r="M2260" s="5"/>
      <c r="N2260" s="5"/>
      <c r="O2260" s="5"/>
      <c r="P2260" s="5"/>
      <c r="Q2260" s="5"/>
      <c r="AL2260" s="7" t="str">
        <f>HYPERLINK("http://dx.doi.org/10.1111/1365-2664.13483","http://dx.doi.org/10.1111/1365-2664.13483")</f>
        <v>http://dx.doi.org/10.1111/1365-2664.13483</v>
      </c>
      <c r="AM2260" s="5">
        <v>54</v>
      </c>
      <c r="AN2260" s="5">
        <v>54</v>
      </c>
      <c r="AO2260" s="5">
        <v>56</v>
      </c>
      <c r="AP2260" s="5">
        <v>11</v>
      </c>
      <c r="AQ2260" s="5">
        <v>2431</v>
      </c>
      <c r="AR2260" s="5">
        <v>2442</v>
      </c>
      <c r="AS2260" s="5" t="s">
        <v>16</v>
      </c>
      <c r="AT2260" s="5" t="s">
        <v>13540</v>
      </c>
      <c r="AU2260" s="5" t="s">
        <v>13541</v>
      </c>
      <c r="AV2260" s="5" t="s">
        <v>13543</v>
      </c>
    </row>
    <row r="2261" spans="1:48" ht="45" customHeight="1" x14ac:dyDescent="0.15">
      <c r="A2261" s="5" t="s">
        <v>13544</v>
      </c>
      <c r="B2261" s="5">
        <v>2018</v>
      </c>
      <c r="C2261" s="5" t="s">
        <v>13545</v>
      </c>
      <c r="D2261" s="5" t="s">
        <v>17</v>
      </c>
      <c r="E2261" s="5" t="s">
        <v>18453</v>
      </c>
      <c r="F2261" s="5" t="s">
        <v>13548</v>
      </c>
      <c r="G2261" s="5"/>
      <c r="H2261" s="5"/>
      <c r="I2261" s="5"/>
      <c r="J2261" s="5"/>
      <c r="K2261" s="5"/>
      <c r="L2261" s="5"/>
      <c r="M2261" s="5"/>
      <c r="N2261" s="5"/>
      <c r="O2261" s="5"/>
      <c r="P2261" s="5"/>
      <c r="Q2261" s="5"/>
      <c r="AL2261" s="7" t="str">
        <f>HYPERLINK("http://dx.doi.org/10.1111/fwb.13170","http://dx.doi.org/10.1111/fwb.13170")</f>
        <v>http://dx.doi.org/10.1111/fwb.13170</v>
      </c>
      <c r="AM2261" s="5">
        <v>3</v>
      </c>
      <c r="AN2261" s="5">
        <v>4</v>
      </c>
      <c r="AO2261" s="5">
        <v>63</v>
      </c>
      <c r="AP2261" s="5">
        <v>11</v>
      </c>
      <c r="AQ2261" s="5">
        <v>1433</v>
      </c>
      <c r="AR2261" s="5">
        <v>1445</v>
      </c>
      <c r="AS2261" s="5" t="s">
        <v>16</v>
      </c>
      <c r="AT2261" s="5" t="s">
        <v>13546</v>
      </c>
      <c r="AU2261" s="5" t="s">
        <v>13547</v>
      </c>
      <c r="AV2261" s="5" t="s">
        <v>13549</v>
      </c>
    </row>
    <row r="2262" spans="1:48" ht="45" customHeight="1" x14ac:dyDescent="0.15">
      <c r="A2262" s="5" t="s">
        <v>13550</v>
      </c>
      <c r="B2262" s="5">
        <v>2018</v>
      </c>
      <c r="C2262" s="5" t="s">
        <v>13551</v>
      </c>
      <c r="D2262" s="5" t="s">
        <v>1621</v>
      </c>
      <c r="E2262" s="5" t="s">
        <v>18453</v>
      </c>
      <c r="F2262" s="5" t="s">
        <v>13554</v>
      </c>
      <c r="G2262" s="5"/>
      <c r="H2262" s="5"/>
      <c r="I2262" s="5"/>
      <c r="J2262" s="5"/>
      <c r="K2262" s="5"/>
      <c r="L2262" s="5"/>
      <c r="M2262" s="5"/>
      <c r="N2262" s="5"/>
      <c r="O2262" s="5"/>
      <c r="P2262" s="5"/>
      <c r="Q2262" s="5"/>
      <c r="AL2262" s="7" t="str">
        <f>HYPERLINK("http://dx.doi.org/10.1093/conphys/coy011","http://dx.doi.org/10.1093/conphys/coy011")</f>
        <v>http://dx.doi.org/10.1093/conphys/coy011</v>
      </c>
      <c r="AM2262" s="5">
        <v>15</v>
      </c>
      <c r="AN2262" s="5">
        <v>15</v>
      </c>
      <c r="AO2262" s="5">
        <v>6</v>
      </c>
      <c r="AP2262" s="5" t="s">
        <v>16</v>
      </c>
      <c r="AQ2262" s="5" t="s">
        <v>16</v>
      </c>
      <c r="AR2262" s="5" t="s">
        <v>16</v>
      </c>
      <c r="AS2262" s="5" t="s">
        <v>13555</v>
      </c>
      <c r="AT2262" s="5" t="s">
        <v>13552</v>
      </c>
      <c r="AU2262" s="5" t="s">
        <v>13553</v>
      </c>
      <c r="AV2262" s="5" t="s">
        <v>13556</v>
      </c>
    </row>
    <row r="2263" spans="1:48" ht="45" customHeight="1" x14ac:dyDescent="0.15">
      <c r="A2263" s="5" t="s">
        <v>13557</v>
      </c>
      <c r="B2263" s="5">
        <v>2022</v>
      </c>
      <c r="C2263" s="5" t="s">
        <v>13558</v>
      </c>
      <c r="D2263" s="5" t="s">
        <v>289</v>
      </c>
      <c r="E2263" s="5" t="s">
        <v>18453</v>
      </c>
      <c r="F2263" s="5" t="s">
        <v>13561</v>
      </c>
      <c r="G2263" s="5"/>
      <c r="H2263" s="5"/>
      <c r="I2263" s="5"/>
      <c r="J2263" s="5"/>
      <c r="K2263" s="5"/>
      <c r="L2263" s="5"/>
      <c r="M2263" s="5"/>
      <c r="N2263" s="5"/>
      <c r="O2263" s="5"/>
      <c r="P2263" s="5"/>
      <c r="Q2263" s="5"/>
      <c r="AL2263" s="7" t="str">
        <f>HYPERLINK("http://dx.doi.org/10.1111/1365-2745.14007","http://dx.doi.org/10.1111/1365-2745.14007")</f>
        <v>http://dx.doi.org/10.1111/1365-2745.14007</v>
      </c>
      <c r="AM2263" s="5">
        <v>0</v>
      </c>
      <c r="AN2263" s="5">
        <v>0</v>
      </c>
      <c r="AO2263" s="5">
        <v>110</v>
      </c>
      <c r="AP2263" s="5">
        <v>12</v>
      </c>
      <c r="AQ2263" s="5">
        <v>2998</v>
      </c>
      <c r="AR2263" s="5">
        <v>3011</v>
      </c>
      <c r="AS2263" s="5" t="s">
        <v>16</v>
      </c>
      <c r="AT2263" s="5" t="s">
        <v>13559</v>
      </c>
      <c r="AU2263" s="5" t="s">
        <v>13560</v>
      </c>
      <c r="AV2263" s="5" t="s">
        <v>13562</v>
      </c>
    </row>
    <row r="2264" spans="1:48" ht="45" customHeight="1" x14ac:dyDescent="0.15">
      <c r="A2264" s="5" t="s">
        <v>13563</v>
      </c>
      <c r="B2264" s="5">
        <v>2017</v>
      </c>
      <c r="C2264" s="5" t="s">
        <v>13564</v>
      </c>
      <c r="D2264" s="5" t="s">
        <v>6082</v>
      </c>
      <c r="E2264" s="5" t="s">
        <v>18453</v>
      </c>
      <c r="F2264" s="5" t="s">
        <v>13567</v>
      </c>
      <c r="G2264" s="5"/>
      <c r="H2264" s="5"/>
      <c r="I2264" s="5"/>
      <c r="J2264" s="5"/>
      <c r="K2264" s="5"/>
      <c r="L2264" s="5"/>
      <c r="M2264" s="5"/>
      <c r="N2264" s="5"/>
      <c r="O2264" s="5"/>
      <c r="P2264" s="5"/>
      <c r="Q2264" s="5"/>
      <c r="AL2264" s="7" t="str">
        <f>HYPERLINK("http://dx.doi.org/10.1007/s00248-016-0888-4","http://dx.doi.org/10.1007/s00248-016-0888-4")</f>
        <v>http://dx.doi.org/10.1007/s00248-016-0888-4</v>
      </c>
      <c r="AM2264" s="5">
        <v>20</v>
      </c>
      <c r="AN2264" s="5">
        <v>22</v>
      </c>
      <c r="AO2264" s="5">
        <v>73</v>
      </c>
      <c r="AP2264" s="5">
        <v>3</v>
      </c>
      <c r="AQ2264" s="5">
        <v>590</v>
      </c>
      <c r="AR2264" s="5">
        <v>601</v>
      </c>
      <c r="AS2264" s="5" t="s">
        <v>16</v>
      </c>
      <c r="AT2264" s="5" t="s">
        <v>13565</v>
      </c>
      <c r="AU2264" s="5" t="s">
        <v>13566</v>
      </c>
      <c r="AV2264" s="5" t="s">
        <v>13568</v>
      </c>
    </row>
    <row r="2265" spans="1:48" ht="45" customHeight="1" x14ac:dyDescent="0.15">
      <c r="A2265" s="5" t="s">
        <v>13569</v>
      </c>
      <c r="B2265" s="5">
        <v>2022</v>
      </c>
      <c r="C2265" s="5" t="s">
        <v>13570</v>
      </c>
      <c r="D2265" s="5" t="s">
        <v>18</v>
      </c>
      <c r="E2265" s="5" t="s">
        <v>18453</v>
      </c>
      <c r="F2265" s="5" t="s">
        <v>13573</v>
      </c>
      <c r="G2265" s="5"/>
      <c r="H2265" s="5"/>
      <c r="I2265" s="5"/>
      <c r="J2265" s="5"/>
      <c r="K2265" s="5"/>
      <c r="L2265" s="5"/>
      <c r="M2265" s="5"/>
      <c r="N2265" s="5"/>
      <c r="O2265" s="5"/>
      <c r="P2265" s="5"/>
      <c r="Q2265" s="5"/>
      <c r="AL2265" s="7" t="str">
        <f>HYPERLINK("http://dx.doi.org/10.1002/ecs2.3944","http://dx.doi.org/10.1002/ecs2.3944")</f>
        <v>http://dx.doi.org/10.1002/ecs2.3944</v>
      </c>
      <c r="AM2265" s="5">
        <v>3</v>
      </c>
      <c r="AN2265" s="5">
        <v>3</v>
      </c>
      <c r="AO2265" s="5">
        <v>13</v>
      </c>
      <c r="AP2265" s="5">
        <v>2</v>
      </c>
      <c r="AQ2265" s="5" t="s">
        <v>16</v>
      </c>
      <c r="AR2265" s="5" t="s">
        <v>16</v>
      </c>
      <c r="AS2265" s="5" t="s">
        <v>13574</v>
      </c>
      <c r="AT2265" s="5" t="s">
        <v>13571</v>
      </c>
      <c r="AU2265" s="5" t="s">
        <v>13572</v>
      </c>
      <c r="AV2265" s="5" t="s">
        <v>13575</v>
      </c>
    </row>
    <row r="2266" spans="1:48" ht="45" customHeight="1" x14ac:dyDescent="0.15">
      <c r="A2266" s="5" t="s">
        <v>13576</v>
      </c>
      <c r="B2266" s="5">
        <v>2006</v>
      </c>
      <c r="C2266" s="5" t="s">
        <v>13577</v>
      </c>
      <c r="D2266" s="5" t="s">
        <v>27</v>
      </c>
      <c r="E2266" s="5" t="s">
        <v>18453</v>
      </c>
      <c r="F2266" s="5" t="s">
        <v>13580</v>
      </c>
      <c r="G2266" s="5"/>
      <c r="H2266" s="5"/>
      <c r="I2266" s="5"/>
      <c r="J2266" s="5"/>
      <c r="K2266" s="5"/>
      <c r="L2266" s="5"/>
      <c r="M2266" s="5"/>
      <c r="N2266" s="5"/>
      <c r="O2266" s="5"/>
      <c r="P2266" s="5"/>
      <c r="Q2266" s="5"/>
      <c r="AL2266" s="7" t="str">
        <f>HYPERLINK("http://dx.doi.org/10.1890/0012-9658(2006)87[1244:NCFNAE]2.0.CO;2","http://dx.doi.org/10.1890/0012-9658(2006)87[1244:NCFNAE]2.0.CO;2")</f>
        <v>http://dx.doi.org/10.1890/0012-9658(2006)87[1244:NCFNAE]2.0.CO;2</v>
      </c>
      <c r="AM2266" s="5">
        <v>184</v>
      </c>
      <c r="AN2266" s="5">
        <v>191</v>
      </c>
      <c r="AO2266" s="5">
        <v>87</v>
      </c>
      <c r="AP2266" s="5">
        <v>5</v>
      </c>
      <c r="AQ2266" s="5">
        <v>1244</v>
      </c>
      <c r="AR2266" s="5">
        <v>1255</v>
      </c>
      <c r="AS2266" s="5" t="s">
        <v>16</v>
      </c>
      <c r="AT2266" s="5" t="s">
        <v>13578</v>
      </c>
      <c r="AU2266" s="5" t="s">
        <v>13579</v>
      </c>
      <c r="AV2266" s="5" t="s">
        <v>13581</v>
      </c>
    </row>
    <row r="2267" spans="1:48" ht="45" customHeight="1" x14ac:dyDescent="0.15">
      <c r="A2267" s="5" t="s">
        <v>13582</v>
      </c>
      <c r="B2267" s="5">
        <v>1998</v>
      </c>
      <c r="C2267" s="5" t="s">
        <v>13583</v>
      </c>
      <c r="D2267" s="5" t="s">
        <v>162</v>
      </c>
      <c r="E2267" s="5" t="s">
        <v>18453</v>
      </c>
      <c r="F2267" s="5" t="s">
        <v>13586</v>
      </c>
      <c r="G2267" s="5"/>
      <c r="H2267" s="5"/>
      <c r="I2267" s="5"/>
      <c r="J2267" s="5"/>
      <c r="K2267" s="5"/>
      <c r="L2267" s="5"/>
      <c r="M2267" s="5"/>
      <c r="N2267" s="5"/>
      <c r="O2267" s="5"/>
      <c r="P2267" s="5"/>
      <c r="Q2267" s="5"/>
      <c r="AL2267" s="7" t="str">
        <f>HYPERLINK("http://dx.doi.org/10.1046/j.1365-2435.1998.00206.x","http://dx.doi.org/10.1046/j.1365-2435.1998.00206.x")</f>
        <v>http://dx.doi.org/10.1046/j.1365-2435.1998.00206.x</v>
      </c>
      <c r="AM2267" s="5">
        <v>110</v>
      </c>
      <c r="AN2267" s="5">
        <v>124</v>
      </c>
      <c r="AO2267" s="5">
        <v>12</v>
      </c>
      <c r="AP2267" s="5">
        <v>3</v>
      </c>
      <c r="AQ2267" s="5">
        <v>406</v>
      </c>
      <c r="AR2267" s="5">
        <v>412</v>
      </c>
      <c r="AS2267" s="5" t="s">
        <v>16</v>
      </c>
      <c r="AT2267" s="5" t="s">
        <v>13584</v>
      </c>
      <c r="AU2267" s="5" t="s">
        <v>13585</v>
      </c>
      <c r="AV2267" s="5" t="s">
        <v>13587</v>
      </c>
    </row>
    <row r="2268" spans="1:48" ht="45" customHeight="1" x14ac:dyDescent="0.15">
      <c r="A2268" s="5" t="s">
        <v>13588</v>
      </c>
      <c r="B2268" s="5">
        <v>2007</v>
      </c>
      <c r="C2268" s="5" t="s">
        <v>13589</v>
      </c>
      <c r="D2268" s="5" t="s">
        <v>49</v>
      </c>
      <c r="E2268" s="5" t="s">
        <v>18453</v>
      </c>
      <c r="F2268" s="5" t="s">
        <v>13592</v>
      </c>
      <c r="G2268" s="5"/>
      <c r="H2268" s="5"/>
      <c r="I2268" s="5"/>
      <c r="J2268" s="5"/>
      <c r="K2268" s="5"/>
      <c r="L2268" s="5"/>
      <c r="M2268" s="5"/>
      <c r="N2268" s="5"/>
      <c r="O2268" s="5"/>
      <c r="P2268" s="5"/>
      <c r="Q2268" s="5"/>
      <c r="AL2268" s="7" t="str">
        <f>HYPERLINK("http://dx.doi.org/10.3354/meps340055","http://dx.doi.org/10.3354/meps340055")</f>
        <v>http://dx.doi.org/10.3354/meps340055</v>
      </c>
      <c r="AM2268" s="5">
        <v>42</v>
      </c>
      <c r="AN2268" s="5">
        <v>43</v>
      </c>
      <c r="AO2268" s="5">
        <v>340</v>
      </c>
      <c r="AP2268" s="5" t="s">
        <v>16</v>
      </c>
      <c r="AQ2268" s="5">
        <v>55</v>
      </c>
      <c r="AR2268" s="5">
        <v>62</v>
      </c>
      <c r="AS2268" s="5" t="s">
        <v>16</v>
      </c>
      <c r="AT2268" s="5" t="s">
        <v>13590</v>
      </c>
      <c r="AU2268" s="5" t="s">
        <v>13591</v>
      </c>
      <c r="AV2268" s="5" t="s">
        <v>13593</v>
      </c>
    </row>
    <row r="2269" spans="1:48" ht="45" customHeight="1" x14ac:dyDescent="0.15">
      <c r="A2269" s="5" t="s">
        <v>13594</v>
      </c>
      <c r="B2269" s="5">
        <v>2015</v>
      </c>
      <c r="C2269" s="5" t="s">
        <v>13595</v>
      </c>
      <c r="D2269" s="5" t="s">
        <v>2087</v>
      </c>
      <c r="E2269" s="5" t="s">
        <v>18453</v>
      </c>
      <c r="F2269" s="5" t="s">
        <v>13598</v>
      </c>
      <c r="G2269" s="5"/>
      <c r="H2269" s="5"/>
      <c r="I2269" s="5"/>
      <c r="J2269" s="5"/>
      <c r="K2269" s="5"/>
      <c r="L2269" s="5"/>
      <c r="M2269" s="5"/>
      <c r="N2269" s="5"/>
      <c r="O2269" s="5"/>
      <c r="P2269" s="5"/>
      <c r="Q2269" s="5"/>
      <c r="AL2269" s="7" t="str">
        <f>HYPERLINK("http://dx.doi.org/10.1002/eco.1502","http://dx.doi.org/10.1002/eco.1502")</f>
        <v>http://dx.doi.org/10.1002/eco.1502</v>
      </c>
      <c r="AM2269" s="5">
        <v>6</v>
      </c>
      <c r="AN2269" s="5">
        <v>7</v>
      </c>
      <c r="AO2269" s="5">
        <v>8</v>
      </c>
      <c r="AP2269" s="5">
        <v>2</v>
      </c>
      <c r="AQ2269" s="5">
        <v>230</v>
      </c>
      <c r="AR2269" s="5">
        <v>242</v>
      </c>
      <c r="AS2269" s="5" t="s">
        <v>16</v>
      </c>
      <c r="AT2269" s="5" t="s">
        <v>13596</v>
      </c>
      <c r="AU2269" s="5" t="s">
        <v>13597</v>
      </c>
      <c r="AV2269" s="5" t="s">
        <v>13599</v>
      </c>
    </row>
    <row r="2270" spans="1:48" ht="45" customHeight="1" x14ac:dyDescent="0.15">
      <c r="A2270" s="5" t="s">
        <v>13600</v>
      </c>
      <c r="B2270" s="5">
        <v>2018</v>
      </c>
      <c r="C2270" s="5" t="s">
        <v>13601</v>
      </c>
      <c r="D2270" s="5" t="s">
        <v>49</v>
      </c>
      <c r="E2270" s="5" t="s">
        <v>18453</v>
      </c>
      <c r="F2270" s="5" t="s">
        <v>13604</v>
      </c>
      <c r="G2270" s="5"/>
      <c r="H2270" s="5"/>
      <c r="I2270" s="5"/>
      <c r="J2270" s="5"/>
      <c r="K2270" s="5"/>
      <c r="L2270" s="5"/>
      <c r="M2270" s="5"/>
      <c r="N2270" s="5"/>
      <c r="O2270" s="5"/>
      <c r="P2270" s="5"/>
      <c r="Q2270" s="5"/>
      <c r="AL2270" s="7" t="str">
        <f>HYPERLINK("http://dx.doi.org/10.3354/meps12553","http://dx.doi.org/10.3354/meps12553")</f>
        <v>http://dx.doi.org/10.3354/meps12553</v>
      </c>
      <c r="AM2270" s="5">
        <v>18</v>
      </c>
      <c r="AN2270" s="5">
        <v>18</v>
      </c>
      <c r="AO2270" s="5">
        <v>595</v>
      </c>
      <c r="AP2270" s="5" t="s">
        <v>16</v>
      </c>
      <c r="AQ2270" s="5">
        <v>171</v>
      </c>
      <c r="AR2270" s="5">
        <v>186</v>
      </c>
      <c r="AS2270" s="5" t="s">
        <v>16</v>
      </c>
      <c r="AT2270" s="5" t="s">
        <v>13602</v>
      </c>
      <c r="AU2270" s="5" t="s">
        <v>13603</v>
      </c>
      <c r="AV2270" s="5" t="s">
        <v>13605</v>
      </c>
    </row>
    <row r="2271" spans="1:48" ht="45" customHeight="1" x14ac:dyDescent="0.15">
      <c r="A2271" s="5" t="s">
        <v>13606</v>
      </c>
      <c r="B2271" s="5">
        <v>2016</v>
      </c>
      <c r="C2271" s="5" t="s">
        <v>13607</v>
      </c>
      <c r="D2271" s="5" t="s">
        <v>49</v>
      </c>
      <c r="E2271" s="5" t="s">
        <v>18453</v>
      </c>
      <c r="F2271" s="5" t="s">
        <v>13610</v>
      </c>
      <c r="G2271" s="5"/>
      <c r="H2271" s="5"/>
      <c r="I2271" s="5"/>
      <c r="J2271" s="5"/>
      <c r="K2271" s="5"/>
      <c r="L2271" s="5"/>
      <c r="M2271" s="5"/>
      <c r="N2271" s="5"/>
      <c r="O2271" s="5"/>
      <c r="P2271" s="5"/>
      <c r="Q2271" s="5"/>
      <c r="AL2271" s="7" t="str">
        <f>HYPERLINK("http://dx.doi.org/10.3354/meps11810","http://dx.doi.org/10.3354/meps11810")</f>
        <v>http://dx.doi.org/10.3354/meps11810</v>
      </c>
      <c r="AM2271" s="5">
        <v>3</v>
      </c>
      <c r="AN2271" s="5">
        <v>3</v>
      </c>
      <c r="AO2271" s="5">
        <v>555</v>
      </c>
      <c r="AP2271" s="5" t="s">
        <v>16</v>
      </c>
      <c r="AQ2271" s="5">
        <v>203</v>
      </c>
      <c r="AR2271" s="5">
        <v>219</v>
      </c>
      <c r="AS2271" s="5" t="s">
        <v>16</v>
      </c>
      <c r="AT2271" s="5" t="s">
        <v>13608</v>
      </c>
      <c r="AU2271" s="5" t="s">
        <v>13609</v>
      </c>
      <c r="AV2271" s="5" t="s">
        <v>13611</v>
      </c>
    </row>
    <row r="2272" spans="1:48" ht="45" customHeight="1" x14ac:dyDescent="0.15">
      <c r="A2272" s="5" t="s">
        <v>13612</v>
      </c>
      <c r="B2272" s="5">
        <v>2020</v>
      </c>
      <c r="C2272" s="5" t="s">
        <v>13613</v>
      </c>
      <c r="D2272" s="5" t="s">
        <v>296</v>
      </c>
      <c r="E2272" s="5" t="s">
        <v>18453</v>
      </c>
      <c r="F2272" s="5" t="s">
        <v>13616</v>
      </c>
      <c r="G2272" s="5"/>
      <c r="H2272" s="5"/>
      <c r="I2272" s="5"/>
      <c r="J2272" s="5"/>
      <c r="K2272" s="5"/>
      <c r="L2272" s="5"/>
      <c r="M2272" s="5"/>
      <c r="N2272" s="5"/>
      <c r="O2272" s="5"/>
      <c r="P2272" s="5"/>
      <c r="Q2272" s="5"/>
      <c r="AL2272" s="7" t="str">
        <f>HYPERLINK("http://dx.doi.org/10.1098/rspb.2020.0610","http://dx.doi.org/10.1098/rspb.2020.0610")</f>
        <v>http://dx.doi.org/10.1098/rspb.2020.0610</v>
      </c>
      <c r="AM2272" s="5">
        <v>1</v>
      </c>
      <c r="AN2272" s="5">
        <v>1</v>
      </c>
      <c r="AO2272" s="5">
        <v>287</v>
      </c>
      <c r="AP2272" s="5">
        <v>1931</v>
      </c>
      <c r="AQ2272" s="5" t="s">
        <v>16</v>
      </c>
      <c r="AR2272" s="5" t="s">
        <v>16</v>
      </c>
      <c r="AS2272" s="5">
        <v>20200610</v>
      </c>
      <c r="AT2272" s="5" t="s">
        <v>13614</v>
      </c>
      <c r="AU2272" s="5" t="s">
        <v>13615</v>
      </c>
      <c r="AV2272" s="5" t="s">
        <v>13617</v>
      </c>
    </row>
    <row r="2273" spans="1:48" ht="45" customHeight="1" x14ac:dyDescent="0.15">
      <c r="A2273" s="5" t="s">
        <v>13618</v>
      </c>
      <c r="B2273" s="5">
        <v>2021</v>
      </c>
      <c r="C2273" s="5" t="s">
        <v>13619</v>
      </c>
      <c r="D2273" s="5" t="s">
        <v>973</v>
      </c>
      <c r="E2273" s="5" t="s">
        <v>18453</v>
      </c>
      <c r="F2273" s="5" t="s">
        <v>13621</v>
      </c>
      <c r="G2273" s="5"/>
      <c r="H2273" s="5"/>
      <c r="I2273" s="5"/>
      <c r="J2273" s="5"/>
      <c r="K2273" s="5"/>
      <c r="L2273" s="5"/>
      <c r="M2273" s="5"/>
      <c r="N2273" s="5"/>
      <c r="O2273" s="5"/>
      <c r="P2273" s="5"/>
      <c r="Q2273" s="5"/>
      <c r="AL2273" s="7" t="str">
        <f>HYPERLINK("http://dx.doi.org/10.5194/bg-18-3781-2021","http://dx.doi.org/10.5194/bg-18-3781-2021")</f>
        <v>http://dx.doi.org/10.5194/bg-18-3781-2021</v>
      </c>
      <c r="AM2273" s="5">
        <v>13</v>
      </c>
      <c r="AN2273" s="5">
        <v>13</v>
      </c>
      <c r="AO2273" s="5">
        <v>18</v>
      </c>
      <c r="AP2273" s="5">
        <v>12</v>
      </c>
      <c r="AQ2273" s="5">
        <v>3781</v>
      </c>
      <c r="AR2273" s="5">
        <v>3803</v>
      </c>
      <c r="AS2273" s="5" t="s">
        <v>16</v>
      </c>
      <c r="AT2273" s="5" t="s">
        <v>16</v>
      </c>
      <c r="AU2273" s="5" t="s">
        <v>13620</v>
      </c>
      <c r="AV2273" s="5" t="s">
        <v>13622</v>
      </c>
    </row>
    <row r="2274" spans="1:48" ht="45" customHeight="1" x14ac:dyDescent="0.15">
      <c r="A2274" s="5" t="s">
        <v>13623</v>
      </c>
      <c r="B2274" s="5">
        <v>2017</v>
      </c>
      <c r="C2274" s="5" t="s">
        <v>13624</v>
      </c>
      <c r="D2274" s="5" t="s">
        <v>92</v>
      </c>
      <c r="E2274" s="5" t="s">
        <v>18453</v>
      </c>
      <c r="F2274" s="5" t="s">
        <v>13627</v>
      </c>
      <c r="G2274" s="5"/>
      <c r="H2274" s="5"/>
      <c r="I2274" s="5"/>
      <c r="J2274" s="5"/>
      <c r="K2274" s="5"/>
      <c r="L2274" s="5"/>
      <c r="M2274" s="5"/>
      <c r="N2274" s="5"/>
      <c r="O2274" s="5"/>
      <c r="P2274" s="5"/>
      <c r="Q2274" s="5"/>
      <c r="AL2274" s="7" t="str">
        <f>HYPERLINK("http://dx.doi.org/10.1086/694335","http://dx.doi.org/10.1086/694335")</f>
        <v>http://dx.doi.org/10.1086/694335</v>
      </c>
      <c r="AM2274" s="5">
        <v>10</v>
      </c>
      <c r="AN2274" s="5">
        <v>11</v>
      </c>
      <c r="AO2274" s="5">
        <v>36</v>
      </c>
      <c r="AP2274" s="5">
        <v>4</v>
      </c>
      <c r="AQ2274" s="5">
        <v>877</v>
      </c>
      <c r="AR2274" s="5">
        <v>892</v>
      </c>
      <c r="AS2274" s="5" t="s">
        <v>16</v>
      </c>
      <c r="AT2274" s="5" t="s">
        <v>13625</v>
      </c>
      <c r="AU2274" s="5" t="s">
        <v>13626</v>
      </c>
      <c r="AV2274" s="5" t="s">
        <v>13628</v>
      </c>
    </row>
    <row r="2275" spans="1:48" ht="45" customHeight="1" x14ac:dyDescent="0.15">
      <c r="A2275" s="5" t="s">
        <v>13629</v>
      </c>
      <c r="B2275" s="5">
        <v>2021</v>
      </c>
      <c r="C2275" s="5" t="s">
        <v>13630</v>
      </c>
      <c r="D2275" s="5" t="s">
        <v>217</v>
      </c>
      <c r="E2275" s="5" t="s">
        <v>18453</v>
      </c>
      <c r="F2275" s="5" t="s">
        <v>13633</v>
      </c>
      <c r="G2275" s="5"/>
      <c r="H2275" s="5"/>
      <c r="I2275" s="5"/>
      <c r="J2275" s="5"/>
      <c r="K2275" s="5"/>
      <c r="L2275" s="5"/>
      <c r="M2275" s="5"/>
      <c r="N2275" s="5"/>
      <c r="O2275" s="5"/>
      <c r="P2275" s="5"/>
      <c r="Q2275" s="5"/>
      <c r="AL2275" s="7" t="str">
        <f>HYPERLINK("http://dx.doi.org/10.1111/2041-210X.13622","http://dx.doi.org/10.1111/2041-210X.13622")</f>
        <v>http://dx.doi.org/10.1111/2041-210X.13622</v>
      </c>
      <c r="AM2275" s="5">
        <v>8</v>
      </c>
      <c r="AN2275" s="5">
        <v>8</v>
      </c>
      <c r="AO2275" s="5">
        <v>12</v>
      </c>
      <c r="AP2275" s="5">
        <v>8</v>
      </c>
      <c r="AQ2275" s="5">
        <v>1508</v>
      </c>
      <c r="AR2275" s="5">
        <v>1520</v>
      </c>
      <c r="AS2275" s="5" t="s">
        <v>16</v>
      </c>
      <c r="AT2275" s="5" t="s">
        <v>13631</v>
      </c>
      <c r="AU2275" s="5" t="s">
        <v>13632</v>
      </c>
      <c r="AV2275" s="5" t="s">
        <v>13634</v>
      </c>
    </row>
    <row r="2276" spans="1:48" ht="45" customHeight="1" x14ac:dyDescent="0.15">
      <c r="A2276" s="5" t="s">
        <v>13635</v>
      </c>
      <c r="B2276" s="5">
        <v>2018</v>
      </c>
      <c r="C2276" s="5" t="s">
        <v>13636</v>
      </c>
      <c r="D2276" s="5" t="s">
        <v>49</v>
      </c>
      <c r="E2276" s="5" t="s">
        <v>18453</v>
      </c>
      <c r="F2276" s="5" t="s">
        <v>13639</v>
      </c>
      <c r="G2276" s="5"/>
      <c r="H2276" s="5"/>
      <c r="I2276" s="5"/>
      <c r="J2276" s="5"/>
      <c r="K2276" s="5"/>
      <c r="L2276" s="5"/>
      <c r="M2276" s="5"/>
      <c r="N2276" s="5"/>
      <c r="O2276" s="5"/>
      <c r="P2276" s="5"/>
      <c r="Q2276" s="5"/>
      <c r="AL2276" s="7" t="str">
        <f>HYPERLINK("http://dx.doi.org/10.3354/meps12593","http://dx.doi.org/10.3354/meps12593")</f>
        <v>http://dx.doi.org/10.3354/meps12593</v>
      </c>
      <c r="AM2276" s="5">
        <v>7</v>
      </c>
      <c r="AN2276" s="5">
        <v>7</v>
      </c>
      <c r="AO2276" s="5">
        <v>597</v>
      </c>
      <c r="AP2276" s="5" t="s">
        <v>16</v>
      </c>
      <c r="AQ2276" s="5">
        <v>221</v>
      </c>
      <c r="AR2276" s="5">
        <v>230</v>
      </c>
      <c r="AS2276" s="5" t="s">
        <v>16</v>
      </c>
      <c r="AT2276" s="5" t="s">
        <v>13637</v>
      </c>
      <c r="AU2276" s="5" t="s">
        <v>13638</v>
      </c>
      <c r="AV2276" s="5" t="s">
        <v>13640</v>
      </c>
    </row>
    <row r="2277" spans="1:48" ht="45" customHeight="1" x14ac:dyDescent="0.15">
      <c r="A2277" s="5" t="s">
        <v>13641</v>
      </c>
      <c r="B2277" s="5">
        <v>2021</v>
      </c>
      <c r="C2277" s="5" t="s">
        <v>13642</v>
      </c>
      <c r="D2277" s="5" t="s">
        <v>123</v>
      </c>
      <c r="E2277" s="5" t="s">
        <v>18453</v>
      </c>
      <c r="F2277" s="5" t="s">
        <v>13645</v>
      </c>
      <c r="G2277" s="5"/>
      <c r="H2277" s="5"/>
      <c r="I2277" s="5"/>
      <c r="J2277" s="5"/>
      <c r="K2277" s="5"/>
      <c r="L2277" s="5"/>
      <c r="M2277" s="5"/>
      <c r="N2277" s="5"/>
      <c r="O2277" s="5"/>
      <c r="P2277" s="5"/>
      <c r="Q2277" s="5"/>
      <c r="AL2277" s="7" t="str">
        <f>HYPERLINK("http://dx.doi.org/10.1111/ddi.13420","http://dx.doi.org/10.1111/ddi.13420")</f>
        <v>http://dx.doi.org/10.1111/ddi.13420</v>
      </c>
      <c r="AM2277" s="5">
        <v>3</v>
      </c>
      <c r="AN2277" s="5">
        <v>8</v>
      </c>
      <c r="AO2277" s="5">
        <v>27</v>
      </c>
      <c r="AP2277" s="5">
        <v>12</v>
      </c>
      <c r="AQ2277" s="5">
        <v>2527</v>
      </c>
      <c r="AR2277" s="5">
        <v>2541</v>
      </c>
      <c r="AS2277" s="5" t="s">
        <v>16</v>
      </c>
      <c r="AT2277" s="5" t="s">
        <v>13643</v>
      </c>
      <c r="AU2277" s="5" t="s">
        <v>13644</v>
      </c>
      <c r="AV2277" s="5" t="s">
        <v>13646</v>
      </c>
    </row>
    <row r="2278" spans="1:48" ht="45" customHeight="1" x14ac:dyDescent="0.15">
      <c r="A2278" s="5" t="s">
        <v>13647</v>
      </c>
      <c r="B2278" s="5">
        <v>1994</v>
      </c>
      <c r="C2278" s="5" t="s">
        <v>13648</v>
      </c>
      <c r="D2278" s="5" t="s">
        <v>172</v>
      </c>
      <c r="E2278" s="5" t="s">
        <v>18453</v>
      </c>
      <c r="F2278" s="5" t="s">
        <v>13651</v>
      </c>
      <c r="G2278" s="5"/>
      <c r="H2278" s="5"/>
      <c r="I2278" s="5"/>
      <c r="J2278" s="5"/>
      <c r="K2278" s="5"/>
      <c r="L2278" s="5"/>
      <c r="M2278" s="5"/>
      <c r="N2278" s="5"/>
      <c r="O2278" s="5"/>
      <c r="P2278" s="5"/>
      <c r="Q2278" s="5"/>
      <c r="AL2278" s="7" t="str">
        <f>HYPERLINK("http://dx.doi.org/10.1007/BF00317090","http://dx.doi.org/10.1007/BF00317090")</f>
        <v>http://dx.doi.org/10.1007/BF00317090</v>
      </c>
      <c r="AM2278" s="5">
        <v>58</v>
      </c>
      <c r="AN2278" s="5">
        <v>61</v>
      </c>
      <c r="AO2278" s="5">
        <v>99</v>
      </c>
      <c r="AP2278" s="5" t="s">
        <v>778</v>
      </c>
      <c r="AQ2278" s="5">
        <v>112</v>
      </c>
      <c r="AR2278" s="5">
        <v>117</v>
      </c>
      <c r="AS2278" s="5" t="s">
        <v>16</v>
      </c>
      <c r="AT2278" s="5" t="s">
        <v>13649</v>
      </c>
      <c r="AU2278" s="5" t="s">
        <v>13650</v>
      </c>
      <c r="AV2278" s="5" t="s">
        <v>13652</v>
      </c>
    </row>
    <row r="2279" spans="1:48" ht="45" customHeight="1" x14ac:dyDescent="0.15">
      <c r="A2279" s="5" t="s">
        <v>13653</v>
      </c>
      <c r="B2279" s="5">
        <v>2006</v>
      </c>
      <c r="C2279" s="5" t="s">
        <v>13654</v>
      </c>
      <c r="D2279" s="5" t="s">
        <v>199</v>
      </c>
      <c r="E2279" s="5" t="s">
        <v>18453</v>
      </c>
      <c r="F2279" s="5" t="s">
        <v>13657</v>
      </c>
      <c r="G2279" s="5"/>
      <c r="H2279" s="5"/>
      <c r="I2279" s="5"/>
      <c r="J2279" s="5"/>
      <c r="K2279" s="5"/>
      <c r="L2279" s="5"/>
      <c r="M2279" s="5"/>
      <c r="N2279" s="5"/>
      <c r="O2279" s="5"/>
      <c r="P2279" s="5"/>
      <c r="Q2279" s="5"/>
      <c r="AL2279" s="7" t="str">
        <f>HYPERLINK("http://dx.doi.org/10.1016/j.ejsobi.2006.07.009","http://dx.doi.org/10.1016/j.ejsobi.2006.07.009")</f>
        <v>http://dx.doi.org/10.1016/j.ejsobi.2006.07.009</v>
      </c>
      <c r="AM2279" s="5">
        <v>12</v>
      </c>
      <c r="AN2279" s="5">
        <v>13</v>
      </c>
      <c r="AO2279" s="5">
        <v>42</v>
      </c>
      <c r="AP2279" s="5" t="s">
        <v>16</v>
      </c>
      <c r="AQ2279" s="5" t="s">
        <v>13658</v>
      </c>
      <c r="AR2279" s="5" t="s">
        <v>13659</v>
      </c>
      <c r="AS2279" s="5" t="s">
        <v>16</v>
      </c>
      <c r="AT2279" s="5" t="s">
        <v>13655</v>
      </c>
      <c r="AU2279" s="5" t="s">
        <v>13656</v>
      </c>
      <c r="AV2279" s="5" t="s">
        <v>13660</v>
      </c>
    </row>
    <row r="2280" spans="1:48" ht="45" customHeight="1" x14ac:dyDescent="0.15">
      <c r="A2280" s="5" t="s">
        <v>13661</v>
      </c>
      <c r="B2280" s="5">
        <v>2005</v>
      </c>
      <c r="C2280" s="5" t="s">
        <v>13662</v>
      </c>
      <c r="D2280" s="5" t="s">
        <v>172</v>
      </c>
      <c r="E2280" s="5" t="s">
        <v>18453</v>
      </c>
      <c r="F2280" s="5" t="s">
        <v>13665</v>
      </c>
      <c r="G2280" s="5"/>
      <c r="H2280" s="5"/>
      <c r="I2280" s="5"/>
      <c r="J2280" s="5"/>
      <c r="K2280" s="5"/>
      <c r="L2280" s="5"/>
      <c r="M2280" s="5"/>
      <c r="N2280" s="5"/>
      <c r="O2280" s="5"/>
      <c r="P2280" s="5"/>
      <c r="Q2280" s="5"/>
      <c r="AL2280" s="7" t="str">
        <f>HYPERLINK("http://dx.doi.org/10.1007/s00442-005-0105-5","http://dx.doi.org/10.1007/s00442-005-0105-5")</f>
        <v>http://dx.doi.org/10.1007/s00442-005-0105-5</v>
      </c>
      <c r="AM2280" s="5">
        <v>18</v>
      </c>
      <c r="AN2280" s="5">
        <v>19</v>
      </c>
      <c r="AO2280" s="5">
        <v>145</v>
      </c>
      <c r="AP2280" s="5">
        <v>1</v>
      </c>
      <c r="AQ2280" s="5">
        <v>100</v>
      </c>
      <c r="AR2280" s="5">
        <v>112</v>
      </c>
      <c r="AS2280" s="5" t="s">
        <v>16</v>
      </c>
      <c r="AT2280" s="5" t="s">
        <v>13663</v>
      </c>
      <c r="AU2280" s="5" t="s">
        <v>13664</v>
      </c>
      <c r="AV2280" s="5" t="s">
        <v>13666</v>
      </c>
    </row>
    <row r="2281" spans="1:48" ht="45" customHeight="1" x14ac:dyDescent="0.15">
      <c r="A2281" s="5" t="s">
        <v>13667</v>
      </c>
      <c r="B2281" s="5">
        <v>1997</v>
      </c>
      <c r="C2281" s="5" t="s">
        <v>13668</v>
      </c>
      <c r="D2281" s="5" t="s">
        <v>82</v>
      </c>
      <c r="E2281" s="5" t="s">
        <v>18453</v>
      </c>
      <c r="F2281" s="5" t="s">
        <v>13671</v>
      </c>
      <c r="G2281" s="5"/>
      <c r="H2281" s="5"/>
      <c r="I2281" s="5"/>
      <c r="J2281" s="5"/>
      <c r="K2281" s="5"/>
      <c r="L2281" s="5"/>
      <c r="M2281" s="5"/>
      <c r="N2281" s="5"/>
      <c r="O2281" s="5"/>
      <c r="P2281" s="5"/>
      <c r="Q2281" s="5"/>
      <c r="AL2281" s="5" t="s">
        <v>16</v>
      </c>
      <c r="AM2281" s="5">
        <v>35</v>
      </c>
      <c r="AN2281" s="5">
        <v>36</v>
      </c>
      <c r="AO2281" s="5">
        <v>7</v>
      </c>
      <c r="AP2281" s="5">
        <v>4</v>
      </c>
      <c r="AQ2281" s="5">
        <v>1133</v>
      </c>
      <c r="AR2281" s="5">
        <v>1143</v>
      </c>
      <c r="AS2281" s="5" t="s">
        <v>16</v>
      </c>
      <c r="AT2281" s="5" t="s">
        <v>13669</v>
      </c>
      <c r="AU2281" s="5" t="s">
        <v>13670</v>
      </c>
      <c r="AV2281" s="5" t="s">
        <v>16</v>
      </c>
    </row>
    <row r="2282" spans="1:48" ht="45" customHeight="1" x14ac:dyDescent="0.15">
      <c r="A2282" s="5" t="s">
        <v>13672</v>
      </c>
      <c r="B2282" s="5">
        <v>2019</v>
      </c>
      <c r="C2282" s="5" t="s">
        <v>13673</v>
      </c>
      <c r="D2282" s="5" t="s">
        <v>49</v>
      </c>
      <c r="E2282" s="5" t="s">
        <v>18453</v>
      </c>
      <c r="F2282" s="5" t="s">
        <v>13676</v>
      </c>
      <c r="G2282" s="5"/>
      <c r="H2282" s="5"/>
      <c r="I2282" s="5"/>
      <c r="J2282" s="5"/>
      <c r="K2282" s="5"/>
      <c r="L2282" s="5"/>
      <c r="M2282" s="5"/>
      <c r="N2282" s="5"/>
      <c r="O2282" s="5"/>
      <c r="P2282" s="5"/>
      <c r="Q2282" s="5"/>
      <c r="AL2282" s="7" t="str">
        <f>HYPERLINK("http://dx.doi.org/10.3354/meps13025","http://dx.doi.org/10.3354/meps13025")</f>
        <v>http://dx.doi.org/10.3354/meps13025</v>
      </c>
      <c r="AM2282" s="5">
        <v>4</v>
      </c>
      <c r="AN2282" s="5">
        <v>4</v>
      </c>
      <c r="AO2282" s="5">
        <v>623</v>
      </c>
      <c r="AP2282" s="5" t="s">
        <v>16</v>
      </c>
      <c r="AQ2282" s="5">
        <v>131</v>
      </c>
      <c r="AR2282" s="5">
        <v>143</v>
      </c>
      <c r="AS2282" s="5" t="s">
        <v>16</v>
      </c>
      <c r="AT2282" s="5" t="s">
        <v>13674</v>
      </c>
      <c r="AU2282" s="5" t="s">
        <v>13675</v>
      </c>
      <c r="AV2282" s="5" t="s">
        <v>13677</v>
      </c>
    </row>
    <row r="2283" spans="1:48" ht="45" customHeight="1" x14ac:dyDescent="0.15">
      <c r="A2283" s="5" t="s">
        <v>13678</v>
      </c>
      <c r="B2283" s="5">
        <v>2011</v>
      </c>
      <c r="C2283" s="5" t="s">
        <v>13679</v>
      </c>
      <c r="D2283" s="5" t="s">
        <v>312</v>
      </c>
      <c r="E2283" s="5" t="s">
        <v>18453</v>
      </c>
      <c r="F2283" s="5" t="s">
        <v>13682</v>
      </c>
      <c r="G2283" s="5"/>
      <c r="H2283" s="5"/>
      <c r="I2283" s="5"/>
      <c r="J2283" s="5"/>
      <c r="K2283" s="5"/>
      <c r="L2283" s="5"/>
      <c r="M2283" s="5"/>
      <c r="N2283" s="5"/>
      <c r="O2283" s="5"/>
      <c r="P2283" s="5"/>
      <c r="Q2283" s="5"/>
      <c r="AL2283" s="7" t="str">
        <f>HYPERLINK("http://dx.doi.org/10.1016/j.ecolmodel.2011.04.016","http://dx.doi.org/10.1016/j.ecolmodel.2011.04.016")</f>
        <v>http://dx.doi.org/10.1016/j.ecolmodel.2011.04.016</v>
      </c>
      <c r="AM2283" s="5">
        <v>25</v>
      </c>
      <c r="AN2283" s="5">
        <v>25</v>
      </c>
      <c r="AO2283" s="5">
        <v>222</v>
      </c>
      <c r="AP2283" s="5">
        <v>16</v>
      </c>
      <c r="AQ2283" s="5">
        <v>3002</v>
      </c>
      <c r="AR2283" s="5">
        <v>3010</v>
      </c>
      <c r="AS2283" s="5" t="s">
        <v>16</v>
      </c>
      <c r="AT2283" s="5" t="s">
        <v>13680</v>
      </c>
      <c r="AU2283" s="5" t="s">
        <v>13681</v>
      </c>
      <c r="AV2283" s="5" t="s">
        <v>13683</v>
      </c>
    </row>
    <row r="2284" spans="1:48" ht="45" customHeight="1" x14ac:dyDescent="0.15">
      <c r="A2284" s="5" t="s">
        <v>13684</v>
      </c>
      <c r="B2284" s="5">
        <v>2021</v>
      </c>
      <c r="C2284" s="5" t="s">
        <v>13685</v>
      </c>
      <c r="D2284" s="5" t="s">
        <v>18</v>
      </c>
      <c r="E2284" s="5" t="s">
        <v>18453</v>
      </c>
      <c r="F2284" s="5" t="s">
        <v>13688</v>
      </c>
      <c r="G2284" s="5"/>
      <c r="H2284" s="5"/>
      <c r="I2284" s="5"/>
      <c r="J2284" s="5"/>
      <c r="K2284" s="5"/>
      <c r="L2284" s="5"/>
      <c r="M2284" s="5"/>
      <c r="N2284" s="5"/>
      <c r="O2284" s="5"/>
      <c r="P2284" s="5"/>
      <c r="Q2284" s="5"/>
      <c r="AL2284" s="7" t="str">
        <f>HYPERLINK("http://dx.doi.org/10.1002/ecs2.3757","http://dx.doi.org/10.1002/ecs2.3757")</f>
        <v>http://dx.doi.org/10.1002/ecs2.3757</v>
      </c>
      <c r="AM2284" s="5">
        <v>5</v>
      </c>
      <c r="AN2284" s="5">
        <v>5</v>
      </c>
      <c r="AO2284" s="5">
        <v>12</v>
      </c>
      <c r="AP2284" s="5">
        <v>9</v>
      </c>
      <c r="AQ2284" s="5" t="s">
        <v>16</v>
      </c>
      <c r="AR2284" s="5" t="s">
        <v>16</v>
      </c>
      <c r="AS2284" s="5" t="s">
        <v>13689</v>
      </c>
      <c r="AT2284" s="5" t="s">
        <v>13686</v>
      </c>
      <c r="AU2284" s="5" t="s">
        <v>13687</v>
      </c>
      <c r="AV2284" s="5" t="s">
        <v>13690</v>
      </c>
    </row>
    <row r="2285" spans="1:48" ht="45" customHeight="1" x14ac:dyDescent="0.15">
      <c r="A2285" s="5" t="s">
        <v>13691</v>
      </c>
      <c r="B2285" s="5">
        <v>2015</v>
      </c>
      <c r="C2285" s="5" t="s">
        <v>13692</v>
      </c>
      <c r="D2285" s="5" t="s">
        <v>212</v>
      </c>
      <c r="E2285" s="5" t="s">
        <v>18453</v>
      </c>
      <c r="F2285" s="5" t="s">
        <v>13695</v>
      </c>
      <c r="G2285" s="5"/>
      <c r="H2285" s="5"/>
      <c r="I2285" s="5"/>
      <c r="J2285" s="5"/>
      <c r="K2285" s="5"/>
      <c r="L2285" s="5"/>
      <c r="M2285" s="5"/>
      <c r="N2285" s="5"/>
      <c r="O2285" s="5"/>
      <c r="P2285" s="5"/>
      <c r="Q2285" s="5"/>
      <c r="AL2285" s="7" t="str">
        <f>HYPERLINK("http://dx.doi.org/10.1007/s00300-014-1610-y","http://dx.doi.org/10.1007/s00300-014-1610-y")</f>
        <v>http://dx.doi.org/10.1007/s00300-014-1610-y</v>
      </c>
      <c r="AM2285" s="5">
        <v>14</v>
      </c>
      <c r="AN2285" s="5">
        <v>17</v>
      </c>
      <c r="AO2285" s="5">
        <v>38</v>
      </c>
      <c r="AP2285" s="5">
        <v>4</v>
      </c>
      <c r="AQ2285" s="5">
        <v>493</v>
      </c>
      <c r="AR2285" s="5">
        <v>504</v>
      </c>
      <c r="AS2285" s="5" t="s">
        <v>16</v>
      </c>
      <c r="AT2285" s="5" t="s">
        <v>13693</v>
      </c>
      <c r="AU2285" s="5" t="s">
        <v>13694</v>
      </c>
      <c r="AV2285" s="5" t="s">
        <v>13696</v>
      </c>
    </row>
    <row r="2286" spans="1:48" ht="45" customHeight="1" x14ac:dyDescent="0.15">
      <c r="A2286" s="5" t="s">
        <v>13697</v>
      </c>
      <c r="B2286" s="5">
        <v>2015</v>
      </c>
      <c r="C2286" s="5" t="s">
        <v>13698</v>
      </c>
      <c r="D2286" s="5" t="s">
        <v>17</v>
      </c>
      <c r="E2286" s="5" t="s">
        <v>18453</v>
      </c>
      <c r="F2286" s="5" t="s">
        <v>13701</v>
      </c>
      <c r="G2286" s="5"/>
      <c r="H2286" s="5"/>
      <c r="I2286" s="5"/>
      <c r="J2286" s="5"/>
      <c r="K2286" s="5"/>
      <c r="L2286" s="5"/>
      <c r="M2286" s="5"/>
      <c r="N2286" s="5"/>
      <c r="O2286" s="5"/>
      <c r="P2286" s="5"/>
      <c r="Q2286" s="5"/>
      <c r="AL2286" s="7" t="str">
        <f>HYPERLINK("http://dx.doi.org/10.1111/fwb.12624","http://dx.doi.org/10.1111/fwb.12624")</f>
        <v>http://dx.doi.org/10.1111/fwb.12624</v>
      </c>
      <c r="AM2286" s="5">
        <v>16</v>
      </c>
      <c r="AN2286" s="5">
        <v>16</v>
      </c>
      <c r="AO2286" s="5">
        <v>60</v>
      </c>
      <c r="AP2286" s="5">
        <v>10</v>
      </c>
      <c r="AQ2286" s="5">
        <v>1977</v>
      </c>
      <c r="AR2286" s="5">
        <v>1987</v>
      </c>
      <c r="AS2286" s="5" t="s">
        <v>16</v>
      </c>
      <c r="AT2286" s="5" t="s">
        <v>13699</v>
      </c>
      <c r="AU2286" s="5" t="s">
        <v>13700</v>
      </c>
      <c r="AV2286" s="5" t="s">
        <v>13702</v>
      </c>
    </row>
    <row r="2287" spans="1:48" ht="45" customHeight="1" x14ac:dyDescent="0.15">
      <c r="A2287" s="5" t="s">
        <v>13703</v>
      </c>
      <c r="B2287" s="5">
        <v>2021</v>
      </c>
      <c r="C2287" s="5" t="s">
        <v>13704</v>
      </c>
      <c r="D2287" s="5" t="s">
        <v>513</v>
      </c>
      <c r="E2287" s="5" t="s">
        <v>18453</v>
      </c>
      <c r="F2287" s="5" t="s">
        <v>13707</v>
      </c>
      <c r="G2287" s="5"/>
      <c r="H2287" s="5"/>
      <c r="I2287" s="5"/>
      <c r="J2287" s="5"/>
      <c r="K2287" s="5"/>
      <c r="L2287" s="5"/>
      <c r="M2287" s="5"/>
      <c r="N2287" s="5"/>
      <c r="O2287" s="5"/>
      <c r="P2287" s="5"/>
      <c r="Q2287" s="5"/>
      <c r="AL2287" s="7" t="str">
        <f>HYPERLINK("http://dx.doi.org/10.1016/j.ecoleng.2021.106363","http://dx.doi.org/10.1016/j.ecoleng.2021.106363")</f>
        <v>http://dx.doi.org/10.1016/j.ecoleng.2021.106363</v>
      </c>
      <c r="AM2287" s="5">
        <v>0</v>
      </c>
      <c r="AN2287" s="5">
        <v>0</v>
      </c>
      <c r="AO2287" s="5">
        <v>170</v>
      </c>
      <c r="AP2287" s="5" t="s">
        <v>16</v>
      </c>
      <c r="AQ2287" s="5" t="s">
        <v>16</v>
      </c>
      <c r="AR2287" s="5" t="s">
        <v>16</v>
      </c>
      <c r="AS2287" s="5">
        <v>106363</v>
      </c>
      <c r="AT2287" s="5" t="s">
        <v>13705</v>
      </c>
      <c r="AU2287" s="5" t="s">
        <v>13706</v>
      </c>
      <c r="AV2287" s="5" t="s">
        <v>13708</v>
      </c>
    </row>
    <row r="2288" spans="1:48" ht="45" customHeight="1" x14ac:dyDescent="0.15">
      <c r="A2288" s="5" t="s">
        <v>13709</v>
      </c>
      <c r="B2288" s="5">
        <v>2015</v>
      </c>
      <c r="C2288" s="5" t="s">
        <v>13710</v>
      </c>
      <c r="D2288" s="5" t="s">
        <v>49</v>
      </c>
      <c r="E2288" s="5" t="s">
        <v>18453</v>
      </c>
      <c r="F2288" s="5" t="s">
        <v>13713</v>
      </c>
      <c r="G2288" s="5"/>
      <c r="H2288" s="5"/>
      <c r="I2288" s="5"/>
      <c r="J2288" s="5"/>
      <c r="K2288" s="5"/>
      <c r="L2288" s="5"/>
      <c r="M2288" s="5"/>
      <c r="N2288" s="5"/>
      <c r="O2288" s="5"/>
      <c r="P2288" s="5"/>
      <c r="Q2288" s="5"/>
      <c r="AL2288" s="7" t="str">
        <f>HYPERLINK("http://dx.doi.org/10.3354/meps11470","http://dx.doi.org/10.3354/meps11470")</f>
        <v>http://dx.doi.org/10.3354/meps11470</v>
      </c>
      <c r="AM2288" s="5">
        <v>41</v>
      </c>
      <c r="AN2288" s="5">
        <v>42</v>
      </c>
      <c r="AO2288" s="5">
        <v>538</v>
      </c>
      <c r="AP2288" s="5" t="s">
        <v>16</v>
      </c>
      <c r="AQ2288" s="5">
        <v>197</v>
      </c>
      <c r="AR2288" s="5">
        <v>211</v>
      </c>
      <c r="AS2288" s="5" t="s">
        <v>16</v>
      </c>
      <c r="AT2288" s="5" t="s">
        <v>13711</v>
      </c>
      <c r="AU2288" s="5" t="s">
        <v>13712</v>
      </c>
      <c r="AV2288" s="5" t="s">
        <v>13714</v>
      </c>
    </row>
    <row r="2289" spans="1:48" ht="45" customHeight="1" x14ac:dyDescent="0.15">
      <c r="A2289" s="5" t="s">
        <v>13715</v>
      </c>
      <c r="B2289" s="5">
        <v>2012</v>
      </c>
      <c r="C2289" s="5" t="s">
        <v>13716</v>
      </c>
      <c r="D2289" s="5" t="s">
        <v>41</v>
      </c>
      <c r="E2289" s="5" t="s">
        <v>18453</v>
      </c>
      <c r="F2289" s="5" t="s">
        <v>13719</v>
      </c>
      <c r="G2289" s="5"/>
      <c r="H2289" s="5"/>
      <c r="I2289" s="5"/>
      <c r="J2289" s="5"/>
      <c r="K2289" s="5"/>
      <c r="L2289" s="5"/>
      <c r="M2289" s="5"/>
      <c r="N2289" s="5"/>
      <c r="O2289" s="5"/>
      <c r="P2289" s="5"/>
      <c r="Q2289" s="5"/>
      <c r="AL2289" s="7" t="str">
        <f>HYPERLINK("http://dx.doi.org/10.1016/j.actao.2012.05.004","http://dx.doi.org/10.1016/j.actao.2012.05.004")</f>
        <v>http://dx.doi.org/10.1016/j.actao.2012.05.004</v>
      </c>
      <c r="AM2289" s="5">
        <v>11</v>
      </c>
      <c r="AN2289" s="5">
        <v>12</v>
      </c>
      <c r="AO2289" s="5">
        <v>43</v>
      </c>
      <c r="AP2289" s="5" t="s">
        <v>16</v>
      </c>
      <c r="AQ2289" s="5">
        <v>80</v>
      </c>
      <c r="AR2289" s="5">
        <v>85</v>
      </c>
      <c r="AS2289" s="5" t="s">
        <v>16</v>
      </c>
      <c r="AT2289" s="5" t="s">
        <v>13717</v>
      </c>
      <c r="AU2289" s="5" t="s">
        <v>13718</v>
      </c>
      <c r="AV2289" s="5" t="s">
        <v>13720</v>
      </c>
    </row>
    <row r="2290" spans="1:48" ht="45" customHeight="1" x14ac:dyDescent="0.15">
      <c r="A2290" s="5" t="s">
        <v>13721</v>
      </c>
      <c r="B2290" s="5">
        <v>2023</v>
      </c>
      <c r="C2290" s="5" t="s">
        <v>13722</v>
      </c>
      <c r="D2290" s="5" t="s">
        <v>27</v>
      </c>
      <c r="E2290" s="5" t="s">
        <v>18453</v>
      </c>
      <c r="F2290" s="5" t="s">
        <v>13724</v>
      </c>
      <c r="G2290" s="5"/>
      <c r="H2290" s="5"/>
      <c r="I2290" s="5"/>
      <c r="J2290" s="5"/>
      <c r="K2290" s="5"/>
      <c r="L2290" s="5"/>
      <c r="M2290" s="5"/>
      <c r="N2290" s="5"/>
      <c r="O2290" s="5"/>
      <c r="P2290" s="5"/>
      <c r="Q2290" s="5"/>
      <c r="AL2290" s="7" t="str">
        <f>HYPERLINK("http://dx.doi.org/10.1002/ecy.3924","http://dx.doi.org/10.1002/ecy.3924")</f>
        <v>http://dx.doi.org/10.1002/ecy.3924</v>
      </c>
      <c r="AM2290" s="5">
        <v>1</v>
      </c>
      <c r="AN2290" s="5">
        <v>1</v>
      </c>
      <c r="AO2290" s="5">
        <v>104</v>
      </c>
      <c r="AP2290" s="5">
        <v>2</v>
      </c>
      <c r="AQ2290" s="5" t="s">
        <v>16</v>
      </c>
      <c r="AR2290" s="5" t="s">
        <v>16</v>
      </c>
      <c r="AS2290" s="5" t="s">
        <v>16</v>
      </c>
      <c r="AT2290" s="5" t="s">
        <v>13723</v>
      </c>
      <c r="AU2290" s="5" t="s">
        <v>16</v>
      </c>
      <c r="AV2290" s="5" t="s">
        <v>13725</v>
      </c>
    </row>
    <row r="2291" spans="1:48" ht="45" customHeight="1" x14ac:dyDescent="0.15">
      <c r="A2291" s="5" t="s">
        <v>13726</v>
      </c>
      <c r="B2291" s="5">
        <v>2014</v>
      </c>
      <c r="C2291" s="5" t="s">
        <v>13727</v>
      </c>
      <c r="D2291" s="5" t="s">
        <v>6082</v>
      </c>
      <c r="E2291" s="5" t="s">
        <v>18453</v>
      </c>
      <c r="F2291" s="5" t="s">
        <v>13729</v>
      </c>
      <c r="G2291" s="5"/>
      <c r="H2291" s="5"/>
      <c r="I2291" s="5"/>
      <c r="J2291" s="5"/>
      <c r="K2291" s="5"/>
      <c r="L2291" s="5"/>
      <c r="M2291" s="5"/>
      <c r="N2291" s="5"/>
      <c r="O2291" s="5"/>
      <c r="P2291" s="5"/>
      <c r="Q2291" s="5"/>
      <c r="AL2291" s="7" t="str">
        <f>HYPERLINK("http://dx.doi.org/10.1007/s00248-014-0376-7","http://dx.doi.org/10.1007/s00248-014-0376-7")</f>
        <v>http://dx.doi.org/10.1007/s00248-014-0376-7</v>
      </c>
      <c r="AM2291" s="5">
        <v>7</v>
      </c>
      <c r="AN2291" s="5">
        <v>9</v>
      </c>
      <c r="AO2291" s="5">
        <v>67</v>
      </c>
      <c r="AP2291" s="5">
        <v>4</v>
      </c>
      <c r="AQ2291" s="5">
        <v>758</v>
      </c>
      <c r="AR2291" s="5">
        <v>768</v>
      </c>
      <c r="AS2291" s="5" t="s">
        <v>16</v>
      </c>
      <c r="AT2291" s="5" t="s">
        <v>16</v>
      </c>
      <c r="AU2291" s="5" t="s">
        <v>13728</v>
      </c>
      <c r="AV2291" s="5" t="s">
        <v>13730</v>
      </c>
    </row>
    <row r="2292" spans="1:48" ht="45" customHeight="1" x14ac:dyDescent="0.15">
      <c r="A2292" s="5" t="s">
        <v>13731</v>
      </c>
      <c r="B2292" s="5">
        <v>2014</v>
      </c>
      <c r="C2292" s="5" t="s">
        <v>13732</v>
      </c>
      <c r="D2292" s="5" t="s">
        <v>83</v>
      </c>
      <c r="E2292" s="5" t="s">
        <v>18453</v>
      </c>
      <c r="F2292" s="5" t="s">
        <v>13735</v>
      </c>
      <c r="G2292" s="5"/>
      <c r="H2292" s="5"/>
      <c r="I2292" s="5"/>
      <c r="J2292" s="5"/>
      <c r="K2292" s="5"/>
      <c r="L2292" s="5"/>
      <c r="M2292" s="5"/>
      <c r="N2292" s="5"/>
      <c r="O2292" s="5"/>
      <c r="P2292" s="5"/>
      <c r="Q2292" s="5"/>
      <c r="AL2292" s="7" t="str">
        <f>HYPERLINK("http://dx.doi.org/10.1007/s10646-014-1300-0","http://dx.doi.org/10.1007/s10646-014-1300-0")</f>
        <v>http://dx.doi.org/10.1007/s10646-014-1300-0</v>
      </c>
      <c r="AM2292" s="5">
        <v>9</v>
      </c>
      <c r="AN2292" s="5">
        <v>9</v>
      </c>
      <c r="AO2292" s="5">
        <v>23</v>
      </c>
      <c r="AP2292" s="5">
        <v>9</v>
      </c>
      <c r="AQ2292" s="5">
        <v>1607</v>
      </c>
      <c r="AR2292" s="5">
        <v>1618</v>
      </c>
      <c r="AS2292" s="5" t="s">
        <v>16</v>
      </c>
      <c r="AT2292" s="5" t="s">
        <v>13733</v>
      </c>
      <c r="AU2292" s="5" t="s">
        <v>13734</v>
      </c>
      <c r="AV2292" s="5" t="s">
        <v>13736</v>
      </c>
    </row>
    <row r="2293" spans="1:48" ht="45" customHeight="1" x14ac:dyDescent="0.15">
      <c r="A2293" s="5" t="s">
        <v>13737</v>
      </c>
      <c r="B2293" s="5">
        <v>2012</v>
      </c>
      <c r="C2293" s="5" t="s">
        <v>13738</v>
      </c>
      <c r="D2293" s="5" t="s">
        <v>172</v>
      </c>
      <c r="E2293" s="5" t="s">
        <v>18453</v>
      </c>
      <c r="F2293" s="5" t="s">
        <v>13741</v>
      </c>
      <c r="G2293" s="5"/>
      <c r="H2293" s="5"/>
      <c r="I2293" s="5"/>
      <c r="J2293" s="5"/>
      <c r="K2293" s="5"/>
      <c r="L2293" s="5"/>
      <c r="M2293" s="5"/>
      <c r="N2293" s="5"/>
      <c r="O2293" s="5"/>
      <c r="P2293" s="5"/>
      <c r="Q2293" s="5"/>
      <c r="AL2293" s="7" t="str">
        <f>HYPERLINK("http://dx.doi.org/10.1007/s00442-012-2321-0","http://dx.doi.org/10.1007/s00442-012-2321-0")</f>
        <v>http://dx.doi.org/10.1007/s00442-012-2321-0</v>
      </c>
      <c r="AM2293" s="5">
        <v>34</v>
      </c>
      <c r="AN2293" s="5">
        <v>37</v>
      </c>
      <c r="AO2293" s="5">
        <v>170</v>
      </c>
      <c r="AP2293" s="5">
        <v>2</v>
      </c>
      <c r="AQ2293" s="5">
        <v>325</v>
      </c>
      <c r="AR2293" s="5">
        <v>337</v>
      </c>
      <c r="AS2293" s="5" t="s">
        <v>16</v>
      </c>
      <c r="AT2293" s="5" t="s">
        <v>13739</v>
      </c>
      <c r="AU2293" s="5" t="s">
        <v>13740</v>
      </c>
      <c r="AV2293" s="5" t="s">
        <v>13742</v>
      </c>
    </row>
    <row r="2294" spans="1:48" ht="45" customHeight="1" x14ac:dyDescent="0.15">
      <c r="A2294" s="5" t="s">
        <v>13743</v>
      </c>
      <c r="B2294" s="5">
        <v>1999</v>
      </c>
      <c r="C2294" s="5" t="s">
        <v>13744</v>
      </c>
      <c r="D2294" s="5" t="s">
        <v>172</v>
      </c>
      <c r="E2294" s="5" t="s">
        <v>18453</v>
      </c>
      <c r="F2294" s="5" t="s">
        <v>13747</v>
      </c>
      <c r="G2294" s="5"/>
      <c r="H2294" s="5"/>
      <c r="I2294" s="5"/>
      <c r="J2294" s="5"/>
      <c r="K2294" s="5"/>
      <c r="L2294" s="5"/>
      <c r="M2294" s="5"/>
      <c r="N2294" s="5"/>
      <c r="O2294" s="5"/>
      <c r="P2294" s="5"/>
      <c r="Q2294" s="5"/>
      <c r="AL2294" s="7" t="str">
        <f>HYPERLINK("http://dx.doi.org/10.1007/s004420050766","http://dx.doi.org/10.1007/s004420050766")</f>
        <v>http://dx.doi.org/10.1007/s004420050766</v>
      </c>
      <c r="AM2294" s="5">
        <v>58</v>
      </c>
      <c r="AN2294" s="5">
        <v>61</v>
      </c>
      <c r="AO2294" s="5">
        <v>119</v>
      </c>
      <c r="AP2294" s="5">
        <v>1</v>
      </c>
      <c r="AQ2294" s="5">
        <v>109</v>
      </c>
      <c r="AR2294" s="5">
        <v>119</v>
      </c>
      <c r="AS2294" s="5" t="s">
        <v>16</v>
      </c>
      <c r="AT2294" s="5" t="s">
        <v>13745</v>
      </c>
      <c r="AU2294" s="5" t="s">
        <v>13746</v>
      </c>
      <c r="AV2294" s="5" t="s">
        <v>13748</v>
      </c>
    </row>
    <row r="2295" spans="1:48" ht="45" customHeight="1" x14ac:dyDescent="0.15">
      <c r="A2295" s="5" t="s">
        <v>13749</v>
      </c>
      <c r="B2295" s="5">
        <v>2023</v>
      </c>
      <c r="C2295" s="5" t="s">
        <v>13750</v>
      </c>
      <c r="D2295" s="5" t="s">
        <v>1765</v>
      </c>
      <c r="E2295" s="5" t="s">
        <v>18453</v>
      </c>
      <c r="F2295" s="5" t="s">
        <v>13753</v>
      </c>
      <c r="G2295" s="5"/>
      <c r="H2295" s="5"/>
      <c r="I2295" s="5"/>
      <c r="J2295" s="5"/>
      <c r="K2295" s="5"/>
      <c r="L2295" s="5"/>
      <c r="M2295" s="5"/>
      <c r="N2295" s="5"/>
      <c r="O2295" s="5"/>
      <c r="P2295" s="5"/>
      <c r="Q2295" s="5"/>
      <c r="AL2295" s="7" t="str">
        <f>HYPERLINK("http://dx.doi.org/10.1016/j.agee.2023.108566","http://dx.doi.org/10.1016/j.agee.2023.108566")</f>
        <v>http://dx.doi.org/10.1016/j.agee.2023.108566</v>
      </c>
      <c r="AM2295" s="5">
        <v>0</v>
      </c>
      <c r="AN2295" s="5">
        <v>0</v>
      </c>
      <c r="AO2295" s="5">
        <v>354</v>
      </c>
      <c r="AP2295" s="5" t="s">
        <v>16</v>
      </c>
      <c r="AQ2295" s="5" t="s">
        <v>16</v>
      </c>
      <c r="AR2295" s="5" t="s">
        <v>16</v>
      </c>
      <c r="AS2295" s="5">
        <v>108566</v>
      </c>
      <c r="AT2295" s="5" t="s">
        <v>13751</v>
      </c>
      <c r="AU2295" s="5" t="s">
        <v>13752</v>
      </c>
      <c r="AV2295" s="5" t="s">
        <v>13754</v>
      </c>
    </row>
    <row r="2296" spans="1:48" ht="45" customHeight="1" x14ac:dyDescent="0.15">
      <c r="A2296" s="5" t="s">
        <v>13755</v>
      </c>
      <c r="B2296" s="5">
        <v>2016</v>
      </c>
      <c r="C2296" s="5" t="s">
        <v>13756</v>
      </c>
      <c r="D2296" s="5" t="s">
        <v>49</v>
      </c>
      <c r="E2296" s="5" t="s">
        <v>18453</v>
      </c>
      <c r="F2296" s="5" t="s">
        <v>13759</v>
      </c>
      <c r="G2296" s="5"/>
      <c r="H2296" s="5"/>
      <c r="I2296" s="5"/>
      <c r="J2296" s="5"/>
      <c r="K2296" s="5"/>
      <c r="L2296" s="5"/>
      <c r="M2296" s="5"/>
      <c r="N2296" s="5"/>
      <c r="O2296" s="5"/>
      <c r="P2296" s="5"/>
      <c r="Q2296" s="5"/>
      <c r="AL2296" s="7" t="str">
        <f>HYPERLINK("http://dx.doi.org/10.3354/meps11863","http://dx.doi.org/10.3354/meps11863")</f>
        <v>http://dx.doi.org/10.3354/meps11863</v>
      </c>
      <c r="AM2296" s="5">
        <v>12</v>
      </c>
      <c r="AN2296" s="5">
        <v>12</v>
      </c>
      <c r="AO2296" s="5">
        <v>557</v>
      </c>
      <c r="AP2296" s="5" t="s">
        <v>16</v>
      </c>
      <c r="AQ2296" s="5">
        <v>161</v>
      </c>
      <c r="AR2296" s="5">
        <v>175</v>
      </c>
      <c r="AS2296" s="5" t="s">
        <v>16</v>
      </c>
      <c r="AT2296" s="5" t="s">
        <v>13757</v>
      </c>
      <c r="AU2296" s="5" t="s">
        <v>13758</v>
      </c>
      <c r="AV2296" s="5" t="s">
        <v>13760</v>
      </c>
    </row>
    <row r="2297" spans="1:48" ht="45" customHeight="1" x14ac:dyDescent="0.15">
      <c r="A2297" s="5" t="s">
        <v>13761</v>
      </c>
      <c r="B2297" s="5">
        <v>2018</v>
      </c>
      <c r="C2297" s="5" t="s">
        <v>13762</v>
      </c>
      <c r="D2297" s="5" t="s">
        <v>251</v>
      </c>
      <c r="E2297" s="5" t="s">
        <v>18453</v>
      </c>
      <c r="F2297" s="5" t="s">
        <v>13765</v>
      </c>
      <c r="G2297" s="5"/>
      <c r="H2297" s="5"/>
      <c r="I2297" s="5"/>
      <c r="J2297" s="5"/>
      <c r="K2297" s="5"/>
      <c r="L2297" s="5"/>
      <c r="M2297" s="5"/>
      <c r="N2297" s="5"/>
      <c r="O2297" s="5"/>
      <c r="P2297" s="5"/>
      <c r="Q2297" s="5"/>
      <c r="AL2297" s="7" t="str">
        <f>HYPERLINK("http://dx.doi.org/10.1016/j.biocon.2018.05.021","http://dx.doi.org/10.1016/j.biocon.2018.05.021")</f>
        <v>http://dx.doi.org/10.1016/j.biocon.2018.05.021</v>
      </c>
      <c r="AM2297" s="5">
        <v>20</v>
      </c>
      <c r="AN2297" s="5">
        <v>20</v>
      </c>
      <c r="AO2297" s="5">
        <v>224</v>
      </c>
      <c r="AP2297" s="5" t="s">
        <v>16</v>
      </c>
      <c r="AQ2297" s="5">
        <v>300</v>
      </c>
      <c r="AR2297" s="5">
        <v>308</v>
      </c>
      <c r="AS2297" s="5" t="s">
        <v>16</v>
      </c>
      <c r="AT2297" s="5" t="s">
        <v>13763</v>
      </c>
      <c r="AU2297" s="5" t="s">
        <v>13764</v>
      </c>
      <c r="AV2297" s="5" t="s">
        <v>13766</v>
      </c>
    </row>
    <row r="2298" spans="1:48" ht="45" customHeight="1" x14ac:dyDescent="0.15">
      <c r="A2298" s="5" t="s">
        <v>13767</v>
      </c>
      <c r="B2298" s="5">
        <v>2018</v>
      </c>
      <c r="C2298" s="5" t="s">
        <v>13768</v>
      </c>
      <c r="D2298" s="5" t="s">
        <v>3980</v>
      </c>
      <c r="E2298" s="5" t="s">
        <v>18453</v>
      </c>
      <c r="F2298" s="5" t="s">
        <v>13771</v>
      </c>
      <c r="G2298" s="5"/>
      <c r="H2298" s="5"/>
      <c r="I2298" s="5"/>
      <c r="J2298" s="5"/>
      <c r="K2298" s="5"/>
      <c r="L2298" s="5"/>
      <c r="M2298" s="5"/>
      <c r="N2298" s="5"/>
      <c r="O2298" s="5"/>
      <c r="P2298" s="5"/>
      <c r="Q2298" s="5"/>
      <c r="AL2298" s="7" t="str">
        <f>HYPERLINK("http://dx.doi.org/10.1111/btp.12537","http://dx.doi.org/10.1111/btp.12537")</f>
        <v>http://dx.doi.org/10.1111/btp.12537</v>
      </c>
      <c r="AM2298" s="5">
        <v>6</v>
      </c>
      <c r="AN2298" s="5">
        <v>7</v>
      </c>
      <c r="AO2298" s="5">
        <v>50</v>
      </c>
      <c r="AP2298" s="5">
        <v>3</v>
      </c>
      <c r="AQ2298" s="5">
        <v>541</v>
      </c>
      <c r="AR2298" s="5">
        <v>550</v>
      </c>
      <c r="AS2298" s="5" t="s">
        <v>16</v>
      </c>
      <c r="AT2298" s="5" t="s">
        <v>13769</v>
      </c>
      <c r="AU2298" s="5" t="s">
        <v>13770</v>
      </c>
      <c r="AV2298" s="5" t="s">
        <v>13772</v>
      </c>
    </row>
    <row r="2299" spans="1:48" ht="45" customHeight="1" x14ac:dyDescent="0.15">
      <c r="A2299" s="5" t="s">
        <v>13773</v>
      </c>
      <c r="B2299" s="5">
        <v>2020</v>
      </c>
      <c r="C2299" s="5" t="s">
        <v>13774</v>
      </c>
      <c r="D2299" s="5" t="s">
        <v>17</v>
      </c>
      <c r="E2299" s="5" t="s">
        <v>18453</v>
      </c>
      <c r="F2299" s="5" t="s">
        <v>13777</v>
      </c>
      <c r="G2299" s="5"/>
      <c r="H2299" s="5"/>
      <c r="I2299" s="5"/>
      <c r="J2299" s="5"/>
      <c r="K2299" s="5"/>
      <c r="L2299" s="5"/>
      <c r="M2299" s="5"/>
      <c r="N2299" s="5"/>
      <c r="O2299" s="5"/>
      <c r="P2299" s="5"/>
      <c r="Q2299" s="5"/>
      <c r="AL2299" s="7" t="str">
        <f>HYPERLINK("http://dx.doi.org/10.1111/fwb.13432","http://dx.doi.org/10.1111/fwb.13432")</f>
        <v>http://dx.doi.org/10.1111/fwb.13432</v>
      </c>
      <c r="AM2299" s="5">
        <v>12</v>
      </c>
      <c r="AN2299" s="5">
        <v>12</v>
      </c>
      <c r="AO2299" s="5">
        <v>65</v>
      </c>
      <c r="AP2299" s="5">
        <v>3</v>
      </c>
      <c r="AQ2299" s="5">
        <v>390</v>
      </c>
      <c r="AR2299" s="5">
        <v>402</v>
      </c>
      <c r="AS2299" s="5" t="s">
        <v>16</v>
      </c>
      <c r="AT2299" s="5" t="s">
        <v>13775</v>
      </c>
      <c r="AU2299" s="5" t="s">
        <v>13776</v>
      </c>
      <c r="AV2299" s="5" t="s">
        <v>13778</v>
      </c>
    </row>
    <row r="2300" spans="1:48" ht="45" customHeight="1" x14ac:dyDescent="0.15">
      <c r="A2300" s="5" t="s">
        <v>13779</v>
      </c>
      <c r="B2300" s="5">
        <v>2022</v>
      </c>
      <c r="C2300" s="5" t="s">
        <v>13780</v>
      </c>
      <c r="D2300" s="5" t="s">
        <v>159</v>
      </c>
      <c r="E2300" s="5" t="s">
        <v>18453</v>
      </c>
      <c r="F2300" s="5" t="s">
        <v>13783</v>
      </c>
      <c r="G2300" s="5"/>
      <c r="H2300" s="5"/>
      <c r="I2300" s="5"/>
      <c r="J2300" s="5"/>
      <c r="K2300" s="5"/>
      <c r="L2300" s="5"/>
      <c r="M2300" s="5"/>
      <c r="N2300" s="5"/>
      <c r="O2300" s="5"/>
      <c r="P2300" s="5"/>
      <c r="Q2300" s="5"/>
      <c r="AL2300" s="7" t="str">
        <f>HYPERLINK("http://dx.doi.org/10.3390/d14121053","http://dx.doi.org/10.3390/d14121053")</f>
        <v>http://dx.doi.org/10.3390/d14121053</v>
      </c>
      <c r="AM2300" s="5">
        <v>1</v>
      </c>
      <c r="AN2300" s="5">
        <v>1</v>
      </c>
      <c r="AO2300" s="5">
        <v>14</v>
      </c>
      <c r="AP2300" s="5">
        <v>12</v>
      </c>
      <c r="AQ2300" s="5" t="s">
        <v>16</v>
      </c>
      <c r="AR2300" s="5" t="s">
        <v>16</v>
      </c>
      <c r="AS2300" s="5">
        <v>1053</v>
      </c>
      <c r="AT2300" s="5" t="s">
        <v>13781</v>
      </c>
      <c r="AU2300" s="5" t="s">
        <v>13782</v>
      </c>
      <c r="AV2300" s="5" t="s">
        <v>13784</v>
      </c>
    </row>
    <row r="2301" spans="1:48" ht="45" customHeight="1" x14ac:dyDescent="0.15">
      <c r="A2301" s="5" t="s">
        <v>13785</v>
      </c>
      <c r="B2301" s="5">
        <v>2012</v>
      </c>
      <c r="C2301" s="5" t="s">
        <v>13786</v>
      </c>
      <c r="D2301" s="5" t="s">
        <v>3980</v>
      </c>
      <c r="E2301" s="5" t="s">
        <v>18453</v>
      </c>
      <c r="F2301" s="5" t="s">
        <v>13789</v>
      </c>
      <c r="G2301" s="5"/>
      <c r="H2301" s="5"/>
      <c r="I2301" s="5"/>
      <c r="J2301" s="5"/>
      <c r="K2301" s="5"/>
      <c r="L2301" s="5"/>
      <c r="M2301" s="5"/>
      <c r="N2301" s="5"/>
      <c r="O2301" s="5"/>
      <c r="P2301" s="5"/>
      <c r="Q2301" s="5"/>
      <c r="AL2301" s="7" t="str">
        <f>HYPERLINK("http://dx.doi.org/10.1111/j.1744-7429.2011.00827.x","http://dx.doi.org/10.1111/j.1744-7429.2011.00827.x")</f>
        <v>http://dx.doi.org/10.1111/j.1744-7429.2011.00827.x</v>
      </c>
      <c r="AM2301" s="5">
        <v>21</v>
      </c>
      <c r="AN2301" s="5">
        <v>21</v>
      </c>
      <c r="AO2301" s="5">
        <v>44</v>
      </c>
      <c r="AP2301" s="5">
        <v>3</v>
      </c>
      <c r="AQ2301" s="5">
        <v>294</v>
      </c>
      <c r="AR2301" s="5">
        <v>301</v>
      </c>
      <c r="AS2301" s="5" t="s">
        <v>16</v>
      </c>
      <c r="AT2301" s="5" t="s">
        <v>13787</v>
      </c>
      <c r="AU2301" s="5" t="s">
        <v>13788</v>
      </c>
      <c r="AV2301" s="5" t="s">
        <v>13790</v>
      </c>
    </row>
    <row r="2302" spans="1:48" ht="45" customHeight="1" x14ac:dyDescent="0.15">
      <c r="A2302" s="5" t="s">
        <v>13791</v>
      </c>
      <c r="B2302" s="5">
        <v>2008</v>
      </c>
      <c r="C2302" s="5" t="s">
        <v>13792</v>
      </c>
      <c r="D2302" s="5" t="s">
        <v>262</v>
      </c>
      <c r="E2302" s="5" t="s">
        <v>18453</v>
      </c>
      <c r="F2302" s="5" t="s">
        <v>13794</v>
      </c>
      <c r="G2302" s="5"/>
      <c r="H2302" s="5"/>
      <c r="I2302" s="5"/>
      <c r="J2302" s="5"/>
      <c r="K2302" s="5"/>
      <c r="L2302" s="5"/>
      <c r="M2302" s="5"/>
      <c r="N2302" s="5"/>
      <c r="O2302" s="5"/>
      <c r="P2302" s="5"/>
      <c r="Q2302" s="5"/>
      <c r="AL2302" s="7" t="str">
        <f>HYPERLINK("http://dx.doi.org/10.1111/j.2007.0030-1299.16387.x","http://dx.doi.org/10.1111/j.2007.0030-1299.16387.x")</f>
        <v>http://dx.doi.org/10.1111/j.2007.0030-1299.16387.x</v>
      </c>
      <c r="AM2302" s="5">
        <v>68</v>
      </c>
      <c r="AN2302" s="5">
        <v>69</v>
      </c>
      <c r="AO2302" s="5">
        <v>117</v>
      </c>
      <c r="AP2302" s="5">
        <v>3</v>
      </c>
      <c r="AQ2302" s="5">
        <v>344</v>
      </c>
      <c r="AR2302" s="5">
        <v>353</v>
      </c>
      <c r="AS2302" s="5" t="s">
        <v>16</v>
      </c>
      <c r="AT2302" s="5" t="s">
        <v>16</v>
      </c>
      <c r="AU2302" s="5" t="s">
        <v>13793</v>
      </c>
      <c r="AV2302" s="5" t="s">
        <v>13795</v>
      </c>
    </row>
    <row r="2303" spans="1:48" ht="45" customHeight="1" x14ac:dyDescent="0.15">
      <c r="A2303" s="5" t="s">
        <v>13796</v>
      </c>
      <c r="B2303" s="5">
        <v>2013</v>
      </c>
      <c r="C2303" s="5" t="s">
        <v>13797</v>
      </c>
      <c r="D2303" s="5" t="s">
        <v>92</v>
      </c>
      <c r="E2303" s="5" t="s">
        <v>18453</v>
      </c>
      <c r="F2303" s="5" t="s">
        <v>13800</v>
      </c>
      <c r="G2303" s="5"/>
      <c r="H2303" s="5"/>
      <c r="I2303" s="5"/>
      <c r="J2303" s="5"/>
      <c r="K2303" s="5"/>
      <c r="L2303" s="5"/>
      <c r="M2303" s="5"/>
      <c r="N2303" s="5"/>
      <c r="O2303" s="5"/>
      <c r="P2303" s="5"/>
      <c r="Q2303" s="5"/>
      <c r="AL2303" s="7" t="str">
        <f>HYPERLINK("http://dx.doi.org/10.1899/12-101.1","http://dx.doi.org/10.1899/12-101.1")</f>
        <v>http://dx.doi.org/10.1899/12-101.1</v>
      </c>
      <c r="AM2303" s="5">
        <v>12</v>
      </c>
      <c r="AN2303" s="5">
        <v>12</v>
      </c>
      <c r="AO2303" s="5">
        <v>32</v>
      </c>
      <c r="AP2303" s="5">
        <v>2</v>
      </c>
      <c r="AQ2303" s="5">
        <v>606</v>
      </c>
      <c r="AR2303" s="5">
        <v>621</v>
      </c>
      <c r="AS2303" s="5" t="s">
        <v>16</v>
      </c>
      <c r="AT2303" s="5" t="s">
        <v>13798</v>
      </c>
      <c r="AU2303" s="5" t="s">
        <v>13799</v>
      </c>
      <c r="AV2303" s="5" t="s">
        <v>13801</v>
      </c>
    </row>
    <row r="2304" spans="1:48" ht="45" customHeight="1" x14ac:dyDescent="0.15">
      <c r="A2304" s="5" t="s">
        <v>13802</v>
      </c>
      <c r="B2304" s="5">
        <v>2008</v>
      </c>
      <c r="C2304" s="5" t="s">
        <v>13803</v>
      </c>
      <c r="D2304" s="5" t="s">
        <v>49</v>
      </c>
      <c r="E2304" s="5" t="s">
        <v>18453</v>
      </c>
      <c r="F2304" s="5" t="s">
        <v>13806</v>
      </c>
      <c r="G2304" s="5"/>
      <c r="H2304" s="5"/>
      <c r="I2304" s="5"/>
      <c r="J2304" s="5"/>
      <c r="K2304" s="5"/>
      <c r="L2304" s="5"/>
      <c r="M2304" s="5"/>
      <c r="N2304" s="5"/>
      <c r="O2304" s="5"/>
      <c r="P2304" s="5"/>
      <c r="Q2304" s="5"/>
      <c r="AL2304" s="7" t="str">
        <f>HYPERLINK("http://dx.doi.org/10.3354/meps07867","http://dx.doi.org/10.3354/meps07867")</f>
        <v>http://dx.doi.org/10.3354/meps07867</v>
      </c>
      <c r="AM2304" s="5">
        <v>53</v>
      </c>
      <c r="AN2304" s="5">
        <v>54</v>
      </c>
      <c r="AO2304" s="5">
        <v>373</v>
      </c>
      <c r="AP2304" s="5" t="s">
        <v>16</v>
      </c>
      <c r="AQ2304" s="5">
        <v>249</v>
      </c>
      <c r="AR2304" s="5">
        <v>256</v>
      </c>
      <c r="AS2304" s="5" t="s">
        <v>16</v>
      </c>
      <c r="AT2304" s="5" t="s">
        <v>13804</v>
      </c>
      <c r="AU2304" s="5" t="s">
        <v>13805</v>
      </c>
      <c r="AV2304" s="5" t="s">
        <v>13807</v>
      </c>
    </row>
    <row r="2305" spans="1:48" ht="45" customHeight="1" x14ac:dyDescent="0.15">
      <c r="A2305" s="5" t="s">
        <v>13808</v>
      </c>
      <c r="B2305" s="5">
        <v>2017</v>
      </c>
      <c r="C2305" s="5" t="s">
        <v>13809</v>
      </c>
      <c r="D2305" s="5" t="s">
        <v>2087</v>
      </c>
      <c r="E2305" s="5" t="s">
        <v>18453</v>
      </c>
      <c r="F2305" s="5" t="s">
        <v>13812</v>
      </c>
      <c r="G2305" s="5"/>
      <c r="H2305" s="5"/>
      <c r="I2305" s="5"/>
      <c r="J2305" s="5"/>
      <c r="K2305" s="5"/>
      <c r="L2305" s="5"/>
      <c r="M2305" s="5"/>
      <c r="N2305" s="5"/>
      <c r="O2305" s="5"/>
      <c r="P2305" s="5"/>
      <c r="Q2305" s="5"/>
      <c r="AL2305" s="7" t="str">
        <f>HYPERLINK("http://dx.doi.org/10.1002/eco.1771","http://dx.doi.org/10.1002/eco.1771")</f>
        <v>http://dx.doi.org/10.1002/eco.1771</v>
      </c>
      <c r="AM2305" s="5">
        <v>84</v>
      </c>
      <c r="AN2305" s="5">
        <v>89</v>
      </c>
      <c r="AO2305" s="5">
        <v>10</v>
      </c>
      <c r="AP2305" s="5">
        <v>1</v>
      </c>
      <c r="AQ2305" s="5" t="s">
        <v>16</v>
      </c>
      <c r="AR2305" s="5" t="s">
        <v>16</v>
      </c>
      <c r="AS2305" s="5" t="s">
        <v>13813</v>
      </c>
      <c r="AT2305" s="5" t="s">
        <v>13810</v>
      </c>
      <c r="AU2305" s="5" t="s">
        <v>13811</v>
      </c>
      <c r="AV2305" s="5" t="s">
        <v>13814</v>
      </c>
    </row>
    <row r="2306" spans="1:48" ht="45" customHeight="1" x14ac:dyDescent="0.15">
      <c r="A2306" s="5" t="s">
        <v>13815</v>
      </c>
      <c r="B2306" s="5">
        <v>2007</v>
      </c>
      <c r="C2306" s="5" t="s">
        <v>13816</v>
      </c>
      <c r="D2306" s="5" t="s">
        <v>212</v>
      </c>
      <c r="E2306" s="5" t="s">
        <v>18453</v>
      </c>
      <c r="F2306" s="5" t="s">
        <v>13819</v>
      </c>
      <c r="G2306" s="5"/>
      <c r="H2306" s="5"/>
      <c r="I2306" s="5"/>
      <c r="J2306" s="5"/>
      <c r="K2306" s="5"/>
      <c r="L2306" s="5"/>
      <c r="M2306" s="5"/>
      <c r="N2306" s="5"/>
      <c r="O2306" s="5"/>
      <c r="P2306" s="5"/>
      <c r="Q2306" s="5"/>
      <c r="AL2306" s="7" t="str">
        <f>HYPERLINK("http://dx.doi.org/10.1007/s00300-007-0313-z","http://dx.doi.org/10.1007/s00300-007-0313-z")</f>
        <v>http://dx.doi.org/10.1007/s00300-007-0313-z</v>
      </c>
      <c r="AM2306" s="5">
        <v>33</v>
      </c>
      <c r="AN2306" s="5">
        <v>36</v>
      </c>
      <c r="AO2306" s="5">
        <v>30</v>
      </c>
      <c r="AP2306" s="5">
        <v>12</v>
      </c>
      <c r="AQ2306" s="5">
        <v>1523</v>
      </c>
      <c r="AR2306" s="5">
        <v>1533</v>
      </c>
      <c r="AS2306" s="5" t="s">
        <v>16</v>
      </c>
      <c r="AT2306" s="5" t="s">
        <v>13817</v>
      </c>
      <c r="AU2306" s="5" t="s">
        <v>13818</v>
      </c>
      <c r="AV2306" s="5" t="s">
        <v>13820</v>
      </c>
    </row>
    <row r="2307" spans="1:48" ht="45" customHeight="1" x14ac:dyDescent="0.15">
      <c r="A2307" s="5" t="s">
        <v>13821</v>
      </c>
      <c r="B2307" s="5">
        <v>2007</v>
      </c>
      <c r="C2307" s="5" t="s">
        <v>13822</v>
      </c>
      <c r="D2307" s="5" t="s">
        <v>259</v>
      </c>
      <c r="E2307" s="5" t="s">
        <v>18453</v>
      </c>
      <c r="F2307" s="5" t="s">
        <v>13825</v>
      </c>
      <c r="G2307" s="5"/>
      <c r="H2307" s="5"/>
      <c r="I2307" s="5"/>
      <c r="J2307" s="5"/>
      <c r="K2307" s="5"/>
      <c r="L2307" s="5"/>
      <c r="M2307" s="5"/>
      <c r="N2307" s="5"/>
      <c r="O2307" s="5"/>
      <c r="P2307" s="5"/>
      <c r="Q2307" s="5"/>
      <c r="AL2307" s="7" t="str">
        <f>HYPERLINK("http://dx.doi.org/10.2193/2005-742","http://dx.doi.org/10.2193/2005-742")</f>
        <v>http://dx.doi.org/10.2193/2005-742</v>
      </c>
      <c r="AM2307" s="5">
        <v>51</v>
      </c>
      <c r="AN2307" s="5">
        <v>55</v>
      </c>
      <c r="AO2307" s="5">
        <v>71</v>
      </c>
      <c r="AP2307" s="5">
        <v>2</v>
      </c>
      <c r="AQ2307" s="5">
        <v>656</v>
      </c>
      <c r="AR2307" s="5">
        <v>661</v>
      </c>
      <c r="AS2307" s="5" t="s">
        <v>16</v>
      </c>
      <c r="AT2307" s="5" t="s">
        <v>13823</v>
      </c>
      <c r="AU2307" s="5" t="s">
        <v>13824</v>
      </c>
      <c r="AV2307" s="5" t="s">
        <v>13826</v>
      </c>
    </row>
    <row r="2308" spans="1:48" ht="45" customHeight="1" x14ac:dyDescent="0.15">
      <c r="A2308" s="5" t="s">
        <v>13827</v>
      </c>
      <c r="B2308" s="5">
        <v>2018</v>
      </c>
      <c r="C2308" s="5" t="s">
        <v>13828</v>
      </c>
      <c r="D2308" s="5" t="s">
        <v>3722</v>
      </c>
      <c r="E2308" s="5" t="s">
        <v>18453</v>
      </c>
      <c r="F2308" s="5" t="s">
        <v>13831</v>
      </c>
      <c r="G2308" s="5"/>
      <c r="H2308" s="5"/>
      <c r="I2308" s="5"/>
      <c r="J2308" s="5"/>
      <c r="K2308" s="5"/>
      <c r="L2308" s="5"/>
      <c r="M2308" s="5"/>
      <c r="N2308" s="5"/>
      <c r="O2308" s="5"/>
      <c r="P2308" s="5"/>
      <c r="Q2308" s="5"/>
      <c r="AL2308" s="7" t="str">
        <f>HYPERLINK("http://dx.doi.org/10.1007/s11355-016-0324-4","http://dx.doi.org/10.1007/s11355-016-0324-4")</f>
        <v>http://dx.doi.org/10.1007/s11355-016-0324-4</v>
      </c>
      <c r="AM2308" s="5">
        <v>1</v>
      </c>
      <c r="AN2308" s="5">
        <v>1</v>
      </c>
      <c r="AO2308" s="5">
        <v>14</v>
      </c>
      <c r="AP2308" s="5">
        <v>1</v>
      </c>
      <c r="AQ2308" s="5">
        <v>45</v>
      </c>
      <c r="AR2308" s="5">
        <v>53</v>
      </c>
      <c r="AS2308" s="5" t="s">
        <v>16</v>
      </c>
      <c r="AT2308" s="5" t="s">
        <v>13829</v>
      </c>
      <c r="AU2308" s="5" t="s">
        <v>13830</v>
      </c>
      <c r="AV2308" s="5" t="s">
        <v>13832</v>
      </c>
    </row>
    <row r="2309" spans="1:48" ht="45" customHeight="1" x14ac:dyDescent="0.15">
      <c r="A2309" s="5" t="s">
        <v>13833</v>
      </c>
      <c r="B2309" s="5">
        <v>2007</v>
      </c>
      <c r="C2309" s="5" t="s">
        <v>13834</v>
      </c>
      <c r="D2309" s="5" t="s">
        <v>1765</v>
      </c>
      <c r="E2309" s="5" t="s">
        <v>18453</v>
      </c>
      <c r="F2309" s="5" t="s">
        <v>13837</v>
      </c>
      <c r="G2309" s="5"/>
      <c r="H2309" s="5"/>
      <c r="I2309" s="5"/>
      <c r="J2309" s="5"/>
      <c r="K2309" s="5"/>
      <c r="L2309" s="5"/>
      <c r="M2309" s="5"/>
      <c r="N2309" s="5"/>
      <c r="O2309" s="5"/>
      <c r="P2309" s="5"/>
      <c r="Q2309" s="5"/>
      <c r="AL2309" s="7" t="str">
        <f>HYPERLINK("http://dx.doi.org/10.1016/j.agee.2006.11.009","http://dx.doi.org/10.1016/j.agee.2006.11.009")</f>
        <v>http://dx.doi.org/10.1016/j.agee.2006.11.009</v>
      </c>
      <c r="AM2309" s="5">
        <v>109</v>
      </c>
      <c r="AN2309" s="5">
        <v>128</v>
      </c>
      <c r="AO2309" s="5">
        <v>121</v>
      </c>
      <c r="AP2309" s="5">
        <v>4</v>
      </c>
      <c r="AQ2309" s="5">
        <v>343</v>
      </c>
      <c r="AR2309" s="5">
        <v>356</v>
      </c>
      <c r="AS2309" s="5" t="s">
        <v>16</v>
      </c>
      <c r="AT2309" s="5" t="s">
        <v>13835</v>
      </c>
      <c r="AU2309" s="5" t="s">
        <v>13836</v>
      </c>
      <c r="AV2309" s="5" t="s">
        <v>13838</v>
      </c>
    </row>
    <row r="2310" spans="1:48" ht="45" customHeight="1" x14ac:dyDescent="0.15">
      <c r="A2310" s="5" t="s">
        <v>13839</v>
      </c>
      <c r="B2310" s="5">
        <v>2012</v>
      </c>
      <c r="C2310" s="5" t="s">
        <v>13840</v>
      </c>
      <c r="D2310" s="5" t="s">
        <v>92</v>
      </c>
      <c r="E2310" s="5" t="s">
        <v>18453</v>
      </c>
      <c r="F2310" s="5" t="s">
        <v>13843</v>
      </c>
      <c r="G2310" s="5"/>
      <c r="H2310" s="5"/>
      <c r="I2310" s="5"/>
      <c r="J2310" s="5"/>
      <c r="K2310" s="5"/>
      <c r="L2310" s="5"/>
      <c r="M2310" s="5"/>
      <c r="N2310" s="5"/>
      <c r="O2310" s="5"/>
      <c r="P2310" s="5"/>
      <c r="Q2310" s="5"/>
      <c r="AL2310" s="7" t="str">
        <f>HYPERLINK("http://dx.doi.org/10.1899/11-079.1","http://dx.doi.org/10.1899/11-079.1")</f>
        <v>http://dx.doi.org/10.1899/11-079.1</v>
      </c>
      <c r="AM2310" s="5">
        <v>18</v>
      </c>
      <c r="AN2310" s="5">
        <v>19</v>
      </c>
      <c r="AO2310" s="5">
        <v>31</v>
      </c>
      <c r="AP2310" s="5">
        <v>3</v>
      </c>
      <c r="AQ2310" s="5">
        <v>733</v>
      </c>
      <c r="AR2310" s="5">
        <v>749</v>
      </c>
      <c r="AS2310" s="5" t="s">
        <v>16</v>
      </c>
      <c r="AT2310" s="5" t="s">
        <v>13841</v>
      </c>
      <c r="AU2310" s="5" t="s">
        <v>13842</v>
      </c>
      <c r="AV2310" s="5" t="s">
        <v>13844</v>
      </c>
    </row>
    <row r="2311" spans="1:48" ht="45" customHeight="1" x14ac:dyDescent="0.15">
      <c r="A2311" s="5" t="s">
        <v>13845</v>
      </c>
      <c r="B2311" s="5">
        <v>2013</v>
      </c>
      <c r="C2311" s="5" t="s">
        <v>13846</v>
      </c>
      <c r="D2311" s="5" t="s">
        <v>49</v>
      </c>
      <c r="E2311" s="5" t="s">
        <v>18453</v>
      </c>
      <c r="F2311" s="5" t="s">
        <v>13849</v>
      </c>
      <c r="G2311" s="5"/>
      <c r="H2311" s="5"/>
      <c r="I2311" s="5"/>
      <c r="J2311" s="5"/>
      <c r="K2311" s="5"/>
      <c r="L2311" s="5"/>
      <c r="M2311" s="5"/>
      <c r="N2311" s="5"/>
      <c r="O2311" s="5"/>
      <c r="P2311" s="5"/>
      <c r="Q2311" s="5"/>
      <c r="AL2311" s="7" t="str">
        <f>HYPERLINK("http://dx.doi.org/10.3354/meps10442","http://dx.doi.org/10.3354/meps10442")</f>
        <v>http://dx.doi.org/10.3354/meps10442</v>
      </c>
      <c r="AM2311" s="5">
        <v>37</v>
      </c>
      <c r="AN2311" s="5">
        <v>37</v>
      </c>
      <c r="AO2311" s="5">
        <v>490</v>
      </c>
      <c r="AP2311" s="5" t="s">
        <v>16</v>
      </c>
      <c r="AQ2311" s="5">
        <v>37</v>
      </c>
      <c r="AR2311" s="5">
        <v>52</v>
      </c>
      <c r="AS2311" s="5" t="s">
        <v>16</v>
      </c>
      <c r="AT2311" s="5" t="s">
        <v>13847</v>
      </c>
      <c r="AU2311" s="5" t="s">
        <v>13848</v>
      </c>
      <c r="AV2311" s="5" t="s">
        <v>13850</v>
      </c>
    </row>
    <row r="2312" spans="1:48" ht="45" customHeight="1" x14ac:dyDescent="0.15">
      <c r="A2312" s="5" t="s">
        <v>13851</v>
      </c>
      <c r="B2312" s="5">
        <v>2009</v>
      </c>
      <c r="C2312" s="5" t="s">
        <v>13852</v>
      </c>
      <c r="D2312" s="5" t="s">
        <v>62</v>
      </c>
      <c r="E2312" s="5" t="s">
        <v>18453</v>
      </c>
      <c r="F2312" s="5" t="s">
        <v>13855</v>
      </c>
      <c r="G2312" s="5"/>
      <c r="H2312" s="5"/>
      <c r="I2312" s="5"/>
      <c r="J2312" s="5"/>
      <c r="K2312" s="5"/>
      <c r="L2312" s="5"/>
      <c r="M2312" s="5"/>
      <c r="N2312" s="5"/>
      <c r="O2312" s="5"/>
      <c r="P2312" s="5"/>
      <c r="Q2312" s="5"/>
      <c r="AL2312" s="7" t="str">
        <f>HYPERLINK("http://dx.doi.org/10.1007/s10021-009-9252-6","http://dx.doi.org/10.1007/s10021-009-9252-6")</f>
        <v>http://dx.doi.org/10.1007/s10021-009-9252-6</v>
      </c>
      <c r="AM2312" s="5">
        <v>93</v>
      </c>
      <c r="AN2312" s="5">
        <v>100</v>
      </c>
      <c r="AO2312" s="5">
        <v>12</v>
      </c>
      <c r="AP2312" s="5">
        <v>4</v>
      </c>
      <c r="AQ2312" s="5">
        <v>686</v>
      </c>
      <c r="AR2312" s="5">
        <v>697</v>
      </c>
      <c r="AS2312" s="5" t="s">
        <v>16</v>
      </c>
      <c r="AT2312" s="5" t="s">
        <v>13853</v>
      </c>
      <c r="AU2312" s="5" t="s">
        <v>13854</v>
      </c>
      <c r="AV2312" s="5" t="s">
        <v>13856</v>
      </c>
    </row>
    <row r="2313" spans="1:48" ht="45" customHeight="1" x14ac:dyDescent="0.15">
      <c r="A2313" s="5" t="s">
        <v>13857</v>
      </c>
      <c r="B2313" s="5">
        <v>2021</v>
      </c>
      <c r="C2313" s="5" t="s">
        <v>13858</v>
      </c>
      <c r="D2313" s="5" t="s">
        <v>172</v>
      </c>
      <c r="E2313" s="5" t="s">
        <v>18453</v>
      </c>
      <c r="F2313" s="5" t="s">
        <v>13861</v>
      </c>
      <c r="G2313" s="5"/>
      <c r="H2313" s="5"/>
      <c r="I2313" s="5"/>
      <c r="J2313" s="5"/>
      <c r="K2313" s="5"/>
      <c r="L2313" s="5"/>
      <c r="M2313" s="5"/>
      <c r="N2313" s="5"/>
      <c r="O2313" s="5"/>
      <c r="P2313" s="5"/>
      <c r="Q2313" s="5"/>
      <c r="AL2313" s="7" t="str">
        <f>HYPERLINK("http://dx.doi.org/10.1007/s00442-021-04973-0","http://dx.doi.org/10.1007/s00442-021-04973-0")</f>
        <v>http://dx.doi.org/10.1007/s00442-021-04973-0</v>
      </c>
      <c r="AM2313" s="5">
        <v>2</v>
      </c>
      <c r="AN2313" s="5">
        <v>2</v>
      </c>
      <c r="AO2313" s="5">
        <v>196</v>
      </c>
      <c r="AP2313" s="5">
        <v>3</v>
      </c>
      <c r="AQ2313" s="5">
        <v>877</v>
      </c>
      <c r="AR2313" s="5">
        <v>889</v>
      </c>
      <c r="AS2313" s="5" t="s">
        <v>16</v>
      </c>
      <c r="AT2313" s="5" t="s">
        <v>13859</v>
      </c>
      <c r="AU2313" s="5" t="s">
        <v>13860</v>
      </c>
      <c r="AV2313" s="5" t="s">
        <v>13862</v>
      </c>
    </row>
    <row r="2314" spans="1:48" ht="45" customHeight="1" x14ac:dyDescent="0.15">
      <c r="A2314" s="5" t="s">
        <v>13863</v>
      </c>
      <c r="B2314" s="5">
        <v>2010</v>
      </c>
      <c r="C2314" s="5" t="s">
        <v>13864</v>
      </c>
      <c r="D2314" s="5" t="s">
        <v>49</v>
      </c>
      <c r="E2314" s="5" t="s">
        <v>18453</v>
      </c>
      <c r="F2314" s="5" t="s">
        <v>13867</v>
      </c>
      <c r="G2314" s="5"/>
      <c r="H2314" s="5"/>
      <c r="I2314" s="5"/>
      <c r="J2314" s="5"/>
      <c r="K2314" s="5"/>
      <c r="L2314" s="5"/>
      <c r="M2314" s="5"/>
      <c r="N2314" s="5"/>
      <c r="O2314" s="5"/>
      <c r="P2314" s="5"/>
      <c r="Q2314" s="5"/>
      <c r="AL2314" s="7" t="str">
        <f>HYPERLINK("http://dx.doi.org/10.3354/meps08605","http://dx.doi.org/10.3354/meps08605")</f>
        <v>http://dx.doi.org/10.3354/meps08605</v>
      </c>
      <c r="AM2314" s="5">
        <v>26</v>
      </c>
      <c r="AN2314" s="5">
        <v>26</v>
      </c>
      <c r="AO2314" s="5">
        <v>407</v>
      </c>
      <c r="AP2314" s="5" t="s">
        <v>16</v>
      </c>
      <c r="AQ2314" s="5">
        <v>187</v>
      </c>
      <c r="AR2314" s="5">
        <v>196</v>
      </c>
      <c r="AS2314" s="5" t="s">
        <v>16</v>
      </c>
      <c r="AT2314" s="5" t="s">
        <v>13865</v>
      </c>
      <c r="AU2314" s="5" t="s">
        <v>13866</v>
      </c>
      <c r="AV2314" s="5" t="s">
        <v>13868</v>
      </c>
    </row>
    <row r="2315" spans="1:48" ht="45" customHeight="1" x14ac:dyDescent="0.15">
      <c r="A2315" s="5" t="s">
        <v>13869</v>
      </c>
      <c r="B2315" s="5">
        <v>2021</v>
      </c>
      <c r="C2315" s="5" t="s">
        <v>13870</v>
      </c>
      <c r="D2315" s="5" t="s">
        <v>62</v>
      </c>
      <c r="E2315" s="5" t="s">
        <v>18453</v>
      </c>
      <c r="F2315" s="5" t="s">
        <v>13873</v>
      </c>
      <c r="G2315" s="5"/>
      <c r="H2315" s="5"/>
      <c r="I2315" s="5"/>
      <c r="J2315" s="5"/>
      <c r="K2315" s="5"/>
      <c r="L2315" s="5"/>
      <c r="M2315" s="5"/>
      <c r="N2315" s="5"/>
      <c r="O2315" s="5"/>
      <c r="P2315" s="5"/>
      <c r="Q2315" s="5"/>
      <c r="AL2315" s="7" t="str">
        <f>HYPERLINK("http://dx.doi.org/10.1007/s10021-020-00520-9","http://dx.doi.org/10.1007/s10021-020-00520-9")</f>
        <v>http://dx.doi.org/10.1007/s10021-020-00520-9</v>
      </c>
      <c r="AM2315" s="5">
        <v>13</v>
      </c>
      <c r="AN2315" s="5">
        <v>14</v>
      </c>
      <c r="AO2315" s="5">
        <v>24</v>
      </c>
      <c r="AP2315" s="5">
        <v>2</v>
      </c>
      <c r="AQ2315" s="5">
        <v>319</v>
      </c>
      <c r="AR2315" s="5">
        <v>334</v>
      </c>
      <c r="AS2315" s="5" t="s">
        <v>16</v>
      </c>
      <c r="AT2315" s="5" t="s">
        <v>13871</v>
      </c>
      <c r="AU2315" s="5" t="s">
        <v>13872</v>
      </c>
      <c r="AV2315" s="5" t="s">
        <v>13874</v>
      </c>
    </row>
    <row r="2316" spans="1:48" ht="45" customHeight="1" x14ac:dyDescent="0.15">
      <c r="A2316" s="5" t="s">
        <v>13875</v>
      </c>
      <c r="B2316" s="5">
        <v>2009</v>
      </c>
      <c r="C2316" s="5" t="s">
        <v>13876</v>
      </c>
      <c r="D2316" s="5" t="s">
        <v>172</v>
      </c>
      <c r="E2316" s="5" t="s">
        <v>18453</v>
      </c>
      <c r="F2316" s="5" t="s">
        <v>13879</v>
      </c>
      <c r="G2316" s="5"/>
      <c r="H2316" s="5"/>
      <c r="I2316" s="5"/>
      <c r="J2316" s="5"/>
      <c r="K2316" s="5"/>
      <c r="L2316" s="5"/>
      <c r="M2316" s="5"/>
      <c r="N2316" s="5"/>
      <c r="O2316" s="5"/>
      <c r="P2316" s="5"/>
      <c r="Q2316" s="5"/>
      <c r="AL2316" s="7" t="str">
        <f>HYPERLINK("http://dx.doi.org/10.1007/s00442-009-1300-6","http://dx.doi.org/10.1007/s00442-009-1300-6")</f>
        <v>http://dx.doi.org/10.1007/s00442-009-1300-6</v>
      </c>
      <c r="AM2316" s="5">
        <v>9</v>
      </c>
      <c r="AN2316" s="5">
        <v>10</v>
      </c>
      <c r="AO2316" s="5">
        <v>160</v>
      </c>
      <c r="AP2316" s="5">
        <v>2</v>
      </c>
      <c r="AQ2316" s="5">
        <v>367</v>
      </c>
      <c r="AR2316" s="5">
        <v>378</v>
      </c>
      <c r="AS2316" s="5" t="s">
        <v>16</v>
      </c>
      <c r="AT2316" s="5" t="s">
        <v>13877</v>
      </c>
      <c r="AU2316" s="5" t="s">
        <v>13878</v>
      </c>
      <c r="AV2316" s="5" t="s">
        <v>13880</v>
      </c>
    </row>
    <row r="2317" spans="1:48" ht="45" customHeight="1" x14ac:dyDescent="0.15">
      <c r="A2317" s="5" t="s">
        <v>13881</v>
      </c>
      <c r="B2317" s="5">
        <v>2016</v>
      </c>
      <c r="C2317" s="5" t="s">
        <v>13882</v>
      </c>
      <c r="D2317" s="5" t="s">
        <v>2087</v>
      </c>
      <c r="E2317" s="5" t="s">
        <v>18453</v>
      </c>
      <c r="F2317" s="5" t="s">
        <v>13885</v>
      </c>
      <c r="G2317" s="5"/>
      <c r="H2317" s="5"/>
      <c r="I2317" s="5"/>
      <c r="J2317" s="5"/>
      <c r="K2317" s="5"/>
      <c r="L2317" s="5"/>
      <c r="M2317" s="5"/>
      <c r="N2317" s="5"/>
      <c r="O2317" s="5"/>
      <c r="P2317" s="5"/>
      <c r="Q2317" s="5"/>
      <c r="AL2317" s="7" t="str">
        <f>HYPERLINK("http://dx.doi.org/10.1002/eco.1735","http://dx.doi.org/10.1002/eco.1735")</f>
        <v>http://dx.doi.org/10.1002/eco.1735</v>
      </c>
      <c r="AM2317" s="5">
        <v>0</v>
      </c>
      <c r="AN2317" s="5">
        <v>0</v>
      </c>
      <c r="AO2317" s="5">
        <v>9</v>
      </c>
      <c r="AP2317" s="5">
        <v>7</v>
      </c>
      <c r="AQ2317" s="5">
        <v>1400</v>
      </c>
      <c r="AR2317" s="5">
        <v>1409</v>
      </c>
      <c r="AS2317" s="5" t="s">
        <v>16</v>
      </c>
      <c r="AT2317" s="5" t="s">
        <v>13883</v>
      </c>
      <c r="AU2317" s="5" t="s">
        <v>13884</v>
      </c>
      <c r="AV2317" s="5" t="s">
        <v>13886</v>
      </c>
    </row>
    <row r="2318" spans="1:48" ht="45" customHeight="1" x14ac:dyDescent="0.15">
      <c r="A2318" s="5" t="s">
        <v>13887</v>
      </c>
      <c r="B2318" s="5">
        <v>2014</v>
      </c>
      <c r="C2318" s="5" t="s">
        <v>13888</v>
      </c>
      <c r="D2318" s="5" t="s">
        <v>111</v>
      </c>
      <c r="E2318" s="5" t="s">
        <v>18453</v>
      </c>
      <c r="F2318" s="5" t="s">
        <v>13891</v>
      </c>
      <c r="G2318" s="5"/>
      <c r="H2318" s="5"/>
      <c r="I2318" s="5"/>
      <c r="J2318" s="5"/>
      <c r="K2318" s="5"/>
      <c r="L2318" s="5"/>
      <c r="M2318" s="5"/>
      <c r="N2318" s="5"/>
      <c r="O2318" s="5"/>
      <c r="P2318" s="5"/>
      <c r="Q2318" s="5"/>
      <c r="AL2318" s="7" t="str">
        <f>HYPERLINK("http://dx.doi.org/10.1007/s10452-013-9466-8","http://dx.doi.org/10.1007/s10452-013-9466-8")</f>
        <v>http://dx.doi.org/10.1007/s10452-013-9466-8</v>
      </c>
      <c r="AM2318" s="5">
        <v>4</v>
      </c>
      <c r="AN2318" s="5">
        <v>4</v>
      </c>
      <c r="AO2318" s="5">
        <v>48</v>
      </c>
      <c r="AP2318" s="5">
        <v>1</v>
      </c>
      <c r="AQ2318" s="5">
        <v>63</v>
      </c>
      <c r="AR2318" s="5">
        <v>71</v>
      </c>
      <c r="AS2318" s="5" t="s">
        <v>16</v>
      </c>
      <c r="AT2318" s="5" t="s">
        <v>13889</v>
      </c>
      <c r="AU2318" s="5" t="s">
        <v>13890</v>
      </c>
      <c r="AV2318" s="5" t="s">
        <v>13892</v>
      </c>
    </row>
    <row r="2319" spans="1:48" ht="45" customHeight="1" x14ac:dyDescent="0.15">
      <c r="A2319" s="5" t="s">
        <v>13893</v>
      </c>
      <c r="B2319" s="5">
        <v>2006</v>
      </c>
      <c r="C2319" s="5" t="s">
        <v>13894</v>
      </c>
      <c r="D2319" s="5" t="s">
        <v>49</v>
      </c>
      <c r="E2319" s="5" t="s">
        <v>18453</v>
      </c>
      <c r="F2319" s="5" t="s">
        <v>13897</v>
      </c>
      <c r="G2319" s="5"/>
      <c r="H2319" s="5"/>
      <c r="I2319" s="5"/>
      <c r="J2319" s="5"/>
      <c r="K2319" s="5"/>
      <c r="L2319" s="5"/>
      <c r="M2319" s="5"/>
      <c r="N2319" s="5"/>
      <c r="O2319" s="5"/>
      <c r="P2319" s="5"/>
      <c r="Q2319" s="5"/>
      <c r="AL2319" s="7" t="str">
        <f>HYPERLINK("http://dx.doi.org/10.3354/meps324105","http://dx.doi.org/10.3354/meps324105")</f>
        <v>http://dx.doi.org/10.3354/meps324105</v>
      </c>
      <c r="AM2319" s="5">
        <v>17</v>
      </c>
      <c r="AN2319" s="5">
        <v>17</v>
      </c>
      <c r="AO2319" s="5">
        <v>324</v>
      </c>
      <c r="AP2319" s="5" t="s">
        <v>16</v>
      </c>
      <c r="AQ2319" s="5">
        <v>105</v>
      </c>
      <c r="AR2319" s="5">
        <v>112</v>
      </c>
      <c r="AS2319" s="5" t="s">
        <v>16</v>
      </c>
      <c r="AT2319" s="5" t="s">
        <v>13895</v>
      </c>
      <c r="AU2319" s="5" t="s">
        <v>13896</v>
      </c>
      <c r="AV2319" s="5" t="s">
        <v>13898</v>
      </c>
    </row>
    <row r="2320" spans="1:48" ht="45" customHeight="1" x14ac:dyDescent="0.15">
      <c r="A2320" s="5" t="s">
        <v>13899</v>
      </c>
      <c r="B2320" s="5">
        <v>2012</v>
      </c>
      <c r="C2320" s="5" t="s">
        <v>13900</v>
      </c>
      <c r="D2320" s="5" t="s">
        <v>77</v>
      </c>
      <c r="E2320" s="5" t="s">
        <v>18453</v>
      </c>
      <c r="F2320" s="5" t="s">
        <v>13903</v>
      </c>
      <c r="G2320" s="5"/>
      <c r="H2320" s="5"/>
      <c r="I2320" s="5"/>
      <c r="J2320" s="5"/>
      <c r="K2320" s="5"/>
      <c r="L2320" s="5"/>
      <c r="M2320" s="5"/>
      <c r="N2320" s="5"/>
      <c r="O2320" s="5"/>
      <c r="P2320" s="5"/>
      <c r="Q2320" s="5"/>
      <c r="AL2320" s="7" t="str">
        <f>HYPERLINK("http://dx.doi.org/10.1111/j.1365-2656.2012.01987.x","http://dx.doi.org/10.1111/j.1365-2656.2012.01987.x")</f>
        <v>http://dx.doi.org/10.1111/j.1365-2656.2012.01987.x</v>
      </c>
      <c r="AM2320" s="5">
        <v>71</v>
      </c>
      <c r="AN2320" s="5">
        <v>74</v>
      </c>
      <c r="AO2320" s="5">
        <v>81</v>
      </c>
      <c r="AP2320" s="5">
        <v>5</v>
      </c>
      <c r="AQ2320" s="5">
        <v>1034</v>
      </c>
      <c r="AR2320" s="5">
        <v>1040</v>
      </c>
      <c r="AS2320" s="5" t="s">
        <v>16</v>
      </c>
      <c r="AT2320" s="5" t="s">
        <v>13901</v>
      </c>
      <c r="AU2320" s="5" t="s">
        <v>13902</v>
      </c>
      <c r="AV2320" s="5" t="s">
        <v>13904</v>
      </c>
    </row>
    <row r="2321" spans="1:48" ht="45" customHeight="1" x14ac:dyDescent="0.15">
      <c r="A2321" s="5" t="s">
        <v>13905</v>
      </c>
      <c r="B2321" s="5">
        <v>2019</v>
      </c>
      <c r="C2321" s="5" t="s">
        <v>13906</v>
      </c>
      <c r="D2321" s="5" t="s">
        <v>3860</v>
      </c>
      <c r="E2321" s="5" t="s">
        <v>18453</v>
      </c>
      <c r="F2321" s="5" t="s">
        <v>13909</v>
      </c>
      <c r="G2321" s="5"/>
      <c r="H2321" s="5"/>
      <c r="I2321" s="5"/>
      <c r="J2321" s="5"/>
      <c r="K2321" s="5"/>
      <c r="L2321" s="5"/>
      <c r="M2321" s="5"/>
      <c r="N2321" s="5"/>
      <c r="O2321" s="5"/>
      <c r="P2321" s="5"/>
      <c r="Q2321" s="5"/>
      <c r="AL2321" s="7" t="str">
        <f>HYPERLINK("http://dx.doi.org/10.1556/168.2019.20.2.5","http://dx.doi.org/10.1556/168.2019.20.2.5")</f>
        <v>http://dx.doi.org/10.1556/168.2019.20.2.5</v>
      </c>
      <c r="AM2321" s="5">
        <v>11</v>
      </c>
      <c r="AN2321" s="5">
        <v>11</v>
      </c>
      <c r="AO2321" s="5">
        <v>20</v>
      </c>
      <c r="AP2321" s="5">
        <v>2</v>
      </c>
      <c r="AQ2321" s="5">
        <v>149</v>
      </c>
      <c r="AR2321" s="5">
        <v>160</v>
      </c>
      <c r="AS2321" s="5" t="s">
        <v>16</v>
      </c>
      <c r="AT2321" s="5" t="s">
        <v>13907</v>
      </c>
      <c r="AU2321" s="5" t="s">
        <v>13908</v>
      </c>
      <c r="AV2321" s="5" t="s">
        <v>13910</v>
      </c>
    </row>
    <row r="2322" spans="1:48" ht="45" customHeight="1" x14ac:dyDescent="0.15">
      <c r="A2322" s="5" t="s">
        <v>13911</v>
      </c>
      <c r="B2322" s="5">
        <v>2015</v>
      </c>
      <c r="C2322" s="5" t="s">
        <v>13912</v>
      </c>
      <c r="D2322" s="5" t="s">
        <v>13913</v>
      </c>
      <c r="E2322" s="5" t="s">
        <v>18453</v>
      </c>
      <c r="F2322" s="5" t="s">
        <v>13915</v>
      </c>
      <c r="G2322" s="5"/>
      <c r="H2322" s="5"/>
      <c r="I2322" s="5"/>
      <c r="J2322" s="5"/>
      <c r="K2322" s="5"/>
      <c r="L2322" s="5"/>
      <c r="M2322" s="5"/>
      <c r="N2322" s="5"/>
      <c r="O2322" s="5"/>
      <c r="P2322" s="5"/>
      <c r="Q2322" s="5"/>
      <c r="AL2322" s="7" t="str">
        <f>HYPERLINK("http://dx.doi.org/10.1016/j.tree.2015.09.001","http://dx.doi.org/10.1016/j.tree.2015.09.001")</f>
        <v>http://dx.doi.org/10.1016/j.tree.2015.09.001</v>
      </c>
      <c r="AM2322" s="5">
        <v>141</v>
      </c>
      <c r="AN2322" s="5">
        <v>142</v>
      </c>
      <c r="AO2322" s="5">
        <v>30</v>
      </c>
      <c r="AP2322" s="5">
        <v>11</v>
      </c>
      <c r="AQ2322" s="5">
        <v>662</v>
      </c>
      <c r="AR2322" s="5">
        <v>672</v>
      </c>
      <c r="AS2322" s="5" t="s">
        <v>16</v>
      </c>
      <c r="AT2322" s="5" t="s">
        <v>16</v>
      </c>
      <c r="AU2322" s="5" t="s">
        <v>13914</v>
      </c>
      <c r="AV2322" s="5" t="s">
        <v>13916</v>
      </c>
    </row>
    <row r="2323" spans="1:48" ht="45" customHeight="1" x14ac:dyDescent="0.15">
      <c r="A2323" s="5" t="s">
        <v>13917</v>
      </c>
      <c r="B2323" s="5">
        <v>2003</v>
      </c>
      <c r="C2323" s="5" t="s">
        <v>13918</v>
      </c>
      <c r="D2323" s="5" t="s">
        <v>49</v>
      </c>
      <c r="E2323" s="5" t="s">
        <v>18453</v>
      </c>
      <c r="F2323" s="5" t="s">
        <v>13921</v>
      </c>
      <c r="G2323" s="5"/>
      <c r="H2323" s="5"/>
      <c r="I2323" s="5"/>
      <c r="J2323" s="5"/>
      <c r="K2323" s="5"/>
      <c r="L2323" s="5"/>
      <c r="M2323" s="5"/>
      <c r="N2323" s="5"/>
      <c r="O2323" s="5"/>
      <c r="P2323" s="5"/>
      <c r="Q2323" s="5"/>
      <c r="AL2323" s="7" t="str">
        <f>HYPERLINK("http://dx.doi.org/10.3354/meps247211","http://dx.doi.org/10.3354/meps247211")</f>
        <v>http://dx.doi.org/10.3354/meps247211</v>
      </c>
      <c r="AM2323" s="5">
        <v>47</v>
      </c>
      <c r="AN2323" s="5">
        <v>49</v>
      </c>
      <c r="AO2323" s="5">
        <v>247</v>
      </c>
      <c r="AP2323" s="5" t="s">
        <v>16</v>
      </c>
      <c r="AQ2323" s="5">
        <v>211</v>
      </c>
      <c r="AR2323" s="5">
        <v>224</v>
      </c>
      <c r="AS2323" s="5" t="s">
        <v>16</v>
      </c>
      <c r="AT2323" s="5" t="s">
        <v>13919</v>
      </c>
      <c r="AU2323" s="5" t="s">
        <v>13920</v>
      </c>
      <c r="AV2323" s="5" t="s">
        <v>13922</v>
      </c>
    </row>
    <row r="2324" spans="1:48" ht="45" customHeight="1" x14ac:dyDescent="0.15">
      <c r="A2324" s="5" t="s">
        <v>13923</v>
      </c>
      <c r="B2324" s="5">
        <v>2018</v>
      </c>
      <c r="C2324" s="5" t="s">
        <v>13924</v>
      </c>
      <c r="D2324" s="5" t="s">
        <v>973</v>
      </c>
      <c r="E2324" s="5" t="s">
        <v>18453</v>
      </c>
      <c r="F2324" s="5" t="s">
        <v>13926</v>
      </c>
      <c r="G2324" s="5"/>
      <c r="H2324" s="5"/>
      <c r="I2324" s="5"/>
      <c r="J2324" s="5"/>
      <c r="K2324" s="5"/>
      <c r="L2324" s="5"/>
      <c r="M2324" s="5"/>
      <c r="N2324" s="5"/>
      <c r="O2324" s="5"/>
      <c r="P2324" s="5"/>
      <c r="Q2324" s="5"/>
      <c r="AL2324" s="7" t="str">
        <f>HYPERLINK("http://dx.doi.org/10.5194/bg-15-529-2018","http://dx.doi.org/10.5194/bg-15-529-2018")</f>
        <v>http://dx.doi.org/10.5194/bg-15-529-2018</v>
      </c>
      <c r="AM2324" s="5">
        <v>11</v>
      </c>
      <c r="AN2324" s="5">
        <v>12</v>
      </c>
      <c r="AO2324" s="5">
        <v>15</v>
      </c>
      <c r="AP2324" s="5">
        <v>2</v>
      </c>
      <c r="AQ2324" s="5">
        <v>529</v>
      </c>
      <c r="AR2324" s="5">
        <v>550</v>
      </c>
      <c r="AS2324" s="5" t="s">
        <v>16</v>
      </c>
      <c r="AT2324" s="5" t="s">
        <v>16</v>
      </c>
      <c r="AU2324" s="5" t="s">
        <v>13925</v>
      </c>
      <c r="AV2324" s="5" t="s">
        <v>13927</v>
      </c>
    </row>
    <row r="2325" spans="1:48" ht="45" customHeight="1" x14ac:dyDescent="0.15">
      <c r="A2325" s="5" t="s">
        <v>13928</v>
      </c>
      <c r="B2325" s="5">
        <v>2011</v>
      </c>
      <c r="C2325" s="5" t="s">
        <v>13929</v>
      </c>
      <c r="D2325" s="5" t="s">
        <v>49</v>
      </c>
      <c r="E2325" s="5" t="s">
        <v>18453</v>
      </c>
      <c r="F2325" s="5" t="s">
        <v>13932</v>
      </c>
      <c r="G2325" s="5"/>
      <c r="H2325" s="5"/>
      <c r="I2325" s="5"/>
      <c r="J2325" s="5"/>
      <c r="K2325" s="5"/>
      <c r="L2325" s="5"/>
      <c r="M2325" s="5"/>
      <c r="N2325" s="5"/>
      <c r="O2325" s="5"/>
      <c r="P2325" s="5"/>
      <c r="Q2325" s="5"/>
      <c r="AL2325" s="7" t="str">
        <f>HYPERLINK("http://dx.doi.org/10.3354/meps08932","http://dx.doi.org/10.3354/meps08932")</f>
        <v>http://dx.doi.org/10.3354/meps08932</v>
      </c>
      <c r="AM2325" s="5">
        <v>42</v>
      </c>
      <c r="AN2325" s="5">
        <v>42</v>
      </c>
      <c r="AO2325" s="5">
        <v>422</v>
      </c>
      <c r="AP2325" s="5" t="s">
        <v>16</v>
      </c>
      <c r="AQ2325" s="5">
        <v>23</v>
      </c>
      <c r="AR2325" s="5">
        <v>39</v>
      </c>
      <c r="AS2325" s="5" t="s">
        <v>16</v>
      </c>
      <c r="AT2325" s="5" t="s">
        <v>13930</v>
      </c>
      <c r="AU2325" s="5" t="s">
        <v>13931</v>
      </c>
      <c r="AV2325" s="5" t="s">
        <v>13933</v>
      </c>
    </row>
    <row r="2326" spans="1:48" ht="45" customHeight="1" x14ac:dyDescent="0.15">
      <c r="A2326" s="5" t="s">
        <v>13934</v>
      </c>
      <c r="B2326" s="5">
        <v>2016</v>
      </c>
      <c r="C2326" s="5" t="s">
        <v>13935</v>
      </c>
      <c r="D2326" s="5" t="s">
        <v>212</v>
      </c>
      <c r="E2326" s="5" t="s">
        <v>18453</v>
      </c>
      <c r="F2326" s="5" t="s">
        <v>13938</v>
      </c>
      <c r="G2326" s="5"/>
      <c r="H2326" s="5"/>
      <c r="I2326" s="5"/>
      <c r="J2326" s="5"/>
      <c r="K2326" s="5"/>
      <c r="L2326" s="5"/>
      <c r="M2326" s="5"/>
      <c r="N2326" s="5"/>
      <c r="O2326" s="5"/>
      <c r="P2326" s="5"/>
      <c r="Q2326" s="5"/>
      <c r="AL2326" s="7" t="str">
        <f>HYPERLINK("http://dx.doi.org/10.1007/s00300-015-1792-y","http://dx.doi.org/10.1007/s00300-015-1792-y")</f>
        <v>http://dx.doi.org/10.1007/s00300-015-1792-y</v>
      </c>
      <c r="AM2326" s="5">
        <v>29</v>
      </c>
      <c r="AN2326" s="5">
        <v>29</v>
      </c>
      <c r="AO2326" s="5">
        <v>39</v>
      </c>
      <c r="AP2326" s="5">
        <v>6</v>
      </c>
      <c r="AQ2326" s="5">
        <v>1109</v>
      </c>
      <c r="AR2326" s="5">
        <v>1126</v>
      </c>
      <c r="AS2326" s="5" t="s">
        <v>16</v>
      </c>
      <c r="AT2326" s="5" t="s">
        <v>13936</v>
      </c>
      <c r="AU2326" s="5" t="s">
        <v>13937</v>
      </c>
      <c r="AV2326" s="5" t="s">
        <v>13939</v>
      </c>
    </row>
    <row r="2327" spans="1:48" ht="45" customHeight="1" x14ac:dyDescent="0.15">
      <c r="A2327" s="5" t="s">
        <v>8980</v>
      </c>
      <c r="B2327" s="5">
        <v>2001</v>
      </c>
      <c r="C2327" s="5" t="s">
        <v>13940</v>
      </c>
      <c r="D2327" s="5" t="s">
        <v>49</v>
      </c>
      <c r="E2327" s="5" t="s">
        <v>18453</v>
      </c>
      <c r="F2327" s="5" t="s">
        <v>13943</v>
      </c>
      <c r="G2327" s="5"/>
      <c r="H2327" s="5"/>
      <c r="I2327" s="5"/>
      <c r="J2327" s="5"/>
      <c r="K2327" s="5"/>
      <c r="L2327" s="5"/>
      <c r="M2327" s="5"/>
      <c r="N2327" s="5"/>
      <c r="O2327" s="5"/>
      <c r="P2327" s="5"/>
      <c r="Q2327" s="5"/>
      <c r="AL2327" s="7" t="str">
        <f>HYPERLINK("http://dx.doi.org/10.3354/meps213127","http://dx.doi.org/10.3354/meps213127")</f>
        <v>http://dx.doi.org/10.3354/meps213127</v>
      </c>
      <c r="AM2327" s="5">
        <v>161</v>
      </c>
      <c r="AN2327" s="5">
        <v>165</v>
      </c>
      <c r="AO2327" s="5">
        <v>213</v>
      </c>
      <c r="AP2327" s="5" t="s">
        <v>16</v>
      </c>
      <c r="AQ2327" s="5">
        <v>127</v>
      </c>
      <c r="AR2327" s="5">
        <v>142</v>
      </c>
      <c r="AS2327" s="5" t="s">
        <v>16</v>
      </c>
      <c r="AT2327" s="5" t="s">
        <v>13941</v>
      </c>
      <c r="AU2327" s="5" t="s">
        <v>13942</v>
      </c>
      <c r="AV2327" s="5" t="s">
        <v>13944</v>
      </c>
    </row>
    <row r="2328" spans="1:48" ht="45" customHeight="1" x14ac:dyDescent="0.15">
      <c r="A2328" s="5" t="s">
        <v>13945</v>
      </c>
      <c r="B2328" s="5">
        <v>2012</v>
      </c>
      <c r="C2328" s="5" t="s">
        <v>13946</v>
      </c>
      <c r="D2328" s="5" t="s">
        <v>10592</v>
      </c>
      <c r="E2328" s="5" t="s">
        <v>18453</v>
      </c>
      <c r="F2328" s="5" t="s">
        <v>13948</v>
      </c>
      <c r="G2328" s="5"/>
      <c r="H2328" s="5"/>
      <c r="I2328" s="5"/>
      <c r="J2328" s="5"/>
      <c r="K2328" s="5"/>
      <c r="L2328" s="5"/>
      <c r="M2328" s="5"/>
      <c r="N2328" s="5"/>
      <c r="O2328" s="5"/>
      <c r="P2328" s="5"/>
      <c r="Q2328" s="5"/>
      <c r="AL2328" s="7" t="str">
        <f>HYPERLINK("http://dx.doi.org/10.1656/045.019.0205","http://dx.doi.org/10.1656/045.019.0205")</f>
        <v>http://dx.doi.org/10.1656/045.019.0205</v>
      </c>
      <c r="AM2328" s="5">
        <v>2</v>
      </c>
      <c r="AN2328" s="5">
        <v>2</v>
      </c>
      <c r="AO2328" s="5">
        <v>19</v>
      </c>
      <c r="AP2328" s="5">
        <v>2</v>
      </c>
      <c r="AQ2328" s="5">
        <v>201</v>
      </c>
      <c r="AR2328" s="5">
        <v>216</v>
      </c>
      <c r="AS2328" s="5" t="s">
        <v>16</v>
      </c>
      <c r="AT2328" s="5" t="s">
        <v>16</v>
      </c>
      <c r="AU2328" s="5" t="s">
        <v>13947</v>
      </c>
      <c r="AV2328" s="5" t="s">
        <v>13949</v>
      </c>
    </row>
    <row r="2329" spans="1:48" ht="45" customHeight="1" x14ac:dyDescent="0.15">
      <c r="A2329" s="5" t="s">
        <v>13950</v>
      </c>
      <c r="B2329" s="5">
        <v>2017</v>
      </c>
      <c r="C2329" s="5" t="s">
        <v>13951</v>
      </c>
      <c r="D2329" s="5" t="s">
        <v>18</v>
      </c>
      <c r="E2329" s="5" t="s">
        <v>18453</v>
      </c>
      <c r="F2329" s="5" t="s">
        <v>13954</v>
      </c>
      <c r="G2329" s="5"/>
      <c r="H2329" s="5"/>
      <c r="I2329" s="5"/>
      <c r="J2329" s="5"/>
      <c r="K2329" s="5"/>
      <c r="L2329" s="5"/>
      <c r="M2329" s="5"/>
      <c r="N2329" s="5"/>
      <c r="O2329" s="5"/>
      <c r="P2329" s="5"/>
      <c r="Q2329" s="5"/>
      <c r="AL2329" s="7" t="str">
        <f>HYPERLINK("http://dx.doi.org/10.1002/ecs2.1909","http://dx.doi.org/10.1002/ecs2.1909")</f>
        <v>http://dx.doi.org/10.1002/ecs2.1909</v>
      </c>
      <c r="AM2329" s="5">
        <v>8</v>
      </c>
      <c r="AN2329" s="5">
        <v>8</v>
      </c>
      <c r="AO2329" s="5">
        <v>8</v>
      </c>
      <c r="AP2329" s="5">
        <v>8</v>
      </c>
      <c r="AQ2329" s="5" t="s">
        <v>16</v>
      </c>
      <c r="AR2329" s="5" t="s">
        <v>16</v>
      </c>
      <c r="AS2329" s="5" t="s">
        <v>13955</v>
      </c>
      <c r="AT2329" s="5" t="s">
        <v>13952</v>
      </c>
      <c r="AU2329" s="5" t="s">
        <v>13953</v>
      </c>
      <c r="AV2329" s="5" t="s">
        <v>13956</v>
      </c>
    </row>
    <row r="2330" spans="1:48" ht="45" customHeight="1" x14ac:dyDescent="0.15">
      <c r="A2330" s="5" t="s">
        <v>13957</v>
      </c>
      <c r="B2330" s="5">
        <v>2012</v>
      </c>
      <c r="C2330" s="5" t="s">
        <v>13958</v>
      </c>
      <c r="D2330" s="5" t="s">
        <v>212</v>
      </c>
      <c r="E2330" s="5" t="s">
        <v>18453</v>
      </c>
      <c r="F2330" s="5" t="s">
        <v>13961</v>
      </c>
      <c r="G2330" s="5"/>
      <c r="H2330" s="5"/>
      <c r="I2330" s="5"/>
      <c r="J2330" s="5"/>
      <c r="K2330" s="5"/>
      <c r="L2330" s="5"/>
      <c r="M2330" s="5"/>
      <c r="N2330" s="5"/>
      <c r="O2330" s="5"/>
      <c r="P2330" s="5"/>
      <c r="Q2330" s="5"/>
      <c r="AL2330" s="7" t="str">
        <f>HYPERLINK("http://dx.doi.org/10.1007/s00300-012-1167-6","http://dx.doi.org/10.1007/s00300-012-1167-6")</f>
        <v>http://dx.doi.org/10.1007/s00300-012-1167-6</v>
      </c>
      <c r="AM2330" s="5">
        <v>16</v>
      </c>
      <c r="AN2330" s="5">
        <v>16</v>
      </c>
      <c r="AO2330" s="5">
        <v>35</v>
      </c>
      <c r="AP2330" s="5">
        <v>8</v>
      </c>
      <c r="AQ2330" s="5">
        <v>1209</v>
      </c>
      <c r="AR2330" s="5">
        <v>1219</v>
      </c>
      <c r="AS2330" s="5" t="s">
        <v>16</v>
      </c>
      <c r="AT2330" s="5" t="s">
        <v>13959</v>
      </c>
      <c r="AU2330" s="5" t="s">
        <v>13960</v>
      </c>
      <c r="AV2330" s="5" t="s">
        <v>13962</v>
      </c>
    </row>
    <row r="2331" spans="1:48" ht="45" customHeight="1" x14ac:dyDescent="0.15">
      <c r="A2331" s="5" t="s">
        <v>13963</v>
      </c>
      <c r="B2331" s="5">
        <v>2018</v>
      </c>
      <c r="C2331" s="5" t="s">
        <v>13964</v>
      </c>
      <c r="D2331" s="5" t="s">
        <v>7759</v>
      </c>
      <c r="E2331" s="5" t="s">
        <v>18453</v>
      </c>
      <c r="F2331" s="5" t="s">
        <v>13967</v>
      </c>
      <c r="G2331" s="5"/>
      <c r="H2331" s="5"/>
      <c r="I2331" s="5"/>
      <c r="J2331" s="5"/>
      <c r="K2331" s="5"/>
      <c r="L2331" s="5"/>
      <c r="M2331" s="5"/>
      <c r="N2331" s="5"/>
      <c r="O2331" s="5"/>
      <c r="P2331" s="5"/>
      <c r="Q2331" s="5"/>
      <c r="AL2331" s="7" t="str">
        <f>HYPERLINK("http://dx.doi.org/10.1007/s11258-018-0883-6","http://dx.doi.org/10.1007/s11258-018-0883-6")</f>
        <v>http://dx.doi.org/10.1007/s11258-018-0883-6</v>
      </c>
      <c r="AM2331" s="5">
        <v>20</v>
      </c>
      <c r="AN2331" s="5">
        <v>20</v>
      </c>
      <c r="AO2331" s="5">
        <v>219</v>
      </c>
      <c r="AP2331" s="5">
        <v>11</v>
      </c>
      <c r="AQ2331" s="5">
        <v>1341</v>
      </c>
      <c r="AR2331" s="5">
        <v>1353</v>
      </c>
      <c r="AS2331" s="5" t="s">
        <v>16</v>
      </c>
      <c r="AT2331" s="5" t="s">
        <v>13965</v>
      </c>
      <c r="AU2331" s="5" t="s">
        <v>13966</v>
      </c>
      <c r="AV2331" s="5" t="s">
        <v>13968</v>
      </c>
    </row>
    <row r="2332" spans="1:48" ht="45" customHeight="1" x14ac:dyDescent="0.15">
      <c r="A2332" s="5" t="s">
        <v>13969</v>
      </c>
      <c r="B2332" s="5">
        <v>2019</v>
      </c>
      <c r="C2332" s="5" t="s">
        <v>13970</v>
      </c>
      <c r="D2332" s="5" t="s">
        <v>3939</v>
      </c>
      <c r="E2332" s="5" t="s">
        <v>18453</v>
      </c>
      <c r="F2332" s="5" t="s">
        <v>13973</v>
      </c>
      <c r="G2332" s="5"/>
      <c r="H2332" s="5"/>
      <c r="I2332" s="5"/>
      <c r="J2332" s="5"/>
      <c r="K2332" s="5"/>
      <c r="L2332" s="5"/>
      <c r="M2332" s="5"/>
      <c r="N2332" s="5"/>
      <c r="O2332" s="5"/>
      <c r="P2332" s="5"/>
      <c r="Q2332" s="5"/>
      <c r="AL2332" s="7" t="str">
        <f>HYPERLINK("http://dx.doi.org/10.1016/j.landurbplan.2019.01.004","http://dx.doi.org/10.1016/j.landurbplan.2019.01.004")</f>
        <v>http://dx.doi.org/10.1016/j.landurbplan.2019.01.004</v>
      </c>
      <c r="AM2332" s="5">
        <v>7</v>
      </c>
      <c r="AN2332" s="5">
        <v>7</v>
      </c>
      <c r="AO2332" s="5">
        <v>188</v>
      </c>
      <c r="AP2332" s="5" t="s">
        <v>16</v>
      </c>
      <c r="AQ2332" s="5">
        <v>43</v>
      </c>
      <c r="AR2332" s="5">
        <v>53</v>
      </c>
      <c r="AS2332" s="5" t="s">
        <v>16</v>
      </c>
      <c r="AT2332" s="5" t="s">
        <v>13971</v>
      </c>
      <c r="AU2332" s="5" t="s">
        <v>13972</v>
      </c>
      <c r="AV2332" s="5" t="s">
        <v>13974</v>
      </c>
    </row>
    <row r="2333" spans="1:48" ht="45" customHeight="1" x14ac:dyDescent="0.15">
      <c r="A2333" s="5" t="s">
        <v>13975</v>
      </c>
      <c r="B2333" s="5">
        <v>2019</v>
      </c>
      <c r="C2333" s="5" t="s">
        <v>13976</v>
      </c>
      <c r="D2333" s="5" t="s">
        <v>49</v>
      </c>
      <c r="E2333" s="5" t="s">
        <v>18453</v>
      </c>
      <c r="F2333" s="5" t="s">
        <v>13979</v>
      </c>
      <c r="G2333" s="5"/>
      <c r="H2333" s="5"/>
      <c r="I2333" s="5"/>
      <c r="J2333" s="5"/>
      <c r="K2333" s="5"/>
      <c r="L2333" s="5"/>
      <c r="M2333" s="5"/>
      <c r="N2333" s="5"/>
      <c r="O2333" s="5"/>
      <c r="P2333" s="5"/>
      <c r="Q2333" s="5"/>
      <c r="AL2333" s="7" t="str">
        <f>HYPERLINK("http://dx.doi.org/10.3354/meps12886","http://dx.doi.org/10.3354/meps12886")</f>
        <v>http://dx.doi.org/10.3354/meps12886</v>
      </c>
      <c r="AM2333" s="5">
        <v>5</v>
      </c>
      <c r="AN2333" s="5">
        <v>5</v>
      </c>
      <c r="AO2333" s="5">
        <v>613</v>
      </c>
      <c r="AP2333" s="5" t="s">
        <v>16</v>
      </c>
      <c r="AQ2333" s="5">
        <v>183</v>
      </c>
      <c r="AR2333" s="5">
        <v>195</v>
      </c>
      <c r="AS2333" s="5" t="s">
        <v>16</v>
      </c>
      <c r="AT2333" s="5" t="s">
        <v>13977</v>
      </c>
      <c r="AU2333" s="5" t="s">
        <v>13978</v>
      </c>
      <c r="AV2333" s="5" t="s">
        <v>13980</v>
      </c>
    </row>
    <row r="2334" spans="1:48" ht="45" customHeight="1" x14ac:dyDescent="0.15">
      <c r="A2334" s="5" t="s">
        <v>13981</v>
      </c>
      <c r="B2334" s="5">
        <v>2006</v>
      </c>
      <c r="C2334" s="5" t="s">
        <v>13982</v>
      </c>
      <c r="D2334" s="5" t="s">
        <v>7759</v>
      </c>
      <c r="E2334" s="5" t="s">
        <v>18453</v>
      </c>
      <c r="F2334" s="5" t="s">
        <v>13985</v>
      </c>
      <c r="G2334" s="5"/>
      <c r="H2334" s="5"/>
      <c r="I2334" s="5"/>
      <c r="J2334" s="5"/>
      <c r="K2334" s="5"/>
      <c r="L2334" s="5"/>
      <c r="M2334" s="5"/>
      <c r="N2334" s="5"/>
      <c r="O2334" s="5"/>
      <c r="P2334" s="5"/>
      <c r="Q2334" s="5"/>
      <c r="AL2334" s="7" t="str">
        <f>HYPERLINK("http://dx.doi.org/10.1007/s11258-005-9047-6","http://dx.doi.org/10.1007/s11258-005-9047-6")</f>
        <v>http://dx.doi.org/10.1007/s11258-005-9047-6</v>
      </c>
      <c r="AM2334" s="5">
        <v>101</v>
      </c>
      <c r="AN2334" s="5">
        <v>163</v>
      </c>
      <c r="AO2334" s="5">
        <v>184</v>
      </c>
      <c r="AP2334" s="5">
        <v>1</v>
      </c>
      <c r="AQ2334" s="5">
        <v>1</v>
      </c>
      <c r="AR2334" s="5">
        <v>12</v>
      </c>
      <c r="AS2334" s="5" t="s">
        <v>16</v>
      </c>
      <c r="AT2334" s="5" t="s">
        <v>13983</v>
      </c>
      <c r="AU2334" s="5" t="s">
        <v>13984</v>
      </c>
      <c r="AV2334" s="5" t="s">
        <v>13986</v>
      </c>
    </row>
    <row r="2335" spans="1:48" ht="45" customHeight="1" x14ac:dyDescent="0.15">
      <c r="A2335" s="5" t="s">
        <v>13987</v>
      </c>
      <c r="B2335" s="5">
        <v>1996</v>
      </c>
      <c r="C2335" s="5" t="s">
        <v>13988</v>
      </c>
      <c r="D2335" s="5" t="s">
        <v>2437</v>
      </c>
      <c r="E2335" s="5" t="s">
        <v>18453</v>
      </c>
      <c r="F2335" s="5" t="s">
        <v>13991</v>
      </c>
      <c r="G2335" s="5"/>
      <c r="H2335" s="5"/>
      <c r="I2335" s="5"/>
      <c r="J2335" s="5"/>
      <c r="K2335" s="5"/>
      <c r="L2335" s="5"/>
      <c r="M2335" s="5"/>
      <c r="N2335" s="5"/>
      <c r="O2335" s="5"/>
      <c r="P2335" s="5"/>
      <c r="Q2335" s="5"/>
      <c r="AL2335" s="7" t="str">
        <f>HYPERLINK("http://dx.doi.org/10.2307/2963475","http://dx.doi.org/10.2307/2963475")</f>
        <v>http://dx.doi.org/10.2307/2963475</v>
      </c>
      <c r="AM2335" s="5">
        <v>66</v>
      </c>
      <c r="AN2335" s="5">
        <v>67</v>
      </c>
      <c r="AO2335" s="5">
        <v>66</v>
      </c>
      <c r="AP2335" s="5">
        <v>2</v>
      </c>
      <c r="AQ2335" s="5">
        <v>203</v>
      </c>
      <c r="AR2335" s="5">
        <v>234</v>
      </c>
      <c r="AS2335" s="5" t="s">
        <v>16</v>
      </c>
      <c r="AT2335" s="5" t="s">
        <v>13989</v>
      </c>
      <c r="AU2335" s="5" t="s">
        <v>13990</v>
      </c>
      <c r="AV2335" s="5" t="s">
        <v>13992</v>
      </c>
    </row>
    <row r="2336" spans="1:48" ht="45" customHeight="1" x14ac:dyDescent="0.15">
      <c r="A2336" s="5" t="s">
        <v>13993</v>
      </c>
      <c r="B2336" s="5">
        <v>2021</v>
      </c>
      <c r="C2336" s="5" t="s">
        <v>13994</v>
      </c>
      <c r="D2336" s="5" t="s">
        <v>67</v>
      </c>
      <c r="E2336" s="5" t="s">
        <v>18453</v>
      </c>
      <c r="F2336" s="5" t="s">
        <v>13997</v>
      </c>
      <c r="G2336" s="5"/>
      <c r="H2336" s="5"/>
      <c r="I2336" s="5"/>
      <c r="J2336" s="5"/>
      <c r="K2336" s="5"/>
      <c r="L2336" s="5"/>
      <c r="M2336" s="5"/>
      <c r="N2336" s="5"/>
      <c r="O2336" s="5"/>
      <c r="P2336" s="5"/>
      <c r="Q2336" s="5"/>
      <c r="AL2336" s="7" t="str">
        <f>HYPERLINK("http://dx.doi.org/10.1111/jbi.14226","http://dx.doi.org/10.1111/jbi.14226")</f>
        <v>http://dx.doi.org/10.1111/jbi.14226</v>
      </c>
      <c r="AM2336" s="5">
        <v>0</v>
      </c>
      <c r="AN2336" s="5">
        <v>0</v>
      </c>
      <c r="AO2336" s="5">
        <v>48</v>
      </c>
      <c r="AP2336" s="5">
        <v>10</v>
      </c>
      <c r="AQ2336" s="5">
        <v>2588</v>
      </c>
      <c r="AR2336" s="5">
        <v>2603</v>
      </c>
      <c r="AS2336" s="5" t="s">
        <v>16</v>
      </c>
      <c r="AT2336" s="5" t="s">
        <v>13995</v>
      </c>
      <c r="AU2336" s="5" t="s">
        <v>13996</v>
      </c>
      <c r="AV2336" s="5" t="s">
        <v>13998</v>
      </c>
    </row>
    <row r="2337" spans="1:48" ht="45" customHeight="1" x14ac:dyDescent="0.15">
      <c r="A2337" s="5" t="s">
        <v>13999</v>
      </c>
      <c r="B2337" s="5">
        <v>2007</v>
      </c>
      <c r="C2337" s="5" t="s">
        <v>14000</v>
      </c>
      <c r="D2337" s="5" t="s">
        <v>295</v>
      </c>
      <c r="E2337" s="5" t="s">
        <v>18453</v>
      </c>
      <c r="F2337" s="5" t="s">
        <v>14003</v>
      </c>
      <c r="G2337" s="5"/>
      <c r="H2337" s="5"/>
      <c r="I2337" s="5"/>
      <c r="J2337" s="5"/>
      <c r="K2337" s="5"/>
      <c r="L2337" s="5"/>
      <c r="M2337" s="5"/>
      <c r="N2337" s="5"/>
      <c r="O2337" s="5"/>
      <c r="P2337" s="5"/>
      <c r="Q2337" s="5"/>
      <c r="AL2337" s="7" t="str">
        <f>HYPERLINK("http://dx.doi.org/10.1016/j.jembe.2006.07.023","http://dx.doi.org/10.1016/j.jembe.2006.07.023")</f>
        <v>http://dx.doi.org/10.1016/j.jembe.2006.07.023</v>
      </c>
      <c r="AM2337" s="5">
        <v>211</v>
      </c>
      <c r="AN2337" s="5">
        <v>217</v>
      </c>
      <c r="AO2337" s="5">
        <v>340</v>
      </c>
      <c r="AP2337" s="5">
        <v>1</v>
      </c>
      <c r="AQ2337" s="5">
        <v>1</v>
      </c>
      <c r="AR2337" s="5">
        <v>10</v>
      </c>
      <c r="AS2337" s="5" t="s">
        <v>16</v>
      </c>
      <c r="AT2337" s="5" t="s">
        <v>14001</v>
      </c>
      <c r="AU2337" s="5" t="s">
        <v>14002</v>
      </c>
      <c r="AV2337" s="5" t="s">
        <v>14004</v>
      </c>
    </row>
    <row r="2338" spans="1:48" ht="45" customHeight="1" x14ac:dyDescent="0.15">
      <c r="A2338" s="5" t="s">
        <v>14005</v>
      </c>
      <c r="B2338" s="5">
        <v>2021</v>
      </c>
      <c r="C2338" s="5" t="s">
        <v>14006</v>
      </c>
      <c r="D2338" s="5" t="s">
        <v>49</v>
      </c>
      <c r="E2338" s="5" t="s">
        <v>18453</v>
      </c>
      <c r="F2338" s="5" t="s">
        <v>14009</v>
      </c>
      <c r="G2338" s="5"/>
      <c r="H2338" s="5"/>
      <c r="I2338" s="5"/>
      <c r="J2338" s="5"/>
      <c r="K2338" s="5"/>
      <c r="L2338" s="5"/>
      <c r="M2338" s="5"/>
      <c r="N2338" s="5"/>
      <c r="O2338" s="5"/>
      <c r="P2338" s="5"/>
      <c r="Q2338" s="5"/>
      <c r="AL2338" s="7" t="str">
        <f>HYPERLINK("http://dx.doi.org/10.3354/meps13597","http://dx.doi.org/10.3354/meps13597")</f>
        <v>http://dx.doi.org/10.3354/meps13597</v>
      </c>
      <c r="AM2338" s="5">
        <v>1</v>
      </c>
      <c r="AN2338" s="5">
        <v>1</v>
      </c>
      <c r="AO2338" s="5">
        <v>662</v>
      </c>
      <c r="AP2338" s="5" t="s">
        <v>16</v>
      </c>
      <c r="AQ2338" s="5">
        <v>15</v>
      </c>
      <c r="AR2338" s="5">
        <v>34</v>
      </c>
      <c r="AS2338" s="5" t="s">
        <v>16</v>
      </c>
      <c r="AT2338" s="5" t="s">
        <v>14007</v>
      </c>
      <c r="AU2338" s="5" t="s">
        <v>14008</v>
      </c>
      <c r="AV2338" s="5" t="s">
        <v>14010</v>
      </c>
    </row>
    <row r="2339" spans="1:48" ht="45" customHeight="1" x14ac:dyDescent="0.15">
      <c r="A2339" s="5" t="s">
        <v>14011</v>
      </c>
      <c r="B2339" s="5">
        <v>2007</v>
      </c>
      <c r="C2339" s="5" t="s">
        <v>14012</v>
      </c>
      <c r="D2339" s="5" t="s">
        <v>49</v>
      </c>
      <c r="E2339" s="5" t="s">
        <v>18453</v>
      </c>
      <c r="F2339" s="5" t="s">
        <v>14015</v>
      </c>
      <c r="G2339" s="5"/>
      <c r="H2339" s="5"/>
      <c r="I2339" s="5"/>
      <c r="J2339" s="5"/>
      <c r="K2339" s="5"/>
      <c r="L2339" s="5"/>
      <c r="M2339" s="5"/>
      <c r="N2339" s="5"/>
      <c r="O2339" s="5"/>
      <c r="P2339" s="5"/>
      <c r="Q2339" s="5"/>
      <c r="AL2339" s="7" t="str">
        <f>HYPERLINK("http://dx.doi.org/10.3354/meps329057","http://dx.doi.org/10.3354/meps329057")</f>
        <v>http://dx.doi.org/10.3354/meps329057</v>
      </c>
      <c r="AM2339" s="5">
        <v>59</v>
      </c>
      <c r="AN2339" s="5">
        <v>59</v>
      </c>
      <c r="AO2339" s="5">
        <v>329</v>
      </c>
      <c r="AP2339" s="5" t="s">
        <v>16</v>
      </c>
      <c r="AQ2339" s="5">
        <v>57</v>
      </c>
      <c r="AR2339" s="5">
        <v>71</v>
      </c>
      <c r="AS2339" s="5" t="s">
        <v>16</v>
      </c>
      <c r="AT2339" s="5" t="s">
        <v>14013</v>
      </c>
      <c r="AU2339" s="5" t="s">
        <v>14014</v>
      </c>
      <c r="AV2339" s="5" t="s">
        <v>14016</v>
      </c>
    </row>
    <row r="2340" spans="1:48" ht="45" customHeight="1" x14ac:dyDescent="0.15">
      <c r="A2340" s="5" t="s">
        <v>14017</v>
      </c>
      <c r="B2340" s="5">
        <v>2018</v>
      </c>
      <c r="C2340" s="5" t="s">
        <v>14018</v>
      </c>
      <c r="D2340" s="5" t="s">
        <v>172</v>
      </c>
      <c r="E2340" s="5" t="s">
        <v>18453</v>
      </c>
      <c r="F2340" s="5" t="s">
        <v>14021</v>
      </c>
      <c r="G2340" s="5"/>
      <c r="H2340" s="5"/>
      <c r="I2340" s="5"/>
      <c r="J2340" s="5"/>
      <c r="K2340" s="5"/>
      <c r="L2340" s="5"/>
      <c r="M2340" s="5"/>
      <c r="N2340" s="5"/>
      <c r="O2340" s="5"/>
      <c r="P2340" s="5"/>
      <c r="Q2340" s="5"/>
      <c r="AL2340" s="7" t="str">
        <f>HYPERLINK("http://dx.doi.org/10.1007/s00442-018-4196-1","http://dx.doi.org/10.1007/s00442-018-4196-1")</f>
        <v>http://dx.doi.org/10.1007/s00442-018-4196-1</v>
      </c>
      <c r="AM2340" s="5">
        <v>29</v>
      </c>
      <c r="AN2340" s="5">
        <v>29</v>
      </c>
      <c r="AO2340" s="5">
        <v>187</v>
      </c>
      <c r="AP2340" s="5">
        <v>4</v>
      </c>
      <c r="AQ2340" s="5">
        <v>1009</v>
      </c>
      <c r="AR2340" s="5">
        <v>1023</v>
      </c>
      <c r="AS2340" s="5" t="s">
        <v>16</v>
      </c>
      <c r="AT2340" s="5" t="s">
        <v>14019</v>
      </c>
      <c r="AU2340" s="5" t="s">
        <v>14020</v>
      </c>
      <c r="AV2340" s="5" t="s">
        <v>14022</v>
      </c>
    </row>
    <row r="2341" spans="1:48" ht="45" customHeight="1" x14ac:dyDescent="0.15">
      <c r="A2341" s="5" t="s">
        <v>14023</v>
      </c>
      <c r="B2341" s="5">
        <v>2016</v>
      </c>
      <c r="C2341" s="5" t="s">
        <v>14024</v>
      </c>
      <c r="D2341" s="5" t="s">
        <v>1765</v>
      </c>
      <c r="E2341" s="5" t="s">
        <v>18453</v>
      </c>
      <c r="F2341" s="5" t="s">
        <v>14027</v>
      </c>
      <c r="G2341" s="5"/>
      <c r="H2341" s="5"/>
      <c r="I2341" s="5"/>
      <c r="J2341" s="5"/>
      <c r="K2341" s="5"/>
      <c r="L2341" s="5"/>
      <c r="M2341" s="5"/>
      <c r="N2341" s="5"/>
      <c r="O2341" s="5"/>
      <c r="P2341" s="5"/>
      <c r="Q2341" s="5"/>
      <c r="AL2341" s="7" t="str">
        <f>HYPERLINK("http://dx.doi.org/10.1016/j.agee.2016.04.014","http://dx.doi.org/10.1016/j.agee.2016.04.014")</f>
        <v>http://dx.doi.org/10.1016/j.agee.2016.04.014</v>
      </c>
      <c r="AM2341" s="5">
        <v>69</v>
      </c>
      <c r="AN2341" s="5">
        <v>77</v>
      </c>
      <c r="AO2341" s="5">
        <v>225</v>
      </c>
      <c r="AP2341" s="5" t="s">
        <v>16</v>
      </c>
      <c r="AQ2341" s="5">
        <v>150</v>
      </c>
      <c r="AR2341" s="5">
        <v>159</v>
      </c>
      <c r="AS2341" s="5" t="s">
        <v>16</v>
      </c>
      <c r="AT2341" s="5" t="s">
        <v>14025</v>
      </c>
      <c r="AU2341" s="5" t="s">
        <v>14026</v>
      </c>
      <c r="AV2341" s="5" t="s">
        <v>14028</v>
      </c>
    </row>
    <row r="2342" spans="1:48" ht="45" customHeight="1" x14ac:dyDescent="0.15">
      <c r="A2342" s="5" t="s">
        <v>14029</v>
      </c>
      <c r="B2342" s="5">
        <v>1998</v>
      </c>
      <c r="C2342" s="5" t="s">
        <v>14030</v>
      </c>
      <c r="D2342" s="5" t="s">
        <v>4005</v>
      </c>
      <c r="E2342" s="5" t="s">
        <v>18453</v>
      </c>
      <c r="F2342" s="5" t="s">
        <v>14033</v>
      </c>
      <c r="G2342" s="5"/>
      <c r="H2342" s="5"/>
      <c r="I2342" s="5"/>
      <c r="J2342" s="5"/>
      <c r="K2342" s="5"/>
      <c r="L2342" s="5"/>
      <c r="M2342" s="5"/>
      <c r="N2342" s="5"/>
      <c r="O2342" s="5"/>
      <c r="P2342" s="5"/>
      <c r="Q2342" s="5"/>
      <c r="AL2342" s="7" t="str">
        <f>HYPERLINK("http://dx.doi.org/10.1093/beheco/9.1.26","http://dx.doi.org/10.1093/beheco/9.1.26")</f>
        <v>http://dx.doi.org/10.1093/beheco/9.1.26</v>
      </c>
      <c r="AM2342" s="5">
        <v>87</v>
      </c>
      <c r="AN2342" s="5">
        <v>90</v>
      </c>
      <c r="AO2342" s="5">
        <v>9</v>
      </c>
      <c r="AP2342" s="5">
        <v>1</v>
      </c>
      <c r="AQ2342" s="5">
        <v>26</v>
      </c>
      <c r="AR2342" s="5">
        <v>32</v>
      </c>
      <c r="AS2342" s="5" t="s">
        <v>16</v>
      </c>
      <c r="AT2342" s="5" t="s">
        <v>14031</v>
      </c>
      <c r="AU2342" s="5" t="s">
        <v>14032</v>
      </c>
      <c r="AV2342" s="5" t="s">
        <v>14034</v>
      </c>
    </row>
    <row r="2343" spans="1:48" ht="45" customHeight="1" x14ac:dyDescent="0.15">
      <c r="A2343" s="5" t="s">
        <v>14035</v>
      </c>
      <c r="B2343" s="5">
        <v>2011</v>
      </c>
      <c r="C2343" s="5" t="s">
        <v>14036</v>
      </c>
      <c r="D2343" s="5" t="s">
        <v>160</v>
      </c>
      <c r="E2343" s="5" t="s">
        <v>18453</v>
      </c>
      <c r="F2343" s="5" t="s">
        <v>14039</v>
      </c>
      <c r="G2343" s="5"/>
      <c r="H2343" s="5"/>
      <c r="I2343" s="5"/>
      <c r="J2343" s="5"/>
      <c r="K2343" s="5"/>
      <c r="L2343" s="5"/>
      <c r="M2343" s="5"/>
      <c r="N2343" s="5"/>
      <c r="O2343" s="5"/>
      <c r="P2343" s="5"/>
      <c r="Q2343" s="5"/>
      <c r="AL2343" s="7" t="str">
        <f>HYPERLINK("http://dx.doi.org/10.1111/j.1365-2664.2010.01924.x","http://dx.doi.org/10.1111/j.1365-2664.2010.01924.x")</f>
        <v>http://dx.doi.org/10.1111/j.1365-2664.2010.01924.x</v>
      </c>
      <c r="AM2343" s="5">
        <v>82</v>
      </c>
      <c r="AN2343" s="5">
        <v>82</v>
      </c>
      <c r="AO2343" s="5">
        <v>48</v>
      </c>
      <c r="AP2343" s="5">
        <v>2</v>
      </c>
      <c r="AQ2343" s="5">
        <v>443</v>
      </c>
      <c r="AR2343" s="5">
        <v>452</v>
      </c>
      <c r="AS2343" s="5" t="s">
        <v>16</v>
      </c>
      <c r="AT2343" s="5" t="s">
        <v>14037</v>
      </c>
      <c r="AU2343" s="5" t="s">
        <v>14038</v>
      </c>
      <c r="AV2343" s="5" t="s">
        <v>14040</v>
      </c>
    </row>
    <row r="2344" spans="1:48" ht="45" customHeight="1" x14ac:dyDescent="0.15">
      <c r="A2344" s="5" t="s">
        <v>14041</v>
      </c>
      <c r="B2344" s="5">
        <v>2018</v>
      </c>
      <c r="C2344" s="5" t="s">
        <v>14042</v>
      </c>
      <c r="D2344" s="5" t="s">
        <v>44</v>
      </c>
      <c r="E2344" s="5" t="s">
        <v>18453</v>
      </c>
      <c r="F2344" s="5" t="s">
        <v>14045</v>
      </c>
      <c r="G2344" s="5"/>
      <c r="H2344" s="5"/>
      <c r="I2344" s="5"/>
      <c r="J2344" s="5"/>
      <c r="K2344" s="5"/>
      <c r="L2344" s="5"/>
      <c r="M2344" s="5"/>
      <c r="N2344" s="5"/>
      <c r="O2344" s="5"/>
      <c r="P2344" s="5"/>
      <c r="Q2344" s="5"/>
      <c r="AL2344" s="7" t="str">
        <f>HYPERLINK("http://dx.doi.org/10.3389/fevo.2018.00147","http://dx.doi.org/10.3389/fevo.2018.00147")</f>
        <v>http://dx.doi.org/10.3389/fevo.2018.00147</v>
      </c>
      <c r="AM2344" s="5">
        <v>8</v>
      </c>
      <c r="AN2344" s="5">
        <v>8</v>
      </c>
      <c r="AO2344" s="5">
        <v>6</v>
      </c>
      <c r="AP2344" s="5" t="s">
        <v>16</v>
      </c>
      <c r="AQ2344" s="5" t="s">
        <v>16</v>
      </c>
      <c r="AR2344" s="5" t="s">
        <v>16</v>
      </c>
      <c r="AS2344" s="5">
        <v>147</v>
      </c>
      <c r="AT2344" s="5" t="s">
        <v>14043</v>
      </c>
      <c r="AU2344" s="5" t="s">
        <v>14044</v>
      </c>
      <c r="AV2344" s="5" t="s">
        <v>14046</v>
      </c>
    </row>
    <row r="2345" spans="1:48" ht="45" customHeight="1" x14ac:dyDescent="0.15">
      <c r="A2345" s="5" t="s">
        <v>14047</v>
      </c>
      <c r="B2345" s="5">
        <v>2022</v>
      </c>
      <c r="C2345" s="5" t="s">
        <v>14048</v>
      </c>
      <c r="D2345" s="5" t="s">
        <v>973</v>
      </c>
      <c r="E2345" s="5" t="s">
        <v>18453</v>
      </c>
      <c r="F2345" s="5" t="s">
        <v>14050</v>
      </c>
      <c r="G2345" s="5"/>
      <c r="H2345" s="5"/>
      <c r="I2345" s="5"/>
      <c r="J2345" s="5"/>
      <c r="K2345" s="5"/>
      <c r="L2345" s="5"/>
      <c r="M2345" s="5"/>
      <c r="N2345" s="5"/>
      <c r="O2345" s="5"/>
      <c r="P2345" s="5"/>
      <c r="Q2345" s="5"/>
      <c r="AL2345" s="7" t="str">
        <f>HYPERLINK("http://dx.doi.org/10.5194/bg-19-4551-2022","http://dx.doi.org/10.5194/bg-19-4551-2022")</f>
        <v>http://dx.doi.org/10.5194/bg-19-4551-2022</v>
      </c>
      <c r="AM2345" s="5">
        <v>1</v>
      </c>
      <c r="AN2345" s="5">
        <v>1</v>
      </c>
      <c r="AO2345" s="5">
        <v>19</v>
      </c>
      <c r="AP2345" s="5">
        <v>18</v>
      </c>
      <c r="AQ2345" s="5">
        <v>4551</v>
      </c>
      <c r="AR2345" s="5">
        <v>4569</v>
      </c>
      <c r="AS2345" s="5" t="s">
        <v>16</v>
      </c>
      <c r="AT2345" s="5" t="s">
        <v>16</v>
      </c>
      <c r="AU2345" s="5" t="s">
        <v>14049</v>
      </c>
      <c r="AV2345" s="5" t="s">
        <v>14051</v>
      </c>
    </row>
    <row r="2346" spans="1:48" ht="45" customHeight="1" x14ac:dyDescent="0.15">
      <c r="A2346" s="5" t="s">
        <v>14052</v>
      </c>
      <c r="B2346" s="5">
        <v>2019</v>
      </c>
      <c r="C2346" s="5" t="s">
        <v>14053</v>
      </c>
      <c r="D2346" s="5" t="s">
        <v>289</v>
      </c>
      <c r="E2346" s="5" t="s">
        <v>18453</v>
      </c>
      <c r="F2346" s="5" t="s">
        <v>14056</v>
      </c>
      <c r="G2346" s="5"/>
      <c r="H2346" s="5"/>
      <c r="I2346" s="5"/>
      <c r="J2346" s="5"/>
      <c r="K2346" s="5"/>
      <c r="L2346" s="5"/>
      <c r="M2346" s="5"/>
      <c r="N2346" s="5"/>
      <c r="O2346" s="5"/>
      <c r="P2346" s="5"/>
      <c r="Q2346" s="5"/>
      <c r="AL2346" s="7" t="str">
        <f>HYPERLINK("http://dx.doi.org/10.1111/1365-2745.13225","http://dx.doi.org/10.1111/1365-2745.13225")</f>
        <v>http://dx.doi.org/10.1111/1365-2745.13225</v>
      </c>
      <c r="AM2346" s="5">
        <v>13</v>
      </c>
      <c r="AN2346" s="5">
        <v>13</v>
      </c>
      <c r="AO2346" s="5">
        <v>107</v>
      </c>
      <c r="AP2346" s="5">
        <v>6</v>
      </c>
      <c r="AQ2346" s="5">
        <v>2541</v>
      </c>
      <c r="AR2346" s="5">
        <v>2552</v>
      </c>
      <c r="AS2346" s="5" t="s">
        <v>16</v>
      </c>
      <c r="AT2346" s="5" t="s">
        <v>14054</v>
      </c>
      <c r="AU2346" s="5" t="s">
        <v>14055</v>
      </c>
      <c r="AV2346" s="5" t="s">
        <v>14057</v>
      </c>
    </row>
    <row r="2347" spans="1:48" ht="45" customHeight="1" x14ac:dyDescent="0.15">
      <c r="A2347" s="5" t="s">
        <v>14058</v>
      </c>
      <c r="B2347" s="5">
        <v>2021</v>
      </c>
      <c r="C2347" s="5" t="s">
        <v>14059</v>
      </c>
      <c r="D2347" s="5" t="s">
        <v>138</v>
      </c>
      <c r="E2347" s="5" t="s">
        <v>18453</v>
      </c>
      <c r="F2347" s="5" t="s">
        <v>14062</v>
      </c>
      <c r="G2347" s="5"/>
      <c r="H2347" s="5"/>
      <c r="I2347" s="5"/>
      <c r="J2347" s="5"/>
      <c r="K2347" s="5"/>
      <c r="L2347" s="5"/>
      <c r="M2347" s="5"/>
      <c r="N2347" s="5"/>
      <c r="O2347" s="5"/>
      <c r="P2347" s="5"/>
      <c r="Q2347" s="5"/>
      <c r="AL2347" s="7" t="str">
        <f>HYPERLINK("http://dx.doi.org/10.1111/aec.13028","http://dx.doi.org/10.1111/aec.13028")</f>
        <v>http://dx.doi.org/10.1111/aec.13028</v>
      </c>
      <c r="AM2347" s="5">
        <v>1</v>
      </c>
      <c r="AN2347" s="5">
        <v>1</v>
      </c>
      <c r="AO2347" s="5">
        <v>46</v>
      </c>
      <c r="AP2347" s="5">
        <v>5</v>
      </c>
      <c r="AQ2347" s="5">
        <v>833</v>
      </c>
      <c r="AR2347" s="5">
        <v>846</v>
      </c>
      <c r="AS2347" s="5" t="s">
        <v>16</v>
      </c>
      <c r="AT2347" s="5" t="s">
        <v>14060</v>
      </c>
      <c r="AU2347" s="5" t="s">
        <v>14061</v>
      </c>
      <c r="AV2347" s="5" t="s">
        <v>14063</v>
      </c>
    </row>
    <row r="2348" spans="1:48" ht="45" customHeight="1" x14ac:dyDescent="0.15">
      <c r="A2348" s="5" t="s">
        <v>14064</v>
      </c>
      <c r="B2348" s="5">
        <v>2017</v>
      </c>
      <c r="C2348" s="5" t="s">
        <v>14065</v>
      </c>
      <c r="D2348" s="5" t="s">
        <v>124</v>
      </c>
      <c r="E2348" s="5" t="s">
        <v>18453</v>
      </c>
      <c r="F2348" s="5" t="s">
        <v>14068</v>
      </c>
      <c r="G2348" s="5"/>
      <c r="H2348" s="5"/>
      <c r="I2348" s="5"/>
      <c r="J2348" s="5"/>
      <c r="K2348" s="5"/>
      <c r="L2348" s="5"/>
      <c r="M2348" s="5"/>
      <c r="N2348" s="5"/>
      <c r="O2348" s="5"/>
      <c r="P2348" s="5"/>
      <c r="Q2348" s="5"/>
      <c r="AL2348" s="7" t="str">
        <f>HYPERLINK("http://dx.doi.org/10.1086/693782","http://dx.doi.org/10.1086/693782")</f>
        <v>http://dx.doi.org/10.1086/693782</v>
      </c>
      <c r="AM2348" s="5">
        <v>7</v>
      </c>
      <c r="AN2348" s="5">
        <v>7</v>
      </c>
      <c r="AO2348" s="5">
        <v>190</v>
      </c>
      <c r="AP2348" s="5">
        <v>5</v>
      </c>
      <c r="AQ2348" s="5" t="s">
        <v>14069</v>
      </c>
      <c r="AR2348" s="5" t="s">
        <v>14070</v>
      </c>
      <c r="AS2348" s="5" t="s">
        <v>16</v>
      </c>
      <c r="AT2348" s="5" t="s">
        <v>14066</v>
      </c>
      <c r="AU2348" s="5" t="s">
        <v>14067</v>
      </c>
      <c r="AV2348" s="5" t="s">
        <v>14071</v>
      </c>
    </row>
    <row r="2349" spans="1:48" ht="45" customHeight="1" x14ac:dyDescent="0.15">
      <c r="A2349" s="5" t="s">
        <v>14072</v>
      </c>
      <c r="B2349" s="5">
        <v>2008</v>
      </c>
      <c r="C2349" s="5" t="s">
        <v>14073</v>
      </c>
      <c r="D2349" s="5" t="s">
        <v>17</v>
      </c>
      <c r="E2349" s="5" t="s">
        <v>18453</v>
      </c>
      <c r="F2349" s="5" t="s">
        <v>14076</v>
      </c>
      <c r="G2349" s="5"/>
      <c r="H2349" s="5"/>
      <c r="I2349" s="5"/>
      <c r="J2349" s="5"/>
      <c r="K2349" s="5"/>
      <c r="L2349" s="5"/>
      <c r="M2349" s="5"/>
      <c r="N2349" s="5"/>
      <c r="O2349" s="5"/>
      <c r="P2349" s="5"/>
      <c r="Q2349" s="5"/>
      <c r="AL2349" s="7" t="str">
        <f>HYPERLINK("http://dx.doi.org/10.1111/j.1365-2427.2008.01990.x","http://dx.doi.org/10.1111/j.1365-2427.2008.01990.x")</f>
        <v>http://dx.doi.org/10.1111/j.1365-2427.2008.01990.x</v>
      </c>
      <c r="AM2349" s="5">
        <v>54</v>
      </c>
      <c r="AN2349" s="5">
        <v>55</v>
      </c>
      <c r="AO2349" s="5">
        <v>53</v>
      </c>
      <c r="AP2349" s="5">
        <v>8</v>
      </c>
      <c r="AQ2349" s="5">
        <v>1673</v>
      </c>
      <c r="AR2349" s="5">
        <v>1691</v>
      </c>
      <c r="AS2349" s="5" t="s">
        <v>16</v>
      </c>
      <c r="AT2349" s="5" t="s">
        <v>14074</v>
      </c>
      <c r="AU2349" s="5" t="s">
        <v>14075</v>
      </c>
      <c r="AV2349" s="5" t="s">
        <v>14077</v>
      </c>
    </row>
    <row r="2350" spans="1:48" ht="45" customHeight="1" x14ac:dyDescent="0.15">
      <c r="A2350" s="5" t="s">
        <v>14078</v>
      </c>
      <c r="B2350" s="5">
        <v>2023</v>
      </c>
      <c r="C2350" s="5" t="s">
        <v>14079</v>
      </c>
      <c r="D2350" s="5" t="s">
        <v>190</v>
      </c>
      <c r="E2350" s="5" t="s">
        <v>18453</v>
      </c>
      <c r="F2350" s="5" t="s">
        <v>14082</v>
      </c>
      <c r="G2350" s="5"/>
      <c r="H2350" s="5"/>
      <c r="I2350" s="5"/>
      <c r="J2350" s="5"/>
      <c r="K2350" s="5"/>
      <c r="L2350" s="5"/>
      <c r="M2350" s="5"/>
      <c r="N2350" s="5"/>
      <c r="O2350" s="5"/>
      <c r="P2350" s="5"/>
      <c r="Q2350" s="5"/>
      <c r="AL2350" s="7" t="str">
        <f>HYPERLINK("http://dx.doi.org/10.1007/s10530-023-03089-1","http://dx.doi.org/10.1007/s10530-023-03089-1")</f>
        <v>http://dx.doi.org/10.1007/s10530-023-03089-1</v>
      </c>
      <c r="AM2350" s="5">
        <v>0</v>
      </c>
      <c r="AN2350" s="5">
        <v>0</v>
      </c>
      <c r="AO2350" s="5" t="s">
        <v>16</v>
      </c>
      <c r="AP2350" s="5" t="s">
        <v>16</v>
      </c>
      <c r="AQ2350" s="5" t="s">
        <v>16</v>
      </c>
      <c r="AR2350" s="5" t="s">
        <v>16</v>
      </c>
      <c r="AS2350" s="5" t="s">
        <v>16</v>
      </c>
      <c r="AT2350" s="5" t="s">
        <v>14080</v>
      </c>
      <c r="AU2350" s="5" t="s">
        <v>14081</v>
      </c>
      <c r="AV2350" s="5" t="s">
        <v>14083</v>
      </c>
    </row>
    <row r="2351" spans="1:48" ht="45" customHeight="1" x14ac:dyDescent="0.15">
      <c r="A2351" s="5" t="s">
        <v>14084</v>
      </c>
      <c r="B2351" s="5">
        <v>2015</v>
      </c>
      <c r="C2351" s="5" t="s">
        <v>14085</v>
      </c>
      <c r="D2351" s="5" t="s">
        <v>49</v>
      </c>
      <c r="E2351" s="5" t="s">
        <v>18453</v>
      </c>
      <c r="F2351" s="5" t="s">
        <v>14088</v>
      </c>
      <c r="G2351" s="5"/>
      <c r="H2351" s="5"/>
      <c r="I2351" s="5"/>
      <c r="J2351" s="5"/>
      <c r="K2351" s="5"/>
      <c r="L2351" s="5"/>
      <c r="M2351" s="5"/>
      <c r="N2351" s="5"/>
      <c r="O2351" s="5"/>
      <c r="P2351" s="5"/>
      <c r="Q2351" s="5"/>
      <c r="AL2351" s="7" t="str">
        <f>HYPERLINK("http://dx.doi.org/10.3354/meps11260","http://dx.doi.org/10.3354/meps11260")</f>
        <v>http://dx.doi.org/10.3354/meps11260</v>
      </c>
      <c r="AM2351" s="5">
        <v>34</v>
      </c>
      <c r="AN2351" s="5">
        <v>34</v>
      </c>
      <c r="AO2351" s="5">
        <v>527</v>
      </c>
      <c r="AP2351" s="5" t="s">
        <v>16</v>
      </c>
      <c r="AQ2351" s="5">
        <v>181</v>
      </c>
      <c r="AR2351" s="5">
        <v>192</v>
      </c>
      <c r="AS2351" s="5" t="s">
        <v>16</v>
      </c>
      <c r="AT2351" s="5" t="s">
        <v>14086</v>
      </c>
      <c r="AU2351" s="5" t="s">
        <v>14087</v>
      </c>
      <c r="AV2351" s="5" t="s">
        <v>14089</v>
      </c>
    </row>
    <row r="2352" spans="1:48" ht="45" customHeight="1" x14ac:dyDescent="0.15">
      <c r="A2352" s="5" t="s">
        <v>14090</v>
      </c>
      <c r="B2352" s="5">
        <v>2020</v>
      </c>
      <c r="C2352" s="5" t="s">
        <v>14091</v>
      </c>
      <c r="D2352" s="5" t="s">
        <v>49</v>
      </c>
      <c r="E2352" s="5" t="s">
        <v>18453</v>
      </c>
      <c r="F2352" s="5" t="s">
        <v>14094</v>
      </c>
      <c r="G2352" s="5"/>
      <c r="H2352" s="5"/>
      <c r="I2352" s="5"/>
      <c r="J2352" s="5"/>
      <c r="K2352" s="5"/>
      <c r="L2352" s="5"/>
      <c r="M2352" s="5"/>
      <c r="N2352" s="5"/>
      <c r="O2352" s="5"/>
      <c r="P2352" s="5"/>
      <c r="Q2352" s="5"/>
      <c r="AL2352" s="7" t="str">
        <f>HYPERLINK("http://dx.doi.org/10.3354/meps13225","http://dx.doi.org/10.3354/meps13225")</f>
        <v>http://dx.doi.org/10.3354/meps13225</v>
      </c>
      <c r="AM2352" s="5">
        <v>1</v>
      </c>
      <c r="AN2352" s="5">
        <v>1</v>
      </c>
      <c r="AO2352" s="5">
        <v>636</v>
      </c>
      <c r="AP2352" s="5" t="s">
        <v>16</v>
      </c>
      <c r="AQ2352" s="5">
        <v>207</v>
      </c>
      <c r="AR2352" s="5">
        <v>220</v>
      </c>
      <c r="AS2352" s="5" t="s">
        <v>16</v>
      </c>
      <c r="AT2352" s="5" t="s">
        <v>14092</v>
      </c>
      <c r="AU2352" s="5" t="s">
        <v>14093</v>
      </c>
      <c r="AV2352" s="5" t="s">
        <v>14095</v>
      </c>
    </row>
    <row r="2353" spans="1:48" ht="45" customHeight="1" x14ac:dyDescent="0.15">
      <c r="A2353" s="5" t="s">
        <v>14096</v>
      </c>
      <c r="B2353" s="5">
        <v>2013</v>
      </c>
      <c r="C2353" s="5" t="s">
        <v>14097</v>
      </c>
      <c r="D2353" s="5" t="s">
        <v>2818</v>
      </c>
      <c r="E2353" s="5" t="s">
        <v>18453</v>
      </c>
      <c r="F2353" s="5" t="s">
        <v>14099</v>
      </c>
      <c r="G2353" s="5"/>
      <c r="H2353" s="5"/>
      <c r="I2353" s="5"/>
      <c r="J2353" s="5"/>
      <c r="K2353" s="5"/>
      <c r="L2353" s="5"/>
      <c r="M2353" s="5"/>
      <c r="N2353" s="5"/>
      <c r="O2353" s="5"/>
      <c r="P2353" s="5"/>
      <c r="Q2353" s="5"/>
      <c r="AL2353" s="7" t="str">
        <f>HYPERLINK("http://dx.doi.org/10.1071/WR12168","http://dx.doi.org/10.1071/WR12168")</f>
        <v>http://dx.doi.org/10.1071/WR12168</v>
      </c>
      <c r="AM2353" s="5">
        <v>39</v>
      </c>
      <c r="AN2353" s="5">
        <v>39</v>
      </c>
      <c r="AO2353" s="5">
        <v>40</v>
      </c>
      <c r="AP2353" s="5">
        <v>1</v>
      </c>
      <c r="AQ2353" s="5">
        <v>52</v>
      </c>
      <c r="AR2353" s="5">
        <v>60</v>
      </c>
      <c r="AS2353" s="5" t="s">
        <v>16</v>
      </c>
      <c r="AT2353" s="5" t="s">
        <v>16</v>
      </c>
      <c r="AU2353" s="5" t="s">
        <v>14098</v>
      </c>
      <c r="AV2353" s="5" t="s">
        <v>14100</v>
      </c>
    </row>
    <row r="2354" spans="1:48" ht="45" customHeight="1" x14ac:dyDescent="0.15">
      <c r="A2354" s="5" t="s">
        <v>14101</v>
      </c>
      <c r="B2354" s="5">
        <v>2016</v>
      </c>
      <c r="C2354" s="5" t="s">
        <v>14102</v>
      </c>
      <c r="D2354" s="5" t="s">
        <v>1765</v>
      </c>
      <c r="E2354" s="5" t="s">
        <v>18453</v>
      </c>
      <c r="F2354" s="5" t="s">
        <v>14105</v>
      </c>
      <c r="G2354" s="5"/>
      <c r="H2354" s="5"/>
      <c r="I2354" s="5"/>
      <c r="J2354" s="5"/>
      <c r="K2354" s="5"/>
      <c r="L2354" s="5"/>
      <c r="M2354" s="5"/>
      <c r="N2354" s="5"/>
      <c r="O2354" s="5"/>
      <c r="P2354" s="5"/>
      <c r="Q2354" s="5"/>
      <c r="AL2354" s="7" t="str">
        <f>HYPERLINK("http://dx.doi.org/10.1016/j.agee.2016.01.034","http://dx.doi.org/10.1016/j.agee.2016.01.034")</f>
        <v>http://dx.doi.org/10.1016/j.agee.2016.01.034</v>
      </c>
      <c r="AM2354" s="5">
        <v>33</v>
      </c>
      <c r="AN2354" s="5">
        <v>34</v>
      </c>
      <c r="AO2354" s="5">
        <v>221</v>
      </c>
      <c r="AP2354" s="5" t="s">
        <v>16</v>
      </c>
      <c r="AQ2354" s="5">
        <v>132</v>
      </c>
      <c r="AR2354" s="5">
        <v>144</v>
      </c>
      <c r="AS2354" s="5" t="s">
        <v>16</v>
      </c>
      <c r="AT2354" s="5" t="s">
        <v>14103</v>
      </c>
      <c r="AU2354" s="5" t="s">
        <v>14104</v>
      </c>
      <c r="AV2354" s="5" t="s">
        <v>14106</v>
      </c>
    </row>
    <row r="2355" spans="1:48" ht="45" customHeight="1" x14ac:dyDescent="0.15">
      <c r="A2355" s="5" t="s">
        <v>14107</v>
      </c>
      <c r="B2355" s="5">
        <v>2011</v>
      </c>
      <c r="C2355" s="5" t="s">
        <v>14108</v>
      </c>
      <c r="D2355" s="5" t="s">
        <v>10298</v>
      </c>
      <c r="E2355" s="5" t="s">
        <v>18453</v>
      </c>
      <c r="F2355" s="5" t="s">
        <v>14111</v>
      </c>
      <c r="G2355" s="5"/>
      <c r="H2355" s="5"/>
      <c r="I2355" s="5"/>
      <c r="J2355" s="5"/>
      <c r="K2355" s="5"/>
      <c r="L2355" s="5"/>
      <c r="M2355" s="5"/>
      <c r="N2355" s="5"/>
      <c r="O2355" s="5"/>
      <c r="P2355" s="5"/>
      <c r="Q2355" s="5"/>
      <c r="AL2355" s="7" t="str">
        <f>HYPERLINK("http://dx.doi.org/10.1007/s10144-011-0268-3","http://dx.doi.org/10.1007/s10144-011-0268-3")</f>
        <v>http://dx.doi.org/10.1007/s10144-011-0268-3</v>
      </c>
      <c r="AM2355" s="5">
        <v>8</v>
      </c>
      <c r="AN2355" s="5">
        <v>8</v>
      </c>
      <c r="AO2355" s="5">
        <v>53</v>
      </c>
      <c r="AP2355" s="5">
        <v>4</v>
      </c>
      <c r="AQ2355" s="5">
        <v>525</v>
      </c>
      <c r="AR2355" s="5">
        <v>534</v>
      </c>
      <c r="AS2355" s="5" t="s">
        <v>16</v>
      </c>
      <c r="AT2355" s="5" t="s">
        <v>14109</v>
      </c>
      <c r="AU2355" s="5" t="s">
        <v>14110</v>
      </c>
      <c r="AV2355" s="5" t="s">
        <v>14112</v>
      </c>
    </row>
    <row r="2356" spans="1:48" ht="45" customHeight="1" x14ac:dyDescent="0.15">
      <c r="A2356" s="5" t="s">
        <v>14113</v>
      </c>
      <c r="B2356" s="5">
        <v>2007</v>
      </c>
      <c r="C2356" s="5" t="s">
        <v>14114</v>
      </c>
      <c r="D2356" s="5" t="s">
        <v>296</v>
      </c>
      <c r="E2356" s="5" t="s">
        <v>18453</v>
      </c>
      <c r="F2356" s="5" t="s">
        <v>14117</v>
      </c>
      <c r="G2356" s="5"/>
      <c r="H2356" s="5"/>
      <c r="I2356" s="5"/>
      <c r="J2356" s="5"/>
      <c r="K2356" s="5"/>
      <c r="L2356" s="5"/>
      <c r="M2356" s="5"/>
      <c r="N2356" s="5"/>
      <c r="O2356" s="5"/>
      <c r="P2356" s="5"/>
      <c r="Q2356" s="5"/>
      <c r="AL2356" s="7" t="str">
        <f>HYPERLINK("http://dx.doi.org/10.1098/rspb.2006.3746","http://dx.doi.org/10.1098/rspb.2006.3746")</f>
        <v>http://dx.doi.org/10.1098/rspb.2006.3746</v>
      </c>
      <c r="AM2356" s="5">
        <v>63</v>
      </c>
      <c r="AN2356" s="5">
        <v>65</v>
      </c>
      <c r="AO2356" s="5">
        <v>274</v>
      </c>
      <c r="AP2356" s="5">
        <v>1608</v>
      </c>
      <c r="AQ2356" s="5">
        <v>315</v>
      </c>
      <c r="AR2356" s="5">
        <v>321</v>
      </c>
      <c r="AS2356" s="5" t="s">
        <v>16</v>
      </c>
      <c r="AT2356" s="5" t="s">
        <v>14115</v>
      </c>
      <c r="AU2356" s="5" t="s">
        <v>14116</v>
      </c>
      <c r="AV2356" s="5" t="s">
        <v>14118</v>
      </c>
    </row>
    <row r="2357" spans="1:48" ht="45" customHeight="1" x14ac:dyDescent="0.15">
      <c r="A2357" s="5" t="s">
        <v>14119</v>
      </c>
      <c r="B2357" s="5">
        <v>2014</v>
      </c>
      <c r="C2357" s="5" t="s">
        <v>14120</v>
      </c>
      <c r="D2357" s="5" t="s">
        <v>973</v>
      </c>
      <c r="E2357" s="5" t="s">
        <v>18453</v>
      </c>
      <c r="F2357" s="5" t="s">
        <v>14122</v>
      </c>
      <c r="G2357" s="5"/>
      <c r="H2357" s="5"/>
      <c r="I2357" s="5"/>
      <c r="J2357" s="5"/>
      <c r="K2357" s="5"/>
      <c r="L2357" s="5"/>
      <c r="M2357" s="5"/>
      <c r="N2357" s="5"/>
      <c r="O2357" s="5"/>
      <c r="P2357" s="5"/>
      <c r="Q2357" s="5"/>
      <c r="AL2357" s="7" t="str">
        <f>HYPERLINK("http://dx.doi.org/10.5194/bg-11-4913-2014","http://dx.doi.org/10.5194/bg-11-4913-2014")</f>
        <v>http://dx.doi.org/10.5194/bg-11-4913-2014</v>
      </c>
      <c r="AM2357" s="5">
        <v>45</v>
      </c>
      <c r="AN2357" s="5">
        <v>46</v>
      </c>
      <c r="AO2357" s="5">
        <v>11</v>
      </c>
      <c r="AP2357" s="5">
        <v>17</v>
      </c>
      <c r="AQ2357" s="5">
        <v>4913</v>
      </c>
      <c r="AR2357" s="5">
        <v>4924</v>
      </c>
      <c r="AS2357" s="5" t="s">
        <v>16</v>
      </c>
      <c r="AT2357" s="5" t="s">
        <v>16</v>
      </c>
      <c r="AU2357" s="5" t="s">
        <v>14121</v>
      </c>
      <c r="AV2357" s="5" t="s">
        <v>14123</v>
      </c>
    </row>
    <row r="2358" spans="1:48" ht="45" customHeight="1" x14ac:dyDescent="0.15">
      <c r="A2358" s="5" t="s">
        <v>14124</v>
      </c>
      <c r="B2358" s="5">
        <v>2019</v>
      </c>
      <c r="C2358" s="5" t="s">
        <v>14125</v>
      </c>
      <c r="D2358" s="5" t="s">
        <v>189</v>
      </c>
      <c r="E2358" s="5" t="s">
        <v>18453</v>
      </c>
      <c r="F2358" s="5" t="s">
        <v>14128</v>
      </c>
      <c r="G2358" s="5"/>
      <c r="H2358" s="5"/>
      <c r="I2358" s="5"/>
      <c r="J2358" s="5"/>
      <c r="K2358" s="5"/>
      <c r="L2358" s="5"/>
      <c r="M2358" s="5"/>
      <c r="N2358" s="5"/>
      <c r="O2358" s="5"/>
      <c r="P2358" s="5"/>
      <c r="Q2358" s="5"/>
      <c r="AL2358" s="7" t="str">
        <f>HYPERLINK("http://dx.doi.org/10.1111/ecog.03817","http://dx.doi.org/10.1111/ecog.03817")</f>
        <v>http://dx.doi.org/10.1111/ecog.03817</v>
      </c>
      <c r="AM2358" s="5">
        <v>16</v>
      </c>
      <c r="AN2358" s="5">
        <v>16</v>
      </c>
      <c r="AO2358" s="5">
        <v>42</v>
      </c>
      <c r="AP2358" s="5">
        <v>4</v>
      </c>
      <c r="AQ2358" s="5">
        <v>791</v>
      </c>
      <c r="AR2358" s="5">
        <v>803</v>
      </c>
      <c r="AS2358" s="5" t="s">
        <v>16</v>
      </c>
      <c r="AT2358" s="5" t="s">
        <v>14126</v>
      </c>
      <c r="AU2358" s="5" t="s">
        <v>14127</v>
      </c>
      <c r="AV2358" s="5" t="s">
        <v>14129</v>
      </c>
    </row>
    <row r="2359" spans="1:48" ht="45" customHeight="1" x14ac:dyDescent="0.15">
      <c r="A2359" s="5" t="s">
        <v>14130</v>
      </c>
      <c r="B2359" s="5">
        <v>2020</v>
      </c>
      <c r="C2359" s="5" t="s">
        <v>14131</v>
      </c>
      <c r="D2359" s="5" t="s">
        <v>92</v>
      </c>
      <c r="E2359" s="5" t="s">
        <v>18453</v>
      </c>
      <c r="F2359" s="5" t="s">
        <v>14134</v>
      </c>
      <c r="G2359" s="5"/>
      <c r="H2359" s="5"/>
      <c r="I2359" s="5"/>
      <c r="J2359" s="5"/>
      <c r="K2359" s="5"/>
      <c r="L2359" s="5"/>
      <c r="M2359" s="5"/>
      <c r="N2359" s="5"/>
      <c r="O2359" s="5"/>
      <c r="P2359" s="5"/>
      <c r="Q2359" s="5"/>
      <c r="AL2359" s="7" t="str">
        <f>HYPERLINK("http://dx.doi.org/10.1086/710042","http://dx.doi.org/10.1086/710042")</f>
        <v>http://dx.doi.org/10.1086/710042</v>
      </c>
      <c r="AM2359" s="5">
        <v>6</v>
      </c>
      <c r="AN2359" s="5">
        <v>6</v>
      </c>
      <c r="AO2359" s="5">
        <v>39</v>
      </c>
      <c r="AP2359" s="5">
        <v>3</v>
      </c>
      <c r="AQ2359" s="5">
        <v>447</v>
      </c>
      <c r="AR2359" s="5">
        <v>460</v>
      </c>
      <c r="AS2359" s="5" t="s">
        <v>16</v>
      </c>
      <c r="AT2359" s="5" t="s">
        <v>14132</v>
      </c>
      <c r="AU2359" s="5" t="s">
        <v>14133</v>
      </c>
      <c r="AV2359" s="5" t="s">
        <v>14135</v>
      </c>
    </row>
    <row r="2360" spans="1:48" ht="45" customHeight="1" x14ac:dyDescent="0.15">
      <c r="A2360" s="5" t="s">
        <v>14136</v>
      </c>
      <c r="B2360" s="5">
        <v>2012</v>
      </c>
      <c r="C2360" s="5" t="s">
        <v>14137</v>
      </c>
      <c r="D2360" s="5" t="s">
        <v>262</v>
      </c>
      <c r="E2360" s="5" t="s">
        <v>18453</v>
      </c>
      <c r="F2360" s="5" t="s">
        <v>14139</v>
      </c>
      <c r="G2360" s="5"/>
      <c r="H2360" s="5"/>
      <c r="I2360" s="5"/>
      <c r="J2360" s="5"/>
      <c r="K2360" s="5"/>
      <c r="L2360" s="5"/>
      <c r="M2360" s="5"/>
      <c r="N2360" s="5"/>
      <c r="O2360" s="5"/>
      <c r="P2360" s="5"/>
      <c r="Q2360" s="5"/>
      <c r="AL2360" s="7" t="str">
        <f>HYPERLINK("http://dx.doi.org/10.1111/j.1600-0706.2011.19548.x","http://dx.doi.org/10.1111/j.1600-0706.2011.19548.x")</f>
        <v>http://dx.doi.org/10.1111/j.1600-0706.2011.19548.x</v>
      </c>
      <c r="AM2360" s="5">
        <v>32</v>
      </c>
      <c r="AN2360" s="5">
        <v>32</v>
      </c>
      <c r="AO2360" s="5">
        <v>121</v>
      </c>
      <c r="AP2360" s="5">
        <v>5</v>
      </c>
      <c r="AQ2360" s="5">
        <v>697</v>
      </c>
      <c r="AR2360" s="5">
        <v>710</v>
      </c>
      <c r="AS2360" s="5" t="s">
        <v>16</v>
      </c>
      <c r="AT2360" s="5" t="s">
        <v>16</v>
      </c>
      <c r="AU2360" s="5" t="s">
        <v>14138</v>
      </c>
      <c r="AV2360" s="5" t="s">
        <v>14140</v>
      </c>
    </row>
    <row r="2361" spans="1:48" ht="45" customHeight="1" x14ac:dyDescent="0.15">
      <c r="A2361" s="5" t="s">
        <v>14141</v>
      </c>
      <c r="B2361" s="5">
        <v>2021</v>
      </c>
      <c r="C2361" s="5" t="s">
        <v>14142</v>
      </c>
      <c r="D2361" s="5" t="s">
        <v>190</v>
      </c>
      <c r="E2361" s="5" t="s">
        <v>18453</v>
      </c>
      <c r="F2361" s="5" t="s">
        <v>14144</v>
      </c>
      <c r="G2361" s="5"/>
      <c r="H2361" s="5"/>
      <c r="I2361" s="5"/>
      <c r="J2361" s="5"/>
      <c r="K2361" s="5"/>
      <c r="L2361" s="5"/>
      <c r="M2361" s="5"/>
      <c r="N2361" s="5"/>
      <c r="O2361" s="5"/>
      <c r="P2361" s="5"/>
      <c r="Q2361" s="5"/>
      <c r="AL2361" s="7" t="str">
        <f>HYPERLINK("http://dx.doi.org/10.1007/s10530-021-02510-x","http://dx.doi.org/10.1007/s10530-021-02510-x")</f>
        <v>http://dx.doi.org/10.1007/s10530-021-02510-x</v>
      </c>
      <c r="AM2361" s="5">
        <v>5</v>
      </c>
      <c r="AN2361" s="5">
        <v>6</v>
      </c>
      <c r="AO2361" s="5">
        <v>23</v>
      </c>
      <c r="AP2361" s="5">
        <v>7</v>
      </c>
      <c r="AQ2361" s="5">
        <v>2355</v>
      </c>
      <c r="AR2361" s="5">
        <v>2370</v>
      </c>
      <c r="AS2361" s="5" t="s">
        <v>16</v>
      </c>
      <c r="AT2361" s="5" t="s">
        <v>14143</v>
      </c>
      <c r="AU2361" s="5" t="s">
        <v>16</v>
      </c>
      <c r="AV2361" s="5" t="s">
        <v>14145</v>
      </c>
    </row>
    <row r="2362" spans="1:48" ht="45" customHeight="1" x14ac:dyDescent="0.15">
      <c r="A2362" s="5" t="s">
        <v>14146</v>
      </c>
      <c r="B2362" s="5">
        <v>2016</v>
      </c>
      <c r="C2362" s="5" t="s">
        <v>14147</v>
      </c>
      <c r="D2362" s="5" t="s">
        <v>296</v>
      </c>
      <c r="E2362" s="5" t="s">
        <v>18453</v>
      </c>
      <c r="F2362" s="5" t="s">
        <v>14150</v>
      </c>
      <c r="G2362" s="5"/>
      <c r="H2362" s="5"/>
      <c r="I2362" s="5"/>
      <c r="J2362" s="5"/>
      <c r="K2362" s="5"/>
      <c r="L2362" s="5"/>
      <c r="M2362" s="5"/>
      <c r="N2362" s="5"/>
      <c r="O2362" s="5"/>
      <c r="P2362" s="5"/>
      <c r="Q2362" s="5"/>
      <c r="AL2362" s="7" t="str">
        <f>HYPERLINK("http://dx.doi.org/10.1098/rspb.2016.1317","http://dx.doi.org/10.1098/rspb.2016.1317")</f>
        <v>http://dx.doi.org/10.1098/rspb.2016.1317</v>
      </c>
      <c r="AM2362" s="5">
        <v>18</v>
      </c>
      <c r="AN2362" s="5">
        <v>18</v>
      </c>
      <c r="AO2362" s="5">
        <v>283</v>
      </c>
      <c r="AP2362" s="5">
        <v>1838</v>
      </c>
      <c r="AQ2362" s="5" t="s">
        <v>16</v>
      </c>
      <c r="AR2362" s="5" t="s">
        <v>16</v>
      </c>
      <c r="AS2362" s="5">
        <v>20161317</v>
      </c>
      <c r="AT2362" s="5" t="s">
        <v>14148</v>
      </c>
      <c r="AU2362" s="5" t="s">
        <v>14149</v>
      </c>
      <c r="AV2362" s="5" t="s">
        <v>14151</v>
      </c>
    </row>
    <row r="2363" spans="1:48" ht="45" customHeight="1" x14ac:dyDescent="0.15">
      <c r="A2363" s="5" t="s">
        <v>14152</v>
      </c>
      <c r="B2363" s="5">
        <v>2020</v>
      </c>
      <c r="C2363" s="5" t="s">
        <v>14153</v>
      </c>
      <c r="D2363" s="5" t="s">
        <v>15</v>
      </c>
      <c r="E2363" s="5" t="s">
        <v>18453</v>
      </c>
      <c r="F2363" s="5" t="s">
        <v>14156</v>
      </c>
      <c r="G2363" s="5"/>
      <c r="H2363" s="5"/>
      <c r="I2363" s="5"/>
      <c r="J2363" s="5"/>
      <c r="K2363" s="5"/>
      <c r="L2363" s="5"/>
      <c r="M2363" s="5"/>
      <c r="N2363" s="5"/>
      <c r="O2363" s="5"/>
      <c r="P2363" s="5"/>
      <c r="Q2363" s="5"/>
      <c r="AL2363" s="7" t="str">
        <f>HYPERLINK("http://dx.doi.org/10.1002/ece3.6127","http://dx.doi.org/10.1002/ece3.6127")</f>
        <v>http://dx.doi.org/10.1002/ece3.6127</v>
      </c>
      <c r="AM2363" s="5">
        <v>7</v>
      </c>
      <c r="AN2363" s="5">
        <v>8</v>
      </c>
      <c r="AO2363" s="5">
        <v>10</v>
      </c>
      <c r="AP2363" s="5">
        <v>7</v>
      </c>
      <c r="AQ2363" s="5">
        <v>3346</v>
      </c>
      <c r="AR2363" s="5">
        <v>3355</v>
      </c>
      <c r="AS2363" s="5" t="s">
        <v>16</v>
      </c>
      <c r="AT2363" s="5" t="s">
        <v>14154</v>
      </c>
      <c r="AU2363" s="5" t="s">
        <v>14155</v>
      </c>
      <c r="AV2363" s="5" t="s">
        <v>14157</v>
      </c>
    </row>
    <row r="2364" spans="1:48" ht="45" customHeight="1" x14ac:dyDescent="0.15">
      <c r="A2364" s="5" t="s">
        <v>14158</v>
      </c>
      <c r="B2364" s="5">
        <v>2017</v>
      </c>
      <c r="C2364" s="5" t="s">
        <v>14159</v>
      </c>
      <c r="D2364" s="5" t="s">
        <v>49</v>
      </c>
      <c r="E2364" s="5" t="s">
        <v>18453</v>
      </c>
      <c r="F2364" s="5" t="s">
        <v>14162</v>
      </c>
      <c r="G2364" s="5"/>
      <c r="H2364" s="5"/>
      <c r="I2364" s="5"/>
      <c r="J2364" s="5"/>
      <c r="K2364" s="5"/>
      <c r="L2364" s="5"/>
      <c r="M2364" s="5"/>
      <c r="N2364" s="5"/>
      <c r="O2364" s="5"/>
      <c r="P2364" s="5"/>
      <c r="Q2364" s="5"/>
      <c r="AL2364" s="7" t="str">
        <f>HYPERLINK("http://dx.doi.org/10.3354/meps12022","http://dx.doi.org/10.3354/meps12022")</f>
        <v>http://dx.doi.org/10.3354/meps12022</v>
      </c>
      <c r="AM2364" s="5">
        <v>8</v>
      </c>
      <c r="AN2364" s="5">
        <v>8</v>
      </c>
      <c r="AO2364" s="5">
        <v>578</v>
      </c>
      <c r="AP2364" s="5" t="s">
        <v>16</v>
      </c>
      <c r="AQ2364" s="5">
        <v>253</v>
      </c>
      <c r="AR2364" s="5">
        <v>261</v>
      </c>
      <c r="AS2364" s="5" t="s">
        <v>16</v>
      </c>
      <c r="AT2364" s="5" t="s">
        <v>14160</v>
      </c>
      <c r="AU2364" s="5" t="s">
        <v>14161</v>
      </c>
      <c r="AV2364" s="5" t="s">
        <v>14163</v>
      </c>
    </row>
    <row r="2365" spans="1:48" ht="45" customHeight="1" x14ac:dyDescent="0.15">
      <c r="A2365" s="5" t="s">
        <v>14164</v>
      </c>
      <c r="B2365" s="5">
        <v>2004</v>
      </c>
      <c r="C2365" s="5" t="s">
        <v>14165</v>
      </c>
      <c r="D2365" s="5" t="s">
        <v>295</v>
      </c>
      <c r="E2365" s="5" t="s">
        <v>18453</v>
      </c>
      <c r="F2365" s="5" t="s">
        <v>14168</v>
      </c>
      <c r="G2365" s="5"/>
      <c r="H2365" s="5"/>
      <c r="I2365" s="5"/>
      <c r="J2365" s="5"/>
      <c r="K2365" s="5"/>
      <c r="L2365" s="5"/>
      <c r="M2365" s="5"/>
      <c r="N2365" s="5"/>
      <c r="O2365" s="5"/>
      <c r="P2365" s="5"/>
      <c r="Q2365" s="5"/>
      <c r="AL2365" s="7" t="str">
        <f>HYPERLINK("http://dx.doi.org/10.1016/j.jembe.2004.03.009","http://dx.doi.org/10.1016/j.jembe.2004.03.009")</f>
        <v>http://dx.doi.org/10.1016/j.jembe.2004.03.009</v>
      </c>
      <c r="AM2365" s="5">
        <v>64</v>
      </c>
      <c r="AN2365" s="5">
        <v>70</v>
      </c>
      <c r="AO2365" s="5">
        <v>309</v>
      </c>
      <c r="AP2365" s="5">
        <v>1</v>
      </c>
      <c r="AQ2365" s="5">
        <v>67</v>
      </c>
      <c r="AR2365" s="5">
        <v>77</v>
      </c>
      <c r="AS2365" s="5" t="s">
        <v>16</v>
      </c>
      <c r="AT2365" s="5" t="s">
        <v>14166</v>
      </c>
      <c r="AU2365" s="5" t="s">
        <v>14167</v>
      </c>
      <c r="AV2365" s="5" t="s">
        <v>14169</v>
      </c>
    </row>
    <row r="2366" spans="1:48" ht="45" customHeight="1" x14ac:dyDescent="0.15">
      <c r="A2366" s="5" t="s">
        <v>14170</v>
      </c>
      <c r="B2366" s="5">
        <v>2020</v>
      </c>
      <c r="C2366" s="5" t="s">
        <v>14171</v>
      </c>
      <c r="D2366" s="5" t="s">
        <v>162</v>
      </c>
      <c r="E2366" s="5" t="s">
        <v>18453</v>
      </c>
      <c r="F2366" s="5" t="s">
        <v>14174</v>
      </c>
      <c r="G2366" s="5"/>
      <c r="H2366" s="5"/>
      <c r="I2366" s="5"/>
      <c r="J2366" s="5"/>
      <c r="K2366" s="5"/>
      <c r="L2366" s="5"/>
      <c r="M2366" s="5"/>
      <c r="N2366" s="5"/>
      <c r="O2366" s="5"/>
      <c r="P2366" s="5"/>
      <c r="Q2366" s="5"/>
      <c r="AL2366" s="7" t="str">
        <f>HYPERLINK("http://dx.doi.org/10.1111/1365-2435.13600","http://dx.doi.org/10.1111/1365-2435.13600")</f>
        <v>http://dx.doi.org/10.1111/1365-2435.13600</v>
      </c>
      <c r="AM2366" s="5">
        <v>4</v>
      </c>
      <c r="AN2366" s="5">
        <v>4</v>
      </c>
      <c r="AO2366" s="5">
        <v>34</v>
      </c>
      <c r="AP2366" s="5">
        <v>7</v>
      </c>
      <c r="AQ2366" s="5">
        <v>1404</v>
      </c>
      <c r="AR2366" s="5">
        <v>1415</v>
      </c>
      <c r="AS2366" s="5" t="s">
        <v>16</v>
      </c>
      <c r="AT2366" s="5" t="s">
        <v>14172</v>
      </c>
      <c r="AU2366" s="5" t="s">
        <v>14173</v>
      </c>
      <c r="AV2366" s="5" t="s">
        <v>14175</v>
      </c>
    </row>
    <row r="2367" spans="1:48" ht="45" customHeight="1" x14ac:dyDescent="0.15">
      <c r="A2367" s="5" t="s">
        <v>14176</v>
      </c>
      <c r="B2367" s="5">
        <v>2019</v>
      </c>
      <c r="C2367" s="5" t="s">
        <v>14177</v>
      </c>
      <c r="D2367" s="5" t="s">
        <v>44</v>
      </c>
      <c r="E2367" s="5" t="s">
        <v>18453</v>
      </c>
      <c r="F2367" s="5" t="s">
        <v>14180</v>
      </c>
      <c r="G2367" s="5"/>
      <c r="H2367" s="5"/>
      <c r="I2367" s="5"/>
      <c r="J2367" s="5"/>
      <c r="K2367" s="5"/>
      <c r="L2367" s="5"/>
      <c r="M2367" s="5"/>
      <c r="N2367" s="5"/>
      <c r="O2367" s="5"/>
      <c r="P2367" s="5"/>
      <c r="Q2367" s="5"/>
      <c r="AL2367" s="7" t="str">
        <f>HYPERLINK("http://dx.doi.org/10.3389/fevo.2019.00350","http://dx.doi.org/10.3389/fevo.2019.00350")</f>
        <v>http://dx.doi.org/10.3389/fevo.2019.00350</v>
      </c>
      <c r="AM2367" s="5">
        <v>6</v>
      </c>
      <c r="AN2367" s="5">
        <v>6</v>
      </c>
      <c r="AO2367" s="5">
        <v>7</v>
      </c>
      <c r="AP2367" s="5" t="s">
        <v>16</v>
      </c>
      <c r="AQ2367" s="5" t="s">
        <v>16</v>
      </c>
      <c r="AR2367" s="5" t="s">
        <v>16</v>
      </c>
      <c r="AS2367" s="5">
        <v>350</v>
      </c>
      <c r="AT2367" s="5" t="s">
        <v>14178</v>
      </c>
      <c r="AU2367" s="5" t="s">
        <v>14179</v>
      </c>
      <c r="AV2367" s="5" t="s">
        <v>14181</v>
      </c>
    </row>
    <row r="2368" spans="1:48" ht="45" customHeight="1" x14ac:dyDescent="0.15">
      <c r="A2368" s="5" t="s">
        <v>14182</v>
      </c>
      <c r="B2368" s="5">
        <v>2011</v>
      </c>
      <c r="C2368" s="5" t="s">
        <v>14183</v>
      </c>
      <c r="D2368" s="5" t="s">
        <v>172</v>
      </c>
      <c r="E2368" s="5" t="s">
        <v>18453</v>
      </c>
      <c r="F2368" s="5" t="s">
        <v>14186</v>
      </c>
      <c r="G2368" s="5"/>
      <c r="H2368" s="5"/>
      <c r="I2368" s="5"/>
      <c r="J2368" s="5"/>
      <c r="K2368" s="5"/>
      <c r="L2368" s="5"/>
      <c r="M2368" s="5"/>
      <c r="N2368" s="5"/>
      <c r="O2368" s="5"/>
      <c r="P2368" s="5"/>
      <c r="Q2368" s="5"/>
      <c r="AL2368" s="7" t="str">
        <f>HYPERLINK("http://dx.doi.org/10.1007/s00442-010-1721-2","http://dx.doi.org/10.1007/s00442-010-1721-2")</f>
        <v>http://dx.doi.org/10.1007/s00442-010-1721-2</v>
      </c>
      <c r="AM2368" s="5">
        <v>50</v>
      </c>
      <c r="AN2368" s="5">
        <v>55</v>
      </c>
      <c r="AO2368" s="5">
        <v>165</v>
      </c>
      <c r="AP2368" s="5">
        <v>1</v>
      </c>
      <c r="AQ2368" s="5">
        <v>213</v>
      </c>
      <c r="AR2368" s="5">
        <v>223</v>
      </c>
      <c r="AS2368" s="5" t="s">
        <v>16</v>
      </c>
      <c r="AT2368" s="5" t="s">
        <v>14184</v>
      </c>
      <c r="AU2368" s="5" t="s">
        <v>14185</v>
      </c>
      <c r="AV2368" s="5" t="s">
        <v>14187</v>
      </c>
    </row>
    <row r="2369" spans="1:48" ht="45" customHeight="1" x14ac:dyDescent="0.15">
      <c r="A2369" s="5" t="s">
        <v>14188</v>
      </c>
      <c r="B2369" s="5">
        <v>2022</v>
      </c>
      <c r="C2369" s="5" t="s">
        <v>14189</v>
      </c>
      <c r="D2369" s="5" t="s">
        <v>49</v>
      </c>
      <c r="E2369" s="5" t="s">
        <v>18453</v>
      </c>
      <c r="F2369" s="5" t="s">
        <v>14192</v>
      </c>
      <c r="G2369" s="5"/>
      <c r="H2369" s="5"/>
      <c r="I2369" s="5"/>
      <c r="J2369" s="5"/>
      <c r="K2369" s="5"/>
      <c r="L2369" s="5"/>
      <c r="M2369" s="5"/>
      <c r="N2369" s="5"/>
      <c r="O2369" s="5"/>
      <c r="P2369" s="5"/>
      <c r="Q2369" s="5"/>
      <c r="AL2369" s="7" t="str">
        <f>HYPERLINK("http://dx.doi.org/10.3354/meps14147","http://dx.doi.org/10.3354/meps14147")</f>
        <v>http://dx.doi.org/10.3354/meps14147</v>
      </c>
      <c r="AM2369" s="5">
        <v>0</v>
      </c>
      <c r="AN2369" s="5">
        <v>0</v>
      </c>
      <c r="AO2369" s="5">
        <v>698</v>
      </c>
      <c r="AP2369" s="5" t="s">
        <v>16</v>
      </c>
      <c r="AQ2369" s="5">
        <v>171</v>
      </c>
      <c r="AR2369" s="5">
        <v>189</v>
      </c>
      <c r="AS2369" s="5" t="s">
        <v>16</v>
      </c>
      <c r="AT2369" s="5" t="s">
        <v>14190</v>
      </c>
      <c r="AU2369" s="5" t="s">
        <v>14191</v>
      </c>
      <c r="AV2369" s="5" t="s">
        <v>14193</v>
      </c>
    </row>
    <row r="2370" spans="1:48" ht="45" customHeight="1" x14ac:dyDescent="0.15">
      <c r="A2370" s="5" t="s">
        <v>14194</v>
      </c>
      <c r="B2370" s="5">
        <v>2018</v>
      </c>
      <c r="C2370" s="5" t="s">
        <v>14195</v>
      </c>
      <c r="D2370" s="5" t="s">
        <v>27</v>
      </c>
      <c r="E2370" s="5" t="s">
        <v>18453</v>
      </c>
      <c r="F2370" s="5" t="s">
        <v>16</v>
      </c>
      <c r="G2370" s="5"/>
      <c r="H2370" s="5"/>
      <c r="I2370" s="5"/>
      <c r="J2370" s="5"/>
      <c r="K2370" s="5"/>
      <c r="L2370" s="5"/>
      <c r="M2370" s="5"/>
      <c r="N2370" s="5"/>
      <c r="O2370" s="5"/>
      <c r="P2370" s="5"/>
      <c r="Q2370" s="5"/>
      <c r="AL2370" s="7" t="str">
        <f>HYPERLINK("http://dx.doi.org/10.1002/ecy.2218","http://dx.doi.org/10.1002/ecy.2218")</f>
        <v>http://dx.doi.org/10.1002/ecy.2218</v>
      </c>
      <c r="AM2370" s="5">
        <v>2</v>
      </c>
      <c r="AN2370" s="5">
        <v>2</v>
      </c>
      <c r="AO2370" s="5">
        <v>99</v>
      </c>
      <c r="AP2370" s="5">
        <v>5</v>
      </c>
      <c r="AQ2370" s="5">
        <v>1245</v>
      </c>
      <c r="AR2370" s="5">
        <v>1245</v>
      </c>
      <c r="AS2370" s="5" t="s">
        <v>16</v>
      </c>
      <c r="AT2370" s="5" t="s">
        <v>14196</v>
      </c>
      <c r="AU2370" s="5" t="s">
        <v>16</v>
      </c>
      <c r="AV2370" s="5" t="s">
        <v>14197</v>
      </c>
    </row>
    <row r="2371" spans="1:48" ht="45" customHeight="1" x14ac:dyDescent="0.15">
      <c r="A2371" s="5" t="s">
        <v>14198</v>
      </c>
      <c r="B2371" s="5">
        <v>2020</v>
      </c>
      <c r="C2371" s="5" t="s">
        <v>14199</v>
      </c>
      <c r="D2371" s="5" t="s">
        <v>1419</v>
      </c>
      <c r="E2371" s="5" t="s">
        <v>18453</v>
      </c>
      <c r="F2371" s="5" t="s">
        <v>14202</v>
      </c>
      <c r="G2371" s="5"/>
      <c r="H2371" s="5"/>
      <c r="I2371" s="5"/>
      <c r="J2371" s="5"/>
      <c r="K2371" s="5"/>
      <c r="L2371" s="5"/>
      <c r="M2371" s="5"/>
      <c r="N2371" s="5"/>
      <c r="O2371" s="5"/>
      <c r="P2371" s="5"/>
      <c r="Q2371" s="5"/>
      <c r="AL2371" s="7" t="str">
        <f>HYPERLINK("http://dx.doi.org/10.1016/j.fooweb.2019.e00135","http://dx.doi.org/10.1016/j.fooweb.2019.e00135")</f>
        <v>http://dx.doi.org/10.1016/j.fooweb.2019.e00135</v>
      </c>
      <c r="AM2371" s="5">
        <v>1</v>
      </c>
      <c r="AN2371" s="5">
        <v>1</v>
      </c>
      <c r="AO2371" s="5">
        <v>22</v>
      </c>
      <c r="AP2371" s="5" t="s">
        <v>16</v>
      </c>
      <c r="AQ2371" s="5" t="s">
        <v>16</v>
      </c>
      <c r="AR2371" s="5" t="s">
        <v>16</v>
      </c>
      <c r="AS2371" s="5" t="s">
        <v>14203</v>
      </c>
      <c r="AT2371" s="5" t="s">
        <v>14200</v>
      </c>
      <c r="AU2371" s="5" t="s">
        <v>14201</v>
      </c>
      <c r="AV2371" s="5" t="s">
        <v>14204</v>
      </c>
    </row>
    <row r="2372" spans="1:48" ht="45" customHeight="1" x14ac:dyDescent="0.15">
      <c r="A2372" s="5" t="s">
        <v>14205</v>
      </c>
      <c r="B2372" s="5">
        <v>2020</v>
      </c>
      <c r="C2372" s="5" t="s">
        <v>14206</v>
      </c>
      <c r="D2372" s="5" t="s">
        <v>14207</v>
      </c>
      <c r="E2372" s="5" t="s">
        <v>18453</v>
      </c>
      <c r="F2372" s="5" t="s">
        <v>14210</v>
      </c>
      <c r="G2372" s="5"/>
      <c r="H2372" s="5"/>
      <c r="I2372" s="5"/>
      <c r="J2372" s="5"/>
      <c r="K2372" s="5"/>
      <c r="L2372" s="5"/>
      <c r="M2372" s="5"/>
      <c r="N2372" s="5"/>
      <c r="O2372" s="5"/>
      <c r="P2372" s="5"/>
      <c r="Q2372" s="5"/>
      <c r="AL2372" s="7" t="str">
        <f>HYPERLINK("http://dx.doi.org/10.12775/EQ.2020.030","http://dx.doi.org/10.12775/EQ.2020.030")</f>
        <v>http://dx.doi.org/10.12775/EQ.2020.030</v>
      </c>
      <c r="AM2372" s="5">
        <v>2</v>
      </c>
      <c r="AN2372" s="5">
        <v>2</v>
      </c>
      <c r="AO2372" s="5">
        <v>31</v>
      </c>
      <c r="AP2372" s="5">
        <v>4</v>
      </c>
      <c r="AQ2372" s="5">
        <v>77</v>
      </c>
      <c r="AR2372" s="5">
        <v>88</v>
      </c>
      <c r="AS2372" s="5" t="s">
        <v>16</v>
      </c>
      <c r="AT2372" s="5" t="s">
        <v>14208</v>
      </c>
      <c r="AU2372" s="5" t="s">
        <v>14209</v>
      </c>
      <c r="AV2372" s="5" t="s">
        <v>14211</v>
      </c>
    </row>
    <row r="2373" spans="1:48" ht="45" customHeight="1" x14ac:dyDescent="0.15">
      <c r="A2373" s="5" t="s">
        <v>14212</v>
      </c>
      <c r="B2373" s="5">
        <v>2018</v>
      </c>
      <c r="C2373" s="5" t="s">
        <v>14213</v>
      </c>
      <c r="D2373" s="5" t="s">
        <v>1765</v>
      </c>
      <c r="E2373" s="5" t="s">
        <v>18453</v>
      </c>
      <c r="F2373" s="5" t="s">
        <v>14216</v>
      </c>
      <c r="G2373" s="5"/>
      <c r="H2373" s="5"/>
      <c r="I2373" s="5"/>
      <c r="J2373" s="5"/>
      <c r="K2373" s="5"/>
      <c r="L2373" s="5"/>
      <c r="M2373" s="5"/>
      <c r="N2373" s="5"/>
      <c r="O2373" s="5"/>
      <c r="P2373" s="5"/>
      <c r="Q2373" s="5"/>
      <c r="AL2373" s="7" t="str">
        <f>HYPERLINK("http://dx.doi.org/10.1016/j.agee.2018.05.027","http://dx.doi.org/10.1016/j.agee.2018.05.027")</f>
        <v>http://dx.doi.org/10.1016/j.agee.2018.05.027</v>
      </c>
      <c r="AM2373" s="5">
        <v>19</v>
      </c>
      <c r="AN2373" s="5">
        <v>23</v>
      </c>
      <c r="AO2373" s="5">
        <v>265</v>
      </c>
      <c r="AP2373" s="5" t="s">
        <v>16</v>
      </c>
      <c r="AQ2373" s="5">
        <v>178</v>
      </c>
      <c r="AR2373" s="5">
        <v>189</v>
      </c>
      <c r="AS2373" s="5" t="s">
        <v>16</v>
      </c>
      <c r="AT2373" s="5" t="s">
        <v>14214</v>
      </c>
      <c r="AU2373" s="5" t="s">
        <v>14215</v>
      </c>
      <c r="AV2373" s="5" t="s">
        <v>14217</v>
      </c>
    </row>
    <row r="2374" spans="1:48" ht="45" customHeight="1" x14ac:dyDescent="0.15">
      <c r="A2374" s="5" t="s">
        <v>14218</v>
      </c>
      <c r="B2374" s="5">
        <v>2017</v>
      </c>
      <c r="C2374" s="5" t="s">
        <v>14219</v>
      </c>
      <c r="D2374" s="5" t="s">
        <v>1765</v>
      </c>
      <c r="E2374" s="5" t="s">
        <v>18453</v>
      </c>
      <c r="F2374" s="5" t="s">
        <v>14222</v>
      </c>
      <c r="G2374" s="5"/>
      <c r="H2374" s="5"/>
      <c r="I2374" s="5"/>
      <c r="J2374" s="5"/>
      <c r="K2374" s="5"/>
      <c r="L2374" s="5"/>
      <c r="M2374" s="5"/>
      <c r="N2374" s="5"/>
      <c r="O2374" s="5"/>
      <c r="P2374" s="5"/>
      <c r="Q2374" s="5"/>
      <c r="AL2374" s="7" t="str">
        <f>HYPERLINK("http://dx.doi.org/10.1016/j.agee.2017.07.005","http://dx.doi.org/10.1016/j.agee.2017.07.005")</f>
        <v>http://dx.doi.org/10.1016/j.agee.2017.07.005</v>
      </c>
      <c r="AM2374" s="5">
        <v>19</v>
      </c>
      <c r="AN2374" s="5">
        <v>21</v>
      </c>
      <c r="AO2374" s="5">
        <v>247</v>
      </c>
      <c r="AP2374" s="5" t="s">
        <v>16</v>
      </c>
      <c r="AQ2374" s="5">
        <v>255</v>
      </c>
      <c r="AR2374" s="5">
        <v>264</v>
      </c>
      <c r="AS2374" s="5" t="s">
        <v>16</v>
      </c>
      <c r="AT2374" s="5" t="s">
        <v>14220</v>
      </c>
      <c r="AU2374" s="5" t="s">
        <v>14221</v>
      </c>
      <c r="AV2374" s="5" t="s">
        <v>14223</v>
      </c>
    </row>
    <row r="2375" spans="1:48" ht="45" customHeight="1" x14ac:dyDescent="0.15">
      <c r="A2375" s="5" t="s">
        <v>14224</v>
      </c>
      <c r="B2375" s="5">
        <v>2017</v>
      </c>
      <c r="C2375" s="5" t="s">
        <v>14225</v>
      </c>
      <c r="D2375" s="5" t="s">
        <v>83</v>
      </c>
      <c r="E2375" s="5" t="s">
        <v>18453</v>
      </c>
      <c r="F2375" s="5" t="s">
        <v>14228</v>
      </c>
      <c r="G2375" s="5"/>
      <c r="H2375" s="5"/>
      <c r="I2375" s="5"/>
      <c r="J2375" s="5"/>
      <c r="K2375" s="5"/>
      <c r="L2375" s="5"/>
      <c r="M2375" s="5"/>
      <c r="N2375" s="5"/>
      <c r="O2375" s="5"/>
      <c r="P2375" s="5"/>
      <c r="Q2375" s="5"/>
      <c r="AL2375" s="7" t="str">
        <f>HYPERLINK("http://dx.doi.org/10.1007/s10646-017-1758-7","http://dx.doi.org/10.1007/s10646-017-1758-7")</f>
        <v>http://dx.doi.org/10.1007/s10646-017-1758-7</v>
      </c>
      <c r="AM2375" s="5">
        <v>12</v>
      </c>
      <c r="AN2375" s="5">
        <v>13</v>
      </c>
      <c r="AO2375" s="5">
        <v>26</v>
      </c>
      <c r="AP2375" s="5">
        <v>2</v>
      </c>
      <c r="AQ2375" s="5">
        <v>238</v>
      </c>
      <c r="AR2375" s="5">
        <v>249</v>
      </c>
      <c r="AS2375" s="5" t="s">
        <v>16</v>
      </c>
      <c r="AT2375" s="5" t="s">
        <v>14226</v>
      </c>
      <c r="AU2375" s="5" t="s">
        <v>14227</v>
      </c>
      <c r="AV2375" s="5" t="s">
        <v>14229</v>
      </c>
    </row>
    <row r="2376" spans="1:48" ht="45" customHeight="1" x14ac:dyDescent="0.15">
      <c r="A2376" s="5" t="s">
        <v>14230</v>
      </c>
      <c r="B2376" s="5">
        <v>2005</v>
      </c>
      <c r="C2376" s="5" t="s">
        <v>14231</v>
      </c>
      <c r="D2376" s="5" t="s">
        <v>11761</v>
      </c>
      <c r="E2376" s="5" t="s">
        <v>18453</v>
      </c>
      <c r="F2376" s="5" t="s">
        <v>14233</v>
      </c>
      <c r="G2376" s="5"/>
      <c r="H2376" s="5"/>
      <c r="I2376" s="5"/>
      <c r="J2376" s="5"/>
      <c r="K2376" s="5"/>
      <c r="L2376" s="5"/>
      <c r="M2376" s="5"/>
      <c r="N2376" s="5"/>
      <c r="O2376" s="5"/>
      <c r="P2376" s="5"/>
      <c r="Q2376" s="5"/>
      <c r="AL2376" s="5" t="s">
        <v>16</v>
      </c>
      <c r="AM2376" s="5">
        <v>188</v>
      </c>
      <c r="AN2376" s="5">
        <v>200</v>
      </c>
      <c r="AO2376" s="5">
        <v>42</v>
      </c>
      <c r="AP2376" s="5">
        <v>4</v>
      </c>
      <c r="AQ2376" s="5">
        <v>421</v>
      </c>
      <c r="AR2376" s="5">
        <v>432</v>
      </c>
      <c r="AS2376" s="5" t="s">
        <v>16</v>
      </c>
      <c r="AT2376" s="5" t="s">
        <v>16</v>
      </c>
      <c r="AU2376" s="5" t="s">
        <v>14232</v>
      </c>
      <c r="AV2376" s="5" t="s">
        <v>16</v>
      </c>
    </row>
    <row r="2377" spans="1:48" ht="45" customHeight="1" x14ac:dyDescent="0.15">
      <c r="A2377" s="5" t="s">
        <v>14234</v>
      </c>
      <c r="B2377" s="5">
        <v>2017</v>
      </c>
      <c r="C2377" s="5" t="s">
        <v>14235</v>
      </c>
      <c r="D2377" s="5" t="s">
        <v>67</v>
      </c>
      <c r="E2377" s="5" t="s">
        <v>18453</v>
      </c>
      <c r="F2377" s="5" t="s">
        <v>14238</v>
      </c>
      <c r="G2377" s="5"/>
      <c r="H2377" s="5"/>
      <c r="I2377" s="5"/>
      <c r="J2377" s="5"/>
      <c r="K2377" s="5"/>
      <c r="L2377" s="5"/>
      <c r="M2377" s="5"/>
      <c r="N2377" s="5"/>
      <c r="O2377" s="5"/>
      <c r="P2377" s="5"/>
      <c r="Q2377" s="5"/>
      <c r="AL2377" s="7" t="str">
        <f>HYPERLINK("http://dx.doi.org/10.1111/jbi.13033","http://dx.doi.org/10.1111/jbi.13033")</f>
        <v>http://dx.doi.org/10.1111/jbi.13033</v>
      </c>
      <c r="AM2377" s="5">
        <v>22</v>
      </c>
      <c r="AN2377" s="5">
        <v>22</v>
      </c>
      <c r="AO2377" s="5">
        <v>44</v>
      </c>
      <c r="AP2377" s="5">
        <v>10</v>
      </c>
      <c r="AQ2377" s="5">
        <v>2176</v>
      </c>
      <c r="AR2377" s="5">
        <v>2187</v>
      </c>
      <c r="AS2377" s="5" t="s">
        <v>16</v>
      </c>
      <c r="AT2377" s="5" t="s">
        <v>14236</v>
      </c>
      <c r="AU2377" s="5" t="s">
        <v>14237</v>
      </c>
      <c r="AV2377" s="5" t="s">
        <v>14239</v>
      </c>
    </row>
    <row r="2378" spans="1:48" ht="45" customHeight="1" x14ac:dyDescent="0.15">
      <c r="A2378" s="5" t="s">
        <v>14240</v>
      </c>
      <c r="B2378" s="5">
        <v>2022</v>
      </c>
      <c r="C2378" s="5" t="s">
        <v>14241</v>
      </c>
      <c r="D2378" s="5" t="s">
        <v>27</v>
      </c>
      <c r="E2378" s="5" t="s">
        <v>18453</v>
      </c>
      <c r="F2378" s="5" t="s">
        <v>14244</v>
      </c>
      <c r="G2378" s="5"/>
      <c r="H2378" s="5"/>
      <c r="I2378" s="5"/>
      <c r="J2378" s="5"/>
      <c r="K2378" s="5"/>
      <c r="L2378" s="5"/>
      <c r="M2378" s="5"/>
      <c r="N2378" s="5"/>
      <c r="O2378" s="5"/>
      <c r="P2378" s="5"/>
      <c r="Q2378" s="5"/>
      <c r="AL2378" s="7" t="str">
        <f>HYPERLINK("http://dx.doi.org/10.1002/ecy.3543","http://dx.doi.org/10.1002/ecy.3543")</f>
        <v>http://dx.doi.org/10.1002/ecy.3543</v>
      </c>
      <c r="AM2378" s="5">
        <v>6</v>
      </c>
      <c r="AN2378" s="5">
        <v>6</v>
      </c>
      <c r="AO2378" s="5">
        <v>103</v>
      </c>
      <c r="AP2378" s="5">
        <v>1</v>
      </c>
      <c r="AQ2378" s="5" t="s">
        <v>16</v>
      </c>
      <c r="AR2378" s="5" t="s">
        <v>16</v>
      </c>
      <c r="AS2378" s="5" t="s">
        <v>14245</v>
      </c>
      <c r="AT2378" s="5" t="s">
        <v>14242</v>
      </c>
      <c r="AU2378" s="5" t="s">
        <v>14243</v>
      </c>
      <c r="AV2378" s="5" t="s">
        <v>14246</v>
      </c>
    </row>
    <row r="2379" spans="1:48" ht="45" customHeight="1" x14ac:dyDescent="0.15">
      <c r="A2379" s="5" t="s">
        <v>14247</v>
      </c>
      <c r="B2379" s="5">
        <v>2023</v>
      </c>
      <c r="C2379" s="5" t="s">
        <v>14248</v>
      </c>
      <c r="D2379" s="5" t="s">
        <v>159</v>
      </c>
      <c r="E2379" s="5" t="s">
        <v>18453</v>
      </c>
      <c r="F2379" s="5" t="s">
        <v>14251</v>
      </c>
      <c r="G2379" s="5"/>
      <c r="H2379" s="5"/>
      <c r="I2379" s="5"/>
      <c r="J2379" s="5"/>
      <c r="K2379" s="5"/>
      <c r="L2379" s="5"/>
      <c r="M2379" s="5"/>
      <c r="N2379" s="5"/>
      <c r="O2379" s="5"/>
      <c r="P2379" s="5"/>
      <c r="Q2379" s="5"/>
      <c r="AL2379" s="7" t="str">
        <f>HYPERLINK("http://dx.doi.org/10.3390/d15030422","http://dx.doi.org/10.3390/d15030422")</f>
        <v>http://dx.doi.org/10.3390/d15030422</v>
      </c>
      <c r="AM2379" s="5">
        <v>0</v>
      </c>
      <c r="AN2379" s="5">
        <v>0</v>
      </c>
      <c r="AO2379" s="5">
        <v>15</v>
      </c>
      <c r="AP2379" s="5">
        <v>3</v>
      </c>
      <c r="AQ2379" s="5" t="s">
        <v>16</v>
      </c>
      <c r="AR2379" s="5" t="s">
        <v>16</v>
      </c>
      <c r="AS2379" s="5">
        <v>422</v>
      </c>
      <c r="AT2379" s="5" t="s">
        <v>14249</v>
      </c>
      <c r="AU2379" s="5" t="s">
        <v>14250</v>
      </c>
      <c r="AV2379" s="5" t="s">
        <v>14252</v>
      </c>
    </row>
    <row r="2380" spans="1:48" ht="45" customHeight="1" x14ac:dyDescent="0.15">
      <c r="A2380" s="5" t="s">
        <v>14253</v>
      </c>
      <c r="B2380" s="5">
        <v>1990</v>
      </c>
      <c r="C2380" s="5" t="s">
        <v>14254</v>
      </c>
      <c r="D2380" s="5" t="s">
        <v>14255</v>
      </c>
      <c r="E2380" s="5" t="s">
        <v>18453</v>
      </c>
      <c r="F2380" s="5" t="s">
        <v>14257</v>
      </c>
      <c r="G2380" s="5"/>
      <c r="H2380" s="5"/>
      <c r="I2380" s="5"/>
      <c r="J2380" s="5"/>
      <c r="K2380" s="5"/>
      <c r="L2380" s="5"/>
      <c r="M2380" s="5"/>
      <c r="N2380" s="5"/>
      <c r="O2380" s="5"/>
      <c r="P2380" s="5"/>
      <c r="Q2380" s="5"/>
      <c r="AL2380" s="5" t="s">
        <v>16</v>
      </c>
      <c r="AM2380" s="5">
        <v>5</v>
      </c>
      <c r="AN2380" s="5">
        <v>8</v>
      </c>
      <c r="AO2380" s="5">
        <v>15</v>
      </c>
      <c r="AP2380" s="5">
        <v>6</v>
      </c>
      <c r="AQ2380" s="5">
        <v>396</v>
      </c>
      <c r="AR2380" s="5">
        <v>410</v>
      </c>
      <c r="AS2380" s="5" t="s">
        <v>16</v>
      </c>
      <c r="AT2380" s="5" t="s">
        <v>16</v>
      </c>
      <c r="AU2380" s="5" t="s">
        <v>14256</v>
      </c>
      <c r="AV2380" s="5" t="s">
        <v>16</v>
      </c>
    </row>
    <row r="2381" spans="1:48" ht="45" customHeight="1" x14ac:dyDescent="0.15">
      <c r="A2381" s="5" t="s">
        <v>14258</v>
      </c>
      <c r="B2381" s="5">
        <v>2016</v>
      </c>
      <c r="C2381" s="5" t="s">
        <v>14259</v>
      </c>
      <c r="D2381" s="5" t="s">
        <v>44</v>
      </c>
      <c r="E2381" s="5" t="s">
        <v>18453</v>
      </c>
      <c r="F2381" s="5" t="s">
        <v>14262</v>
      </c>
      <c r="G2381" s="5"/>
      <c r="H2381" s="5"/>
      <c r="I2381" s="5"/>
      <c r="J2381" s="5"/>
      <c r="K2381" s="5"/>
      <c r="L2381" s="5"/>
      <c r="M2381" s="5"/>
      <c r="N2381" s="5"/>
      <c r="O2381" s="5"/>
      <c r="P2381" s="5"/>
      <c r="Q2381" s="5"/>
      <c r="AL2381" s="7" t="str">
        <f>HYPERLINK("http://dx.doi.org/10.3389/fevo.2015.00150","http://dx.doi.org/10.3389/fevo.2015.00150")</f>
        <v>http://dx.doi.org/10.3389/fevo.2015.00150</v>
      </c>
      <c r="AM2381" s="5">
        <v>24</v>
      </c>
      <c r="AN2381" s="5">
        <v>24</v>
      </c>
      <c r="AO2381" s="5">
        <v>3</v>
      </c>
      <c r="AP2381" s="5" t="s">
        <v>16</v>
      </c>
      <c r="AQ2381" s="5" t="s">
        <v>16</v>
      </c>
      <c r="AR2381" s="5" t="s">
        <v>16</v>
      </c>
      <c r="AS2381" s="5">
        <v>150</v>
      </c>
      <c r="AT2381" s="5" t="s">
        <v>14260</v>
      </c>
      <c r="AU2381" s="5" t="s">
        <v>14261</v>
      </c>
      <c r="AV2381" s="5" t="s">
        <v>14263</v>
      </c>
    </row>
    <row r="2382" spans="1:48" ht="45" customHeight="1" x14ac:dyDescent="0.15">
      <c r="A2382" s="5" t="s">
        <v>14264</v>
      </c>
      <c r="B2382" s="5">
        <v>2014</v>
      </c>
      <c r="C2382" s="5" t="s">
        <v>14265</v>
      </c>
      <c r="D2382" s="5" t="s">
        <v>59</v>
      </c>
      <c r="E2382" s="5" t="s">
        <v>18453</v>
      </c>
      <c r="F2382" s="5" t="s">
        <v>14268</v>
      </c>
      <c r="G2382" s="5"/>
      <c r="H2382" s="5"/>
      <c r="I2382" s="5"/>
      <c r="J2382" s="5"/>
      <c r="K2382" s="5"/>
      <c r="L2382" s="5"/>
      <c r="M2382" s="5"/>
      <c r="N2382" s="5"/>
      <c r="O2382" s="5"/>
      <c r="P2382" s="5"/>
      <c r="Q2382" s="5"/>
      <c r="AL2382" s="7" t="str">
        <f>HYPERLINK("http://dx.doi.org/10.1111/ele.12211","http://dx.doi.org/10.1111/ele.12211")</f>
        <v>http://dx.doi.org/10.1111/ele.12211</v>
      </c>
      <c r="AM2382" s="5">
        <v>241</v>
      </c>
      <c r="AN2382" s="5">
        <v>253</v>
      </c>
      <c r="AO2382" s="5">
        <v>17</v>
      </c>
      <c r="AP2382" s="5">
        <v>1</v>
      </c>
      <c r="AQ2382" s="5">
        <v>82</v>
      </c>
      <c r="AR2382" s="5">
        <v>91</v>
      </c>
      <c r="AS2382" s="5" t="s">
        <v>16</v>
      </c>
      <c r="AT2382" s="5" t="s">
        <v>14266</v>
      </c>
      <c r="AU2382" s="5" t="s">
        <v>14267</v>
      </c>
      <c r="AV2382" s="5" t="s">
        <v>14269</v>
      </c>
    </row>
    <row r="2383" spans="1:48" ht="45" customHeight="1" x14ac:dyDescent="0.15">
      <c r="A2383" s="5" t="s">
        <v>14270</v>
      </c>
      <c r="B2383" s="5">
        <v>2000</v>
      </c>
      <c r="C2383" s="5" t="s">
        <v>14271</v>
      </c>
      <c r="D2383" s="5" t="s">
        <v>27</v>
      </c>
      <c r="E2383" s="5" t="s">
        <v>18453</v>
      </c>
      <c r="F2383" s="5" t="s">
        <v>14274</v>
      </c>
      <c r="G2383" s="5"/>
      <c r="H2383" s="5"/>
      <c r="I2383" s="5"/>
      <c r="J2383" s="5"/>
      <c r="K2383" s="5"/>
      <c r="L2383" s="5"/>
      <c r="M2383" s="5"/>
      <c r="N2383" s="5"/>
      <c r="O2383" s="5"/>
      <c r="P2383" s="5"/>
      <c r="Q2383" s="5"/>
      <c r="AL2383" s="7" t="str">
        <f>HYPERLINK("http://dx.doi.org/10.2307/177177","http://dx.doi.org/10.2307/177177")</f>
        <v>http://dx.doi.org/10.2307/177177</v>
      </c>
      <c r="AM2383" s="5">
        <v>42</v>
      </c>
      <c r="AN2383" s="5">
        <v>43</v>
      </c>
      <c r="AO2383" s="5">
        <v>81</v>
      </c>
      <c r="AP2383" s="5">
        <v>4</v>
      </c>
      <c r="AQ2383" s="5">
        <v>1046</v>
      </c>
      <c r="AR2383" s="5">
        <v>1057</v>
      </c>
      <c r="AS2383" s="5" t="s">
        <v>16</v>
      </c>
      <c r="AT2383" s="5" t="s">
        <v>14272</v>
      </c>
      <c r="AU2383" s="5" t="s">
        <v>14273</v>
      </c>
      <c r="AV2383" s="5" t="s">
        <v>14275</v>
      </c>
    </row>
    <row r="2384" spans="1:48" ht="45" customHeight="1" x14ac:dyDescent="0.15">
      <c r="A2384" s="5" t="s">
        <v>14276</v>
      </c>
      <c r="B2384" s="5">
        <v>2014</v>
      </c>
      <c r="C2384" s="5" t="s">
        <v>14277</v>
      </c>
      <c r="D2384" s="5" t="s">
        <v>973</v>
      </c>
      <c r="E2384" s="5" t="s">
        <v>18453</v>
      </c>
      <c r="F2384" s="5" t="s">
        <v>14279</v>
      </c>
      <c r="G2384" s="5"/>
      <c r="H2384" s="5"/>
      <c r="I2384" s="5"/>
      <c r="J2384" s="5"/>
      <c r="K2384" s="5"/>
      <c r="L2384" s="5"/>
      <c r="M2384" s="5"/>
      <c r="N2384" s="5"/>
      <c r="O2384" s="5"/>
      <c r="P2384" s="5"/>
      <c r="Q2384" s="5"/>
      <c r="AL2384" s="7" t="str">
        <f>HYPERLINK("http://dx.doi.org/10.5194/bg-11-157-2014","http://dx.doi.org/10.5194/bg-11-157-2014")</f>
        <v>http://dx.doi.org/10.5194/bg-11-157-2014</v>
      </c>
      <c r="AM2384" s="5">
        <v>26</v>
      </c>
      <c r="AN2384" s="5">
        <v>26</v>
      </c>
      <c r="AO2384" s="5">
        <v>11</v>
      </c>
      <c r="AP2384" s="5">
        <v>1</v>
      </c>
      <c r="AQ2384" s="5">
        <v>157</v>
      </c>
      <c r="AR2384" s="5">
        <v>172</v>
      </c>
      <c r="AS2384" s="5" t="s">
        <v>16</v>
      </c>
      <c r="AT2384" s="5" t="s">
        <v>16</v>
      </c>
      <c r="AU2384" s="5" t="s">
        <v>14278</v>
      </c>
      <c r="AV2384" s="5" t="s">
        <v>14280</v>
      </c>
    </row>
    <row r="2385" spans="1:48" ht="45" customHeight="1" x14ac:dyDescent="0.15">
      <c r="A2385" s="5" t="s">
        <v>14281</v>
      </c>
      <c r="B2385" s="5">
        <v>2020</v>
      </c>
      <c r="C2385" s="5" t="s">
        <v>14282</v>
      </c>
      <c r="D2385" s="5" t="s">
        <v>1765</v>
      </c>
      <c r="E2385" s="5" t="s">
        <v>18453</v>
      </c>
      <c r="F2385" s="5" t="s">
        <v>14285</v>
      </c>
      <c r="G2385" s="5"/>
      <c r="H2385" s="5"/>
      <c r="I2385" s="5"/>
      <c r="J2385" s="5"/>
      <c r="K2385" s="5"/>
      <c r="L2385" s="5"/>
      <c r="M2385" s="5"/>
      <c r="N2385" s="5"/>
      <c r="O2385" s="5"/>
      <c r="P2385" s="5"/>
      <c r="Q2385" s="5"/>
      <c r="AL2385" s="7" t="str">
        <f>HYPERLINK("http://dx.doi.org/10.1016/j.agee.2020.106951","http://dx.doi.org/10.1016/j.agee.2020.106951")</f>
        <v>http://dx.doi.org/10.1016/j.agee.2020.106951</v>
      </c>
      <c r="AM2385" s="5">
        <v>11</v>
      </c>
      <c r="AN2385" s="5">
        <v>11</v>
      </c>
      <c r="AO2385" s="5">
        <v>297</v>
      </c>
      <c r="AP2385" s="5" t="s">
        <v>16</v>
      </c>
      <c r="AQ2385" s="5" t="s">
        <v>16</v>
      </c>
      <c r="AR2385" s="5" t="s">
        <v>16</v>
      </c>
      <c r="AS2385" s="5">
        <v>106951</v>
      </c>
      <c r="AT2385" s="5" t="s">
        <v>14283</v>
      </c>
      <c r="AU2385" s="5" t="s">
        <v>14284</v>
      </c>
      <c r="AV2385" s="5" t="s">
        <v>14286</v>
      </c>
    </row>
    <row r="2386" spans="1:48" ht="45" customHeight="1" x14ac:dyDescent="0.15">
      <c r="A2386" s="5" t="s">
        <v>14287</v>
      </c>
      <c r="B2386" s="5">
        <v>2013</v>
      </c>
      <c r="C2386" s="5" t="s">
        <v>14288</v>
      </c>
      <c r="D2386" s="5" t="s">
        <v>92</v>
      </c>
      <c r="E2386" s="5" t="s">
        <v>18453</v>
      </c>
      <c r="F2386" s="5" t="s">
        <v>14291</v>
      </c>
      <c r="G2386" s="5"/>
      <c r="H2386" s="5"/>
      <c r="I2386" s="5"/>
      <c r="J2386" s="5"/>
      <c r="K2386" s="5"/>
      <c r="L2386" s="5"/>
      <c r="M2386" s="5"/>
      <c r="N2386" s="5"/>
      <c r="O2386" s="5"/>
      <c r="P2386" s="5"/>
      <c r="Q2386" s="5"/>
      <c r="AL2386" s="7" t="str">
        <f>HYPERLINK("http://dx.doi.org/10.1899/11-117.1","http://dx.doi.org/10.1899/11-117.1")</f>
        <v>http://dx.doi.org/10.1899/11-117.1</v>
      </c>
      <c r="AM2386" s="5">
        <v>12</v>
      </c>
      <c r="AN2386" s="5">
        <v>13</v>
      </c>
      <c r="AO2386" s="5">
        <v>32</v>
      </c>
      <c r="AP2386" s="5">
        <v>1</v>
      </c>
      <c r="AQ2386" s="5">
        <v>217</v>
      </c>
      <c r="AR2386" s="5">
        <v>229</v>
      </c>
      <c r="AS2386" s="5" t="s">
        <v>16</v>
      </c>
      <c r="AT2386" s="5" t="s">
        <v>14289</v>
      </c>
      <c r="AU2386" s="5" t="s">
        <v>14290</v>
      </c>
      <c r="AV2386" s="5" t="s">
        <v>14292</v>
      </c>
    </row>
    <row r="2387" spans="1:48" ht="45" customHeight="1" x14ac:dyDescent="0.15">
      <c r="A2387" s="5" t="s">
        <v>14293</v>
      </c>
      <c r="B2387" s="5">
        <v>2000</v>
      </c>
      <c r="C2387" s="5" t="s">
        <v>14294</v>
      </c>
      <c r="D2387" s="5" t="s">
        <v>49</v>
      </c>
      <c r="E2387" s="5" t="s">
        <v>18453</v>
      </c>
      <c r="F2387" s="5" t="s">
        <v>14297</v>
      </c>
      <c r="G2387" s="5"/>
      <c r="H2387" s="5"/>
      <c r="I2387" s="5"/>
      <c r="J2387" s="5"/>
      <c r="K2387" s="5"/>
      <c r="L2387" s="5"/>
      <c r="M2387" s="5"/>
      <c r="N2387" s="5"/>
      <c r="O2387" s="5"/>
      <c r="P2387" s="5"/>
      <c r="Q2387" s="5"/>
      <c r="AL2387" s="7" t="str">
        <f>HYPERLINK("http://dx.doi.org/10.3354/meps199263","http://dx.doi.org/10.3354/meps199263")</f>
        <v>http://dx.doi.org/10.3354/meps199263</v>
      </c>
      <c r="AM2387" s="5">
        <v>11</v>
      </c>
      <c r="AN2387" s="5">
        <v>13</v>
      </c>
      <c r="AO2387" s="5">
        <v>199</v>
      </c>
      <c r="AP2387" s="5" t="s">
        <v>16</v>
      </c>
      <c r="AQ2387" s="5">
        <v>263</v>
      </c>
      <c r="AR2387" s="5">
        <v>270</v>
      </c>
      <c r="AS2387" s="5" t="s">
        <v>16</v>
      </c>
      <c r="AT2387" s="5" t="s">
        <v>14295</v>
      </c>
      <c r="AU2387" s="5" t="s">
        <v>14296</v>
      </c>
      <c r="AV2387" s="5" t="s">
        <v>14298</v>
      </c>
    </row>
    <row r="2388" spans="1:48" ht="45" customHeight="1" x14ac:dyDescent="0.15">
      <c r="A2388" s="5" t="s">
        <v>14299</v>
      </c>
      <c r="B2388" s="5">
        <v>2020</v>
      </c>
      <c r="C2388" s="5" t="s">
        <v>14300</v>
      </c>
      <c r="D2388" s="5" t="s">
        <v>77</v>
      </c>
      <c r="E2388" s="5" t="s">
        <v>18453</v>
      </c>
      <c r="F2388" s="5" t="s">
        <v>14303</v>
      </c>
      <c r="G2388" s="5"/>
      <c r="H2388" s="5"/>
      <c r="I2388" s="5"/>
      <c r="J2388" s="5"/>
      <c r="K2388" s="5"/>
      <c r="L2388" s="5"/>
      <c r="M2388" s="5"/>
      <c r="N2388" s="5"/>
      <c r="O2388" s="5"/>
      <c r="P2388" s="5"/>
      <c r="Q2388" s="5"/>
      <c r="AL2388" s="7" t="str">
        <f>HYPERLINK("http://dx.doi.org/10.1111/1365-2656.13230","http://dx.doi.org/10.1111/1365-2656.13230")</f>
        <v>http://dx.doi.org/10.1111/1365-2656.13230</v>
      </c>
      <c r="AM2388" s="5">
        <v>11</v>
      </c>
      <c r="AN2388" s="5">
        <v>12</v>
      </c>
      <c r="AO2388" s="5">
        <v>89</v>
      </c>
      <c r="AP2388" s="5">
        <v>8</v>
      </c>
      <c r="AQ2388" s="5">
        <v>1788</v>
      </c>
      <c r="AR2388" s="5">
        <v>1798</v>
      </c>
      <c r="AS2388" s="5" t="s">
        <v>16</v>
      </c>
      <c r="AT2388" s="5" t="s">
        <v>14301</v>
      </c>
      <c r="AU2388" s="5" t="s">
        <v>14302</v>
      </c>
      <c r="AV2388" s="5" t="s">
        <v>14304</v>
      </c>
    </row>
    <row r="2389" spans="1:48" ht="45" customHeight="1" x14ac:dyDescent="0.15">
      <c r="A2389" s="5" t="s">
        <v>14305</v>
      </c>
      <c r="B2389" s="5">
        <v>2013</v>
      </c>
      <c r="C2389" s="5" t="s">
        <v>14306</v>
      </c>
      <c r="D2389" s="5" t="s">
        <v>2990</v>
      </c>
      <c r="E2389" s="5" t="s">
        <v>18453</v>
      </c>
      <c r="F2389" s="5" t="s">
        <v>14309</v>
      </c>
      <c r="G2389" s="5"/>
      <c r="H2389" s="5"/>
      <c r="I2389" s="5"/>
      <c r="J2389" s="5"/>
      <c r="K2389" s="5"/>
      <c r="L2389" s="5"/>
      <c r="M2389" s="5"/>
      <c r="N2389" s="5"/>
      <c r="O2389" s="5"/>
      <c r="P2389" s="5"/>
      <c r="Q2389" s="5"/>
      <c r="AL2389" s="7" t="str">
        <f>HYPERLINK("http://dx.doi.org/10.1111/j.1526-100X.2012.00881.x","http://dx.doi.org/10.1111/j.1526-100X.2012.00881.x")</f>
        <v>http://dx.doi.org/10.1111/j.1526-100X.2012.00881.x</v>
      </c>
      <c r="AM2389" s="5">
        <v>11</v>
      </c>
      <c r="AN2389" s="5">
        <v>12</v>
      </c>
      <c r="AO2389" s="5">
        <v>21</v>
      </c>
      <c r="AP2389" s="5">
        <v>2</v>
      </c>
      <c r="AQ2389" s="5">
        <v>200</v>
      </c>
      <c r="AR2389" s="5">
        <v>206</v>
      </c>
      <c r="AS2389" s="5" t="s">
        <v>16</v>
      </c>
      <c r="AT2389" s="5" t="s">
        <v>14307</v>
      </c>
      <c r="AU2389" s="5" t="s">
        <v>14308</v>
      </c>
      <c r="AV2389" s="5" t="s">
        <v>14310</v>
      </c>
    </row>
    <row r="2390" spans="1:48" ht="45" customHeight="1" x14ac:dyDescent="0.15">
      <c r="A2390" s="5" t="s">
        <v>14311</v>
      </c>
      <c r="B2390" s="5">
        <v>2016</v>
      </c>
      <c r="C2390" s="5" t="s">
        <v>14312</v>
      </c>
      <c r="D2390" s="5" t="s">
        <v>690</v>
      </c>
      <c r="E2390" s="5" t="s">
        <v>18453</v>
      </c>
      <c r="F2390" s="5" t="s">
        <v>14315</v>
      </c>
      <c r="G2390" s="5"/>
      <c r="H2390" s="5"/>
      <c r="I2390" s="5"/>
      <c r="J2390" s="5"/>
      <c r="K2390" s="5"/>
      <c r="L2390" s="5"/>
      <c r="M2390" s="5"/>
      <c r="N2390" s="5"/>
      <c r="O2390" s="5"/>
      <c r="P2390" s="5"/>
      <c r="Q2390" s="5"/>
      <c r="AL2390" s="7" t="str">
        <f>HYPERLINK("http://dx.doi.org/10.1111/mec.13461","http://dx.doi.org/10.1111/mec.13461")</f>
        <v>http://dx.doi.org/10.1111/mec.13461</v>
      </c>
      <c r="AM2390" s="5">
        <v>19</v>
      </c>
      <c r="AN2390" s="5">
        <v>20</v>
      </c>
      <c r="AO2390" s="5">
        <v>25</v>
      </c>
      <c r="AP2390" s="5">
        <v>7</v>
      </c>
      <c r="AQ2390" s="5">
        <v>1610</v>
      </c>
      <c r="AR2390" s="5">
        <v>1625</v>
      </c>
      <c r="AS2390" s="5" t="s">
        <v>16</v>
      </c>
      <c r="AT2390" s="5" t="s">
        <v>14313</v>
      </c>
      <c r="AU2390" s="5" t="s">
        <v>14314</v>
      </c>
      <c r="AV2390" s="5" t="s">
        <v>14316</v>
      </c>
    </row>
    <row r="2391" spans="1:48" ht="45" customHeight="1" x14ac:dyDescent="0.15">
      <c r="A2391" s="5" t="s">
        <v>14317</v>
      </c>
      <c r="B2391" s="5">
        <v>2017</v>
      </c>
      <c r="C2391" s="5" t="s">
        <v>14318</v>
      </c>
      <c r="D2391" s="5" t="s">
        <v>296</v>
      </c>
      <c r="E2391" s="5" t="s">
        <v>18453</v>
      </c>
      <c r="F2391" s="5" t="s">
        <v>14321</v>
      </c>
      <c r="G2391" s="5"/>
      <c r="H2391" s="5"/>
      <c r="I2391" s="5"/>
      <c r="J2391" s="5"/>
      <c r="K2391" s="5"/>
      <c r="L2391" s="5"/>
      <c r="M2391" s="5"/>
      <c r="N2391" s="5"/>
      <c r="O2391" s="5"/>
      <c r="P2391" s="5"/>
      <c r="Q2391" s="5"/>
      <c r="AL2391" s="7" t="str">
        <f>HYPERLINK("http://dx.doi.org/10.1098/rspb.2017.0166","http://dx.doi.org/10.1098/rspb.2017.0166")</f>
        <v>http://dx.doi.org/10.1098/rspb.2017.0166</v>
      </c>
      <c r="AM2391" s="5">
        <v>18</v>
      </c>
      <c r="AN2391" s="5">
        <v>18</v>
      </c>
      <c r="AO2391" s="5">
        <v>284</v>
      </c>
      <c r="AP2391" s="5">
        <v>1852</v>
      </c>
      <c r="AQ2391" s="5" t="s">
        <v>16</v>
      </c>
      <c r="AR2391" s="5" t="s">
        <v>16</v>
      </c>
      <c r="AS2391" s="5">
        <v>20170166</v>
      </c>
      <c r="AT2391" s="5" t="s">
        <v>14319</v>
      </c>
      <c r="AU2391" s="5" t="s">
        <v>14320</v>
      </c>
      <c r="AV2391" s="5" t="s">
        <v>14322</v>
      </c>
    </row>
    <row r="2392" spans="1:48" ht="45" customHeight="1" x14ac:dyDescent="0.15">
      <c r="A2392" s="5" t="s">
        <v>14323</v>
      </c>
      <c r="B2392" s="5">
        <v>2009</v>
      </c>
      <c r="C2392" s="5" t="s">
        <v>14324</v>
      </c>
      <c r="D2392" s="5" t="s">
        <v>62</v>
      </c>
      <c r="E2392" s="5" t="s">
        <v>18453</v>
      </c>
      <c r="F2392" s="5" t="s">
        <v>14327</v>
      </c>
      <c r="G2392" s="5"/>
      <c r="H2392" s="5"/>
      <c r="I2392" s="5"/>
      <c r="J2392" s="5"/>
      <c r="K2392" s="5"/>
      <c r="L2392" s="5"/>
      <c r="M2392" s="5"/>
      <c r="N2392" s="5"/>
      <c r="O2392" s="5"/>
      <c r="P2392" s="5"/>
      <c r="Q2392" s="5"/>
      <c r="AL2392" s="7" t="str">
        <f>HYPERLINK("http://dx.doi.org/10.1007/s10021-009-9230-z","http://dx.doi.org/10.1007/s10021-009-9230-z")</f>
        <v>http://dx.doi.org/10.1007/s10021-009-9230-z</v>
      </c>
      <c r="AM2392" s="5">
        <v>15</v>
      </c>
      <c r="AN2392" s="5">
        <v>16</v>
      </c>
      <c r="AO2392" s="5">
        <v>12</v>
      </c>
      <c r="AP2392" s="5">
        <v>3</v>
      </c>
      <c r="AQ2392" s="5">
        <v>391</v>
      </c>
      <c r="AR2392" s="5">
        <v>400</v>
      </c>
      <c r="AS2392" s="5" t="s">
        <v>16</v>
      </c>
      <c r="AT2392" s="5" t="s">
        <v>14325</v>
      </c>
      <c r="AU2392" s="5" t="s">
        <v>14326</v>
      </c>
      <c r="AV2392" s="5" t="s">
        <v>14328</v>
      </c>
    </row>
    <row r="2393" spans="1:48" ht="45" customHeight="1" x14ac:dyDescent="0.15">
      <c r="A2393" s="5" t="s">
        <v>14329</v>
      </c>
      <c r="B2393" s="5">
        <v>2015</v>
      </c>
      <c r="C2393" s="5" t="s">
        <v>14330</v>
      </c>
      <c r="D2393" s="5" t="s">
        <v>296</v>
      </c>
      <c r="E2393" s="5" t="s">
        <v>18453</v>
      </c>
      <c r="F2393" s="5" t="s">
        <v>14333</v>
      </c>
      <c r="G2393" s="5"/>
      <c r="H2393" s="5"/>
      <c r="I2393" s="5"/>
      <c r="J2393" s="5"/>
      <c r="K2393" s="5"/>
      <c r="L2393" s="5"/>
      <c r="M2393" s="5"/>
      <c r="N2393" s="5"/>
      <c r="O2393" s="5"/>
      <c r="P2393" s="5"/>
      <c r="Q2393" s="5"/>
      <c r="AL2393" s="7" t="str">
        <f>HYPERLINK("http://dx.doi.org/10.1098/rspb.2015.0009","http://dx.doi.org/10.1098/rspb.2015.0009")</f>
        <v>http://dx.doi.org/10.1098/rspb.2015.0009</v>
      </c>
      <c r="AM2393" s="5">
        <v>71</v>
      </c>
      <c r="AN2393" s="5">
        <v>71</v>
      </c>
      <c r="AO2393" s="5">
        <v>282</v>
      </c>
      <c r="AP2393" s="5">
        <v>1806</v>
      </c>
      <c r="AQ2393" s="5" t="s">
        <v>16</v>
      </c>
      <c r="AR2393" s="5" t="s">
        <v>16</v>
      </c>
      <c r="AS2393" s="5">
        <v>20150009</v>
      </c>
      <c r="AT2393" s="5" t="s">
        <v>14331</v>
      </c>
      <c r="AU2393" s="5" t="s">
        <v>14332</v>
      </c>
      <c r="AV2393" s="5" t="s">
        <v>14334</v>
      </c>
    </row>
    <row r="2394" spans="1:48" ht="45" customHeight="1" x14ac:dyDescent="0.15">
      <c r="A2394" s="5" t="s">
        <v>14335</v>
      </c>
      <c r="B2394" s="5">
        <v>1993</v>
      </c>
      <c r="C2394" s="5" t="s">
        <v>14336</v>
      </c>
      <c r="D2394" s="5" t="s">
        <v>212</v>
      </c>
      <c r="E2394" s="5" t="s">
        <v>18453</v>
      </c>
      <c r="F2394" s="5" t="s">
        <v>14338</v>
      </c>
      <c r="G2394" s="5"/>
      <c r="H2394" s="5"/>
      <c r="I2394" s="5"/>
      <c r="J2394" s="5"/>
      <c r="K2394" s="5"/>
      <c r="L2394" s="5"/>
      <c r="M2394" s="5"/>
      <c r="N2394" s="5"/>
      <c r="O2394" s="5"/>
      <c r="P2394" s="5"/>
      <c r="Q2394" s="5"/>
      <c r="AL2394" s="5" t="s">
        <v>16</v>
      </c>
      <c r="AM2394" s="5">
        <v>9</v>
      </c>
      <c r="AN2394" s="5">
        <v>10</v>
      </c>
      <c r="AO2394" s="5">
        <v>13</v>
      </c>
      <c r="AP2394" s="5">
        <v>8</v>
      </c>
      <c r="AQ2394" s="5">
        <v>515</v>
      </c>
      <c r="AR2394" s="5">
        <v>523</v>
      </c>
      <c r="AS2394" s="5" t="s">
        <v>16</v>
      </c>
      <c r="AT2394" s="5" t="s">
        <v>16</v>
      </c>
      <c r="AU2394" s="5" t="s">
        <v>14337</v>
      </c>
      <c r="AV2394" s="5" t="s">
        <v>16</v>
      </c>
    </row>
    <row r="2395" spans="1:48" ht="45" customHeight="1" x14ac:dyDescent="0.15">
      <c r="A2395" s="5" t="s">
        <v>14339</v>
      </c>
      <c r="B2395" s="5">
        <v>2016</v>
      </c>
      <c r="C2395" s="5" t="s">
        <v>14340</v>
      </c>
      <c r="D2395" s="5" t="s">
        <v>172</v>
      </c>
      <c r="E2395" s="5" t="s">
        <v>18453</v>
      </c>
      <c r="F2395" s="5" t="s">
        <v>14343</v>
      </c>
      <c r="G2395" s="5"/>
      <c r="H2395" s="5"/>
      <c r="I2395" s="5"/>
      <c r="J2395" s="5"/>
      <c r="K2395" s="5"/>
      <c r="L2395" s="5"/>
      <c r="M2395" s="5"/>
      <c r="N2395" s="5"/>
      <c r="O2395" s="5"/>
      <c r="P2395" s="5"/>
      <c r="Q2395" s="5"/>
      <c r="AL2395" s="7" t="str">
        <f>HYPERLINK("http://dx.doi.org/10.1007/s00442-016-3566-9","http://dx.doi.org/10.1007/s00442-016-3566-9")</f>
        <v>http://dx.doi.org/10.1007/s00442-016-3566-9</v>
      </c>
      <c r="AM2395" s="5">
        <v>26</v>
      </c>
      <c r="AN2395" s="5">
        <v>27</v>
      </c>
      <c r="AO2395" s="5">
        <v>181</v>
      </c>
      <c r="AP2395" s="5">
        <v>1</v>
      </c>
      <c r="AQ2395" s="5">
        <v>271</v>
      </c>
      <c r="AR2395" s="5">
        <v>285</v>
      </c>
      <c r="AS2395" s="5" t="s">
        <v>16</v>
      </c>
      <c r="AT2395" s="5" t="s">
        <v>14341</v>
      </c>
      <c r="AU2395" s="5" t="s">
        <v>14342</v>
      </c>
      <c r="AV2395" s="5" t="s">
        <v>14344</v>
      </c>
    </row>
    <row r="2396" spans="1:48" ht="45" customHeight="1" x14ac:dyDescent="0.15">
      <c r="A2396" s="5" t="s">
        <v>14345</v>
      </c>
      <c r="B2396" s="5">
        <v>2013</v>
      </c>
      <c r="C2396" s="5" t="s">
        <v>14346</v>
      </c>
      <c r="D2396" s="5" t="s">
        <v>17</v>
      </c>
      <c r="E2396" s="5" t="s">
        <v>18453</v>
      </c>
      <c r="F2396" s="5" t="s">
        <v>14349</v>
      </c>
      <c r="G2396" s="5"/>
      <c r="H2396" s="5"/>
      <c r="I2396" s="5"/>
      <c r="J2396" s="5"/>
      <c r="K2396" s="5"/>
      <c r="L2396" s="5"/>
      <c r="M2396" s="5"/>
      <c r="N2396" s="5"/>
      <c r="O2396" s="5"/>
      <c r="P2396" s="5"/>
      <c r="Q2396" s="5"/>
      <c r="AL2396" s="7" t="str">
        <f>HYPERLINK("http://dx.doi.org/10.1111/fwb.12037","http://dx.doi.org/10.1111/fwb.12037")</f>
        <v>http://dx.doi.org/10.1111/fwb.12037</v>
      </c>
      <c r="AM2396" s="5">
        <v>179</v>
      </c>
      <c r="AN2396" s="5">
        <v>183</v>
      </c>
      <c r="AO2396" s="5">
        <v>58</v>
      </c>
      <c r="AP2396" s="5">
        <v>1</v>
      </c>
      <c r="AQ2396" s="5">
        <v>50</v>
      </c>
      <c r="AR2396" s="5">
        <v>62</v>
      </c>
      <c r="AS2396" s="5" t="s">
        <v>16</v>
      </c>
      <c r="AT2396" s="5" t="s">
        <v>14347</v>
      </c>
      <c r="AU2396" s="5" t="s">
        <v>14348</v>
      </c>
      <c r="AV2396" s="5" t="s">
        <v>14350</v>
      </c>
    </row>
    <row r="2397" spans="1:48" ht="45" customHeight="1" x14ac:dyDescent="0.15">
      <c r="A2397" s="5" t="s">
        <v>14351</v>
      </c>
      <c r="B2397" s="5">
        <v>2018</v>
      </c>
      <c r="C2397" s="5" t="s">
        <v>14352</v>
      </c>
      <c r="D2397" s="5" t="s">
        <v>18</v>
      </c>
      <c r="E2397" s="5" t="s">
        <v>18453</v>
      </c>
      <c r="F2397" s="5" t="s">
        <v>14355</v>
      </c>
      <c r="G2397" s="5"/>
      <c r="H2397" s="5"/>
      <c r="I2397" s="5"/>
      <c r="J2397" s="5"/>
      <c r="K2397" s="5"/>
      <c r="L2397" s="5"/>
      <c r="M2397" s="5"/>
      <c r="N2397" s="5"/>
      <c r="O2397" s="5"/>
      <c r="P2397" s="5"/>
      <c r="Q2397" s="5"/>
      <c r="AL2397" s="7" t="str">
        <f>HYPERLINK("http://dx.doi.org/10.1002/ecs2.2340","http://dx.doi.org/10.1002/ecs2.2340")</f>
        <v>http://dx.doi.org/10.1002/ecs2.2340</v>
      </c>
      <c r="AM2397" s="5">
        <v>10</v>
      </c>
      <c r="AN2397" s="5">
        <v>11</v>
      </c>
      <c r="AO2397" s="5">
        <v>9</v>
      </c>
      <c r="AP2397" s="5">
        <v>7</v>
      </c>
      <c r="AQ2397" s="5" t="s">
        <v>16</v>
      </c>
      <c r="AR2397" s="5" t="s">
        <v>16</v>
      </c>
      <c r="AS2397" s="5" t="s">
        <v>14356</v>
      </c>
      <c r="AT2397" s="5" t="s">
        <v>14353</v>
      </c>
      <c r="AU2397" s="5" t="s">
        <v>14354</v>
      </c>
      <c r="AV2397" s="5" t="s">
        <v>14357</v>
      </c>
    </row>
    <row r="2398" spans="1:48" ht="45" customHeight="1" x14ac:dyDescent="0.15">
      <c r="A2398" s="5" t="s">
        <v>14358</v>
      </c>
      <c r="B2398" s="5">
        <v>2010</v>
      </c>
      <c r="C2398" s="5" t="s">
        <v>14359</v>
      </c>
      <c r="D2398" s="5" t="s">
        <v>124</v>
      </c>
      <c r="E2398" s="5" t="s">
        <v>18453</v>
      </c>
      <c r="F2398" s="5" t="s">
        <v>14362</v>
      </c>
      <c r="G2398" s="5"/>
      <c r="H2398" s="5"/>
      <c r="I2398" s="5"/>
      <c r="J2398" s="5"/>
      <c r="K2398" s="5"/>
      <c r="L2398" s="5"/>
      <c r="M2398" s="5"/>
      <c r="N2398" s="5"/>
      <c r="O2398" s="5"/>
      <c r="P2398" s="5"/>
      <c r="Q2398" s="5"/>
      <c r="AL2398" s="7" t="str">
        <f>HYPERLINK("http://dx.doi.org/10.1086/657039","http://dx.doi.org/10.1086/657039")</f>
        <v>http://dx.doi.org/10.1086/657039</v>
      </c>
      <c r="AM2398" s="5">
        <v>61</v>
      </c>
      <c r="AN2398" s="5">
        <v>61</v>
      </c>
      <c r="AO2398" s="5">
        <v>176</v>
      </c>
      <c r="AP2398" s="5">
        <v>6</v>
      </c>
      <c r="AQ2398" s="5">
        <v>785</v>
      </c>
      <c r="AR2398" s="5">
        <v>801</v>
      </c>
      <c r="AS2398" s="5" t="s">
        <v>16</v>
      </c>
      <c r="AT2398" s="5" t="s">
        <v>14360</v>
      </c>
      <c r="AU2398" s="5" t="s">
        <v>14361</v>
      </c>
      <c r="AV2398" s="5" t="s">
        <v>14363</v>
      </c>
    </row>
    <row r="2399" spans="1:48" ht="45" customHeight="1" x14ac:dyDescent="0.15">
      <c r="A2399" s="5" t="s">
        <v>14364</v>
      </c>
      <c r="B2399" s="5">
        <v>2010</v>
      </c>
      <c r="C2399" s="5" t="s">
        <v>14365</v>
      </c>
      <c r="D2399" s="5" t="s">
        <v>83</v>
      </c>
      <c r="E2399" s="5" t="s">
        <v>18453</v>
      </c>
      <c r="F2399" s="5" t="s">
        <v>14368</v>
      </c>
      <c r="G2399" s="5"/>
      <c r="H2399" s="5"/>
      <c r="I2399" s="5"/>
      <c r="J2399" s="5"/>
      <c r="K2399" s="5"/>
      <c r="L2399" s="5"/>
      <c r="M2399" s="5"/>
      <c r="N2399" s="5"/>
      <c r="O2399" s="5"/>
      <c r="P2399" s="5"/>
      <c r="Q2399" s="5"/>
      <c r="AL2399" s="7" t="str">
        <f>HYPERLINK("http://dx.doi.org/10.1007/s10646-010-0545-5","http://dx.doi.org/10.1007/s10646-010-0545-5")</f>
        <v>http://dx.doi.org/10.1007/s10646-010-0545-5</v>
      </c>
      <c r="AM2399" s="5">
        <v>32</v>
      </c>
      <c r="AN2399" s="5">
        <v>32</v>
      </c>
      <c r="AO2399" s="5">
        <v>19</v>
      </c>
      <c r="AP2399" s="5">
        <v>8</v>
      </c>
      <c r="AQ2399" s="5">
        <v>1601</v>
      </c>
      <c r="AR2399" s="5">
        <v>1611</v>
      </c>
      <c r="AS2399" s="5" t="s">
        <v>16</v>
      </c>
      <c r="AT2399" s="5" t="s">
        <v>14366</v>
      </c>
      <c r="AU2399" s="5" t="s">
        <v>14367</v>
      </c>
      <c r="AV2399" s="5" t="s">
        <v>14369</v>
      </c>
    </row>
    <row r="2400" spans="1:48" ht="45" customHeight="1" x14ac:dyDescent="0.15">
      <c r="A2400" s="5" t="s">
        <v>14370</v>
      </c>
      <c r="B2400" s="5">
        <v>2019</v>
      </c>
      <c r="C2400" s="5" t="s">
        <v>14371</v>
      </c>
      <c r="D2400" s="5" t="s">
        <v>513</v>
      </c>
      <c r="E2400" s="5" t="s">
        <v>18453</v>
      </c>
      <c r="F2400" s="5" t="s">
        <v>14374</v>
      </c>
      <c r="G2400" s="5"/>
      <c r="H2400" s="5"/>
      <c r="I2400" s="5"/>
      <c r="J2400" s="5"/>
      <c r="K2400" s="5"/>
      <c r="L2400" s="5"/>
      <c r="M2400" s="5"/>
      <c r="N2400" s="5"/>
      <c r="O2400" s="5"/>
      <c r="P2400" s="5"/>
      <c r="Q2400" s="5"/>
      <c r="AL2400" s="7" t="str">
        <f>HYPERLINK("http://dx.doi.org/10.1016/j.ecoleng.2018.12.014","http://dx.doi.org/10.1016/j.ecoleng.2018.12.014")</f>
        <v>http://dx.doi.org/10.1016/j.ecoleng.2018.12.014</v>
      </c>
      <c r="AM2400" s="5">
        <v>17</v>
      </c>
      <c r="AN2400" s="5">
        <v>27</v>
      </c>
      <c r="AO2400" s="5">
        <v>127</v>
      </c>
      <c r="AP2400" s="5" t="s">
        <v>16</v>
      </c>
      <c r="AQ2400" s="5">
        <v>348</v>
      </c>
      <c r="AR2400" s="5">
        <v>355</v>
      </c>
      <c r="AS2400" s="5" t="s">
        <v>16</v>
      </c>
      <c r="AT2400" s="5" t="s">
        <v>14372</v>
      </c>
      <c r="AU2400" s="5" t="s">
        <v>14373</v>
      </c>
      <c r="AV2400" s="5" t="s">
        <v>14375</v>
      </c>
    </row>
    <row r="2401" spans="1:48" ht="45" customHeight="1" x14ac:dyDescent="0.15">
      <c r="A2401" s="5" t="s">
        <v>14376</v>
      </c>
      <c r="B2401" s="5">
        <v>2001</v>
      </c>
      <c r="C2401" s="5" t="s">
        <v>14377</v>
      </c>
      <c r="D2401" s="5" t="s">
        <v>3183</v>
      </c>
      <c r="E2401" s="5" t="s">
        <v>18453</v>
      </c>
      <c r="F2401" s="5" t="s">
        <v>14380</v>
      </c>
      <c r="G2401" s="5"/>
      <c r="H2401" s="5"/>
      <c r="I2401" s="5"/>
      <c r="J2401" s="5"/>
      <c r="K2401" s="5"/>
      <c r="L2401" s="5"/>
      <c r="M2401" s="5"/>
      <c r="N2401" s="5"/>
      <c r="O2401" s="5"/>
      <c r="P2401" s="5"/>
      <c r="Q2401" s="5"/>
      <c r="AL2401" s="7" t="str">
        <f>HYPERLINK("http://dx.doi.org/10.1078/0031-4056-00099","http://dx.doi.org/10.1078/0031-4056-00099")</f>
        <v>http://dx.doi.org/10.1078/0031-4056-00099</v>
      </c>
      <c r="AM2401" s="5">
        <v>65</v>
      </c>
      <c r="AN2401" s="5">
        <v>74</v>
      </c>
      <c r="AO2401" s="5">
        <v>45</v>
      </c>
      <c r="AP2401" s="5">
        <v>5</v>
      </c>
      <c r="AQ2401" s="5">
        <v>451</v>
      </c>
      <c r="AR2401" s="5">
        <v>466</v>
      </c>
      <c r="AS2401" s="5" t="s">
        <v>16</v>
      </c>
      <c r="AT2401" s="5" t="s">
        <v>14378</v>
      </c>
      <c r="AU2401" s="5" t="s">
        <v>14379</v>
      </c>
      <c r="AV2401" s="5" t="s">
        <v>14381</v>
      </c>
    </row>
    <row r="2402" spans="1:48" ht="45" customHeight="1" x14ac:dyDescent="0.15">
      <c r="A2402" s="5" t="s">
        <v>14382</v>
      </c>
      <c r="B2402" s="5">
        <v>2002</v>
      </c>
      <c r="C2402" s="5" t="s">
        <v>14383</v>
      </c>
      <c r="D2402" s="5" t="s">
        <v>172</v>
      </c>
      <c r="E2402" s="5" t="s">
        <v>18453</v>
      </c>
      <c r="F2402" s="5" t="s">
        <v>14386</v>
      </c>
      <c r="G2402" s="5"/>
      <c r="H2402" s="5"/>
      <c r="I2402" s="5"/>
      <c r="J2402" s="5"/>
      <c r="K2402" s="5"/>
      <c r="L2402" s="5"/>
      <c r="M2402" s="5"/>
      <c r="N2402" s="5"/>
      <c r="O2402" s="5"/>
      <c r="P2402" s="5"/>
      <c r="Q2402" s="5"/>
      <c r="AL2402" s="7" t="str">
        <f>HYPERLINK("http://dx.doi.org/10.1007/s00442-002-1043-0","http://dx.doi.org/10.1007/s00442-002-1043-0")</f>
        <v>http://dx.doi.org/10.1007/s00442-002-1043-0</v>
      </c>
      <c r="AM2402" s="5">
        <v>119</v>
      </c>
      <c r="AN2402" s="5">
        <v>129</v>
      </c>
      <c r="AO2402" s="5">
        <v>133</v>
      </c>
      <c r="AP2402" s="5">
        <v>3</v>
      </c>
      <c r="AQ2402" s="5">
        <v>412</v>
      </c>
      <c r="AR2402" s="5">
        <v>421</v>
      </c>
      <c r="AS2402" s="5" t="s">
        <v>16</v>
      </c>
      <c r="AT2402" s="5" t="s">
        <v>14384</v>
      </c>
      <c r="AU2402" s="5" t="s">
        <v>14385</v>
      </c>
      <c r="AV2402" s="5" t="s">
        <v>14387</v>
      </c>
    </row>
    <row r="2403" spans="1:48" ht="45" customHeight="1" x14ac:dyDescent="0.15">
      <c r="A2403" s="5" t="s">
        <v>14388</v>
      </c>
      <c r="B2403" s="5">
        <v>2023</v>
      </c>
      <c r="C2403" s="5" t="s">
        <v>14389</v>
      </c>
      <c r="D2403" s="5" t="s">
        <v>1419</v>
      </c>
      <c r="E2403" s="5" t="s">
        <v>18453</v>
      </c>
      <c r="F2403" s="5" t="s">
        <v>14392</v>
      </c>
      <c r="G2403" s="5"/>
      <c r="H2403" s="5"/>
      <c r="I2403" s="5"/>
      <c r="J2403" s="5"/>
      <c r="K2403" s="5"/>
      <c r="L2403" s="5"/>
      <c r="M2403" s="5"/>
      <c r="N2403" s="5"/>
      <c r="O2403" s="5"/>
      <c r="P2403" s="5"/>
      <c r="Q2403" s="5"/>
      <c r="AL2403" s="7" t="str">
        <f>HYPERLINK("http://dx.doi.org/10.1016/j.fooweb.2023.e00275","http://dx.doi.org/10.1016/j.fooweb.2023.e00275")</f>
        <v>http://dx.doi.org/10.1016/j.fooweb.2023.e00275</v>
      </c>
      <c r="AM2403" s="5">
        <v>0</v>
      </c>
      <c r="AN2403" s="5">
        <v>0</v>
      </c>
      <c r="AO2403" s="5">
        <v>35</v>
      </c>
      <c r="AP2403" s="5" t="s">
        <v>16</v>
      </c>
      <c r="AQ2403" s="5" t="s">
        <v>16</v>
      </c>
      <c r="AR2403" s="5" t="s">
        <v>16</v>
      </c>
      <c r="AS2403" s="5" t="s">
        <v>14393</v>
      </c>
      <c r="AT2403" s="5" t="s">
        <v>14390</v>
      </c>
      <c r="AU2403" s="5" t="s">
        <v>14391</v>
      </c>
      <c r="AV2403" s="5" t="s">
        <v>14394</v>
      </c>
    </row>
    <row r="2404" spans="1:48" ht="45" customHeight="1" x14ac:dyDescent="0.15">
      <c r="A2404" s="5" t="s">
        <v>14395</v>
      </c>
      <c r="B2404" s="5">
        <v>2018</v>
      </c>
      <c r="C2404" s="5" t="s">
        <v>14396</v>
      </c>
      <c r="D2404" s="5" t="s">
        <v>92</v>
      </c>
      <c r="E2404" s="5" t="s">
        <v>18453</v>
      </c>
      <c r="F2404" s="5" t="s">
        <v>14399</v>
      </c>
      <c r="G2404" s="5"/>
      <c r="H2404" s="5"/>
      <c r="I2404" s="5"/>
      <c r="J2404" s="5"/>
      <c r="K2404" s="5"/>
      <c r="L2404" s="5"/>
      <c r="M2404" s="5"/>
      <c r="N2404" s="5"/>
      <c r="O2404" s="5"/>
      <c r="P2404" s="5"/>
      <c r="Q2404" s="5"/>
      <c r="AL2404" s="7" t="str">
        <f>HYPERLINK("http://dx.doi.org/10.1086/697927","http://dx.doi.org/10.1086/697927")</f>
        <v>http://dx.doi.org/10.1086/697927</v>
      </c>
      <c r="AM2404" s="5">
        <v>7</v>
      </c>
      <c r="AN2404" s="5">
        <v>7</v>
      </c>
      <c r="AO2404" s="5">
        <v>37</v>
      </c>
      <c r="AP2404" s="5">
        <v>2</v>
      </c>
      <c r="AQ2404" s="5">
        <v>404</v>
      </c>
      <c r="AR2404" s="5">
        <v>416</v>
      </c>
      <c r="AS2404" s="5" t="s">
        <v>16</v>
      </c>
      <c r="AT2404" s="5" t="s">
        <v>14397</v>
      </c>
      <c r="AU2404" s="5" t="s">
        <v>14398</v>
      </c>
      <c r="AV2404" s="5" t="s">
        <v>14400</v>
      </c>
    </row>
    <row r="2405" spans="1:48" ht="45" customHeight="1" x14ac:dyDescent="0.15">
      <c r="A2405" s="5" t="s">
        <v>14401</v>
      </c>
      <c r="B2405" s="5">
        <v>2018</v>
      </c>
      <c r="C2405" s="5" t="s">
        <v>14402</v>
      </c>
      <c r="D2405" s="5" t="s">
        <v>49</v>
      </c>
      <c r="E2405" s="5" t="s">
        <v>18453</v>
      </c>
      <c r="F2405" s="5" t="s">
        <v>14405</v>
      </c>
      <c r="G2405" s="5"/>
      <c r="H2405" s="5"/>
      <c r="I2405" s="5"/>
      <c r="J2405" s="5"/>
      <c r="K2405" s="5"/>
      <c r="L2405" s="5"/>
      <c r="M2405" s="5"/>
      <c r="N2405" s="5"/>
      <c r="O2405" s="5"/>
      <c r="P2405" s="5"/>
      <c r="Q2405" s="5"/>
      <c r="AL2405" s="7" t="str">
        <f>HYPERLINK("http://dx.doi.org/10.3354/meps12494","http://dx.doi.org/10.3354/meps12494")</f>
        <v>http://dx.doi.org/10.3354/meps12494</v>
      </c>
      <c r="AM2405" s="5">
        <v>6</v>
      </c>
      <c r="AN2405" s="5">
        <v>6</v>
      </c>
      <c r="AO2405" s="5">
        <v>590</v>
      </c>
      <c r="AP2405" s="5" t="s">
        <v>16</v>
      </c>
      <c r="AQ2405" s="5">
        <v>171</v>
      </c>
      <c r="AR2405" s="5">
        <v>185</v>
      </c>
      <c r="AS2405" s="5" t="s">
        <v>16</v>
      </c>
      <c r="AT2405" s="5" t="s">
        <v>14403</v>
      </c>
      <c r="AU2405" s="5" t="s">
        <v>14404</v>
      </c>
      <c r="AV2405" s="5" t="s">
        <v>14406</v>
      </c>
    </row>
    <row r="2406" spans="1:48" ht="45" customHeight="1" x14ac:dyDescent="0.15">
      <c r="A2406" s="5" t="s">
        <v>14407</v>
      </c>
      <c r="B2406" s="5">
        <v>2021</v>
      </c>
      <c r="C2406" s="5" t="s">
        <v>14408</v>
      </c>
      <c r="D2406" s="5" t="s">
        <v>312</v>
      </c>
      <c r="E2406" s="5" t="s">
        <v>18453</v>
      </c>
      <c r="F2406" s="5" t="s">
        <v>14410</v>
      </c>
      <c r="G2406" s="5"/>
      <c r="H2406" s="5"/>
      <c r="I2406" s="5"/>
      <c r="J2406" s="5"/>
      <c r="K2406" s="5"/>
      <c r="L2406" s="5"/>
      <c r="M2406" s="5"/>
      <c r="N2406" s="5"/>
      <c r="O2406" s="5"/>
      <c r="P2406" s="5"/>
      <c r="Q2406" s="5"/>
      <c r="AL2406" s="7" t="str">
        <f>HYPERLINK("http://dx.doi.org/10.1016/j.ecolmodel.2021.109468","http://dx.doi.org/10.1016/j.ecolmodel.2021.109468")</f>
        <v>http://dx.doi.org/10.1016/j.ecolmodel.2021.109468</v>
      </c>
      <c r="AM2406" s="5">
        <v>13</v>
      </c>
      <c r="AN2406" s="5">
        <v>13</v>
      </c>
      <c r="AO2406" s="5">
        <v>444</v>
      </c>
      <c r="AP2406" s="5" t="s">
        <v>16</v>
      </c>
      <c r="AQ2406" s="5" t="s">
        <v>16</v>
      </c>
      <c r="AR2406" s="5" t="s">
        <v>16</v>
      </c>
      <c r="AS2406" s="5">
        <v>109468</v>
      </c>
      <c r="AT2406" s="5" t="s">
        <v>14409</v>
      </c>
      <c r="AU2406" s="5" t="s">
        <v>16</v>
      </c>
      <c r="AV2406" s="5" t="s">
        <v>14411</v>
      </c>
    </row>
    <row r="2407" spans="1:48" ht="45" customHeight="1" x14ac:dyDescent="0.15">
      <c r="A2407" s="5" t="s">
        <v>14412</v>
      </c>
      <c r="B2407" s="5">
        <v>1999</v>
      </c>
      <c r="C2407" s="5" t="s">
        <v>14413</v>
      </c>
      <c r="D2407" s="5" t="s">
        <v>14414</v>
      </c>
      <c r="E2407" s="5" t="s">
        <v>18453</v>
      </c>
      <c r="F2407" s="5" t="s">
        <v>14417</v>
      </c>
      <c r="G2407" s="5"/>
      <c r="H2407" s="5"/>
      <c r="I2407" s="5"/>
      <c r="J2407" s="5"/>
      <c r="K2407" s="5"/>
      <c r="L2407" s="5"/>
      <c r="M2407" s="5"/>
      <c r="N2407" s="5"/>
      <c r="O2407" s="5"/>
      <c r="P2407" s="5"/>
      <c r="Q2407" s="5"/>
      <c r="AL2407" s="7" t="str">
        <f>HYPERLINK("http://dx.doi.org/10.1046/j.1442-9993.1999.00979.x","http://dx.doi.org/10.1046/j.1442-9993.1999.00979.x")</f>
        <v>http://dx.doi.org/10.1046/j.1442-9993.1999.00979.x</v>
      </c>
      <c r="AM2407" s="5">
        <v>295</v>
      </c>
      <c r="AN2407" s="5">
        <v>337</v>
      </c>
      <c r="AO2407" s="5">
        <v>24</v>
      </c>
      <c r="AP2407" s="5">
        <v>4</v>
      </c>
      <c r="AQ2407" s="5">
        <v>327</v>
      </c>
      <c r="AR2407" s="5">
        <v>343</v>
      </c>
      <c r="AS2407" s="5" t="s">
        <v>16</v>
      </c>
      <c r="AT2407" s="5" t="s">
        <v>14415</v>
      </c>
      <c r="AU2407" s="5" t="s">
        <v>14416</v>
      </c>
      <c r="AV2407" s="5" t="s">
        <v>14418</v>
      </c>
    </row>
    <row r="2408" spans="1:48" ht="45" customHeight="1" x14ac:dyDescent="0.15">
      <c r="A2408" s="5" t="s">
        <v>14419</v>
      </c>
      <c r="B2408" s="5">
        <v>2021</v>
      </c>
      <c r="C2408" s="5" t="s">
        <v>14420</v>
      </c>
      <c r="D2408" s="5" t="s">
        <v>62</v>
      </c>
      <c r="E2408" s="5" t="s">
        <v>18453</v>
      </c>
      <c r="F2408" s="5" t="s">
        <v>14423</v>
      </c>
      <c r="G2408" s="5"/>
      <c r="H2408" s="5"/>
      <c r="I2408" s="5"/>
      <c r="J2408" s="5"/>
      <c r="K2408" s="5"/>
      <c r="L2408" s="5"/>
      <c r="M2408" s="5"/>
      <c r="N2408" s="5"/>
      <c r="O2408" s="5"/>
      <c r="P2408" s="5"/>
      <c r="Q2408" s="5"/>
      <c r="AL2408" s="7" t="str">
        <f>HYPERLINK("http://dx.doi.org/10.1007/s10021-020-00510-x","http://dx.doi.org/10.1007/s10021-020-00510-x")</f>
        <v>http://dx.doi.org/10.1007/s10021-020-00510-x</v>
      </c>
      <c r="AM2408" s="5">
        <v>6</v>
      </c>
      <c r="AN2408" s="5">
        <v>6</v>
      </c>
      <c r="AO2408" s="5">
        <v>24</v>
      </c>
      <c r="AP2408" s="5">
        <v>1</v>
      </c>
      <c r="AQ2408" s="5">
        <v>168</v>
      </c>
      <c r="AR2408" s="5">
        <v>184</v>
      </c>
      <c r="AS2408" s="5" t="s">
        <v>16</v>
      </c>
      <c r="AT2408" s="5" t="s">
        <v>14421</v>
      </c>
      <c r="AU2408" s="5" t="s">
        <v>14422</v>
      </c>
      <c r="AV2408" s="5" t="s">
        <v>14424</v>
      </c>
    </row>
    <row r="2409" spans="1:48" ht="45" customHeight="1" x14ac:dyDescent="0.15">
      <c r="A2409" s="5" t="s">
        <v>14425</v>
      </c>
      <c r="B2409" s="5">
        <v>2019</v>
      </c>
      <c r="C2409" s="5" t="s">
        <v>14426</v>
      </c>
      <c r="D2409" s="5" t="s">
        <v>172</v>
      </c>
      <c r="E2409" s="5" t="s">
        <v>18453</v>
      </c>
      <c r="F2409" s="5" t="s">
        <v>14429</v>
      </c>
      <c r="G2409" s="5"/>
      <c r="H2409" s="5"/>
      <c r="I2409" s="5"/>
      <c r="J2409" s="5"/>
      <c r="K2409" s="5"/>
      <c r="L2409" s="5"/>
      <c r="M2409" s="5"/>
      <c r="N2409" s="5"/>
      <c r="O2409" s="5"/>
      <c r="P2409" s="5"/>
      <c r="Q2409" s="5"/>
      <c r="AL2409" s="7" t="str">
        <f>HYPERLINK("http://dx.doi.org/10.1007/s00442-019-04496-9","http://dx.doi.org/10.1007/s00442-019-04496-9")</f>
        <v>http://dx.doi.org/10.1007/s00442-019-04496-9</v>
      </c>
      <c r="AM2409" s="5">
        <v>11</v>
      </c>
      <c r="AN2409" s="5">
        <v>11</v>
      </c>
      <c r="AO2409" s="5">
        <v>191</v>
      </c>
      <c r="AP2409" s="5">
        <v>2</v>
      </c>
      <c r="AQ2409" s="5">
        <v>433</v>
      </c>
      <c r="AR2409" s="5">
        <v>445</v>
      </c>
      <c r="AS2409" s="5" t="s">
        <v>16</v>
      </c>
      <c r="AT2409" s="5" t="s">
        <v>14427</v>
      </c>
      <c r="AU2409" s="5" t="s">
        <v>14428</v>
      </c>
      <c r="AV2409" s="5" t="s">
        <v>14430</v>
      </c>
    </row>
    <row r="2410" spans="1:48" ht="45" customHeight="1" x14ac:dyDescent="0.15">
      <c r="A2410" s="5" t="s">
        <v>14431</v>
      </c>
      <c r="B2410" s="5">
        <v>2014</v>
      </c>
      <c r="C2410" s="5" t="s">
        <v>14432</v>
      </c>
      <c r="D2410" s="5" t="s">
        <v>27</v>
      </c>
      <c r="E2410" s="5" t="s">
        <v>18453</v>
      </c>
      <c r="F2410" s="5" t="s">
        <v>14435</v>
      </c>
      <c r="G2410" s="5"/>
      <c r="H2410" s="5"/>
      <c r="I2410" s="5"/>
      <c r="J2410" s="5"/>
      <c r="K2410" s="5"/>
      <c r="L2410" s="5"/>
      <c r="M2410" s="5"/>
      <c r="N2410" s="5"/>
      <c r="O2410" s="5"/>
      <c r="P2410" s="5"/>
      <c r="Q2410" s="5"/>
      <c r="AL2410" s="7" t="str">
        <f>HYPERLINK("http://dx.doi.org/10.1890/13-2333.1","http://dx.doi.org/10.1890/13-2333.1")</f>
        <v>http://dx.doi.org/10.1890/13-2333.1</v>
      </c>
      <c r="AM2410" s="5">
        <v>28</v>
      </c>
      <c r="AN2410" s="5">
        <v>29</v>
      </c>
      <c r="AO2410" s="5">
        <v>95</v>
      </c>
      <c r="AP2410" s="5">
        <v>8</v>
      </c>
      <c r="AQ2410" s="5">
        <v>2257</v>
      </c>
      <c r="AR2410" s="5">
        <v>2267</v>
      </c>
      <c r="AS2410" s="5" t="s">
        <v>16</v>
      </c>
      <c r="AT2410" s="5" t="s">
        <v>14433</v>
      </c>
      <c r="AU2410" s="5" t="s">
        <v>14434</v>
      </c>
      <c r="AV2410" s="5" t="s">
        <v>14436</v>
      </c>
    </row>
    <row r="2411" spans="1:48" ht="45" customHeight="1" x14ac:dyDescent="0.15">
      <c r="A2411" s="5" t="s">
        <v>14437</v>
      </c>
      <c r="B2411" s="5">
        <v>2000</v>
      </c>
      <c r="C2411" s="5" t="s">
        <v>14438</v>
      </c>
      <c r="D2411" s="5" t="s">
        <v>262</v>
      </c>
      <c r="E2411" s="5" t="s">
        <v>18453</v>
      </c>
      <c r="F2411" s="5" t="s">
        <v>14440</v>
      </c>
      <c r="G2411" s="5"/>
      <c r="H2411" s="5"/>
      <c r="I2411" s="5"/>
      <c r="J2411" s="5"/>
      <c r="K2411" s="5"/>
      <c r="L2411" s="5"/>
      <c r="M2411" s="5"/>
      <c r="N2411" s="5"/>
      <c r="O2411" s="5"/>
      <c r="P2411" s="5"/>
      <c r="Q2411" s="5"/>
      <c r="AL2411" s="7" t="str">
        <f>HYPERLINK("http://dx.doi.org/10.1034/j.1600-0706.2000.890102.x","http://dx.doi.org/10.1034/j.1600-0706.2000.890102.x")</f>
        <v>http://dx.doi.org/10.1034/j.1600-0706.2000.890102.x</v>
      </c>
      <c r="AM2411" s="5">
        <v>123</v>
      </c>
      <c r="AN2411" s="5">
        <v>131</v>
      </c>
      <c r="AO2411" s="5">
        <v>89</v>
      </c>
      <c r="AP2411" s="5">
        <v>1</v>
      </c>
      <c r="AQ2411" s="5">
        <v>11</v>
      </c>
      <c r="AR2411" s="5">
        <v>23</v>
      </c>
      <c r="AS2411" s="5" t="s">
        <v>16</v>
      </c>
      <c r="AT2411" s="5" t="s">
        <v>16</v>
      </c>
      <c r="AU2411" s="5" t="s">
        <v>14439</v>
      </c>
      <c r="AV2411" s="5" t="s">
        <v>14441</v>
      </c>
    </row>
    <row r="2412" spans="1:48" ht="45" customHeight="1" x14ac:dyDescent="0.15">
      <c r="A2412" s="5" t="s">
        <v>14442</v>
      </c>
      <c r="B2412" s="5">
        <v>2018</v>
      </c>
      <c r="C2412" s="5" t="s">
        <v>14443</v>
      </c>
      <c r="D2412" s="5" t="s">
        <v>383</v>
      </c>
      <c r="E2412" s="5" t="s">
        <v>18453</v>
      </c>
      <c r="F2412" s="5" t="s">
        <v>14446</v>
      </c>
      <c r="G2412" s="5"/>
      <c r="H2412" s="5"/>
      <c r="I2412" s="5"/>
      <c r="J2412" s="5"/>
      <c r="K2412" s="5"/>
      <c r="L2412" s="5"/>
      <c r="M2412" s="5"/>
      <c r="N2412" s="5"/>
      <c r="O2412" s="5"/>
      <c r="P2412" s="5"/>
      <c r="Q2412" s="5"/>
      <c r="AL2412" s="7" t="str">
        <f>HYPERLINK("http://dx.doi.org/10.1007/s11284-018-1610-4","http://dx.doi.org/10.1007/s11284-018-1610-4")</f>
        <v>http://dx.doi.org/10.1007/s11284-018-1610-4</v>
      </c>
      <c r="AM2412" s="5">
        <v>2</v>
      </c>
      <c r="AN2412" s="5">
        <v>2</v>
      </c>
      <c r="AO2412" s="5">
        <v>33</v>
      </c>
      <c r="AP2412" s="5">
        <v>5</v>
      </c>
      <c r="AQ2412" s="5">
        <v>935</v>
      </c>
      <c r="AR2412" s="5">
        <v>948</v>
      </c>
      <c r="AS2412" s="5" t="s">
        <v>16</v>
      </c>
      <c r="AT2412" s="5" t="s">
        <v>14444</v>
      </c>
      <c r="AU2412" s="5" t="s">
        <v>14445</v>
      </c>
      <c r="AV2412" s="5" t="s">
        <v>14447</v>
      </c>
    </row>
    <row r="2413" spans="1:48" ht="45" customHeight="1" x14ac:dyDescent="0.15">
      <c r="A2413" s="5" t="s">
        <v>14448</v>
      </c>
      <c r="B2413" s="5">
        <v>2010</v>
      </c>
      <c r="C2413" s="5" t="s">
        <v>14449</v>
      </c>
      <c r="D2413" s="5" t="s">
        <v>973</v>
      </c>
      <c r="E2413" s="5" t="s">
        <v>18453</v>
      </c>
      <c r="F2413" s="5" t="s">
        <v>14451</v>
      </c>
      <c r="G2413" s="5"/>
      <c r="H2413" s="5"/>
      <c r="I2413" s="5"/>
      <c r="J2413" s="5"/>
      <c r="K2413" s="5"/>
      <c r="L2413" s="5"/>
      <c r="M2413" s="5"/>
      <c r="N2413" s="5"/>
      <c r="O2413" s="5"/>
      <c r="P2413" s="5"/>
      <c r="Q2413" s="5"/>
      <c r="AL2413" s="7" t="str">
        <f>HYPERLINK("http://dx.doi.org/10.5194/bg-7-1903-2010","http://dx.doi.org/10.5194/bg-7-1903-2010")</f>
        <v>http://dx.doi.org/10.5194/bg-7-1903-2010</v>
      </c>
      <c r="AM2413" s="5">
        <v>13</v>
      </c>
      <c r="AN2413" s="5">
        <v>14</v>
      </c>
      <c r="AO2413" s="5">
        <v>7</v>
      </c>
      <c r="AP2413" s="5">
        <v>6</v>
      </c>
      <c r="AQ2413" s="5">
        <v>1903</v>
      </c>
      <c r="AR2413" s="5">
        <v>1914</v>
      </c>
      <c r="AS2413" s="5" t="s">
        <v>16</v>
      </c>
      <c r="AT2413" s="5" t="s">
        <v>16</v>
      </c>
      <c r="AU2413" s="5" t="s">
        <v>14450</v>
      </c>
      <c r="AV2413" s="5" t="s">
        <v>14452</v>
      </c>
    </row>
    <row r="2414" spans="1:48" ht="45" customHeight="1" x14ac:dyDescent="0.15">
      <c r="A2414" s="5" t="s">
        <v>14453</v>
      </c>
      <c r="B2414" s="5">
        <v>2013</v>
      </c>
      <c r="C2414" s="5" t="s">
        <v>14454</v>
      </c>
      <c r="D2414" s="5" t="s">
        <v>116</v>
      </c>
      <c r="E2414" s="5" t="s">
        <v>18453</v>
      </c>
      <c r="F2414" s="5" t="s">
        <v>14457</v>
      </c>
      <c r="G2414" s="5"/>
      <c r="H2414" s="5"/>
      <c r="I2414" s="5"/>
      <c r="J2414" s="5"/>
      <c r="K2414" s="5"/>
      <c r="L2414" s="5"/>
      <c r="M2414" s="5"/>
      <c r="N2414" s="5"/>
      <c r="O2414" s="5"/>
      <c r="P2414" s="5"/>
      <c r="Q2414" s="5"/>
      <c r="AL2414" s="7" t="str">
        <f>HYPERLINK("http://dx.doi.org/10.1007/s10641-013-0110-1","http://dx.doi.org/10.1007/s10641-013-0110-1")</f>
        <v>http://dx.doi.org/10.1007/s10641-013-0110-1</v>
      </c>
      <c r="AM2414" s="5">
        <v>11</v>
      </c>
      <c r="AN2414" s="5">
        <v>11</v>
      </c>
      <c r="AO2414" s="5">
        <v>96</v>
      </c>
      <c r="AP2414" s="5">
        <v>12</v>
      </c>
      <c r="AQ2414" s="5">
        <v>1329</v>
      </c>
      <c r="AR2414" s="5">
        <v>1340</v>
      </c>
      <c r="AS2414" s="5" t="s">
        <v>16</v>
      </c>
      <c r="AT2414" s="5" t="s">
        <v>14455</v>
      </c>
      <c r="AU2414" s="5" t="s">
        <v>14456</v>
      </c>
      <c r="AV2414" s="5" t="s">
        <v>14458</v>
      </c>
    </row>
    <row r="2415" spans="1:48" ht="45" customHeight="1" x14ac:dyDescent="0.15">
      <c r="A2415" s="5" t="s">
        <v>14459</v>
      </c>
      <c r="B2415" s="5">
        <v>1994</v>
      </c>
      <c r="C2415" s="5" t="s">
        <v>14460</v>
      </c>
      <c r="D2415" s="5" t="s">
        <v>49</v>
      </c>
      <c r="E2415" s="5" t="s">
        <v>18453</v>
      </c>
      <c r="F2415" s="5" t="s">
        <v>14463</v>
      </c>
      <c r="G2415" s="5"/>
      <c r="H2415" s="5"/>
      <c r="I2415" s="5"/>
      <c r="J2415" s="5"/>
      <c r="K2415" s="5"/>
      <c r="L2415" s="5"/>
      <c r="M2415" s="5"/>
      <c r="N2415" s="5"/>
      <c r="O2415" s="5"/>
      <c r="P2415" s="5"/>
      <c r="Q2415" s="5"/>
      <c r="AL2415" s="7" t="str">
        <f>HYPERLINK("http://dx.doi.org/10.3354/meps106291","http://dx.doi.org/10.3354/meps106291")</f>
        <v>http://dx.doi.org/10.3354/meps106291</v>
      </c>
      <c r="AM2415" s="5">
        <v>180</v>
      </c>
      <c r="AN2415" s="5">
        <v>185</v>
      </c>
      <c r="AO2415" s="5">
        <v>106</v>
      </c>
      <c r="AP2415" s="5">
        <v>3</v>
      </c>
      <c r="AQ2415" s="5">
        <v>291</v>
      </c>
      <c r="AR2415" s="5">
        <v>301</v>
      </c>
      <c r="AS2415" s="5" t="s">
        <v>16</v>
      </c>
      <c r="AT2415" s="5" t="s">
        <v>14461</v>
      </c>
      <c r="AU2415" s="5" t="s">
        <v>14462</v>
      </c>
      <c r="AV2415" s="5" t="s">
        <v>14464</v>
      </c>
    </row>
    <row r="2416" spans="1:48" ht="45" customHeight="1" x14ac:dyDescent="0.15">
      <c r="A2416" s="5" t="s">
        <v>14465</v>
      </c>
      <c r="B2416" s="5">
        <v>2018</v>
      </c>
      <c r="C2416" s="5" t="s">
        <v>14466</v>
      </c>
      <c r="D2416" s="5" t="s">
        <v>296</v>
      </c>
      <c r="E2416" s="5" t="s">
        <v>18453</v>
      </c>
      <c r="F2416" s="5" t="s">
        <v>14469</v>
      </c>
      <c r="G2416" s="5"/>
      <c r="H2416" s="5"/>
      <c r="I2416" s="5"/>
      <c r="J2416" s="5"/>
      <c r="K2416" s="5"/>
      <c r="L2416" s="5"/>
      <c r="M2416" s="5"/>
      <c r="N2416" s="5"/>
      <c r="O2416" s="5"/>
      <c r="P2416" s="5"/>
      <c r="Q2416" s="5"/>
      <c r="AL2416" s="7" t="str">
        <f>HYPERLINK("http://dx.doi.org/10.1098/rspb.2018.1101","http://dx.doi.org/10.1098/rspb.2018.1101")</f>
        <v>http://dx.doi.org/10.1098/rspb.2018.1101</v>
      </c>
      <c r="AM2416" s="5">
        <v>39</v>
      </c>
      <c r="AN2416" s="5">
        <v>39</v>
      </c>
      <c r="AO2416" s="5">
        <v>285</v>
      </c>
      <c r="AP2416" s="5">
        <v>1885</v>
      </c>
      <c r="AQ2416" s="5" t="s">
        <v>16</v>
      </c>
      <c r="AR2416" s="5" t="s">
        <v>16</v>
      </c>
      <c r="AS2416" s="5">
        <v>20181101</v>
      </c>
      <c r="AT2416" s="5" t="s">
        <v>14467</v>
      </c>
      <c r="AU2416" s="5" t="s">
        <v>14468</v>
      </c>
      <c r="AV2416" s="5" t="s">
        <v>14470</v>
      </c>
    </row>
    <row r="2417" spans="1:48" ht="45" customHeight="1" x14ac:dyDescent="0.15">
      <c r="A2417" s="5" t="s">
        <v>14471</v>
      </c>
      <c r="B2417" s="5">
        <v>2019</v>
      </c>
      <c r="C2417" s="5" t="s">
        <v>14472</v>
      </c>
      <c r="D2417" s="5" t="s">
        <v>2087</v>
      </c>
      <c r="E2417" s="5" t="s">
        <v>18453</v>
      </c>
      <c r="F2417" s="5" t="s">
        <v>14475</v>
      </c>
      <c r="G2417" s="5"/>
      <c r="H2417" s="5"/>
      <c r="I2417" s="5"/>
      <c r="J2417" s="5"/>
      <c r="K2417" s="5"/>
      <c r="L2417" s="5"/>
      <c r="M2417" s="5"/>
      <c r="N2417" s="5"/>
      <c r="O2417" s="5"/>
      <c r="P2417" s="5"/>
      <c r="Q2417" s="5"/>
      <c r="AL2417" s="7" t="str">
        <f>HYPERLINK("http://dx.doi.org/10.1002/eco.2039","http://dx.doi.org/10.1002/eco.2039")</f>
        <v>http://dx.doi.org/10.1002/eco.2039</v>
      </c>
      <c r="AM2417" s="5">
        <v>13</v>
      </c>
      <c r="AN2417" s="5">
        <v>14</v>
      </c>
      <c r="AO2417" s="5">
        <v>12</v>
      </c>
      <c r="AP2417" s="5">
        <v>1</v>
      </c>
      <c r="AQ2417" s="5" t="s">
        <v>16</v>
      </c>
      <c r="AR2417" s="5" t="s">
        <v>16</v>
      </c>
      <c r="AS2417" s="5" t="s">
        <v>14476</v>
      </c>
      <c r="AT2417" s="5" t="s">
        <v>14473</v>
      </c>
      <c r="AU2417" s="5" t="s">
        <v>14474</v>
      </c>
      <c r="AV2417" s="5" t="s">
        <v>14477</v>
      </c>
    </row>
    <row r="2418" spans="1:48" ht="45" customHeight="1" x14ac:dyDescent="0.15">
      <c r="A2418" s="5" t="s">
        <v>14478</v>
      </c>
      <c r="B2418" s="5">
        <v>2015</v>
      </c>
      <c r="C2418" s="5" t="s">
        <v>14479</v>
      </c>
      <c r="D2418" s="5" t="s">
        <v>172</v>
      </c>
      <c r="E2418" s="5" t="s">
        <v>18453</v>
      </c>
      <c r="F2418" s="5" t="s">
        <v>14482</v>
      </c>
      <c r="G2418" s="5"/>
      <c r="H2418" s="5"/>
      <c r="I2418" s="5"/>
      <c r="J2418" s="5"/>
      <c r="K2418" s="5"/>
      <c r="L2418" s="5"/>
      <c r="M2418" s="5"/>
      <c r="N2418" s="5"/>
      <c r="O2418" s="5"/>
      <c r="P2418" s="5"/>
      <c r="Q2418" s="5"/>
      <c r="AL2418" s="7" t="str">
        <f>HYPERLINK("http://dx.doi.org/10.1007/s00442-015-3278-6","http://dx.doi.org/10.1007/s00442-015-3278-6")</f>
        <v>http://dx.doi.org/10.1007/s00442-015-3278-6</v>
      </c>
      <c r="AM2418" s="5">
        <v>36</v>
      </c>
      <c r="AN2418" s="5">
        <v>38</v>
      </c>
      <c r="AO2418" s="5">
        <v>178</v>
      </c>
      <c r="AP2418" s="5">
        <v>4</v>
      </c>
      <c r="AQ2418" s="5">
        <v>981</v>
      </c>
      <c r="AR2418" s="5">
        <v>998</v>
      </c>
      <c r="AS2418" s="5" t="s">
        <v>16</v>
      </c>
      <c r="AT2418" s="5" t="s">
        <v>14480</v>
      </c>
      <c r="AU2418" s="5" t="s">
        <v>14481</v>
      </c>
      <c r="AV2418" s="5" t="s">
        <v>14483</v>
      </c>
    </row>
    <row r="2419" spans="1:48" ht="45" customHeight="1" x14ac:dyDescent="0.15">
      <c r="A2419" s="5" t="s">
        <v>14484</v>
      </c>
      <c r="B2419" s="5">
        <v>2018</v>
      </c>
      <c r="C2419" s="5" t="s">
        <v>14485</v>
      </c>
      <c r="D2419" s="5" t="s">
        <v>161</v>
      </c>
      <c r="E2419" s="5" t="s">
        <v>18453</v>
      </c>
      <c r="F2419" s="5" t="s">
        <v>14488</v>
      </c>
      <c r="G2419" s="5"/>
      <c r="H2419" s="5"/>
      <c r="I2419" s="5"/>
      <c r="J2419" s="5"/>
      <c r="K2419" s="5"/>
      <c r="L2419" s="5"/>
      <c r="M2419" s="5"/>
      <c r="N2419" s="5"/>
      <c r="O2419" s="5"/>
      <c r="P2419" s="5"/>
      <c r="Q2419" s="5"/>
      <c r="AL2419" s="7" t="str">
        <f>HYPERLINK("http://dx.doi.org/10.1111/geb.12764","http://dx.doi.org/10.1111/geb.12764")</f>
        <v>http://dx.doi.org/10.1111/geb.12764</v>
      </c>
      <c r="AM2419" s="5">
        <v>63</v>
      </c>
      <c r="AN2419" s="5">
        <v>67</v>
      </c>
      <c r="AO2419" s="5">
        <v>27</v>
      </c>
      <c r="AP2419" s="5">
        <v>9</v>
      </c>
      <c r="AQ2419" s="5">
        <v>1056</v>
      </c>
      <c r="AR2419" s="5">
        <v>1067</v>
      </c>
      <c r="AS2419" s="5" t="s">
        <v>16</v>
      </c>
      <c r="AT2419" s="5" t="s">
        <v>14486</v>
      </c>
      <c r="AU2419" s="5" t="s">
        <v>14487</v>
      </c>
      <c r="AV2419" s="5" t="s">
        <v>14489</v>
      </c>
    </row>
    <row r="2420" spans="1:48" ht="45" customHeight="1" x14ac:dyDescent="0.15">
      <c r="A2420" s="5" t="s">
        <v>14490</v>
      </c>
      <c r="B2420" s="5">
        <v>2020</v>
      </c>
      <c r="C2420" s="5" t="s">
        <v>14491</v>
      </c>
      <c r="D2420" s="5" t="s">
        <v>1419</v>
      </c>
      <c r="E2420" s="5" t="s">
        <v>18453</v>
      </c>
      <c r="F2420" s="5" t="s">
        <v>14494</v>
      </c>
      <c r="G2420" s="5"/>
      <c r="H2420" s="5"/>
      <c r="I2420" s="5"/>
      <c r="J2420" s="5"/>
      <c r="K2420" s="5"/>
      <c r="L2420" s="5"/>
      <c r="M2420" s="5"/>
      <c r="N2420" s="5"/>
      <c r="O2420" s="5"/>
      <c r="P2420" s="5"/>
      <c r="Q2420" s="5"/>
      <c r="AL2420" s="7" t="str">
        <f>HYPERLINK("http://dx.doi.org/10.1016/j.fooweb.2020.e00179","http://dx.doi.org/10.1016/j.fooweb.2020.e00179")</f>
        <v>http://dx.doi.org/10.1016/j.fooweb.2020.e00179</v>
      </c>
      <c r="AM2420" s="5">
        <v>1</v>
      </c>
      <c r="AN2420" s="5">
        <v>1</v>
      </c>
      <c r="AO2420" s="5">
        <v>25</v>
      </c>
      <c r="AP2420" s="5" t="s">
        <v>16</v>
      </c>
      <c r="AQ2420" s="5" t="s">
        <v>16</v>
      </c>
      <c r="AR2420" s="5" t="s">
        <v>16</v>
      </c>
      <c r="AS2420" s="5" t="s">
        <v>14495</v>
      </c>
      <c r="AT2420" s="5" t="s">
        <v>14492</v>
      </c>
      <c r="AU2420" s="5" t="s">
        <v>14493</v>
      </c>
      <c r="AV2420" s="5" t="s">
        <v>14496</v>
      </c>
    </row>
    <row r="2421" spans="1:48" ht="45" customHeight="1" x14ac:dyDescent="0.15">
      <c r="A2421" s="5" t="s">
        <v>14497</v>
      </c>
      <c r="B2421" s="5">
        <v>2014</v>
      </c>
      <c r="C2421" s="5" t="s">
        <v>14498</v>
      </c>
      <c r="D2421" s="5" t="s">
        <v>1765</v>
      </c>
      <c r="E2421" s="5" t="s">
        <v>18453</v>
      </c>
      <c r="F2421" s="5" t="s">
        <v>14501</v>
      </c>
      <c r="G2421" s="5"/>
      <c r="H2421" s="5"/>
      <c r="I2421" s="5"/>
      <c r="J2421" s="5"/>
      <c r="K2421" s="5"/>
      <c r="L2421" s="5"/>
      <c r="M2421" s="5"/>
      <c r="N2421" s="5"/>
      <c r="O2421" s="5"/>
      <c r="P2421" s="5"/>
      <c r="Q2421" s="5"/>
      <c r="AL2421" s="7" t="str">
        <f>HYPERLINK("http://dx.doi.org/10.1016/j.agee.2014.06.018","http://dx.doi.org/10.1016/j.agee.2014.06.018")</f>
        <v>http://dx.doi.org/10.1016/j.agee.2014.06.018</v>
      </c>
      <c r="AM2421" s="5">
        <v>35</v>
      </c>
      <c r="AN2421" s="5">
        <v>36</v>
      </c>
      <c r="AO2421" s="5">
        <v>196</v>
      </c>
      <c r="AP2421" s="5" t="s">
        <v>16</v>
      </c>
      <c r="AQ2421" s="5">
        <v>76</v>
      </c>
      <c r="AR2421" s="5">
        <v>93</v>
      </c>
      <c r="AS2421" s="5" t="s">
        <v>16</v>
      </c>
      <c r="AT2421" s="5" t="s">
        <v>14499</v>
      </c>
      <c r="AU2421" s="5" t="s">
        <v>14500</v>
      </c>
      <c r="AV2421" s="5" t="s">
        <v>14502</v>
      </c>
    </row>
    <row r="2422" spans="1:48" ht="45" customHeight="1" x14ac:dyDescent="0.15">
      <c r="A2422" s="5" t="s">
        <v>14503</v>
      </c>
      <c r="B2422" s="5">
        <v>2020</v>
      </c>
      <c r="C2422" s="5" t="s">
        <v>14504</v>
      </c>
      <c r="D2422" s="5" t="s">
        <v>49</v>
      </c>
      <c r="E2422" s="5" t="s">
        <v>18453</v>
      </c>
      <c r="F2422" s="5" t="s">
        <v>14507</v>
      </c>
      <c r="G2422" s="5"/>
      <c r="H2422" s="5"/>
      <c r="I2422" s="5"/>
      <c r="J2422" s="5"/>
      <c r="K2422" s="5"/>
      <c r="L2422" s="5"/>
      <c r="M2422" s="5"/>
      <c r="N2422" s="5"/>
      <c r="O2422" s="5"/>
      <c r="P2422" s="5"/>
      <c r="Q2422" s="5"/>
      <c r="AL2422" s="7" t="str">
        <f>HYPERLINK("http://dx.doi.org/10.3354/meps13363","http://dx.doi.org/10.3354/meps13363")</f>
        <v>http://dx.doi.org/10.3354/meps13363</v>
      </c>
      <c r="AM2422" s="5">
        <v>2</v>
      </c>
      <c r="AN2422" s="5">
        <v>2</v>
      </c>
      <c r="AO2422" s="5">
        <v>645</v>
      </c>
      <c r="AP2422" s="5" t="s">
        <v>16</v>
      </c>
      <c r="AQ2422" s="5">
        <v>171</v>
      </c>
      <c r="AR2422" s="5">
        <v>185</v>
      </c>
      <c r="AS2422" s="5" t="s">
        <v>16</v>
      </c>
      <c r="AT2422" s="5" t="s">
        <v>14505</v>
      </c>
      <c r="AU2422" s="5" t="s">
        <v>14506</v>
      </c>
      <c r="AV2422" s="5" t="s">
        <v>14508</v>
      </c>
    </row>
    <row r="2423" spans="1:48" ht="45" customHeight="1" x14ac:dyDescent="0.15">
      <c r="A2423" s="5" t="s">
        <v>14509</v>
      </c>
      <c r="B2423" s="5">
        <v>2003</v>
      </c>
      <c r="C2423" s="5" t="s">
        <v>14510</v>
      </c>
      <c r="D2423" s="5" t="s">
        <v>162</v>
      </c>
      <c r="E2423" s="5" t="s">
        <v>18453</v>
      </c>
      <c r="F2423" s="5" t="s">
        <v>14513</v>
      </c>
      <c r="G2423" s="5"/>
      <c r="H2423" s="5"/>
      <c r="I2423" s="5"/>
      <c r="J2423" s="5"/>
      <c r="K2423" s="5"/>
      <c r="L2423" s="5"/>
      <c r="M2423" s="5"/>
      <c r="N2423" s="5"/>
      <c r="O2423" s="5"/>
      <c r="P2423" s="5"/>
      <c r="Q2423" s="5"/>
      <c r="AL2423" s="7" t="str">
        <f>HYPERLINK("http://dx.doi.org/10.1046/j.1365-2435.2003.00739.x","http://dx.doi.org/10.1046/j.1365-2435.2003.00739.x")</f>
        <v>http://dx.doi.org/10.1046/j.1365-2435.2003.00739.x</v>
      </c>
      <c r="AM2423" s="5">
        <v>73</v>
      </c>
      <c r="AN2423" s="5">
        <v>81</v>
      </c>
      <c r="AO2423" s="5">
        <v>17</v>
      </c>
      <c r="AP2423" s="5">
        <v>3</v>
      </c>
      <c r="AQ2423" s="5">
        <v>363</v>
      </c>
      <c r="AR2423" s="5">
        <v>374</v>
      </c>
      <c r="AS2423" s="5" t="s">
        <v>16</v>
      </c>
      <c r="AT2423" s="5" t="s">
        <v>14511</v>
      </c>
      <c r="AU2423" s="5" t="s">
        <v>14512</v>
      </c>
      <c r="AV2423" s="5" t="s">
        <v>14514</v>
      </c>
    </row>
    <row r="2424" spans="1:48" ht="45" customHeight="1" x14ac:dyDescent="0.15">
      <c r="A2424" s="5" t="s">
        <v>14515</v>
      </c>
      <c r="B2424" s="5">
        <v>2014</v>
      </c>
      <c r="C2424" s="5" t="s">
        <v>14516</v>
      </c>
      <c r="D2424" s="5" t="s">
        <v>2087</v>
      </c>
      <c r="E2424" s="5" t="s">
        <v>18453</v>
      </c>
      <c r="F2424" s="5" t="s">
        <v>14519</v>
      </c>
      <c r="G2424" s="5"/>
      <c r="H2424" s="5"/>
      <c r="I2424" s="5"/>
      <c r="J2424" s="5"/>
      <c r="K2424" s="5"/>
      <c r="L2424" s="5"/>
      <c r="M2424" s="5"/>
      <c r="N2424" s="5"/>
      <c r="O2424" s="5"/>
      <c r="P2424" s="5"/>
      <c r="Q2424" s="5"/>
      <c r="AL2424" s="7" t="str">
        <f>HYPERLINK("http://dx.doi.org/10.1002/eco.1456","http://dx.doi.org/10.1002/eco.1456")</f>
        <v>http://dx.doi.org/10.1002/eco.1456</v>
      </c>
      <c r="AM2424" s="5">
        <v>33</v>
      </c>
      <c r="AN2424" s="5">
        <v>35</v>
      </c>
      <c r="AO2424" s="5">
        <v>7</v>
      </c>
      <c r="AP2424" s="5">
        <v>4</v>
      </c>
      <c r="AQ2424" s="5">
        <v>1234</v>
      </c>
      <c r="AR2424" s="5">
        <v>1244</v>
      </c>
      <c r="AS2424" s="5" t="s">
        <v>16</v>
      </c>
      <c r="AT2424" s="5" t="s">
        <v>14517</v>
      </c>
      <c r="AU2424" s="5" t="s">
        <v>14518</v>
      </c>
      <c r="AV2424" s="5" t="s">
        <v>14520</v>
      </c>
    </row>
    <row r="2425" spans="1:48" ht="45" customHeight="1" x14ac:dyDescent="0.15">
      <c r="A2425" s="5" t="s">
        <v>14521</v>
      </c>
      <c r="B2425" s="5">
        <v>2020</v>
      </c>
      <c r="C2425" s="5" t="s">
        <v>14522</v>
      </c>
      <c r="D2425" s="5" t="s">
        <v>2087</v>
      </c>
      <c r="E2425" s="5" t="s">
        <v>18453</v>
      </c>
      <c r="F2425" s="5" t="s">
        <v>14524</v>
      </c>
      <c r="G2425" s="5"/>
      <c r="H2425" s="5"/>
      <c r="I2425" s="5"/>
      <c r="J2425" s="5"/>
      <c r="K2425" s="5"/>
      <c r="L2425" s="5"/>
      <c r="M2425" s="5"/>
      <c r="N2425" s="5"/>
      <c r="O2425" s="5"/>
      <c r="P2425" s="5"/>
      <c r="Q2425" s="5"/>
      <c r="AL2425" s="7" t="str">
        <f>HYPERLINK("http://dx.doi.org/10.1002/eco.2165","http://dx.doi.org/10.1002/eco.2165")</f>
        <v>http://dx.doi.org/10.1002/eco.2165</v>
      </c>
      <c r="AM2425" s="5">
        <v>0</v>
      </c>
      <c r="AN2425" s="5">
        <v>0</v>
      </c>
      <c r="AO2425" s="5">
        <v>13</v>
      </c>
      <c r="AP2425" s="5">
        <v>1</v>
      </c>
      <c r="AQ2425" s="5" t="s">
        <v>16</v>
      </c>
      <c r="AR2425" s="5" t="s">
        <v>16</v>
      </c>
      <c r="AS2425" s="5" t="s">
        <v>14525</v>
      </c>
      <c r="AT2425" s="5" t="s">
        <v>16</v>
      </c>
      <c r="AU2425" s="5" t="s">
        <v>14523</v>
      </c>
      <c r="AV2425" s="5" t="s">
        <v>14526</v>
      </c>
    </row>
    <row r="2426" spans="1:48" ht="45" customHeight="1" x14ac:dyDescent="0.15">
      <c r="A2426" s="5" t="s">
        <v>14527</v>
      </c>
      <c r="B2426" s="5">
        <v>2017</v>
      </c>
      <c r="C2426" s="5" t="s">
        <v>14528</v>
      </c>
      <c r="D2426" s="5" t="s">
        <v>162</v>
      </c>
      <c r="E2426" s="5" t="s">
        <v>18453</v>
      </c>
      <c r="F2426" s="5" t="s">
        <v>14531</v>
      </c>
      <c r="G2426" s="5"/>
      <c r="H2426" s="5"/>
      <c r="I2426" s="5"/>
      <c r="J2426" s="5"/>
      <c r="K2426" s="5"/>
      <c r="L2426" s="5"/>
      <c r="M2426" s="5"/>
      <c r="N2426" s="5"/>
      <c r="O2426" s="5"/>
      <c r="P2426" s="5"/>
      <c r="Q2426" s="5"/>
      <c r="AL2426" s="7" t="str">
        <f>HYPERLINK("http://dx.doi.org/10.1111/1365-2435.12693","http://dx.doi.org/10.1111/1365-2435.12693")</f>
        <v>http://dx.doi.org/10.1111/1365-2435.12693</v>
      </c>
      <c r="AM2426" s="5">
        <v>13</v>
      </c>
      <c r="AN2426" s="5">
        <v>14</v>
      </c>
      <c r="AO2426" s="5">
        <v>31</v>
      </c>
      <c r="AP2426" s="5">
        <v>1</v>
      </c>
      <c r="AQ2426" s="5">
        <v>260</v>
      </c>
      <c r="AR2426" s="5">
        <v>269</v>
      </c>
      <c r="AS2426" s="5" t="s">
        <v>16</v>
      </c>
      <c r="AT2426" s="5" t="s">
        <v>14529</v>
      </c>
      <c r="AU2426" s="5" t="s">
        <v>14530</v>
      </c>
      <c r="AV2426" s="5" t="s">
        <v>14532</v>
      </c>
    </row>
    <row r="2427" spans="1:48" ht="45" customHeight="1" x14ac:dyDescent="0.15">
      <c r="A2427" s="5" t="s">
        <v>14533</v>
      </c>
      <c r="B2427" s="5">
        <v>2020</v>
      </c>
      <c r="C2427" s="5" t="s">
        <v>14534</v>
      </c>
      <c r="D2427" s="5" t="s">
        <v>2087</v>
      </c>
      <c r="E2427" s="5" t="s">
        <v>18453</v>
      </c>
      <c r="F2427" s="5" t="s">
        <v>14537</v>
      </c>
      <c r="G2427" s="5"/>
      <c r="H2427" s="5"/>
      <c r="I2427" s="5"/>
      <c r="J2427" s="5"/>
      <c r="K2427" s="5"/>
      <c r="L2427" s="5"/>
      <c r="M2427" s="5"/>
      <c r="N2427" s="5"/>
      <c r="O2427" s="5"/>
      <c r="P2427" s="5"/>
      <c r="Q2427" s="5"/>
      <c r="AL2427" s="7" t="str">
        <f>HYPERLINK("http://dx.doi.org/10.1002/eco.2177","http://dx.doi.org/10.1002/eco.2177")</f>
        <v>http://dx.doi.org/10.1002/eco.2177</v>
      </c>
      <c r="AM2427" s="5">
        <v>30</v>
      </c>
      <c r="AN2427" s="5">
        <v>32</v>
      </c>
      <c r="AO2427" s="5">
        <v>13</v>
      </c>
      <c r="AP2427" s="5">
        <v>2</v>
      </c>
      <c r="AQ2427" s="5" t="s">
        <v>16</v>
      </c>
      <c r="AR2427" s="5" t="s">
        <v>16</v>
      </c>
      <c r="AS2427" s="5" t="s">
        <v>14538</v>
      </c>
      <c r="AT2427" s="5" t="s">
        <v>14535</v>
      </c>
      <c r="AU2427" s="5" t="s">
        <v>14536</v>
      </c>
      <c r="AV2427" s="5" t="s">
        <v>14539</v>
      </c>
    </row>
    <row r="2428" spans="1:48" ht="45" customHeight="1" x14ac:dyDescent="0.15">
      <c r="A2428" s="5" t="s">
        <v>14540</v>
      </c>
      <c r="B2428" s="5">
        <v>2012</v>
      </c>
      <c r="C2428" s="5" t="s">
        <v>14541</v>
      </c>
      <c r="D2428" s="5" t="s">
        <v>212</v>
      </c>
      <c r="E2428" s="5" t="s">
        <v>18453</v>
      </c>
      <c r="F2428" s="5" t="s">
        <v>14544</v>
      </c>
      <c r="G2428" s="5"/>
      <c r="H2428" s="5"/>
      <c r="I2428" s="5"/>
      <c r="J2428" s="5"/>
      <c r="K2428" s="5"/>
      <c r="L2428" s="5"/>
      <c r="M2428" s="5"/>
      <c r="N2428" s="5"/>
      <c r="O2428" s="5"/>
      <c r="P2428" s="5"/>
      <c r="Q2428" s="5"/>
      <c r="AL2428" s="7" t="str">
        <f>HYPERLINK("http://dx.doi.org/10.1007/s00300-011-1115-x","http://dx.doi.org/10.1007/s00300-011-1115-x")</f>
        <v>http://dx.doi.org/10.1007/s00300-011-1115-x</v>
      </c>
      <c r="AM2428" s="5">
        <v>18</v>
      </c>
      <c r="AN2428" s="5">
        <v>18</v>
      </c>
      <c r="AO2428" s="5">
        <v>35</v>
      </c>
      <c r="AP2428" s="5">
        <v>5</v>
      </c>
      <c r="AQ2428" s="5">
        <v>705</v>
      </c>
      <c r="AR2428" s="5">
        <v>716</v>
      </c>
      <c r="AS2428" s="5" t="s">
        <v>16</v>
      </c>
      <c r="AT2428" s="5" t="s">
        <v>14542</v>
      </c>
      <c r="AU2428" s="5" t="s">
        <v>14543</v>
      </c>
      <c r="AV2428" s="5" t="s">
        <v>14545</v>
      </c>
    </row>
    <row r="2429" spans="1:48" ht="45" customHeight="1" x14ac:dyDescent="0.15">
      <c r="A2429" s="5" t="s">
        <v>14546</v>
      </c>
      <c r="B2429" s="5">
        <v>2010</v>
      </c>
      <c r="C2429" s="5" t="s">
        <v>14547</v>
      </c>
      <c r="D2429" s="5" t="s">
        <v>77</v>
      </c>
      <c r="E2429" s="5" t="s">
        <v>18453</v>
      </c>
      <c r="F2429" s="5" t="s">
        <v>14550</v>
      </c>
      <c r="G2429" s="5"/>
      <c r="H2429" s="5"/>
      <c r="I2429" s="5"/>
      <c r="J2429" s="5"/>
      <c r="K2429" s="5"/>
      <c r="L2429" s="5"/>
      <c r="M2429" s="5"/>
      <c r="N2429" s="5"/>
      <c r="O2429" s="5"/>
      <c r="P2429" s="5"/>
      <c r="Q2429" s="5"/>
      <c r="AL2429" s="7" t="str">
        <f>HYPERLINK("http://dx.doi.org/10.1111/j.1365-2656.2010.01729.x","http://dx.doi.org/10.1111/j.1365-2656.2010.01729.x")</f>
        <v>http://dx.doi.org/10.1111/j.1365-2656.2010.01729.x</v>
      </c>
      <c r="AM2429" s="5">
        <v>26</v>
      </c>
      <c r="AN2429" s="5">
        <v>26</v>
      </c>
      <c r="AO2429" s="5">
        <v>79</v>
      </c>
      <c r="AP2429" s="5">
        <v>6</v>
      </c>
      <c r="AQ2429" s="5">
        <v>1204</v>
      </c>
      <c r="AR2429" s="5">
        <v>1214</v>
      </c>
      <c r="AS2429" s="5" t="s">
        <v>16</v>
      </c>
      <c r="AT2429" s="5" t="s">
        <v>14548</v>
      </c>
      <c r="AU2429" s="5" t="s">
        <v>14549</v>
      </c>
      <c r="AV2429" s="5" t="s">
        <v>14551</v>
      </c>
    </row>
    <row r="2430" spans="1:48" ht="45" customHeight="1" x14ac:dyDescent="0.15">
      <c r="A2430" s="5" t="s">
        <v>14552</v>
      </c>
      <c r="B2430" s="5">
        <v>2009</v>
      </c>
      <c r="C2430" s="5" t="s">
        <v>14553</v>
      </c>
      <c r="D2430" s="5" t="s">
        <v>27</v>
      </c>
      <c r="E2430" s="5" t="s">
        <v>18453</v>
      </c>
      <c r="F2430" s="5" t="s">
        <v>14556</v>
      </c>
      <c r="G2430" s="5"/>
      <c r="H2430" s="5"/>
      <c r="I2430" s="5"/>
      <c r="J2430" s="5"/>
      <c r="K2430" s="5"/>
      <c r="L2430" s="5"/>
      <c r="M2430" s="5"/>
      <c r="N2430" s="5"/>
      <c r="O2430" s="5"/>
      <c r="P2430" s="5"/>
      <c r="Q2430" s="5"/>
      <c r="AL2430" s="7" t="str">
        <f>HYPERLINK("http://dx.doi.org/10.1890/08-2158.1","http://dx.doi.org/10.1890/08-2158.1")</f>
        <v>http://dx.doi.org/10.1890/08-2158.1</v>
      </c>
      <c r="AM2430" s="5">
        <v>27</v>
      </c>
      <c r="AN2430" s="5">
        <v>28</v>
      </c>
      <c r="AO2430" s="5">
        <v>90</v>
      </c>
      <c r="AP2430" s="5">
        <v>11</v>
      </c>
      <c r="AQ2430" s="5">
        <v>3150</v>
      </c>
      <c r="AR2430" s="5">
        <v>3158</v>
      </c>
      <c r="AS2430" s="5" t="s">
        <v>16</v>
      </c>
      <c r="AT2430" s="5" t="s">
        <v>14554</v>
      </c>
      <c r="AU2430" s="5" t="s">
        <v>14555</v>
      </c>
      <c r="AV2430" s="5" t="s">
        <v>14557</v>
      </c>
    </row>
    <row r="2431" spans="1:48" ht="45" customHeight="1" x14ac:dyDescent="0.15">
      <c r="A2431" s="5" t="s">
        <v>14558</v>
      </c>
      <c r="B2431" s="5">
        <v>2013</v>
      </c>
      <c r="C2431" s="5" t="s">
        <v>14559</v>
      </c>
      <c r="D2431" s="5" t="s">
        <v>27</v>
      </c>
      <c r="E2431" s="5" t="s">
        <v>18453</v>
      </c>
      <c r="F2431" s="5" t="s">
        <v>14562</v>
      </c>
      <c r="G2431" s="5"/>
      <c r="H2431" s="5"/>
      <c r="I2431" s="5"/>
      <c r="J2431" s="5"/>
      <c r="K2431" s="5"/>
      <c r="L2431" s="5"/>
      <c r="M2431" s="5"/>
      <c r="N2431" s="5"/>
      <c r="O2431" s="5"/>
      <c r="P2431" s="5"/>
      <c r="Q2431" s="5"/>
      <c r="AL2431" s="7" t="str">
        <f>HYPERLINK("http://dx.doi.org/10.1890/12-0156.1","http://dx.doi.org/10.1890/12-0156.1")</f>
        <v>http://dx.doi.org/10.1890/12-0156.1</v>
      </c>
      <c r="AM2431" s="5">
        <v>96</v>
      </c>
      <c r="AN2431" s="5">
        <v>97</v>
      </c>
      <c r="AO2431" s="5">
        <v>94</v>
      </c>
      <c r="AP2431" s="5">
        <v>2</v>
      </c>
      <c r="AQ2431" s="5">
        <v>510</v>
      </c>
      <c r="AR2431" s="5">
        <v>520</v>
      </c>
      <c r="AS2431" s="5" t="s">
        <v>16</v>
      </c>
      <c r="AT2431" s="5" t="s">
        <v>14560</v>
      </c>
      <c r="AU2431" s="5" t="s">
        <v>14561</v>
      </c>
      <c r="AV2431" s="5" t="s">
        <v>14563</v>
      </c>
    </row>
    <row r="2432" spans="1:48" ht="45" customHeight="1" x14ac:dyDescent="0.15">
      <c r="A2432" s="5" t="s">
        <v>14564</v>
      </c>
      <c r="B2432" s="5">
        <v>2014</v>
      </c>
      <c r="C2432" s="5" t="s">
        <v>14565</v>
      </c>
      <c r="D2432" s="5" t="s">
        <v>162</v>
      </c>
      <c r="E2432" s="5" t="s">
        <v>18453</v>
      </c>
      <c r="F2432" s="5" t="s">
        <v>14568</v>
      </c>
      <c r="G2432" s="5"/>
      <c r="H2432" s="5"/>
      <c r="I2432" s="5"/>
      <c r="J2432" s="5"/>
      <c r="K2432" s="5"/>
      <c r="L2432" s="5"/>
      <c r="M2432" s="5"/>
      <c r="N2432" s="5"/>
      <c r="O2432" s="5"/>
      <c r="P2432" s="5"/>
      <c r="Q2432" s="5"/>
      <c r="AL2432" s="7" t="str">
        <f>HYPERLINK("http://dx.doi.org/10.1111/1365-2435.12155","http://dx.doi.org/10.1111/1365-2435.12155")</f>
        <v>http://dx.doi.org/10.1111/1365-2435.12155</v>
      </c>
      <c r="AM2432" s="5">
        <v>99</v>
      </c>
      <c r="AN2432" s="5">
        <v>105</v>
      </c>
      <c r="AO2432" s="5">
        <v>28</v>
      </c>
      <c r="AP2432" s="5">
        <v>1</v>
      </c>
      <c r="AQ2432" s="5">
        <v>270</v>
      </c>
      <c r="AR2432" s="5">
        <v>282</v>
      </c>
      <c r="AS2432" s="5" t="s">
        <v>16</v>
      </c>
      <c r="AT2432" s="5" t="s">
        <v>14566</v>
      </c>
      <c r="AU2432" s="5" t="s">
        <v>14567</v>
      </c>
      <c r="AV2432" s="5" t="s">
        <v>14569</v>
      </c>
    </row>
    <row r="2433" spans="1:48" ht="45" customHeight="1" x14ac:dyDescent="0.15">
      <c r="A2433" s="5" t="s">
        <v>14570</v>
      </c>
      <c r="B2433" s="5">
        <v>2003</v>
      </c>
      <c r="C2433" s="5" t="s">
        <v>14571</v>
      </c>
      <c r="D2433" s="5" t="s">
        <v>49</v>
      </c>
      <c r="E2433" s="5" t="s">
        <v>18453</v>
      </c>
      <c r="F2433" s="5" t="s">
        <v>14574</v>
      </c>
      <c r="G2433" s="5"/>
      <c r="H2433" s="5"/>
      <c r="I2433" s="5"/>
      <c r="J2433" s="5"/>
      <c r="K2433" s="5"/>
      <c r="L2433" s="5"/>
      <c r="M2433" s="5"/>
      <c r="N2433" s="5"/>
      <c r="O2433" s="5"/>
      <c r="P2433" s="5"/>
      <c r="Q2433" s="5"/>
      <c r="AL2433" s="7" t="str">
        <f>HYPERLINK("http://dx.doi.org/10.3354/meps255303","http://dx.doi.org/10.3354/meps255303")</f>
        <v>http://dx.doi.org/10.3354/meps255303</v>
      </c>
      <c r="AM2433" s="5">
        <v>54</v>
      </c>
      <c r="AN2433" s="5">
        <v>62</v>
      </c>
      <c r="AO2433" s="5">
        <v>255</v>
      </c>
      <c r="AP2433" s="5" t="s">
        <v>16</v>
      </c>
      <c r="AQ2433" s="5">
        <v>303</v>
      </c>
      <c r="AR2433" s="5">
        <v>309</v>
      </c>
      <c r="AS2433" s="5" t="s">
        <v>16</v>
      </c>
      <c r="AT2433" s="5" t="s">
        <v>14572</v>
      </c>
      <c r="AU2433" s="5" t="s">
        <v>14573</v>
      </c>
      <c r="AV2433" s="5" t="s">
        <v>14575</v>
      </c>
    </row>
    <row r="2434" spans="1:48" ht="45" customHeight="1" x14ac:dyDescent="0.15">
      <c r="A2434" s="5" t="s">
        <v>14576</v>
      </c>
      <c r="B2434" s="5">
        <v>2016</v>
      </c>
      <c r="C2434" s="5" t="s">
        <v>14577</v>
      </c>
      <c r="D2434" s="5" t="s">
        <v>49</v>
      </c>
      <c r="E2434" s="5" t="s">
        <v>18453</v>
      </c>
      <c r="F2434" s="5" t="s">
        <v>14580</v>
      </c>
      <c r="G2434" s="5"/>
      <c r="H2434" s="5"/>
      <c r="I2434" s="5"/>
      <c r="J2434" s="5"/>
      <c r="K2434" s="5"/>
      <c r="L2434" s="5"/>
      <c r="M2434" s="5"/>
      <c r="N2434" s="5"/>
      <c r="O2434" s="5"/>
      <c r="P2434" s="5"/>
      <c r="Q2434" s="5"/>
      <c r="AL2434" s="7" t="str">
        <f>HYPERLINK("http://dx.doi.org/10.3354/meps11576","http://dx.doi.org/10.3354/meps11576")</f>
        <v>http://dx.doi.org/10.3354/meps11576</v>
      </c>
      <c r="AM2434" s="5">
        <v>26</v>
      </c>
      <c r="AN2434" s="5">
        <v>27</v>
      </c>
      <c r="AO2434" s="5">
        <v>542</v>
      </c>
      <c r="AP2434" s="5" t="s">
        <v>16</v>
      </c>
      <c r="AQ2434" s="5">
        <v>209</v>
      </c>
      <c r="AR2434" s="5">
        <v>219</v>
      </c>
      <c r="AS2434" s="5" t="s">
        <v>16</v>
      </c>
      <c r="AT2434" s="5" t="s">
        <v>14578</v>
      </c>
      <c r="AU2434" s="5" t="s">
        <v>14579</v>
      </c>
      <c r="AV2434" s="5" t="s">
        <v>14581</v>
      </c>
    </row>
    <row r="2435" spans="1:48" ht="45" customHeight="1" x14ac:dyDescent="0.15">
      <c r="A2435" s="5" t="s">
        <v>14582</v>
      </c>
      <c r="B2435" s="5">
        <v>2018</v>
      </c>
      <c r="C2435" s="5" t="s">
        <v>14583</v>
      </c>
      <c r="D2435" s="5" t="s">
        <v>15</v>
      </c>
      <c r="E2435" s="5" t="s">
        <v>18453</v>
      </c>
      <c r="F2435" s="5" t="s">
        <v>14586</v>
      </c>
      <c r="G2435" s="5"/>
      <c r="H2435" s="5"/>
      <c r="I2435" s="5"/>
      <c r="J2435" s="5"/>
      <c r="K2435" s="5"/>
      <c r="L2435" s="5"/>
      <c r="M2435" s="5"/>
      <c r="N2435" s="5"/>
      <c r="O2435" s="5"/>
      <c r="P2435" s="5"/>
      <c r="Q2435" s="5"/>
      <c r="AL2435" s="7" t="str">
        <f>HYPERLINK("http://dx.doi.org/10.1002/ece3.4167","http://dx.doi.org/10.1002/ece3.4167")</f>
        <v>http://dx.doi.org/10.1002/ece3.4167</v>
      </c>
      <c r="AM2435" s="5">
        <v>29</v>
      </c>
      <c r="AN2435" s="5">
        <v>30</v>
      </c>
      <c r="AO2435" s="5">
        <v>8</v>
      </c>
      <c r="AP2435" s="5">
        <v>15</v>
      </c>
      <c r="AQ2435" s="5">
        <v>7529</v>
      </c>
      <c r="AR2435" s="5">
        <v>7542</v>
      </c>
      <c r="AS2435" s="5" t="s">
        <v>16</v>
      </c>
      <c r="AT2435" s="5" t="s">
        <v>14584</v>
      </c>
      <c r="AU2435" s="5" t="s">
        <v>14585</v>
      </c>
      <c r="AV2435" s="5" t="s">
        <v>14587</v>
      </c>
    </row>
    <row r="2436" spans="1:48" ht="45" customHeight="1" x14ac:dyDescent="0.15">
      <c r="A2436" s="5" t="s">
        <v>14588</v>
      </c>
      <c r="B2436" s="5">
        <v>2003</v>
      </c>
      <c r="C2436" s="5" t="s">
        <v>14589</v>
      </c>
      <c r="D2436" s="5" t="s">
        <v>33</v>
      </c>
      <c r="E2436" s="5" t="s">
        <v>18453</v>
      </c>
      <c r="F2436" s="5" t="s">
        <v>14592</v>
      </c>
      <c r="G2436" s="5"/>
      <c r="H2436" s="5"/>
      <c r="I2436" s="5"/>
      <c r="J2436" s="5"/>
      <c r="K2436" s="5"/>
      <c r="L2436" s="5"/>
      <c r="M2436" s="5"/>
      <c r="N2436" s="5"/>
      <c r="O2436" s="5"/>
      <c r="P2436" s="5"/>
      <c r="Q2436" s="5"/>
      <c r="AL2436" s="7" t="str">
        <f>HYPERLINK("http://dx.doi.org/10.1046/j.1365-2486.2003.00680.x","http://dx.doi.org/10.1046/j.1365-2486.2003.00680.x")</f>
        <v>http://dx.doi.org/10.1046/j.1365-2486.2003.00680.x</v>
      </c>
      <c r="AM2436" s="5">
        <v>48</v>
      </c>
      <c r="AN2436" s="5">
        <v>54</v>
      </c>
      <c r="AO2436" s="5">
        <v>9</v>
      </c>
      <c r="AP2436" s="5">
        <v>11</v>
      </c>
      <c r="AQ2436" s="5">
        <v>1567</v>
      </c>
      <c r="AR2436" s="5">
        <v>1581</v>
      </c>
      <c r="AS2436" s="5" t="s">
        <v>16</v>
      </c>
      <c r="AT2436" s="5" t="s">
        <v>14590</v>
      </c>
      <c r="AU2436" s="5" t="s">
        <v>14591</v>
      </c>
      <c r="AV2436" s="5" t="s">
        <v>14593</v>
      </c>
    </row>
    <row r="2437" spans="1:48" ht="45" customHeight="1" x14ac:dyDescent="0.15">
      <c r="A2437" s="5" t="s">
        <v>14594</v>
      </c>
      <c r="B2437" s="5">
        <v>2011</v>
      </c>
      <c r="C2437" s="5" t="s">
        <v>14595</v>
      </c>
      <c r="D2437" s="5" t="s">
        <v>1765</v>
      </c>
      <c r="E2437" s="5" t="s">
        <v>18453</v>
      </c>
      <c r="F2437" s="5" t="s">
        <v>14598</v>
      </c>
      <c r="G2437" s="5"/>
      <c r="H2437" s="5"/>
      <c r="I2437" s="5"/>
      <c r="J2437" s="5"/>
      <c r="K2437" s="5"/>
      <c r="L2437" s="5"/>
      <c r="M2437" s="5"/>
      <c r="N2437" s="5"/>
      <c r="O2437" s="5"/>
      <c r="P2437" s="5"/>
      <c r="Q2437" s="5"/>
      <c r="AL2437" s="7" t="str">
        <f>HYPERLINK("http://dx.doi.org/10.1016/j.agee.2011.02.006","http://dx.doi.org/10.1016/j.agee.2011.02.006")</f>
        <v>http://dx.doi.org/10.1016/j.agee.2011.02.006</v>
      </c>
      <c r="AM2437" s="5">
        <v>42</v>
      </c>
      <c r="AN2437" s="5">
        <v>44</v>
      </c>
      <c r="AO2437" s="5">
        <v>140</v>
      </c>
      <c r="AP2437" s="5" t="s">
        <v>639</v>
      </c>
      <c r="AQ2437" s="5">
        <v>521</v>
      </c>
      <c r="AR2437" s="5">
        <v>533</v>
      </c>
      <c r="AS2437" s="5" t="s">
        <v>16</v>
      </c>
      <c r="AT2437" s="5" t="s">
        <v>14596</v>
      </c>
      <c r="AU2437" s="5" t="s">
        <v>14597</v>
      </c>
      <c r="AV2437" s="5" t="s">
        <v>14599</v>
      </c>
    </row>
    <row r="2438" spans="1:48" ht="45" customHeight="1" x14ac:dyDescent="0.15">
      <c r="A2438" s="5" t="s">
        <v>14600</v>
      </c>
      <c r="B2438" s="5">
        <v>2011</v>
      </c>
      <c r="C2438" s="5" t="s">
        <v>14601</v>
      </c>
      <c r="D2438" s="5" t="s">
        <v>7759</v>
      </c>
      <c r="E2438" s="5" t="s">
        <v>18453</v>
      </c>
      <c r="F2438" s="5" t="s">
        <v>14604</v>
      </c>
      <c r="G2438" s="5"/>
      <c r="H2438" s="5"/>
      <c r="I2438" s="5"/>
      <c r="J2438" s="5"/>
      <c r="K2438" s="5"/>
      <c r="L2438" s="5"/>
      <c r="M2438" s="5"/>
      <c r="N2438" s="5"/>
      <c r="O2438" s="5"/>
      <c r="P2438" s="5"/>
      <c r="Q2438" s="5"/>
      <c r="AL2438" s="7" t="str">
        <f>HYPERLINK("http://dx.doi.org/10.1007/s11258-010-9803-0","http://dx.doi.org/10.1007/s11258-010-9803-0")</f>
        <v>http://dx.doi.org/10.1007/s11258-010-9803-0</v>
      </c>
      <c r="AM2438" s="5">
        <v>5</v>
      </c>
      <c r="AN2438" s="5">
        <v>5</v>
      </c>
      <c r="AO2438" s="5">
        <v>212</v>
      </c>
      <c r="AP2438" s="5">
        <v>1</v>
      </c>
      <c r="AQ2438" s="5">
        <v>63</v>
      </c>
      <c r="AR2438" s="5">
        <v>68</v>
      </c>
      <c r="AS2438" s="5" t="s">
        <v>16</v>
      </c>
      <c r="AT2438" s="5" t="s">
        <v>14602</v>
      </c>
      <c r="AU2438" s="5" t="s">
        <v>14603</v>
      </c>
      <c r="AV2438" s="5" t="s">
        <v>14605</v>
      </c>
    </row>
    <row r="2439" spans="1:48" ht="45" customHeight="1" x14ac:dyDescent="0.15">
      <c r="A2439" s="5" t="s">
        <v>14606</v>
      </c>
      <c r="B2439" s="5">
        <v>2014</v>
      </c>
      <c r="C2439" s="5" t="s">
        <v>14607</v>
      </c>
      <c r="D2439" s="5" t="s">
        <v>251</v>
      </c>
      <c r="E2439" s="5" t="s">
        <v>18453</v>
      </c>
      <c r="F2439" s="5" t="s">
        <v>14610</v>
      </c>
      <c r="G2439" s="5"/>
      <c r="H2439" s="5"/>
      <c r="I2439" s="5"/>
      <c r="J2439" s="5"/>
      <c r="K2439" s="5"/>
      <c r="L2439" s="5"/>
      <c r="M2439" s="5"/>
      <c r="N2439" s="5"/>
      <c r="O2439" s="5"/>
      <c r="P2439" s="5"/>
      <c r="Q2439" s="5"/>
      <c r="AL2439" s="7" t="str">
        <f>HYPERLINK("http://dx.doi.org/10.1016/j.biocon.2013.11.014","http://dx.doi.org/10.1016/j.biocon.2013.11.014")</f>
        <v>http://dx.doi.org/10.1016/j.biocon.2013.11.014</v>
      </c>
      <c r="AM2439" s="5">
        <v>69</v>
      </c>
      <c r="AN2439" s="5">
        <v>71</v>
      </c>
      <c r="AO2439" s="5">
        <v>169</v>
      </c>
      <c r="AP2439" s="5" t="s">
        <v>16</v>
      </c>
      <c r="AQ2439" s="5">
        <v>268</v>
      </c>
      <c r="AR2439" s="5">
        <v>276</v>
      </c>
      <c r="AS2439" s="5" t="s">
        <v>16</v>
      </c>
      <c r="AT2439" s="5" t="s">
        <v>14608</v>
      </c>
      <c r="AU2439" s="5" t="s">
        <v>14609</v>
      </c>
      <c r="AV2439" s="5" t="s">
        <v>14611</v>
      </c>
    </row>
    <row r="2440" spans="1:48" ht="45" customHeight="1" x14ac:dyDescent="0.15">
      <c r="A2440" s="5" t="s">
        <v>14612</v>
      </c>
      <c r="B2440" s="5">
        <v>2011</v>
      </c>
      <c r="C2440" s="5" t="s">
        <v>14613</v>
      </c>
      <c r="D2440" s="5" t="s">
        <v>6380</v>
      </c>
      <c r="E2440" s="5" t="s">
        <v>18453</v>
      </c>
      <c r="F2440" s="5" t="s">
        <v>14615</v>
      </c>
      <c r="G2440" s="5"/>
      <c r="H2440" s="5"/>
      <c r="I2440" s="5"/>
      <c r="J2440" s="5"/>
      <c r="K2440" s="5"/>
      <c r="L2440" s="5"/>
      <c r="M2440" s="5"/>
      <c r="N2440" s="5"/>
      <c r="O2440" s="5"/>
      <c r="P2440" s="5"/>
      <c r="Q2440" s="5"/>
      <c r="AL2440" s="7" t="str">
        <f>HYPERLINK("http://dx.doi.org/10.1666/09068.1","http://dx.doi.org/10.1666/09068.1")</f>
        <v>http://dx.doi.org/10.1666/09068.1</v>
      </c>
      <c r="AM2440" s="5">
        <v>61</v>
      </c>
      <c r="AN2440" s="5">
        <v>64</v>
      </c>
      <c r="AO2440" s="5">
        <v>37</v>
      </c>
      <c r="AP2440" s="5">
        <v>1</v>
      </c>
      <c r="AQ2440" s="5">
        <v>23</v>
      </c>
      <c r="AR2440" s="5">
        <v>49</v>
      </c>
      <c r="AS2440" s="5" t="s">
        <v>16</v>
      </c>
      <c r="AT2440" s="5" t="s">
        <v>16</v>
      </c>
      <c r="AU2440" s="5" t="s">
        <v>14614</v>
      </c>
      <c r="AV2440" s="5" t="s">
        <v>14616</v>
      </c>
    </row>
    <row r="2441" spans="1:48" ht="45" customHeight="1" x14ac:dyDescent="0.15">
      <c r="A2441" s="5" t="s">
        <v>14617</v>
      </c>
      <c r="B2441" s="5">
        <v>2015</v>
      </c>
      <c r="C2441" s="5" t="s">
        <v>14618</v>
      </c>
      <c r="D2441" s="5" t="s">
        <v>251</v>
      </c>
      <c r="E2441" s="5" t="s">
        <v>18453</v>
      </c>
      <c r="F2441" s="5" t="s">
        <v>14621</v>
      </c>
      <c r="G2441" s="5"/>
      <c r="H2441" s="5"/>
      <c r="I2441" s="5"/>
      <c r="J2441" s="5"/>
      <c r="K2441" s="5"/>
      <c r="L2441" s="5"/>
      <c r="M2441" s="5"/>
      <c r="N2441" s="5"/>
      <c r="O2441" s="5"/>
      <c r="P2441" s="5"/>
      <c r="Q2441" s="5"/>
      <c r="AL2441" s="7" t="str">
        <f>HYPERLINK("http://dx.doi.org/10.1016/j.biocon.2015.07.038","http://dx.doi.org/10.1016/j.biocon.2015.07.038")</f>
        <v>http://dx.doi.org/10.1016/j.biocon.2015.07.038</v>
      </c>
      <c r="AM2441" s="5">
        <v>29</v>
      </c>
      <c r="AN2441" s="5">
        <v>30</v>
      </c>
      <c r="AO2441" s="5">
        <v>191</v>
      </c>
      <c r="AP2441" s="5" t="s">
        <v>16</v>
      </c>
      <c r="AQ2441" s="5">
        <v>606</v>
      </c>
      <c r="AR2441" s="5">
        <v>613</v>
      </c>
      <c r="AS2441" s="5" t="s">
        <v>16</v>
      </c>
      <c r="AT2441" s="5" t="s">
        <v>14619</v>
      </c>
      <c r="AU2441" s="5" t="s">
        <v>14620</v>
      </c>
      <c r="AV2441" s="5" t="s">
        <v>14622</v>
      </c>
    </row>
    <row r="2442" spans="1:48" ht="45" customHeight="1" x14ac:dyDescent="0.15">
      <c r="A2442" s="5" t="s">
        <v>14623</v>
      </c>
      <c r="B2442" s="5">
        <v>2009</v>
      </c>
      <c r="C2442" s="5" t="s">
        <v>14624</v>
      </c>
      <c r="D2442" s="5" t="s">
        <v>49</v>
      </c>
      <c r="E2442" s="5" t="s">
        <v>18453</v>
      </c>
      <c r="F2442" s="5" t="s">
        <v>14627</v>
      </c>
      <c r="G2442" s="5"/>
      <c r="H2442" s="5"/>
      <c r="I2442" s="5"/>
      <c r="J2442" s="5"/>
      <c r="K2442" s="5"/>
      <c r="L2442" s="5"/>
      <c r="M2442" s="5"/>
      <c r="N2442" s="5"/>
      <c r="O2442" s="5"/>
      <c r="P2442" s="5"/>
      <c r="Q2442" s="5"/>
      <c r="AL2442" s="7" t="str">
        <f>HYPERLINK("http://dx.doi.org/10.3354/meps08192","http://dx.doi.org/10.3354/meps08192")</f>
        <v>http://dx.doi.org/10.3354/meps08192</v>
      </c>
      <c r="AM2442" s="5">
        <v>37</v>
      </c>
      <c r="AN2442" s="5">
        <v>41</v>
      </c>
      <c r="AO2442" s="5">
        <v>393</v>
      </c>
      <c r="AP2442" s="5" t="s">
        <v>16</v>
      </c>
      <c r="AQ2442" s="5">
        <v>273</v>
      </c>
      <c r="AR2442" s="5">
        <v>284</v>
      </c>
      <c r="AS2442" s="5" t="s">
        <v>16</v>
      </c>
      <c r="AT2442" s="5" t="s">
        <v>14625</v>
      </c>
      <c r="AU2442" s="5" t="s">
        <v>14626</v>
      </c>
      <c r="AV2442" s="5" t="s">
        <v>14628</v>
      </c>
    </row>
    <row r="2443" spans="1:48" ht="45" customHeight="1" x14ac:dyDescent="0.15">
      <c r="A2443" s="5" t="s">
        <v>14629</v>
      </c>
      <c r="B2443" s="5">
        <v>2022</v>
      </c>
      <c r="C2443" s="5" t="s">
        <v>14630</v>
      </c>
      <c r="D2443" s="5" t="s">
        <v>1785</v>
      </c>
      <c r="E2443" s="5" t="s">
        <v>18453</v>
      </c>
      <c r="F2443" s="5" t="s">
        <v>14633</v>
      </c>
      <c r="G2443" s="5"/>
      <c r="H2443" s="5"/>
      <c r="I2443" s="5"/>
      <c r="J2443" s="5"/>
      <c r="K2443" s="5"/>
      <c r="L2443" s="5"/>
      <c r="M2443" s="5"/>
      <c r="N2443" s="5"/>
      <c r="O2443" s="5"/>
      <c r="P2443" s="5"/>
      <c r="Q2443" s="5"/>
      <c r="AL2443" s="7" t="str">
        <f>HYPERLINK("http://dx.doi.org/10.5751/ACE-02067-170114","http://dx.doi.org/10.5751/ACE-02067-170114")</f>
        <v>http://dx.doi.org/10.5751/ACE-02067-170114</v>
      </c>
      <c r="AM2443" s="5">
        <v>1</v>
      </c>
      <c r="AN2443" s="5">
        <v>1</v>
      </c>
      <c r="AO2443" s="5">
        <v>17</v>
      </c>
      <c r="AP2443" s="5">
        <v>1</v>
      </c>
      <c r="AQ2443" s="5" t="s">
        <v>16</v>
      </c>
      <c r="AR2443" s="5" t="s">
        <v>16</v>
      </c>
      <c r="AS2443" s="5" t="s">
        <v>16</v>
      </c>
      <c r="AT2443" s="5" t="s">
        <v>14631</v>
      </c>
      <c r="AU2443" s="5" t="s">
        <v>14632</v>
      </c>
      <c r="AV2443" s="5" t="s">
        <v>14634</v>
      </c>
    </row>
    <row r="2444" spans="1:48" ht="45" customHeight="1" x14ac:dyDescent="0.15">
      <c r="A2444" s="5" t="s">
        <v>14635</v>
      </c>
      <c r="B2444" s="5">
        <v>2015</v>
      </c>
      <c r="C2444" s="5" t="s">
        <v>14636</v>
      </c>
      <c r="D2444" s="5" t="s">
        <v>199</v>
      </c>
      <c r="E2444" s="5" t="s">
        <v>18453</v>
      </c>
      <c r="F2444" s="5" t="s">
        <v>14639</v>
      </c>
      <c r="G2444" s="5"/>
      <c r="H2444" s="5"/>
      <c r="I2444" s="5"/>
      <c r="J2444" s="5"/>
      <c r="K2444" s="5"/>
      <c r="L2444" s="5"/>
      <c r="M2444" s="5"/>
      <c r="N2444" s="5"/>
      <c r="O2444" s="5"/>
      <c r="P2444" s="5"/>
      <c r="Q2444" s="5"/>
      <c r="AL2444" s="7" t="str">
        <f>HYPERLINK("http://dx.doi.org/10.1016/j.ejsobi.2015.07.002","http://dx.doi.org/10.1016/j.ejsobi.2015.07.002")</f>
        <v>http://dx.doi.org/10.1016/j.ejsobi.2015.07.002</v>
      </c>
      <c r="AM2444" s="5">
        <v>12</v>
      </c>
      <c r="AN2444" s="5">
        <v>13</v>
      </c>
      <c r="AO2444" s="5">
        <v>70</v>
      </c>
      <c r="AP2444" s="5" t="s">
        <v>16</v>
      </c>
      <c r="AQ2444" s="5">
        <v>38</v>
      </c>
      <c r="AR2444" s="5">
        <v>45</v>
      </c>
      <c r="AS2444" s="5" t="s">
        <v>16</v>
      </c>
      <c r="AT2444" s="5" t="s">
        <v>14637</v>
      </c>
      <c r="AU2444" s="5" t="s">
        <v>14638</v>
      </c>
      <c r="AV2444" s="5" t="s">
        <v>14640</v>
      </c>
    </row>
    <row r="2445" spans="1:48" ht="45" customHeight="1" x14ac:dyDescent="0.15">
      <c r="A2445" s="5" t="s">
        <v>14641</v>
      </c>
      <c r="B2445" s="5">
        <v>2016</v>
      </c>
      <c r="C2445" s="5" t="s">
        <v>14642</v>
      </c>
      <c r="D2445" s="5" t="s">
        <v>973</v>
      </c>
      <c r="E2445" s="5" t="s">
        <v>18453</v>
      </c>
      <c r="F2445" s="5" t="s">
        <v>14644</v>
      </c>
      <c r="G2445" s="5"/>
      <c r="H2445" s="5"/>
      <c r="I2445" s="5"/>
      <c r="J2445" s="5"/>
      <c r="K2445" s="5"/>
      <c r="L2445" s="5"/>
      <c r="M2445" s="5"/>
      <c r="N2445" s="5"/>
      <c r="O2445" s="5"/>
      <c r="P2445" s="5"/>
      <c r="Q2445" s="5"/>
      <c r="AL2445" s="7" t="str">
        <f>HYPERLINK("http://dx.doi.org/10.5194/bg-13-3677-2016","http://dx.doi.org/10.5194/bg-13-3677-2016")</f>
        <v>http://dx.doi.org/10.5194/bg-13-3677-2016</v>
      </c>
      <c r="AM2445" s="5">
        <v>7</v>
      </c>
      <c r="AN2445" s="5">
        <v>8</v>
      </c>
      <c r="AO2445" s="5">
        <v>13</v>
      </c>
      <c r="AP2445" s="5">
        <v>12</v>
      </c>
      <c r="AQ2445" s="5">
        <v>3677</v>
      </c>
      <c r="AR2445" s="5">
        <v>3686</v>
      </c>
      <c r="AS2445" s="5" t="s">
        <v>16</v>
      </c>
      <c r="AT2445" s="5" t="s">
        <v>16</v>
      </c>
      <c r="AU2445" s="5" t="s">
        <v>14643</v>
      </c>
      <c r="AV2445" s="5" t="s">
        <v>14645</v>
      </c>
    </row>
    <row r="2446" spans="1:48" ht="45" customHeight="1" x14ac:dyDescent="0.15">
      <c r="A2446" s="5" t="s">
        <v>14646</v>
      </c>
      <c r="B2446" s="5">
        <v>2007</v>
      </c>
      <c r="C2446" s="5" t="s">
        <v>14647</v>
      </c>
      <c r="D2446" s="5" t="s">
        <v>488</v>
      </c>
      <c r="E2446" s="5" t="s">
        <v>18453</v>
      </c>
      <c r="F2446" s="5" t="s">
        <v>14650</v>
      </c>
      <c r="G2446" s="5"/>
      <c r="H2446" s="5"/>
      <c r="I2446" s="5"/>
      <c r="J2446" s="5"/>
      <c r="K2446" s="5"/>
      <c r="L2446" s="5"/>
      <c r="M2446" s="5"/>
      <c r="N2446" s="5"/>
      <c r="O2446" s="5"/>
      <c r="P2446" s="5"/>
      <c r="Q2446" s="5"/>
      <c r="AL2446" s="7" t="str">
        <f>HYPERLINK("http://dx.doi.org/10.1007/s10344-006-0070-2","http://dx.doi.org/10.1007/s10344-006-0070-2")</f>
        <v>http://dx.doi.org/10.1007/s10344-006-0070-2</v>
      </c>
      <c r="AM2446" s="5">
        <v>26</v>
      </c>
      <c r="AN2446" s="5">
        <v>28</v>
      </c>
      <c r="AO2446" s="5">
        <v>53</v>
      </c>
      <c r="AP2446" s="5">
        <v>2</v>
      </c>
      <c r="AQ2446" s="5">
        <v>90</v>
      </c>
      <c r="AR2446" s="5">
        <v>99</v>
      </c>
      <c r="AS2446" s="5" t="s">
        <v>16</v>
      </c>
      <c r="AT2446" s="5" t="s">
        <v>14648</v>
      </c>
      <c r="AU2446" s="5" t="s">
        <v>14649</v>
      </c>
      <c r="AV2446" s="5" t="s">
        <v>14651</v>
      </c>
    </row>
    <row r="2447" spans="1:48" ht="45" customHeight="1" x14ac:dyDescent="0.15">
      <c r="A2447" s="5" t="s">
        <v>14652</v>
      </c>
      <c r="B2447" s="5">
        <v>2015</v>
      </c>
      <c r="C2447" s="5" t="s">
        <v>14653</v>
      </c>
      <c r="D2447" s="5" t="s">
        <v>251</v>
      </c>
      <c r="E2447" s="5" t="s">
        <v>18453</v>
      </c>
      <c r="F2447" s="5" t="s">
        <v>14656</v>
      </c>
      <c r="G2447" s="5"/>
      <c r="H2447" s="5"/>
      <c r="I2447" s="5"/>
      <c r="J2447" s="5"/>
      <c r="K2447" s="5"/>
      <c r="L2447" s="5"/>
      <c r="M2447" s="5"/>
      <c r="N2447" s="5"/>
      <c r="O2447" s="5"/>
      <c r="P2447" s="5"/>
      <c r="Q2447" s="5"/>
      <c r="AL2447" s="7" t="str">
        <f>HYPERLINK("http://dx.doi.org/10.1016/j.biocon.2014.12.014","http://dx.doi.org/10.1016/j.biocon.2014.12.014")</f>
        <v>http://dx.doi.org/10.1016/j.biocon.2014.12.014</v>
      </c>
      <c r="AM2447" s="5">
        <v>44</v>
      </c>
      <c r="AN2447" s="5">
        <v>45</v>
      </c>
      <c r="AO2447" s="5">
        <v>185</v>
      </c>
      <c r="AP2447" s="5" t="s">
        <v>16</v>
      </c>
      <c r="AQ2447" s="5">
        <v>75</v>
      </c>
      <c r="AR2447" s="5">
        <v>84</v>
      </c>
      <c r="AS2447" s="5" t="s">
        <v>16</v>
      </c>
      <c r="AT2447" s="5" t="s">
        <v>14654</v>
      </c>
      <c r="AU2447" s="5" t="s">
        <v>14655</v>
      </c>
      <c r="AV2447" s="5" t="s">
        <v>14657</v>
      </c>
    </row>
    <row r="2448" spans="1:48" ht="45" customHeight="1" x14ac:dyDescent="0.15">
      <c r="A2448" s="5" t="s">
        <v>14658</v>
      </c>
      <c r="B2448" s="5">
        <v>2006</v>
      </c>
      <c r="C2448" s="5" t="s">
        <v>14659</v>
      </c>
      <c r="D2448" s="5" t="s">
        <v>67</v>
      </c>
      <c r="E2448" s="5" t="s">
        <v>18453</v>
      </c>
      <c r="F2448" s="5" t="s">
        <v>14662</v>
      </c>
      <c r="G2448" s="5"/>
      <c r="H2448" s="5"/>
      <c r="I2448" s="5"/>
      <c r="J2448" s="5"/>
      <c r="K2448" s="5"/>
      <c r="L2448" s="5"/>
      <c r="M2448" s="5"/>
      <c r="N2448" s="5"/>
      <c r="O2448" s="5"/>
      <c r="P2448" s="5"/>
      <c r="Q2448" s="5"/>
      <c r="AL2448" s="7" t="str">
        <f>HYPERLINK("http://dx.doi.org/10.1111/j.1365-2699.2006.01531.x","http://dx.doi.org/10.1111/j.1365-2699.2006.01531.x")</f>
        <v>http://dx.doi.org/10.1111/j.1365-2699.2006.01531.x</v>
      </c>
      <c r="AM2448" s="5">
        <v>19</v>
      </c>
      <c r="AN2448" s="5">
        <v>20</v>
      </c>
      <c r="AO2448" s="5">
        <v>33</v>
      </c>
      <c r="AP2448" s="5">
        <v>9</v>
      </c>
      <c r="AQ2448" s="5">
        <v>1585</v>
      </c>
      <c r="AR2448" s="5">
        <v>1596</v>
      </c>
      <c r="AS2448" s="5" t="s">
        <v>16</v>
      </c>
      <c r="AT2448" s="5" t="s">
        <v>14660</v>
      </c>
      <c r="AU2448" s="5" t="s">
        <v>14661</v>
      </c>
      <c r="AV2448" s="5" t="s">
        <v>14663</v>
      </c>
    </row>
    <row r="2449" spans="1:48" ht="45" customHeight="1" x14ac:dyDescent="0.15">
      <c r="A2449" s="5" t="s">
        <v>14664</v>
      </c>
      <c r="B2449" s="5">
        <v>2017</v>
      </c>
      <c r="C2449" s="5" t="s">
        <v>14665</v>
      </c>
      <c r="D2449" s="5" t="s">
        <v>15</v>
      </c>
      <c r="E2449" s="5" t="s">
        <v>18453</v>
      </c>
      <c r="F2449" s="5" t="s">
        <v>14668</v>
      </c>
      <c r="G2449" s="5"/>
      <c r="H2449" s="5"/>
      <c r="I2449" s="5"/>
      <c r="J2449" s="5"/>
      <c r="K2449" s="5"/>
      <c r="L2449" s="5"/>
      <c r="M2449" s="5"/>
      <c r="N2449" s="5"/>
      <c r="O2449" s="5"/>
      <c r="P2449" s="5"/>
      <c r="Q2449" s="5"/>
      <c r="AL2449" s="7" t="str">
        <f>HYPERLINK("http://dx.doi.org/10.1002/ece3.2972","http://dx.doi.org/10.1002/ece3.2972")</f>
        <v>http://dx.doi.org/10.1002/ece3.2972</v>
      </c>
      <c r="AM2449" s="5">
        <v>13</v>
      </c>
      <c r="AN2449" s="5">
        <v>13</v>
      </c>
      <c r="AO2449" s="5">
        <v>7</v>
      </c>
      <c r="AP2449" s="5">
        <v>11</v>
      </c>
      <c r="AQ2449" s="5">
        <v>3992</v>
      </c>
      <c r="AR2449" s="5">
        <v>4002</v>
      </c>
      <c r="AS2449" s="5" t="s">
        <v>16</v>
      </c>
      <c r="AT2449" s="5" t="s">
        <v>14666</v>
      </c>
      <c r="AU2449" s="5" t="s">
        <v>14667</v>
      </c>
      <c r="AV2449" s="5" t="s">
        <v>14669</v>
      </c>
    </row>
    <row r="2450" spans="1:48" ht="45" customHeight="1" x14ac:dyDescent="0.15">
      <c r="A2450" s="5" t="s">
        <v>14670</v>
      </c>
      <c r="B2450" s="5">
        <v>2016</v>
      </c>
      <c r="C2450" s="5" t="s">
        <v>14671</v>
      </c>
      <c r="D2450" s="5" t="s">
        <v>62</v>
      </c>
      <c r="E2450" s="5" t="s">
        <v>18453</v>
      </c>
      <c r="F2450" s="5" t="s">
        <v>14674</v>
      </c>
      <c r="G2450" s="5"/>
      <c r="H2450" s="5"/>
      <c r="I2450" s="5"/>
      <c r="J2450" s="5"/>
      <c r="K2450" s="5"/>
      <c r="L2450" s="5"/>
      <c r="M2450" s="5"/>
      <c r="N2450" s="5"/>
      <c r="O2450" s="5"/>
      <c r="P2450" s="5"/>
      <c r="Q2450" s="5"/>
      <c r="AL2450" s="7" t="str">
        <f>HYPERLINK("http://dx.doi.org/10.1007/s10021-016-0001-3","http://dx.doi.org/10.1007/s10021-016-0001-3")</f>
        <v>http://dx.doi.org/10.1007/s10021-016-0001-3</v>
      </c>
      <c r="AM2450" s="5">
        <v>13</v>
      </c>
      <c r="AN2450" s="5">
        <v>13</v>
      </c>
      <c r="AO2450" s="5">
        <v>19</v>
      </c>
      <c r="AP2450" s="5">
        <v>7</v>
      </c>
      <c r="AQ2450" s="5">
        <v>1271</v>
      </c>
      <c r="AR2450" s="5">
        <v>1288</v>
      </c>
      <c r="AS2450" s="5" t="s">
        <v>16</v>
      </c>
      <c r="AT2450" s="5" t="s">
        <v>14672</v>
      </c>
      <c r="AU2450" s="5" t="s">
        <v>14673</v>
      </c>
      <c r="AV2450" s="5" t="s">
        <v>14675</v>
      </c>
    </row>
    <row r="2451" spans="1:48" ht="45" customHeight="1" x14ac:dyDescent="0.15">
      <c r="A2451" s="5" t="s">
        <v>14676</v>
      </c>
      <c r="B2451" s="5">
        <v>2006</v>
      </c>
      <c r="C2451" s="5" t="s">
        <v>14677</v>
      </c>
      <c r="D2451" s="5" t="s">
        <v>116</v>
      </c>
      <c r="E2451" s="5" t="s">
        <v>18453</v>
      </c>
      <c r="F2451" s="5" t="s">
        <v>14680</v>
      </c>
      <c r="G2451" s="5"/>
      <c r="H2451" s="5"/>
      <c r="I2451" s="5"/>
      <c r="J2451" s="5"/>
      <c r="K2451" s="5"/>
      <c r="L2451" s="5"/>
      <c r="M2451" s="5"/>
      <c r="N2451" s="5"/>
      <c r="O2451" s="5"/>
      <c r="P2451" s="5"/>
      <c r="Q2451" s="5"/>
      <c r="AL2451" s="7" t="str">
        <f>HYPERLINK("http://dx.doi.org/10.1007/s10641-006-0030-4","http://dx.doi.org/10.1007/s10641-006-0030-4")</f>
        <v>http://dx.doi.org/10.1007/s10641-006-0030-4</v>
      </c>
      <c r="AM2451" s="5">
        <v>9</v>
      </c>
      <c r="AN2451" s="5">
        <v>12</v>
      </c>
      <c r="AO2451" s="5">
        <v>75</v>
      </c>
      <c r="AP2451" s="5">
        <v>3</v>
      </c>
      <c r="AQ2451" s="5">
        <v>315</v>
      </c>
      <c r="AR2451" s="5">
        <v>323</v>
      </c>
      <c r="AS2451" s="5" t="s">
        <v>16</v>
      </c>
      <c r="AT2451" s="5" t="s">
        <v>14678</v>
      </c>
      <c r="AU2451" s="5" t="s">
        <v>14679</v>
      </c>
      <c r="AV2451" s="5" t="s">
        <v>14681</v>
      </c>
    </row>
    <row r="2452" spans="1:48" ht="45" customHeight="1" x14ac:dyDescent="0.15">
      <c r="A2452" s="5" t="s">
        <v>14682</v>
      </c>
      <c r="B2452" s="5">
        <v>2018</v>
      </c>
      <c r="C2452" s="5" t="s">
        <v>14683</v>
      </c>
      <c r="D2452" s="5" t="s">
        <v>2517</v>
      </c>
      <c r="E2452" s="5" t="s">
        <v>18453</v>
      </c>
      <c r="F2452" s="5" t="s">
        <v>14686</v>
      </c>
      <c r="G2452" s="5"/>
      <c r="H2452" s="5"/>
      <c r="I2452" s="5"/>
      <c r="J2452" s="5"/>
      <c r="K2452" s="5"/>
      <c r="L2452" s="5"/>
      <c r="M2452" s="5"/>
      <c r="N2452" s="5"/>
      <c r="O2452" s="5"/>
      <c r="P2452" s="5"/>
      <c r="Q2452" s="5"/>
      <c r="AL2452" s="7" t="str">
        <f>HYPERLINK("http://dx.doi.org/10.1016/j.ecolecon.2017.09.007","http://dx.doi.org/10.1016/j.ecolecon.2017.09.007")</f>
        <v>http://dx.doi.org/10.1016/j.ecolecon.2017.09.007</v>
      </c>
      <c r="AM2452" s="5">
        <v>9</v>
      </c>
      <c r="AN2452" s="5">
        <v>9</v>
      </c>
      <c r="AO2452" s="5">
        <v>145</v>
      </c>
      <c r="AP2452" s="5" t="s">
        <v>16</v>
      </c>
      <c r="AQ2452" s="5">
        <v>244</v>
      </c>
      <c r="AR2452" s="5">
        <v>262</v>
      </c>
      <c r="AS2452" s="5" t="s">
        <v>16</v>
      </c>
      <c r="AT2452" s="5" t="s">
        <v>14684</v>
      </c>
      <c r="AU2452" s="5" t="s">
        <v>14685</v>
      </c>
      <c r="AV2452" s="5" t="s">
        <v>14687</v>
      </c>
    </row>
    <row r="2453" spans="1:48" ht="45" customHeight="1" x14ac:dyDescent="0.15">
      <c r="A2453" s="5" t="s">
        <v>14688</v>
      </c>
      <c r="B2453" s="5">
        <v>2023</v>
      </c>
      <c r="C2453" s="5" t="s">
        <v>14689</v>
      </c>
      <c r="D2453" s="5" t="s">
        <v>154</v>
      </c>
      <c r="E2453" s="5" t="s">
        <v>18453</v>
      </c>
      <c r="F2453" s="5" t="s">
        <v>14692</v>
      </c>
      <c r="G2453" s="5"/>
      <c r="H2453" s="5"/>
      <c r="I2453" s="5"/>
      <c r="J2453" s="5"/>
      <c r="K2453" s="5"/>
      <c r="L2453" s="5"/>
      <c r="M2453" s="5"/>
      <c r="N2453" s="5"/>
      <c r="O2453" s="5"/>
      <c r="P2453" s="5"/>
      <c r="Q2453" s="5"/>
      <c r="AL2453" s="7" t="str">
        <f>HYPERLINK("http://dx.doi.org/10.1186/s13717-023-00420-5","http://dx.doi.org/10.1186/s13717-023-00420-5")</f>
        <v>http://dx.doi.org/10.1186/s13717-023-00420-5</v>
      </c>
      <c r="AM2453" s="5">
        <v>0</v>
      </c>
      <c r="AN2453" s="5">
        <v>0</v>
      </c>
      <c r="AO2453" s="5">
        <v>12</v>
      </c>
      <c r="AP2453" s="5">
        <v>1</v>
      </c>
      <c r="AQ2453" s="5" t="s">
        <v>16</v>
      </c>
      <c r="AR2453" s="5" t="s">
        <v>16</v>
      </c>
      <c r="AS2453" s="5">
        <v>7</v>
      </c>
      <c r="AT2453" s="5" t="s">
        <v>14690</v>
      </c>
      <c r="AU2453" s="5" t="s">
        <v>14691</v>
      </c>
      <c r="AV2453" s="5" t="s">
        <v>14693</v>
      </c>
    </row>
    <row r="2454" spans="1:48" ht="45" customHeight="1" x14ac:dyDescent="0.15">
      <c r="A2454" s="5" t="s">
        <v>14694</v>
      </c>
      <c r="B2454" s="5">
        <v>2010</v>
      </c>
      <c r="C2454" s="5" t="s">
        <v>14695</v>
      </c>
      <c r="D2454" s="5" t="s">
        <v>160</v>
      </c>
      <c r="E2454" s="5" t="s">
        <v>18453</v>
      </c>
      <c r="F2454" s="5" t="s">
        <v>14698</v>
      </c>
      <c r="G2454" s="5"/>
      <c r="H2454" s="5"/>
      <c r="I2454" s="5"/>
      <c r="J2454" s="5"/>
      <c r="K2454" s="5"/>
      <c r="L2454" s="5"/>
      <c r="M2454" s="5"/>
      <c r="N2454" s="5"/>
      <c r="O2454" s="5"/>
      <c r="P2454" s="5"/>
      <c r="Q2454" s="5"/>
      <c r="AL2454" s="7" t="str">
        <f>HYPERLINK("http://dx.doi.org/10.1111/j.1365-2664.2009.01761.x","http://dx.doi.org/10.1111/j.1365-2664.2009.01761.x")</f>
        <v>http://dx.doi.org/10.1111/j.1365-2664.2009.01761.x</v>
      </c>
      <c r="AM2454" s="5">
        <v>34</v>
      </c>
      <c r="AN2454" s="5">
        <v>34</v>
      </c>
      <c r="AO2454" s="5">
        <v>47</v>
      </c>
      <c r="AP2454" s="5">
        <v>1</v>
      </c>
      <c r="AQ2454" s="5">
        <v>121</v>
      </c>
      <c r="AR2454" s="5">
        <v>129</v>
      </c>
      <c r="AS2454" s="5" t="s">
        <v>16</v>
      </c>
      <c r="AT2454" s="5" t="s">
        <v>14696</v>
      </c>
      <c r="AU2454" s="5" t="s">
        <v>14697</v>
      </c>
      <c r="AV2454" s="5" t="s">
        <v>14699</v>
      </c>
    </row>
    <row r="2455" spans="1:48" ht="45" customHeight="1" x14ac:dyDescent="0.15">
      <c r="A2455" s="5" t="s">
        <v>14700</v>
      </c>
      <c r="B2455" s="5">
        <v>2005</v>
      </c>
      <c r="C2455" s="5" t="s">
        <v>14701</v>
      </c>
      <c r="D2455" s="5" t="s">
        <v>2020</v>
      </c>
      <c r="E2455" s="5" t="s">
        <v>18453</v>
      </c>
      <c r="F2455" s="5" t="s">
        <v>14704</v>
      </c>
      <c r="G2455" s="5"/>
      <c r="H2455" s="5"/>
      <c r="I2455" s="5"/>
      <c r="J2455" s="5"/>
      <c r="K2455" s="5"/>
      <c r="L2455" s="5"/>
      <c r="M2455" s="5"/>
      <c r="N2455" s="5"/>
      <c r="O2455" s="5"/>
      <c r="P2455" s="5"/>
      <c r="Q2455" s="5"/>
      <c r="AL2455" s="5" t="s">
        <v>16</v>
      </c>
      <c r="AM2455" s="5">
        <v>173</v>
      </c>
      <c r="AN2455" s="5">
        <v>179</v>
      </c>
      <c r="AO2455" s="5">
        <v>10</v>
      </c>
      <c r="AP2455" s="5">
        <v>1</v>
      </c>
      <c r="AQ2455" s="5" t="s">
        <v>16</v>
      </c>
      <c r="AR2455" s="5" t="s">
        <v>16</v>
      </c>
      <c r="AS2455" s="5">
        <v>27</v>
      </c>
      <c r="AT2455" s="5" t="s">
        <v>14702</v>
      </c>
      <c r="AU2455" s="5" t="s">
        <v>14703</v>
      </c>
      <c r="AV2455" s="5" t="s">
        <v>16</v>
      </c>
    </row>
    <row r="2456" spans="1:48" ht="45" customHeight="1" x14ac:dyDescent="0.15">
      <c r="A2456" s="5" t="s">
        <v>14705</v>
      </c>
      <c r="B2456" s="5">
        <v>2015</v>
      </c>
      <c r="C2456" s="5" t="s">
        <v>14706</v>
      </c>
      <c r="D2456" s="5" t="s">
        <v>82</v>
      </c>
      <c r="E2456" s="5" t="s">
        <v>18453</v>
      </c>
      <c r="F2456" s="5" t="s">
        <v>14709</v>
      </c>
      <c r="G2456" s="5"/>
      <c r="H2456" s="5"/>
      <c r="I2456" s="5"/>
      <c r="J2456" s="5"/>
      <c r="K2456" s="5"/>
      <c r="L2456" s="5"/>
      <c r="M2456" s="5"/>
      <c r="N2456" s="5"/>
      <c r="O2456" s="5"/>
      <c r="P2456" s="5"/>
      <c r="Q2456" s="5"/>
      <c r="AL2456" s="7" t="str">
        <f>HYPERLINK("http://dx.doi.org/10.1890/14-2151.1","http://dx.doi.org/10.1890/14-2151.1")</f>
        <v>http://dx.doi.org/10.1890/14-2151.1</v>
      </c>
      <c r="AM2456" s="5">
        <v>30</v>
      </c>
      <c r="AN2456" s="5">
        <v>31</v>
      </c>
      <c r="AO2456" s="5">
        <v>25</v>
      </c>
      <c r="AP2456" s="5">
        <v>5</v>
      </c>
      <c r="AQ2456" s="5">
        <v>1226</v>
      </c>
      <c r="AR2456" s="5">
        <v>1234</v>
      </c>
      <c r="AS2456" s="5" t="s">
        <v>16</v>
      </c>
      <c r="AT2456" s="5" t="s">
        <v>14707</v>
      </c>
      <c r="AU2456" s="5" t="s">
        <v>14708</v>
      </c>
      <c r="AV2456" s="5" t="s">
        <v>14710</v>
      </c>
    </row>
    <row r="2457" spans="1:48" ht="45" customHeight="1" x14ac:dyDescent="0.15">
      <c r="A2457" s="5" t="s">
        <v>14711</v>
      </c>
      <c r="B2457" s="5">
        <v>2015</v>
      </c>
      <c r="C2457" s="5" t="s">
        <v>14712</v>
      </c>
      <c r="D2457" s="5" t="s">
        <v>18</v>
      </c>
      <c r="E2457" s="5" t="s">
        <v>18453</v>
      </c>
      <c r="F2457" s="5" t="s">
        <v>14715</v>
      </c>
      <c r="G2457" s="5"/>
      <c r="H2457" s="5"/>
      <c r="I2457" s="5"/>
      <c r="J2457" s="5"/>
      <c r="K2457" s="5"/>
      <c r="L2457" s="5"/>
      <c r="M2457" s="5"/>
      <c r="N2457" s="5"/>
      <c r="O2457" s="5"/>
      <c r="P2457" s="5"/>
      <c r="Q2457" s="5"/>
      <c r="AL2457" s="7" t="str">
        <f>HYPERLINK("http://dx.doi.org/10.1890/ES14-00345.1","http://dx.doi.org/10.1890/ES14-00345.1")</f>
        <v>http://dx.doi.org/10.1890/ES14-00345.1</v>
      </c>
      <c r="AM2457" s="5">
        <v>24</v>
      </c>
      <c r="AN2457" s="5">
        <v>25</v>
      </c>
      <c r="AO2457" s="5">
        <v>6</v>
      </c>
      <c r="AP2457" s="5">
        <v>3</v>
      </c>
      <c r="AQ2457" s="5" t="s">
        <v>16</v>
      </c>
      <c r="AR2457" s="5" t="s">
        <v>16</v>
      </c>
      <c r="AS2457" s="5">
        <v>39</v>
      </c>
      <c r="AT2457" s="5" t="s">
        <v>14713</v>
      </c>
      <c r="AU2457" s="5" t="s">
        <v>14714</v>
      </c>
      <c r="AV2457" s="5" t="s">
        <v>14716</v>
      </c>
    </row>
    <row r="2458" spans="1:48" ht="45" customHeight="1" x14ac:dyDescent="0.15">
      <c r="A2458" s="5" t="s">
        <v>14717</v>
      </c>
      <c r="B2458" s="5">
        <v>2022</v>
      </c>
      <c r="C2458" s="5" t="s">
        <v>14718</v>
      </c>
      <c r="D2458" s="5" t="s">
        <v>14719</v>
      </c>
      <c r="E2458" s="5" t="s">
        <v>18453</v>
      </c>
      <c r="F2458" s="5" t="s">
        <v>14722</v>
      </c>
      <c r="G2458" s="5"/>
      <c r="H2458" s="5"/>
      <c r="I2458" s="5"/>
      <c r="J2458" s="5"/>
      <c r="K2458" s="5"/>
      <c r="L2458" s="5"/>
      <c r="M2458" s="5"/>
      <c r="N2458" s="5"/>
      <c r="O2458" s="5"/>
      <c r="P2458" s="5"/>
      <c r="Q2458" s="5"/>
      <c r="AL2458" s="7" t="str">
        <f>HYPERLINK("http://dx.doi.org/10.3389/fcosc.2022.903132","http://dx.doi.org/10.3389/fcosc.2022.903132")</f>
        <v>http://dx.doi.org/10.3389/fcosc.2022.903132</v>
      </c>
      <c r="AM2458" s="5">
        <v>0</v>
      </c>
      <c r="AN2458" s="5">
        <v>0</v>
      </c>
      <c r="AO2458" s="5">
        <v>3</v>
      </c>
      <c r="AP2458" s="5" t="s">
        <v>16</v>
      </c>
      <c r="AQ2458" s="5" t="s">
        <v>16</v>
      </c>
      <c r="AR2458" s="5" t="s">
        <v>16</v>
      </c>
      <c r="AS2458" s="5">
        <v>903132</v>
      </c>
      <c r="AT2458" s="5" t="s">
        <v>14720</v>
      </c>
      <c r="AU2458" s="5" t="s">
        <v>14721</v>
      </c>
      <c r="AV2458" s="5" t="s">
        <v>14723</v>
      </c>
    </row>
    <row r="2459" spans="1:48" ht="45" customHeight="1" x14ac:dyDescent="0.15">
      <c r="A2459" s="5" t="s">
        <v>14724</v>
      </c>
      <c r="B2459" s="5">
        <v>2003</v>
      </c>
      <c r="C2459" s="5" t="s">
        <v>14725</v>
      </c>
      <c r="D2459" s="5" t="s">
        <v>49</v>
      </c>
      <c r="E2459" s="5" t="s">
        <v>18453</v>
      </c>
      <c r="F2459" s="5" t="s">
        <v>14728</v>
      </c>
      <c r="G2459" s="5"/>
      <c r="H2459" s="5"/>
      <c r="I2459" s="5"/>
      <c r="J2459" s="5"/>
      <c r="K2459" s="5"/>
      <c r="L2459" s="5"/>
      <c r="M2459" s="5"/>
      <c r="N2459" s="5"/>
      <c r="O2459" s="5"/>
      <c r="P2459" s="5"/>
      <c r="Q2459" s="5"/>
      <c r="AL2459" s="7" t="str">
        <f>HYPERLINK("http://dx.doi.org/10.3354/meps258283","http://dx.doi.org/10.3354/meps258283")</f>
        <v>http://dx.doi.org/10.3354/meps258283</v>
      </c>
      <c r="AM2459" s="5">
        <v>35</v>
      </c>
      <c r="AN2459" s="5">
        <v>36</v>
      </c>
      <c r="AO2459" s="5">
        <v>258</v>
      </c>
      <c r="AP2459" s="5" t="s">
        <v>16</v>
      </c>
      <c r="AQ2459" s="5">
        <v>283</v>
      </c>
      <c r="AR2459" s="5">
        <v>289</v>
      </c>
      <c r="AS2459" s="5" t="s">
        <v>16</v>
      </c>
      <c r="AT2459" s="5" t="s">
        <v>14726</v>
      </c>
      <c r="AU2459" s="5" t="s">
        <v>14727</v>
      </c>
      <c r="AV2459" s="5" t="s">
        <v>14729</v>
      </c>
    </row>
    <row r="2460" spans="1:48" ht="45" customHeight="1" x14ac:dyDescent="0.15">
      <c r="A2460" s="5" t="s">
        <v>14730</v>
      </c>
      <c r="B2460" s="5">
        <v>2010</v>
      </c>
      <c r="C2460" s="5" t="s">
        <v>14731</v>
      </c>
      <c r="D2460" s="5" t="s">
        <v>2768</v>
      </c>
      <c r="E2460" s="5" t="s">
        <v>18453</v>
      </c>
      <c r="F2460" s="5" t="s">
        <v>14734</v>
      </c>
      <c r="G2460" s="5"/>
      <c r="H2460" s="5"/>
      <c r="I2460" s="5"/>
      <c r="J2460" s="5"/>
      <c r="K2460" s="5"/>
      <c r="L2460" s="5"/>
      <c r="M2460" s="5"/>
      <c r="N2460" s="5"/>
      <c r="O2460" s="5"/>
      <c r="P2460" s="5"/>
      <c r="Q2460" s="5"/>
      <c r="AL2460" s="7" t="str">
        <f>HYPERLINK("http://dx.doi.org/10.1007/s10531-008-9510-5","http://dx.doi.org/10.1007/s10531-008-9510-5")</f>
        <v>http://dx.doi.org/10.1007/s10531-008-9510-5</v>
      </c>
      <c r="AM2460" s="5">
        <v>142</v>
      </c>
      <c r="AN2460" s="5">
        <v>147</v>
      </c>
      <c r="AO2460" s="5">
        <v>19</v>
      </c>
      <c r="AP2460" s="5">
        <v>2</v>
      </c>
      <c r="AQ2460" s="5">
        <v>393</v>
      </c>
      <c r="AR2460" s="5">
        <v>409</v>
      </c>
      <c r="AS2460" s="5" t="s">
        <v>16</v>
      </c>
      <c r="AT2460" s="5" t="s">
        <v>14732</v>
      </c>
      <c r="AU2460" s="5" t="s">
        <v>14733</v>
      </c>
      <c r="AV2460" s="5" t="s">
        <v>14735</v>
      </c>
    </row>
    <row r="2461" spans="1:48" ht="45" customHeight="1" x14ac:dyDescent="0.15">
      <c r="A2461" s="5" t="s">
        <v>14736</v>
      </c>
      <c r="B2461" s="5">
        <v>2017</v>
      </c>
      <c r="C2461" s="5" t="s">
        <v>14737</v>
      </c>
      <c r="D2461" s="5" t="s">
        <v>49</v>
      </c>
      <c r="E2461" s="5" t="s">
        <v>18453</v>
      </c>
      <c r="F2461" s="5" t="s">
        <v>14740</v>
      </c>
      <c r="G2461" s="5"/>
      <c r="H2461" s="5"/>
      <c r="I2461" s="5"/>
      <c r="J2461" s="5"/>
      <c r="K2461" s="5"/>
      <c r="L2461" s="5"/>
      <c r="M2461" s="5"/>
      <c r="N2461" s="5"/>
      <c r="O2461" s="5"/>
      <c r="P2461" s="5"/>
      <c r="Q2461" s="5"/>
      <c r="AL2461" s="7" t="str">
        <f>HYPERLINK("http://dx.doi.org/10.3354/meps12144","http://dx.doi.org/10.3354/meps12144")</f>
        <v>http://dx.doi.org/10.3354/meps12144</v>
      </c>
      <c r="AM2461" s="5">
        <v>19</v>
      </c>
      <c r="AN2461" s="5">
        <v>20</v>
      </c>
      <c r="AO2461" s="5">
        <v>572</v>
      </c>
      <c r="AP2461" s="5" t="s">
        <v>16</v>
      </c>
      <c r="AQ2461" s="5">
        <v>243</v>
      </c>
      <c r="AR2461" s="5">
        <v>254</v>
      </c>
      <c r="AS2461" s="5" t="s">
        <v>16</v>
      </c>
      <c r="AT2461" s="5" t="s">
        <v>14738</v>
      </c>
      <c r="AU2461" s="5" t="s">
        <v>14739</v>
      </c>
      <c r="AV2461" s="5" t="s">
        <v>14741</v>
      </c>
    </row>
    <row r="2462" spans="1:48" ht="45" customHeight="1" x14ac:dyDescent="0.15">
      <c r="A2462" s="5" t="s">
        <v>14742</v>
      </c>
      <c r="B2462" s="5">
        <v>1995</v>
      </c>
      <c r="C2462" s="5" t="s">
        <v>14743</v>
      </c>
      <c r="D2462" s="5" t="s">
        <v>14744</v>
      </c>
      <c r="E2462" s="5" t="s">
        <v>18453</v>
      </c>
      <c r="F2462" s="5" t="s">
        <v>14747</v>
      </c>
      <c r="G2462" s="5"/>
      <c r="H2462" s="5"/>
      <c r="I2462" s="5"/>
      <c r="J2462" s="5"/>
      <c r="K2462" s="5"/>
      <c r="L2462" s="5"/>
      <c r="M2462" s="5"/>
      <c r="N2462" s="5"/>
      <c r="O2462" s="5"/>
      <c r="P2462" s="5"/>
      <c r="Q2462" s="5"/>
      <c r="AL2462" s="7" t="str">
        <f>HYPERLINK("http://dx.doi.org/10.1007/BF00045505","http://dx.doi.org/10.1007/BF00045505")</f>
        <v>http://dx.doi.org/10.1007/BF00045505</v>
      </c>
      <c r="AM2462" s="5">
        <v>12</v>
      </c>
      <c r="AN2462" s="5">
        <v>13</v>
      </c>
      <c r="AO2462" s="5">
        <v>117</v>
      </c>
      <c r="AP2462" s="5">
        <v>2</v>
      </c>
      <c r="AQ2462" s="5">
        <v>133</v>
      </c>
      <c r="AR2462" s="5">
        <v>150</v>
      </c>
      <c r="AS2462" s="5" t="s">
        <v>16</v>
      </c>
      <c r="AT2462" s="5" t="s">
        <v>14745</v>
      </c>
      <c r="AU2462" s="5" t="s">
        <v>14746</v>
      </c>
      <c r="AV2462" s="5" t="s">
        <v>14748</v>
      </c>
    </row>
    <row r="2463" spans="1:48" ht="45" customHeight="1" x14ac:dyDescent="0.15">
      <c r="A2463" s="5" t="s">
        <v>14749</v>
      </c>
      <c r="B2463" s="5">
        <v>2017</v>
      </c>
      <c r="C2463" s="5" t="s">
        <v>14750</v>
      </c>
      <c r="D2463" s="5" t="s">
        <v>1765</v>
      </c>
      <c r="E2463" s="5" t="s">
        <v>18453</v>
      </c>
      <c r="F2463" s="5" t="s">
        <v>14753</v>
      </c>
      <c r="G2463" s="5"/>
      <c r="H2463" s="5"/>
      <c r="I2463" s="5"/>
      <c r="J2463" s="5"/>
      <c r="K2463" s="5"/>
      <c r="L2463" s="5"/>
      <c r="M2463" s="5"/>
      <c r="N2463" s="5"/>
      <c r="O2463" s="5"/>
      <c r="P2463" s="5"/>
      <c r="Q2463" s="5"/>
      <c r="AL2463" s="7" t="str">
        <f>HYPERLINK("http://dx.doi.org/10.1016/j.agee.2016.12.008","http://dx.doi.org/10.1016/j.agee.2016.12.008")</f>
        <v>http://dx.doi.org/10.1016/j.agee.2016.12.008</v>
      </c>
      <c r="AM2463" s="5">
        <v>1</v>
      </c>
      <c r="AN2463" s="5">
        <v>1</v>
      </c>
      <c r="AO2463" s="5">
        <v>236</v>
      </c>
      <c r="AP2463" s="5" t="s">
        <v>16</v>
      </c>
      <c r="AQ2463" s="5">
        <v>277</v>
      </c>
      <c r="AR2463" s="5">
        <v>284</v>
      </c>
      <c r="AS2463" s="5" t="s">
        <v>16</v>
      </c>
      <c r="AT2463" s="5" t="s">
        <v>14751</v>
      </c>
      <c r="AU2463" s="5" t="s">
        <v>14752</v>
      </c>
      <c r="AV2463" s="5" t="s">
        <v>14754</v>
      </c>
    </row>
    <row r="2464" spans="1:48" ht="45" customHeight="1" x14ac:dyDescent="0.15">
      <c r="A2464" s="5" t="s">
        <v>14755</v>
      </c>
      <c r="B2464" s="5">
        <v>2014</v>
      </c>
      <c r="C2464" s="5" t="s">
        <v>14756</v>
      </c>
      <c r="D2464" s="5" t="s">
        <v>1758</v>
      </c>
      <c r="E2464" s="5" t="s">
        <v>18453</v>
      </c>
      <c r="F2464" s="5" t="s">
        <v>14759</v>
      </c>
      <c r="G2464" s="5"/>
      <c r="H2464" s="5"/>
      <c r="I2464" s="5"/>
      <c r="J2464" s="5"/>
      <c r="K2464" s="5"/>
      <c r="L2464" s="5"/>
      <c r="M2464" s="5"/>
      <c r="N2464" s="5"/>
      <c r="O2464" s="5"/>
      <c r="P2464" s="5"/>
      <c r="Q2464" s="5"/>
      <c r="AL2464" s="7" t="str">
        <f>HYPERLINK("http://dx.doi.org/10.1007/s13157-014-0577-3","http://dx.doi.org/10.1007/s13157-014-0577-3")</f>
        <v>http://dx.doi.org/10.1007/s13157-014-0577-3</v>
      </c>
      <c r="AM2464" s="5">
        <v>4</v>
      </c>
      <c r="AN2464" s="5">
        <v>4</v>
      </c>
      <c r="AO2464" s="5">
        <v>34</v>
      </c>
      <c r="AP2464" s="5">
        <v>6</v>
      </c>
      <c r="AQ2464" s="5">
        <v>1183</v>
      </c>
      <c r="AR2464" s="5">
        <v>1190</v>
      </c>
      <c r="AS2464" s="5" t="s">
        <v>16</v>
      </c>
      <c r="AT2464" s="5" t="s">
        <v>14757</v>
      </c>
      <c r="AU2464" s="5" t="s">
        <v>14758</v>
      </c>
      <c r="AV2464" s="5" t="s">
        <v>14760</v>
      </c>
    </row>
    <row r="2465" spans="1:48" ht="45" customHeight="1" x14ac:dyDescent="0.15">
      <c r="A2465" s="5" t="s">
        <v>14761</v>
      </c>
      <c r="B2465" s="5">
        <v>1998</v>
      </c>
      <c r="C2465" s="5" t="s">
        <v>14762</v>
      </c>
      <c r="D2465" s="5" t="s">
        <v>172</v>
      </c>
      <c r="E2465" s="5" t="s">
        <v>18453</v>
      </c>
      <c r="F2465" s="5" t="s">
        <v>14765</v>
      </c>
      <c r="G2465" s="5"/>
      <c r="H2465" s="5"/>
      <c r="I2465" s="5"/>
      <c r="J2465" s="5"/>
      <c r="K2465" s="5"/>
      <c r="L2465" s="5"/>
      <c r="M2465" s="5"/>
      <c r="N2465" s="5"/>
      <c r="O2465" s="5"/>
      <c r="P2465" s="5"/>
      <c r="Q2465" s="5"/>
      <c r="AL2465" s="7" t="str">
        <f>HYPERLINK("http://dx.doi.org/10.1007/s004420050561","http://dx.doi.org/10.1007/s004420050561")</f>
        <v>http://dx.doi.org/10.1007/s004420050561</v>
      </c>
      <c r="AM2465" s="5">
        <v>74</v>
      </c>
      <c r="AN2465" s="5">
        <v>75</v>
      </c>
      <c r="AO2465" s="5">
        <v>116</v>
      </c>
      <c r="AP2465" s="5" t="s">
        <v>778</v>
      </c>
      <c r="AQ2465" s="5">
        <v>38</v>
      </c>
      <c r="AR2465" s="5">
        <v>49</v>
      </c>
      <c r="AS2465" s="5" t="s">
        <v>16</v>
      </c>
      <c r="AT2465" s="5" t="s">
        <v>14763</v>
      </c>
      <c r="AU2465" s="5" t="s">
        <v>14764</v>
      </c>
      <c r="AV2465" s="5" t="s">
        <v>14766</v>
      </c>
    </row>
    <row r="2466" spans="1:48" ht="45" customHeight="1" x14ac:dyDescent="0.15">
      <c r="A2466" s="5" t="s">
        <v>14767</v>
      </c>
      <c r="B2466" s="5">
        <v>2010</v>
      </c>
      <c r="C2466" s="5" t="s">
        <v>14768</v>
      </c>
      <c r="D2466" s="5" t="s">
        <v>1765</v>
      </c>
      <c r="E2466" s="5" t="s">
        <v>18453</v>
      </c>
      <c r="F2466" s="5" t="s">
        <v>14771</v>
      </c>
      <c r="G2466" s="5"/>
      <c r="H2466" s="5"/>
      <c r="I2466" s="5"/>
      <c r="J2466" s="5"/>
      <c r="K2466" s="5"/>
      <c r="L2466" s="5"/>
      <c r="M2466" s="5"/>
      <c r="N2466" s="5"/>
      <c r="O2466" s="5"/>
      <c r="P2466" s="5"/>
      <c r="Q2466" s="5"/>
      <c r="AL2466" s="7" t="str">
        <f>HYPERLINK("http://dx.doi.org/10.1016/j.agee.2010.10.020","http://dx.doi.org/10.1016/j.agee.2010.10.020")</f>
        <v>http://dx.doi.org/10.1016/j.agee.2010.10.020</v>
      </c>
      <c r="AM2466" s="5">
        <v>68</v>
      </c>
      <c r="AN2466" s="5">
        <v>70</v>
      </c>
      <c r="AO2466" s="5">
        <v>139</v>
      </c>
      <c r="AP2466" s="5">
        <v>4</v>
      </c>
      <c r="AQ2466" s="5">
        <v>736</v>
      </c>
      <c r="AR2466" s="5">
        <v>741</v>
      </c>
      <c r="AS2466" s="5" t="s">
        <v>16</v>
      </c>
      <c r="AT2466" s="5" t="s">
        <v>14769</v>
      </c>
      <c r="AU2466" s="5" t="s">
        <v>14770</v>
      </c>
      <c r="AV2466" s="5" t="s">
        <v>14772</v>
      </c>
    </row>
    <row r="2467" spans="1:48" ht="45" customHeight="1" x14ac:dyDescent="0.15">
      <c r="A2467" s="5" t="s">
        <v>14773</v>
      </c>
      <c r="B2467" s="5">
        <v>2017</v>
      </c>
      <c r="C2467" s="5" t="s">
        <v>14774</v>
      </c>
      <c r="D2467" s="5" t="s">
        <v>782</v>
      </c>
      <c r="E2467" s="5" t="s">
        <v>18453</v>
      </c>
      <c r="F2467" s="5" t="s">
        <v>14777</v>
      </c>
      <c r="G2467" s="5"/>
      <c r="H2467" s="5"/>
      <c r="I2467" s="5"/>
      <c r="J2467" s="5"/>
      <c r="K2467" s="5"/>
      <c r="L2467" s="5"/>
      <c r="M2467" s="5"/>
      <c r="N2467" s="5"/>
      <c r="O2467" s="5"/>
      <c r="P2467" s="5"/>
      <c r="Q2467" s="5"/>
      <c r="AL2467" s="7" t="str">
        <f>HYPERLINK("http://dx.doi.org/10.1093/jpe/rtw072","http://dx.doi.org/10.1093/jpe/rtw072")</f>
        <v>http://dx.doi.org/10.1093/jpe/rtw072</v>
      </c>
      <c r="AM2467" s="5">
        <v>1</v>
      </c>
      <c r="AN2467" s="5">
        <v>1</v>
      </c>
      <c r="AO2467" s="5">
        <v>10</v>
      </c>
      <c r="AP2467" s="5">
        <v>4</v>
      </c>
      <c r="AQ2467" s="5">
        <v>702</v>
      </c>
      <c r="AR2467" s="5">
        <v>712</v>
      </c>
      <c r="AS2467" s="5" t="s">
        <v>16</v>
      </c>
      <c r="AT2467" s="5" t="s">
        <v>14775</v>
      </c>
      <c r="AU2467" s="5" t="s">
        <v>14776</v>
      </c>
      <c r="AV2467" s="5" t="s">
        <v>14778</v>
      </c>
    </row>
    <row r="2468" spans="1:48" ht="45" customHeight="1" x14ac:dyDescent="0.15">
      <c r="A2468" s="5" t="s">
        <v>14779</v>
      </c>
      <c r="B2468" s="5">
        <v>2012</v>
      </c>
      <c r="C2468" s="5" t="s">
        <v>14780</v>
      </c>
      <c r="D2468" s="5" t="s">
        <v>27</v>
      </c>
      <c r="E2468" s="5" t="s">
        <v>18453</v>
      </c>
      <c r="F2468" s="5" t="s">
        <v>14783</v>
      </c>
      <c r="G2468" s="5"/>
      <c r="H2468" s="5"/>
      <c r="I2468" s="5"/>
      <c r="J2468" s="5"/>
      <c r="K2468" s="5"/>
      <c r="L2468" s="5"/>
      <c r="M2468" s="5"/>
      <c r="N2468" s="5"/>
      <c r="O2468" s="5"/>
      <c r="P2468" s="5"/>
      <c r="Q2468" s="5"/>
      <c r="AL2468" s="7" t="str">
        <f>HYPERLINK("http://dx.doi.org/10.1890/11-2067.1","http://dx.doi.org/10.1890/11-2067.1")</f>
        <v>http://dx.doi.org/10.1890/11-2067.1</v>
      </c>
      <c r="AM2468" s="5">
        <v>28</v>
      </c>
      <c r="AN2468" s="5">
        <v>29</v>
      </c>
      <c r="AO2468" s="5">
        <v>93</v>
      </c>
      <c r="AP2468" s="5">
        <v>12</v>
      </c>
      <c r="AQ2468" s="5">
        <v>2650</v>
      </c>
      <c r="AR2468" s="5">
        <v>2657</v>
      </c>
      <c r="AS2468" s="5" t="s">
        <v>16</v>
      </c>
      <c r="AT2468" s="5" t="s">
        <v>14781</v>
      </c>
      <c r="AU2468" s="5" t="s">
        <v>14782</v>
      </c>
      <c r="AV2468" s="5" t="s">
        <v>14784</v>
      </c>
    </row>
    <row r="2469" spans="1:48" ht="45" customHeight="1" x14ac:dyDescent="0.15">
      <c r="A2469" s="5" t="s">
        <v>14785</v>
      </c>
      <c r="B2469" s="5">
        <v>2022</v>
      </c>
      <c r="C2469" s="5" t="s">
        <v>14786</v>
      </c>
      <c r="D2469" s="5" t="s">
        <v>2087</v>
      </c>
      <c r="E2469" s="5" t="s">
        <v>18453</v>
      </c>
      <c r="F2469" s="5" t="s">
        <v>14789</v>
      </c>
      <c r="G2469" s="5"/>
      <c r="H2469" s="5"/>
      <c r="I2469" s="5"/>
      <c r="J2469" s="5"/>
      <c r="K2469" s="5"/>
      <c r="L2469" s="5"/>
      <c r="M2469" s="5"/>
      <c r="N2469" s="5"/>
      <c r="O2469" s="5"/>
      <c r="P2469" s="5"/>
      <c r="Q2469" s="5"/>
      <c r="AL2469" s="7" t="str">
        <f>HYPERLINK("http://dx.doi.org/10.1002/eco.2443","http://dx.doi.org/10.1002/eco.2443")</f>
        <v>http://dx.doi.org/10.1002/eco.2443</v>
      </c>
      <c r="AM2469" s="5">
        <v>2</v>
      </c>
      <c r="AN2469" s="5">
        <v>2</v>
      </c>
      <c r="AO2469" s="5">
        <v>15</v>
      </c>
      <c r="AP2469" s="5">
        <v>4</v>
      </c>
      <c r="AQ2469" s="5" t="s">
        <v>16</v>
      </c>
      <c r="AR2469" s="5" t="s">
        <v>16</v>
      </c>
      <c r="AS2469" s="5" t="s">
        <v>14790</v>
      </c>
      <c r="AT2469" s="5" t="s">
        <v>14787</v>
      </c>
      <c r="AU2469" s="5" t="s">
        <v>14788</v>
      </c>
      <c r="AV2469" s="5" t="s">
        <v>14791</v>
      </c>
    </row>
    <row r="2470" spans="1:48" ht="45" customHeight="1" x14ac:dyDescent="0.15">
      <c r="A2470" s="5" t="s">
        <v>14792</v>
      </c>
      <c r="B2470" s="5">
        <v>2021</v>
      </c>
      <c r="C2470" s="5" t="s">
        <v>14793</v>
      </c>
      <c r="D2470" s="5" t="s">
        <v>172</v>
      </c>
      <c r="E2470" s="5" t="s">
        <v>18453</v>
      </c>
      <c r="F2470" s="5" t="s">
        <v>14796</v>
      </c>
      <c r="G2470" s="5"/>
      <c r="H2470" s="5"/>
      <c r="I2470" s="5"/>
      <c r="J2470" s="5"/>
      <c r="K2470" s="5"/>
      <c r="L2470" s="5"/>
      <c r="M2470" s="5"/>
      <c r="N2470" s="5"/>
      <c r="O2470" s="5"/>
      <c r="P2470" s="5"/>
      <c r="Q2470" s="5"/>
      <c r="AL2470" s="7" t="str">
        <f>HYPERLINK("http://dx.doi.org/10.1007/s00442-020-04825-3","http://dx.doi.org/10.1007/s00442-020-04825-3")</f>
        <v>http://dx.doi.org/10.1007/s00442-020-04825-3</v>
      </c>
      <c r="AM2470" s="5">
        <v>3</v>
      </c>
      <c r="AN2470" s="5">
        <v>3</v>
      </c>
      <c r="AO2470" s="5">
        <v>197</v>
      </c>
      <c r="AP2470" s="5">
        <v>4</v>
      </c>
      <c r="AQ2470" s="5">
        <v>1027</v>
      </c>
      <c r="AR2470" s="5">
        <v>1038</v>
      </c>
      <c r="AS2470" s="5" t="s">
        <v>16</v>
      </c>
      <c r="AT2470" s="5" t="s">
        <v>14794</v>
      </c>
      <c r="AU2470" s="5" t="s">
        <v>14795</v>
      </c>
      <c r="AV2470" s="5" t="s">
        <v>14797</v>
      </c>
    </row>
    <row r="2471" spans="1:48" ht="45" customHeight="1" x14ac:dyDescent="0.15">
      <c r="A2471" s="5" t="s">
        <v>14798</v>
      </c>
      <c r="B2471" s="5">
        <v>2016</v>
      </c>
      <c r="C2471" s="5" t="s">
        <v>14799</v>
      </c>
      <c r="D2471" s="5" t="s">
        <v>92</v>
      </c>
      <c r="E2471" s="5" t="s">
        <v>18453</v>
      </c>
      <c r="F2471" s="5" t="s">
        <v>14802</v>
      </c>
      <c r="G2471" s="5"/>
      <c r="H2471" s="5"/>
      <c r="I2471" s="5"/>
      <c r="J2471" s="5"/>
      <c r="K2471" s="5"/>
      <c r="L2471" s="5"/>
      <c r="M2471" s="5"/>
      <c r="N2471" s="5"/>
      <c r="O2471" s="5"/>
      <c r="P2471" s="5"/>
      <c r="Q2471" s="5"/>
      <c r="AL2471" s="7" t="str">
        <f>HYPERLINK("http://dx.doi.org/10.1086/686001","http://dx.doi.org/10.1086/686001")</f>
        <v>http://dx.doi.org/10.1086/686001</v>
      </c>
      <c r="AM2471" s="5">
        <v>27</v>
      </c>
      <c r="AN2471" s="5">
        <v>28</v>
      </c>
      <c r="AO2471" s="5">
        <v>35</v>
      </c>
      <c r="AP2471" s="5">
        <v>2</v>
      </c>
      <c r="AQ2471" s="5">
        <v>544</v>
      </c>
      <c r="AR2471" s="5">
        <v>558</v>
      </c>
      <c r="AS2471" s="5" t="s">
        <v>16</v>
      </c>
      <c r="AT2471" s="5" t="s">
        <v>14800</v>
      </c>
      <c r="AU2471" s="5" t="s">
        <v>14801</v>
      </c>
      <c r="AV2471" s="5" t="s">
        <v>14803</v>
      </c>
    </row>
    <row r="2472" spans="1:48" ht="45" customHeight="1" x14ac:dyDescent="0.15">
      <c r="A2472" s="5" t="s">
        <v>14804</v>
      </c>
      <c r="B2472" s="5">
        <v>2017</v>
      </c>
      <c r="C2472" s="5" t="s">
        <v>14805</v>
      </c>
      <c r="D2472" s="5" t="s">
        <v>6075</v>
      </c>
      <c r="E2472" s="5" t="s">
        <v>18453</v>
      </c>
      <c r="F2472" s="5" t="s">
        <v>14808</v>
      </c>
      <c r="G2472" s="5"/>
      <c r="H2472" s="5"/>
      <c r="I2472" s="5"/>
      <c r="J2472" s="5"/>
      <c r="K2472" s="5"/>
      <c r="L2472" s="5"/>
      <c r="M2472" s="5"/>
      <c r="N2472" s="5"/>
      <c r="O2472" s="5"/>
      <c r="P2472" s="5"/>
      <c r="Q2472" s="5"/>
      <c r="AL2472" s="7" t="str">
        <f>HYPERLINK("http://dx.doi.org/10.1111/jeb.13024","http://dx.doi.org/10.1111/jeb.13024")</f>
        <v>http://dx.doi.org/10.1111/jeb.13024</v>
      </c>
      <c r="AM2472" s="5">
        <v>22</v>
      </c>
      <c r="AN2472" s="5">
        <v>22</v>
      </c>
      <c r="AO2472" s="5">
        <v>30</v>
      </c>
      <c r="AP2472" s="5">
        <v>3</v>
      </c>
      <c r="AQ2472" s="5">
        <v>549</v>
      </c>
      <c r="AR2472" s="5">
        <v>560</v>
      </c>
      <c r="AS2472" s="5" t="s">
        <v>16</v>
      </c>
      <c r="AT2472" s="5" t="s">
        <v>14806</v>
      </c>
      <c r="AU2472" s="5" t="s">
        <v>14807</v>
      </c>
      <c r="AV2472" s="5" t="s">
        <v>14809</v>
      </c>
    </row>
    <row r="2473" spans="1:48" ht="45" customHeight="1" x14ac:dyDescent="0.15">
      <c r="A2473" s="5" t="s">
        <v>14810</v>
      </c>
      <c r="B2473" s="5">
        <v>1992</v>
      </c>
      <c r="C2473" s="5" t="s">
        <v>14811</v>
      </c>
      <c r="D2473" s="5" t="s">
        <v>172</v>
      </c>
      <c r="E2473" s="5" t="s">
        <v>18453</v>
      </c>
      <c r="F2473" s="5" t="s">
        <v>14814</v>
      </c>
      <c r="G2473" s="5"/>
      <c r="H2473" s="5"/>
      <c r="I2473" s="5"/>
      <c r="J2473" s="5"/>
      <c r="K2473" s="5"/>
      <c r="L2473" s="5"/>
      <c r="M2473" s="5"/>
      <c r="N2473" s="5"/>
      <c r="O2473" s="5"/>
      <c r="P2473" s="5"/>
      <c r="Q2473" s="5"/>
      <c r="AL2473" s="7" t="str">
        <f>HYPERLINK("http://dx.doi.org/10.1007/BF00317801","http://dx.doi.org/10.1007/BF00317801")</f>
        <v>http://dx.doi.org/10.1007/BF00317801</v>
      </c>
      <c r="AM2473" s="5">
        <v>182</v>
      </c>
      <c r="AN2473" s="5">
        <v>213</v>
      </c>
      <c r="AO2473" s="5">
        <v>90</v>
      </c>
      <c r="AP2473" s="5">
        <v>1</v>
      </c>
      <c r="AQ2473" s="5">
        <v>1</v>
      </c>
      <c r="AR2473" s="5">
        <v>7</v>
      </c>
      <c r="AS2473" s="5" t="s">
        <v>16</v>
      </c>
      <c r="AT2473" s="5" t="s">
        <v>14812</v>
      </c>
      <c r="AU2473" s="5" t="s">
        <v>14813</v>
      </c>
      <c r="AV2473" s="5" t="s">
        <v>14815</v>
      </c>
    </row>
    <row r="2474" spans="1:48" ht="45" customHeight="1" x14ac:dyDescent="0.15">
      <c r="A2474" s="5" t="s">
        <v>14816</v>
      </c>
      <c r="B2474" s="5">
        <v>2010</v>
      </c>
      <c r="C2474" s="5" t="s">
        <v>14817</v>
      </c>
      <c r="D2474" s="5" t="s">
        <v>57</v>
      </c>
      <c r="E2474" s="5" t="s">
        <v>18453</v>
      </c>
      <c r="F2474" s="5" t="s">
        <v>14820</v>
      </c>
      <c r="G2474" s="5"/>
      <c r="H2474" s="5"/>
      <c r="I2474" s="5"/>
      <c r="J2474" s="5"/>
      <c r="K2474" s="5"/>
      <c r="L2474" s="5"/>
      <c r="M2474" s="5"/>
      <c r="N2474" s="5"/>
      <c r="O2474" s="5"/>
      <c r="P2474" s="5"/>
      <c r="Q2474" s="5"/>
      <c r="AL2474" s="7" t="str">
        <f>HYPERLINK("http://dx.doi.org/10.1098/rsbl.2009.0468","http://dx.doi.org/10.1098/rsbl.2009.0468")</f>
        <v>http://dx.doi.org/10.1098/rsbl.2009.0468</v>
      </c>
      <c r="AM2474" s="5">
        <v>159</v>
      </c>
      <c r="AN2474" s="5">
        <v>171</v>
      </c>
      <c r="AO2474" s="5">
        <v>6</v>
      </c>
      <c r="AP2474" s="5">
        <v>1</v>
      </c>
      <c r="AQ2474" s="5">
        <v>139</v>
      </c>
      <c r="AR2474" s="5">
        <v>142</v>
      </c>
      <c r="AS2474" s="5" t="s">
        <v>16</v>
      </c>
      <c r="AT2474" s="5" t="s">
        <v>14818</v>
      </c>
      <c r="AU2474" s="5" t="s">
        <v>14819</v>
      </c>
      <c r="AV2474" s="5" t="s">
        <v>14821</v>
      </c>
    </row>
    <row r="2475" spans="1:48" ht="45" customHeight="1" x14ac:dyDescent="0.15">
      <c r="A2475" s="5" t="s">
        <v>14822</v>
      </c>
      <c r="B2475" s="5">
        <v>2016</v>
      </c>
      <c r="C2475" s="5" t="s">
        <v>14823</v>
      </c>
      <c r="D2475" s="5" t="s">
        <v>14824</v>
      </c>
      <c r="E2475" s="5" t="s">
        <v>18453</v>
      </c>
      <c r="F2475" s="5" t="s">
        <v>14827</v>
      </c>
      <c r="G2475" s="5"/>
      <c r="H2475" s="5"/>
      <c r="I2475" s="5"/>
      <c r="J2475" s="5"/>
      <c r="K2475" s="5"/>
      <c r="L2475" s="5"/>
      <c r="M2475" s="5"/>
      <c r="N2475" s="5"/>
      <c r="O2475" s="5"/>
      <c r="P2475" s="5"/>
      <c r="Q2475" s="5"/>
      <c r="AL2475" s="7" t="str">
        <f>HYPERLINK("http://dx.doi.org/10.1007/s10393-016-1139-3","http://dx.doi.org/10.1007/s10393-016-1139-3")</f>
        <v>http://dx.doi.org/10.1007/s10393-016-1139-3</v>
      </c>
      <c r="AM2475" s="5">
        <v>9</v>
      </c>
      <c r="AN2475" s="5">
        <v>9</v>
      </c>
      <c r="AO2475" s="5">
        <v>13</v>
      </c>
      <c r="AP2475" s="5">
        <v>3</v>
      </c>
      <c r="AQ2475" s="5">
        <v>582</v>
      </c>
      <c r="AR2475" s="5">
        <v>590</v>
      </c>
      <c r="AS2475" s="5" t="s">
        <v>16</v>
      </c>
      <c r="AT2475" s="5" t="s">
        <v>14825</v>
      </c>
      <c r="AU2475" s="5" t="s">
        <v>14826</v>
      </c>
      <c r="AV2475" s="5" t="s">
        <v>14828</v>
      </c>
    </row>
    <row r="2476" spans="1:48" ht="45" customHeight="1" x14ac:dyDescent="0.15">
      <c r="A2476" s="5" t="s">
        <v>14829</v>
      </c>
      <c r="B2476" s="5">
        <v>2005</v>
      </c>
      <c r="C2476" s="5" t="s">
        <v>14830</v>
      </c>
      <c r="D2476" s="5" t="s">
        <v>62</v>
      </c>
      <c r="E2476" s="5" t="s">
        <v>18453</v>
      </c>
      <c r="F2476" s="5" t="s">
        <v>14833</v>
      </c>
      <c r="G2476" s="5"/>
      <c r="H2476" s="5"/>
      <c r="I2476" s="5"/>
      <c r="J2476" s="5"/>
      <c r="K2476" s="5"/>
      <c r="L2476" s="5"/>
      <c r="M2476" s="5"/>
      <c r="N2476" s="5"/>
      <c r="O2476" s="5"/>
      <c r="P2476" s="5"/>
      <c r="Q2476" s="5"/>
      <c r="AL2476" s="7" t="str">
        <f>HYPERLINK("http://dx.doi.org/10.1007/s10021-005-0064-z","http://dx.doi.org/10.1007/s10021-005-0064-z")</f>
        <v>http://dx.doi.org/10.1007/s10021-005-0064-z</v>
      </c>
      <c r="AM2476" s="5">
        <v>58</v>
      </c>
      <c r="AN2476" s="5">
        <v>59</v>
      </c>
      <c r="AO2476" s="5">
        <v>8</v>
      </c>
      <c r="AP2476" s="5">
        <v>5</v>
      </c>
      <c r="AQ2476" s="5">
        <v>529</v>
      </c>
      <c r="AR2476" s="5">
        <v>545</v>
      </c>
      <c r="AS2476" s="5" t="s">
        <v>16</v>
      </c>
      <c r="AT2476" s="5" t="s">
        <v>14831</v>
      </c>
      <c r="AU2476" s="5" t="s">
        <v>14832</v>
      </c>
      <c r="AV2476" s="5" t="s">
        <v>14834</v>
      </c>
    </row>
    <row r="2477" spans="1:48" ht="45" customHeight="1" x14ac:dyDescent="0.15">
      <c r="A2477" s="5" t="s">
        <v>14835</v>
      </c>
      <c r="B2477" s="5">
        <v>2014</v>
      </c>
      <c r="C2477" s="5" t="s">
        <v>14836</v>
      </c>
      <c r="D2477" s="5" t="s">
        <v>7104</v>
      </c>
      <c r="E2477" s="5" t="s">
        <v>18453</v>
      </c>
      <c r="F2477" s="5" t="s">
        <v>14839</v>
      </c>
      <c r="G2477" s="5"/>
      <c r="H2477" s="5"/>
      <c r="I2477" s="5"/>
      <c r="J2477" s="5"/>
      <c r="K2477" s="5"/>
      <c r="L2477" s="5"/>
      <c r="M2477" s="5"/>
      <c r="N2477" s="5"/>
      <c r="O2477" s="5"/>
      <c r="P2477" s="5"/>
      <c r="Q2477" s="5"/>
      <c r="AL2477" s="7" t="str">
        <f>HYPERLINK("http://dx.doi.org/10.1016/j.ecocom.2014.10.003","http://dx.doi.org/10.1016/j.ecocom.2014.10.003")</f>
        <v>http://dx.doi.org/10.1016/j.ecocom.2014.10.003</v>
      </c>
      <c r="AM2477" s="5">
        <v>15</v>
      </c>
      <c r="AN2477" s="5">
        <v>15</v>
      </c>
      <c r="AO2477" s="5">
        <v>20</v>
      </c>
      <c r="AP2477" s="5" t="s">
        <v>16</v>
      </c>
      <c r="AQ2477" s="5">
        <v>185</v>
      </c>
      <c r="AR2477" s="5">
        <v>194</v>
      </c>
      <c r="AS2477" s="5" t="s">
        <v>16</v>
      </c>
      <c r="AT2477" s="5" t="s">
        <v>14837</v>
      </c>
      <c r="AU2477" s="5" t="s">
        <v>14838</v>
      </c>
      <c r="AV2477" s="5" t="s">
        <v>14840</v>
      </c>
    </row>
    <row r="2478" spans="1:48" ht="45" customHeight="1" x14ac:dyDescent="0.15">
      <c r="A2478" s="5" t="s">
        <v>14841</v>
      </c>
      <c r="B2478" s="5">
        <v>2014</v>
      </c>
      <c r="C2478" s="5" t="s">
        <v>14842</v>
      </c>
      <c r="D2478" s="5" t="s">
        <v>83</v>
      </c>
      <c r="E2478" s="5" t="s">
        <v>18453</v>
      </c>
      <c r="F2478" s="5" t="s">
        <v>14845</v>
      </c>
      <c r="G2478" s="5"/>
      <c r="H2478" s="5"/>
      <c r="I2478" s="5"/>
      <c r="J2478" s="5"/>
      <c r="K2478" s="5"/>
      <c r="L2478" s="5"/>
      <c r="M2478" s="5"/>
      <c r="N2478" s="5"/>
      <c r="O2478" s="5"/>
      <c r="P2478" s="5"/>
      <c r="Q2478" s="5"/>
      <c r="AL2478" s="7" t="str">
        <f>HYPERLINK("http://dx.doi.org/10.1007/s10646-014-1235-5","http://dx.doi.org/10.1007/s10646-014-1235-5")</f>
        <v>http://dx.doi.org/10.1007/s10646-014-1235-5</v>
      </c>
      <c r="AM2478" s="5">
        <v>30</v>
      </c>
      <c r="AN2478" s="5">
        <v>31</v>
      </c>
      <c r="AO2478" s="5">
        <v>23</v>
      </c>
      <c r="AP2478" s="5">
        <v>5</v>
      </c>
      <c r="AQ2478" s="5">
        <v>914</v>
      </c>
      <c r="AR2478" s="5">
        <v>928</v>
      </c>
      <c r="AS2478" s="5" t="s">
        <v>16</v>
      </c>
      <c r="AT2478" s="5" t="s">
        <v>14843</v>
      </c>
      <c r="AU2478" s="5" t="s">
        <v>14844</v>
      </c>
      <c r="AV2478" s="5" t="s">
        <v>14846</v>
      </c>
    </row>
    <row r="2479" spans="1:48" ht="45" customHeight="1" x14ac:dyDescent="0.15">
      <c r="A2479" s="5" t="s">
        <v>14847</v>
      </c>
      <c r="B2479" s="5">
        <v>2007</v>
      </c>
      <c r="C2479" s="5" t="s">
        <v>14848</v>
      </c>
      <c r="D2479" s="5" t="s">
        <v>62</v>
      </c>
      <c r="E2479" s="5" t="s">
        <v>18453</v>
      </c>
      <c r="F2479" s="5" t="s">
        <v>14850</v>
      </c>
      <c r="G2479" s="5"/>
      <c r="H2479" s="5"/>
      <c r="I2479" s="5"/>
      <c r="J2479" s="5"/>
      <c r="K2479" s="5"/>
      <c r="L2479" s="5"/>
      <c r="M2479" s="5"/>
      <c r="N2479" s="5"/>
      <c r="O2479" s="5"/>
      <c r="P2479" s="5"/>
      <c r="Q2479" s="5"/>
      <c r="AL2479" s="7" t="str">
        <f>HYPERLINK("http://dx.doi.org/10.1007/s10021-007-9015-1","http://dx.doi.org/10.1007/s10021-007-9015-1")</f>
        <v>http://dx.doi.org/10.1007/s10021-007-9015-1</v>
      </c>
      <c r="AM2479" s="5">
        <v>7</v>
      </c>
      <c r="AN2479" s="5">
        <v>7</v>
      </c>
      <c r="AO2479" s="5">
        <v>10</v>
      </c>
      <c r="AP2479" s="5">
        <v>2</v>
      </c>
      <c r="AQ2479" s="5">
        <v>226</v>
      </c>
      <c r="AR2479" s="5">
        <v>238</v>
      </c>
      <c r="AS2479" s="5" t="s">
        <v>16</v>
      </c>
      <c r="AT2479" s="5" t="s">
        <v>16</v>
      </c>
      <c r="AU2479" s="5" t="s">
        <v>14849</v>
      </c>
      <c r="AV2479" s="5" t="s">
        <v>14851</v>
      </c>
    </row>
    <row r="2480" spans="1:48" ht="45" customHeight="1" x14ac:dyDescent="0.15">
      <c r="A2480" s="5" t="s">
        <v>14852</v>
      </c>
      <c r="B2480" s="5">
        <v>2022</v>
      </c>
      <c r="C2480" s="5" t="s">
        <v>14853</v>
      </c>
      <c r="D2480" s="5" t="s">
        <v>242</v>
      </c>
      <c r="E2480" s="5" t="s">
        <v>18453</v>
      </c>
      <c r="F2480" s="5" t="s">
        <v>14856</v>
      </c>
      <c r="G2480" s="5"/>
      <c r="H2480" s="5"/>
      <c r="I2480" s="5"/>
      <c r="J2480" s="5"/>
      <c r="K2480" s="5"/>
      <c r="L2480" s="5"/>
      <c r="M2480" s="5"/>
      <c r="N2480" s="5"/>
      <c r="O2480" s="5"/>
      <c r="P2480" s="5"/>
      <c r="Q2480" s="5"/>
      <c r="AL2480" s="7" t="str">
        <f>HYPERLINK("http://dx.doi.org/10.1007/s10980-022-01476-y","http://dx.doi.org/10.1007/s10980-022-01476-y")</f>
        <v>http://dx.doi.org/10.1007/s10980-022-01476-y</v>
      </c>
      <c r="AM2480" s="5">
        <v>2</v>
      </c>
      <c r="AN2480" s="5">
        <v>2</v>
      </c>
      <c r="AO2480" s="5">
        <v>37</v>
      </c>
      <c r="AP2480" s="5">
        <v>8</v>
      </c>
      <c r="AQ2480" s="5">
        <v>1987</v>
      </c>
      <c r="AR2480" s="5">
        <v>2006</v>
      </c>
      <c r="AS2480" s="5" t="s">
        <v>16</v>
      </c>
      <c r="AT2480" s="5" t="s">
        <v>14854</v>
      </c>
      <c r="AU2480" s="5" t="s">
        <v>14855</v>
      </c>
      <c r="AV2480" s="5" t="s">
        <v>14857</v>
      </c>
    </row>
    <row r="2481" spans="1:48" ht="45" customHeight="1" x14ac:dyDescent="0.15">
      <c r="A2481" s="5" t="s">
        <v>14858</v>
      </c>
      <c r="B2481" s="5">
        <v>2020</v>
      </c>
      <c r="C2481" s="5" t="s">
        <v>14859</v>
      </c>
      <c r="D2481" s="5" t="s">
        <v>10171</v>
      </c>
      <c r="E2481" s="5" t="s">
        <v>18453</v>
      </c>
      <c r="F2481" s="5" t="s">
        <v>14862</v>
      </c>
      <c r="G2481" s="5"/>
      <c r="H2481" s="5"/>
      <c r="I2481" s="5"/>
      <c r="J2481" s="5"/>
      <c r="K2481" s="5"/>
      <c r="L2481" s="5"/>
      <c r="M2481" s="5"/>
      <c r="N2481" s="5"/>
      <c r="O2481" s="5"/>
      <c r="P2481" s="5"/>
      <c r="Q2481" s="5"/>
      <c r="AL2481" s="7" t="str">
        <f>HYPERLINK("http://dx.doi.org/10.2981/wlb.00583","http://dx.doi.org/10.2981/wlb.00583")</f>
        <v>http://dx.doi.org/10.2981/wlb.00583</v>
      </c>
      <c r="AM2481" s="5">
        <v>8</v>
      </c>
      <c r="AN2481" s="5">
        <v>8</v>
      </c>
      <c r="AO2481" s="5">
        <v>2020</v>
      </c>
      <c r="AP2481" s="5">
        <v>1</v>
      </c>
      <c r="AQ2481" s="5" t="s">
        <v>16</v>
      </c>
      <c r="AR2481" s="5" t="s">
        <v>16</v>
      </c>
      <c r="AS2481" s="5" t="s">
        <v>14863</v>
      </c>
      <c r="AT2481" s="5" t="s">
        <v>14860</v>
      </c>
      <c r="AU2481" s="5" t="s">
        <v>14861</v>
      </c>
      <c r="AV2481" s="5" t="s">
        <v>14864</v>
      </c>
    </row>
    <row r="2482" spans="1:48" ht="45" customHeight="1" x14ac:dyDescent="0.15">
      <c r="A2482" s="5" t="s">
        <v>14865</v>
      </c>
      <c r="B2482" s="5">
        <v>2011</v>
      </c>
      <c r="C2482" s="5" t="s">
        <v>14866</v>
      </c>
      <c r="D2482" s="5" t="s">
        <v>62</v>
      </c>
      <c r="E2482" s="5" t="s">
        <v>18453</v>
      </c>
      <c r="F2482" s="5" t="s">
        <v>14869</v>
      </c>
      <c r="G2482" s="5"/>
      <c r="H2482" s="5"/>
      <c r="I2482" s="5"/>
      <c r="J2482" s="5"/>
      <c r="K2482" s="5"/>
      <c r="L2482" s="5"/>
      <c r="M2482" s="5"/>
      <c r="N2482" s="5"/>
      <c r="O2482" s="5"/>
      <c r="P2482" s="5"/>
      <c r="Q2482" s="5"/>
      <c r="AL2482" s="7" t="str">
        <f>HYPERLINK("http://dx.doi.org/10.1007/s10021-011-9430-1","http://dx.doi.org/10.1007/s10021-011-9430-1")</f>
        <v>http://dx.doi.org/10.1007/s10021-011-9430-1</v>
      </c>
      <c r="AM2482" s="5">
        <v>9</v>
      </c>
      <c r="AN2482" s="5">
        <v>9</v>
      </c>
      <c r="AO2482" s="5">
        <v>14</v>
      </c>
      <c r="AP2482" s="5">
        <v>4</v>
      </c>
      <c r="AQ2482" s="5">
        <v>583</v>
      </c>
      <c r="AR2482" s="5">
        <v>597</v>
      </c>
      <c r="AS2482" s="5" t="s">
        <v>16</v>
      </c>
      <c r="AT2482" s="5" t="s">
        <v>14867</v>
      </c>
      <c r="AU2482" s="5" t="s">
        <v>14868</v>
      </c>
      <c r="AV2482" s="5" t="s">
        <v>14870</v>
      </c>
    </row>
    <row r="2483" spans="1:48" ht="45" customHeight="1" x14ac:dyDescent="0.15">
      <c r="A2483" s="5" t="s">
        <v>14871</v>
      </c>
      <c r="B2483" s="5">
        <v>2018</v>
      </c>
      <c r="C2483" s="5" t="s">
        <v>14872</v>
      </c>
      <c r="D2483" s="5" t="s">
        <v>49</v>
      </c>
      <c r="E2483" s="5" t="s">
        <v>18453</v>
      </c>
      <c r="F2483" s="5" t="s">
        <v>14875</v>
      </c>
      <c r="G2483" s="5"/>
      <c r="H2483" s="5"/>
      <c r="I2483" s="5"/>
      <c r="J2483" s="5"/>
      <c r="K2483" s="5"/>
      <c r="L2483" s="5"/>
      <c r="M2483" s="5"/>
      <c r="N2483" s="5"/>
      <c r="O2483" s="5"/>
      <c r="P2483" s="5"/>
      <c r="Q2483" s="5"/>
      <c r="AL2483" s="7" t="str">
        <f>HYPERLINK("http://dx.doi.org/10.3354/meps12557","http://dx.doi.org/10.3354/meps12557")</f>
        <v>http://dx.doi.org/10.3354/meps12557</v>
      </c>
      <c r="AM2483" s="5">
        <v>16</v>
      </c>
      <c r="AN2483" s="5">
        <v>16</v>
      </c>
      <c r="AO2483" s="5">
        <v>596</v>
      </c>
      <c r="AP2483" s="5" t="s">
        <v>16</v>
      </c>
      <c r="AQ2483" s="5">
        <v>233</v>
      </c>
      <c r="AR2483" s="5">
        <v>245</v>
      </c>
      <c r="AS2483" s="5" t="s">
        <v>16</v>
      </c>
      <c r="AT2483" s="5" t="s">
        <v>14873</v>
      </c>
      <c r="AU2483" s="5" t="s">
        <v>14874</v>
      </c>
      <c r="AV2483" s="5" t="s">
        <v>14876</v>
      </c>
    </row>
    <row r="2484" spans="1:48" ht="45" customHeight="1" x14ac:dyDescent="0.15">
      <c r="A2484" s="5" t="s">
        <v>14877</v>
      </c>
      <c r="B2484" s="5">
        <v>2020</v>
      </c>
      <c r="C2484" s="5" t="s">
        <v>14878</v>
      </c>
      <c r="D2484" s="5" t="s">
        <v>59</v>
      </c>
      <c r="E2484" s="5" t="s">
        <v>18453</v>
      </c>
      <c r="F2484" s="5" t="s">
        <v>14881</v>
      </c>
      <c r="G2484" s="5"/>
      <c r="H2484" s="5"/>
      <c r="I2484" s="5"/>
      <c r="J2484" s="5"/>
      <c r="K2484" s="5"/>
      <c r="L2484" s="5"/>
      <c r="M2484" s="5"/>
      <c r="N2484" s="5"/>
      <c r="O2484" s="5"/>
      <c r="P2484" s="5"/>
      <c r="Q2484" s="5"/>
      <c r="AL2484" s="7" t="str">
        <f>HYPERLINK("http://dx.doi.org/10.1111/ele.13521","http://dx.doi.org/10.1111/ele.13521")</f>
        <v>http://dx.doi.org/10.1111/ele.13521</v>
      </c>
      <c r="AM2484" s="5">
        <v>50</v>
      </c>
      <c r="AN2484" s="5">
        <v>50</v>
      </c>
      <c r="AO2484" s="5">
        <v>23</v>
      </c>
      <c r="AP2484" s="5">
        <v>8</v>
      </c>
      <c r="AQ2484" s="5">
        <v>1212</v>
      </c>
      <c r="AR2484" s="5">
        <v>1222</v>
      </c>
      <c r="AS2484" s="5" t="s">
        <v>16</v>
      </c>
      <c r="AT2484" s="5" t="s">
        <v>14879</v>
      </c>
      <c r="AU2484" s="5" t="s">
        <v>14880</v>
      </c>
      <c r="AV2484" s="5" t="s">
        <v>14882</v>
      </c>
    </row>
    <row r="2485" spans="1:48" ht="45" customHeight="1" x14ac:dyDescent="0.15">
      <c r="A2485" s="5" t="s">
        <v>14883</v>
      </c>
      <c r="B2485" s="5">
        <v>2020</v>
      </c>
      <c r="C2485" s="5" t="s">
        <v>14884</v>
      </c>
      <c r="D2485" s="5" t="s">
        <v>1621</v>
      </c>
      <c r="E2485" s="5" t="s">
        <v>18453</v>
      </c>
      <c r="F2485" s="5" t="s">
        <v>14886</v>
      </c>
      <c r="G2485" s="5"/>
      <c r="H2485" s="5"/>
      <c r="I2485" s="5"/>
      <c r="J2485" s="5"/>
      <c r="K2485" s="5"/>
      <c r="L2485" s="5"/>
      <c r="M2485" s="5"/>
      <c r="N2485" s="5"/>
      <c r="O2485" s="5"/>
      <c r="P2485" s="5"/>
      <c r="Q2485" s="5"/>
      <c r="AL2485" s="7" t="str">
        <f>HYPERLINK("http://dx.doi.org/10.1093/conphys/coaa095","http://dx.doi.org/10.1093/conphys/coaa095")</f>
        <v>http://dx.doi.org/10.1093/conphys/coaa095</v>
      </c>
      <c r="AM2485" s="5">
        <v>4</v>
      </c>
      <c r="AN2485" s="5">
        <v>4</v>
      </c>
      <c r="AO2485" s="5">
        <v>8</v>
      </c>
      <c r="AP2485" s="5" t="s">
        <v>16</v>
      </c>
      <c r="AQ2485" s="5" t="s">
        <v>16</v>
      </c>
      <c r="AR2485" s="5" t="s">
        <v>16</v>
      </c>
      <c r="AS2485" s="5" t="s">
        <v>14887</v>
      </c>
      <c r="AT2485" s="5" t="s">
        <v>14885</v>
      </c>
      <c r="AU2485" s="5" t="s">
        <v>16</v>
      </c>
      <c r="AV2485" s="5" t="s">
        <v>14888</v>
      </c>
    </row>
    <row r="2486" spans="1:48" ht="45" customHeight="1" x14ac:dyDescent="0.15">
      <c r="A2486" s="5" t="s">
        <v>14889</v>
      </c>
      <c r="B2486" s="5">
        <v>2019</v>
      </c>
      <c r="C2486" s="5" t="s">
        <v>14890</v>
      </c>
      <c r="D2486" s="5" t="s">
        <v>67</v>
      </c>
      <c r="E2486" s="5" t="s">
        <v>18453</v>
      </c>
      <c r="F2486" s="5" t="s">
        <v>14893</v>
      </c>
      <c r="G2486" s="5"/>
      <c r="H2486" s="5"/>
      <c r="I2486" s="5"/>
      <c r="J2486" s="5"/>
      <c r="K2486" s="5"/>
      <c r="L2486" s="5"/>
      <c r="M2486" s="5"/>
      <c r="N2486" s="5"/>
      <c r="O2486" s="5"/>
      <c r="P2486" s="5"/>
      <c r="Q2486" s="5"/>
      <c r="AL2486" s="7" t="str">
        <f>HYPERLINK("http://dx.doi.org/10.1111/jbi.13622","http://dx.doi.org/10.1111/jbi.13622")</f>
        <v>http://dx.doi.org/10.1111/jbi.13622</v>
      </c>
      <c r="AM2486" s="5">
        <v>13</v>
      </c>
      <c r="AN2486" s="5">
        <v>13</v>
      </c>
      <c r="AO2486" s="5">
        <v>46</v>
      </c>
      <c r="AP2486" s="5">
        <v>8</v>
      </c>
      <c r="AQ2486" s="5">
        <v>1777</v>
      </c>
      <c r="AR2486" s="5">
        <v>1791</v>
      </c>
      <c r="AS2486" s="5" t="s">
        <v>16</v>
      </c>
      <c r="AT2486" s="5" t="s">
        <v>14891</v>
      </c>
      <c r="AU2486" s="5" t="s">
        <v>14892</v>
      </c>
      <c r="AV2486" s="5" t="s">
        <v>14894</v>
      </c>
    </row>
    <row r="2487" spans="1:48" ht="45" customHeight="1" x14ac:dyDescent="0.15">
      <c r="A2487" s="5" t="s">
        <v>14895</v>
      </c>
      <c r="B2487" s="5">
        <v>1996</v>
      </c>
      <c r="C2487" s="5" t="s">
        <v>14896</v>
      </c>
      <c r="D2487" s="5" t="s">
        <v>49</v>
      </c>
      <c r="E2487" s="5" t="s">
        <v>18453</v>
      </c>
      <c r="F2487" s="5" t="s">
        <v>14899</v>
      </c>
      <c r="G2487" s="5"/>
      <c r="H2487" s="5"/>
      <c r="I2487" s="5"/>
      <c r="J2487" s="5"/>
      <c r="K2487" s="5"/>
      <c r="L2487" s="5"/>
      <c r="M2487" s="5"/>
      <c r="N2487" s="5"/>
      <c r="O2487" s="5"/>
      <c r="P2487" s="5"/>
      <c r="Q2487" s="5"/>
      <c r="AL2487" s="7" t="str">
        <f>HYPERLINK("http://dx.doi.org/10.3354/meps131075","http://dx.doi.org/10.3354/meps131075")</f>
        <v>http://dx.doi.org/10.3354/meps131075</v>
      </c>
      <c r="AM2487" s="5">
        <v>110</v>
      </c>
      <c r="AN2487" s="5">
        <v>110</v>
      </c>
      <c r="AO2487" s="5">
        <v>131</v>
      </c>
      <c r="AP2487" s="5" t="s">
        <v>2954</v>
      </c>
      <c r="AQ2487" s="5">
        <v>75</v>
      </c>
      <c r="AR2487" s="5">
        <v>85</v>
      </c>
      <c r="AS2487" s="5" t="s">
        <v>16</v>
      </c>
      <c r="AT2487" s="5" t="s">
        <v>14897</v>
      </c>
      <c r="AU2487" s="5" t="s">
        <v>14898</v>
      </c>
      <c r="AV2487" s="5" t="s">
        <v>14900</v>
      </c>
    </row>
    <row r="2488" spans="1:48" ht="45" customHeight="1" x14ac:dyDescent="0.15">
      <c r="A2488" s="5" t="s">
        <v>14901</v>
      </c>
      <c r="B2488" s="5">
        <v>2016</v>
      </c>
      <c r="C2488" s="5" t="s">
        <v>14902</v>
      </c>
      <c r="D2488" s="5" t="s">
        <v>252</v>
      </c>
      <c r="E2488" s="5" t="s">
        <v>18453</v>
      </c>
      <c r="F2488" s="5" t="s">
        <v>14905</v>
      </c>
      <c r="G2488" s="5"/>
      <c r="H2488" s="5"/>
      <c r="I2488" s="5"/>
      <c r="J2488" s="5"/>
      <c r="K2488" s="5"/>
      <c r="L2488" s="5"/>
      <c r="M2488" s="5"/>
      <c r="N2488" s="5"/>
      <c r="O2488" s="5"/>
      <c r="P2488" s="5"/>
      <c r="Q2488" s="5"/>
      <c r="AL2488" s="7" t="str">
        <f>HYPERLINK("http://dx.doi.org/10.1111/cobi.12684","http://dx.doi.org/10.1111/cobi.12684")</f>
        <v>http://dx.doi.org/10.1111/cobi.12684</v>
      </c>
      <c r="AM2488" s="5">
        <v>73</v>
      </c>
      <c r="AN2488" s="5">
        <v>75</v>
      </c>
      <c r="AO2488" s="5">
        <v>30</v>
      </c>
      <c r="AP2488" s="5">
        <v>4</v>
      </c>
      <c r="AQ2488" s="5">
        <v>774</v>
      </c>
      <c r="AR2488" s="5">
        <v>782</v>
      </c>
      <c r="AS2488" s="5" t="s">
        <v>16</v>
      </c>
      <c r="AT2488" s="5" t="s">
        <v>14903</v>
      </c>
      <c r="AU2488" s="5" t="s">
        <v>14904</v>
      </c>
      <c r="AV2488" s="5" t="s">
        <v>14906</v>
      </c>
    </row>
    <row r="2489" spans="1:48" ht="45" customHeight="1" x14ac:dyDescent="0.15">
      <c r="A2489" s="5" t="s">
        <v>14907</v>
      </c>
      <c r="B2489" s="5">
        <v>2009</v>
      </c>
      <c r="C2489" s="5" t="s">
        <v>14908</v>
      </c>
      <c r="D2489" s="5" t="s">
        <v>3183</v>
      </c>
      <c r="E2489" s="5" t="s">
        <v>18453</v>
      </c>
      <c r="F2489" s="5" t="s">
        <v>14911</v>
      </c>
      <c r="G2489" s="5"/>
      <c r="H2489" s="5"/>
      <c r="I2489" s="5"/>
      <c r="J2489" s="5"/>
      <c r="K2489" s="5"/>
      <c r="L2489" s="5"/>
      <c r="M2489" s="5"/>
      <c r="N2489" s="5"/>
      <c r="O2489" s="5"/>
      <c r="P2489" s="5"/>
      <c r="Q2489" s="5"/>
      <c r="AL2489" s="7" t="str">
        <f>HYPERLINK("http://dx.doi.org/10.1016/j.pedobi.2008.11.005","http://dx.doi.org/10.1016/j.pedobi.2008.11.005")</f>
        <v>http://dx.doi.org/10.1016/j.pedobi.2008.11.005</v>
      </c>
      <c r="AM2489" s="5">
        <v>17</v>
      </c>
      <c r="AN2489" s="5">
        <v>22</v>
      </c>
      <c r="AO2489" s="5">
        <v>52</v>
      </c>
      <c r="AP2489" s="5">
        <v>5</v>
      </c>
      <c r="AQ2489" s="5">
        <v>325</v>
      </c>
      <c r="AR2489" s="5">
        <v>336</v>
      </c>
      <c r="AS2489" s="5" t="s">
        <v>16</v>
      </c>
      <c r="AT2489" s="5" t="s">
        <v>14909</v>
      </c>
      <c r="AU2489" s="5" t="s">
        <v>14910</v>
      </c>
      <c r="AV2489" s="5" t="s">
        <v>14912</v>
      </c>
    </row>
    <row r="2490" spans="1:48" ht="45" customHeight="1" x14ac:dyDescent="0.15">
      <c r="A2490" s="5" t="s">
        <v>14913</v>
      </c>
      <c r="B2490" s="5">
        <v>2008</v>
      </c>
      <c r="C2490" s="5" t="s">
        <v>14914</v>
      </c>
      <c r="D2490" s="5" t="s">
        <v>82</v>
      </c>
      <c r="E2490" s="5" t="s">
        <v>18453</v>
      </c>
      <c r="F2490" s="5" t="s">
        <v>14917</v>
      </c>
      <c r="G2490" s="5"/>
      <c r="H2490" s="5"/>
      <c r="I2490" s="5"/>
      <c r="J2490" s="5"/>
      <c r="K2490" s="5"/>
      <c r="L2490" s="5"/>
      <c r="M2490" s="5"/>
      <c r="N2490" s="5"/>
      <c r="O2490" s="5"/>
      <c r="P2490" s="5"/>
      <c r="Q2490" s="5"/>
      <c r="AL2490" s="7" t="str">
        <f>HYPERLINK("http://dx.doi.org/10.1890/07-1777.1","http://dx.doi.org/10.1890/07-1777.1")</f>
        <v>http://dx.doi.org/10.1890/07-1777.1</v>
      </c>
      <c r="AM2490" s="5">
        <v>40</v>
      </c>
      <c r="AN2490" s="5">
        <v>41</v>
      </c>
      <c r="AO2490" s="5">
        <v>18</v>
      </c>
      <c r="AP2490" s="5">
        <v>8</v>
      </c>
      <c r="AQ2490" s="5">
        <v>1874</v>
      </c>
      <c r="AR2490" s="5">
        <v>1887</v>
      </c>
      <c r="AS2490" s="5" t="s">
        <v>16</v>
      </c>
      <c r="AT2490" s="5" t="s">
        <v>14915</v>
      </c>
      <c r="AU2490" s="5" t="s">
        <v>14916</v>
      </c>
      <c r="AV2490" s="5" t="s">
        <v>14918</v>
      </c>
    </row>
    <row r="2491" spans="1:48" ht="45" customHeight="1" x14ac:dyDescent="0.15">
      <c r="A2491" s="5" t="s">
        <v>14919</v>
      </c>
      <c r="B2491" s="5">
        <v>2007</v>
      </c>
      <c r="C2491" s="5" t="s">
        <v>14920</v>
      </c>
      <c r="D2491" s="5" t="s">
        <v>49</v>
      </c>
      <c r="E2491" s="5" t="s">
        <v>18453</v>
      </c>
      <c r="F2491" s="5" t="s">
        <v>14923</v>
      </c>
      <c r="G2491" s="5"/>
      <c r="H2491" s="5"/>
      <c r="I2491" s="5"/>
      <c r="J2491" s="5"/>
      <c r="K2491" s="5"/>
      <c r="L2491" s="5"/>
      <c r="M2491" s="5"/>
      <c r="N2491" s="5"/>
      <c r="O2491" s="5"/>
      <c r="P2491" s="5"/>
      <c r="Q2491" s="5"/>
      <c r="AL2491" s="7" t="str">
        <f>HYPERLINK("http://dx.doi.org/10.3354/meps331067","http://dx.doi.org/10.3354/meps331067")</f>
        <v>http://dx.doi.org/10.3354/meps331067</v>
      </c>
      <c r="AM2491" s="5">
        <v>20</v>
      </c>
      <c r="AN2491" s="5">
        <v>20</v>
      </c>
      <c r="AO2491" s="5">
        <v>331</v>
      </c>
      <c r="AP2491" s="5" t="s">
        <v>16</v>
      </c>
      <c r="AQ2491" s="5">
        <v>67</v>
      </c>
      <c r="AR2491" s="5">
        <v>83</v>
      </c>
      <c r="AS2491" s="5" t="s">
        <v>16</v>
      </c>
      <c r="AT2491" s="5" t="s">
        <v>14921</v>
      </c>
      <c r="AU2491" s="5" t="s">
        <v>14922</v>
      </c>
      <c r="AV2491" s="5" t="s">
        <v>14924</v>
      </c>
    </row>
    <row r="2492" spans="1:48" ht="45" customHeight="1" x14ac:dyDescent="0.15">
      <c r="A2492" s="5" t="s">
        <v>14925</v>
      </c>
      <c r="B2492" s="5">
        <v>1998</v>
      </c>
      <c r="C2492" s="5" t="s">
        <v>14926</v>
      </c>
      <c r="D2492" s="5" t="s">
        <v>172</v>
      </c>
      <c r="E2492" s="5" t="s">
        <v>18453</v>
      </c>
      <c r="F2492" s="5" t="s">
        <v>14929</v>
      </c>
      <c r="G2492" s="5"/>
      <c r="H2492" s="5"/>
      <c r="I2492" s="5"/>
      <c r="J2492" s="5"/>
      <c r="K2492" s="5"/>
      <c r="L2492" s="5"/>
      <c r="M2492" s="5"/>
      <c r="N2492" s="5"/>
      <c r="O2492" s="5"/>
      <c r="P2492" s="5"/>
      <c r="Q2492" s="5"/>
      <c r="AL2492" s="7" t="str">
        <f>HYPERLINK("http://dx.doi.org/10.1007/s004420050593","http://dx.doi.org/10.1007/s004420050593")</f>
        <v>http://dx.doi.org/10.1007/s004420050593</v>
      </c>
      <c r="AM2492" s="5">
        <v>63</v>
      </c>
      <c r="AN2492" s="5">
        <v>69</v>
      </c>
      <c r="AO2492" s="5">
        <v>116</v>
      </c>
      <c r="AP2492" s="5">
        <v>3</v>
      </c>
      <c r="AQ2492" s="5">
        <v>316</v>
      </c>
      <c r="AR2492" s="5">
        <v>330</v>
      </c>
      <c r="AS2492" s="5" t="s">
        <v>16</v>
      </c>
      <c r="AT2492" s="5" t="s">
        <v>14927</v>
      </c>
      <c r="AU2492" s="5" t="s">
        <v>14928</v>
      </c>
      <c r="AV2492" s="5" t="s">
        <v>14930</v>
      </c>
    </row>
    <row r="2493" spans="1:48" ht="45" customHeight="1" x14ac:dyDescent="0.15">
      <c r="A2493" s="5" t="s">
        <v>14931</v>
      </c>
      <c r="B2493" s="5">
        <v>2020</v>
      </c>
      <c r="C2493" s="5" t="s">
        <v>14932</v>
      </c>
      <c r="D2493" s="5" t="s">
        <v>15</v>
      </c>
      <c r="E2493" s="5" t="s">
        <v>18453</v>
      </c>
      <c r="F2493" s="5" t="s">
        <v>14934</v>
      </c>
      <c r="G2493" s="5"/>
      <c r="H2493" s="5"/>
      <c r="I2493" s="5"/>
      <c r="J2493" s="5"/>
      <c r="K2493" s="5"/>
      <c r="L2493" s="5"/>
      <c r="M2493" s="5"/>
      <c r="N2493" s="5"/>
      <c r="O2493" s="5"/>
      <c r="P2493" s="5"/>
      <c r="Q2493" s="5"/>
      <c r="AL2493" s="7" t="str">
        <f>HYPERLINK("http://dx.doi.org/10.1002/ece3.6636","http://dx.doi.org/10.1002/ece3.6636")</f>
        <v>http://dx.doi.org/10.1002/ece3.6636</v>
      </c>
      <c r="AM2493" s="5">
        <v>8</v>
      </c>
      <c r="AN2493" s="5">
        <v>8</v>
      </c>
      <c r="AO2493" s="5">
        <v>10</v>
      </c>
      <c r="AP2493" s="5">
        <v>17</v>
      </c>
      <c r="AQ2493" s="5">
        <v>9454</v>
      </c>
      <c r="AR2493" s="5">
        <v>9465</v>
      </c>
      <c r="AS2493" s="5" t="s">
        <v>16</v>
      </c>
      <c r="AT2493" s="5" t="s">
        <v>16</v>
      </c>
      <c r="AU2493" s="5" t="s">
        <v>14933</v>
      </c>
      <c r="AV2493" s="5" t="s">
        <v>14935</v>
      </c>
    </row>
    <row r="2494" spans="1:48" ht="45" customHeight="1" x14ac:dyDescent="0.15">
      <c r="A2494" s="5" t="s">
        <v>14936</v>
      </c>
      <c r="B2494" s="5">
        <v>2020</v>
      </c>
      <c r="C2494" s="5" t="s">
        <v>14937</v>
      </c>
      <c r="D2494" s="5" t="s">
        <v>217</v>
      </c>
      <c r="E2494" s="5" t="s">
        <v>18453</v>
      </c>
      <c r="F2494" s="5" t="s">
        <v>14940</v>
      </c>
      <c r="G2494" s="5"/>
      <c r="H2494" s="5"/>
      <c r="I2494" s="5"/>
      <c r="J2494" s="5"/>
      <c r="K2494" s="5"/>
      <c r="L2494" s="5"/>
      <c r="M2494" s="5"/>
      <c r="N2494" s="5"/>
      <c r="O2494" s="5"/>
      <c r="P2494" s="5"/>
      <c r="Q2494" s="5"/>
      <c r="AL2494" s="7" t="str">
        <f>HYPERLINK("http://dx.doi.org/10.1111/2041-210X.13386","http://dx.doi.org/10.1111/2041-210X.13386")</f>
        <v>http://dx.doi.org/10.1111/2041-210X.13386</v>
      </c>
      <c r="AM2494" s="5">
        <v>18</v>
      </c>
      <c r="AN2494" s="5">
        <v>18</v>
      </c>
      <c r="AO2494" s="5">
        <v>11</v>
      </c>
      <c r="AP2494" s="5">
        <v>6</v>
      </c>
      <c r="AQ2494" s="5">
        <v>751</v>
      </c>
      <c r="AR2494" s="5">
        <v>762</v>
      </c>
      <c r="AS2494" s="5" t="s">
        <v>16</v>
      </c>
      <c r="AT2494" s="5" t="s">
        <v>14938</v>
      </c>
      <c r="AU2494" s="5" t="s">
        <v>14939</v>
      </c>
      <c r="AV2494" s="5" t="s">
        <v>14941</v>
      </c>
    </row>
    <row r="2495" spans="1:48" ht="45" customHeight="1" x14ac:dyDescent="0.15">
      <c r="A2495" s="5" t="s">
        <v>14942</v>
      </c>
      <c r="B2495" s="5">
        <v>2017</v>
      </c>
      <c r="C2495" s="5" t="s">
        <v>14943</v>
      </c>
      <c r="D2495" s="5" t="s">
        <v>526</v>
      </c>
      <c r="E2495" s="5" t="s">
        <v>18453</v>
      </c>
      <c r="F2495" s="5" t="s">
        <v>14946</v>
      </c>
      <c r="G2495" s="5"/>
      <c r="H2495" s="5"/>
      <c r="I2495" s="5"/>
      <c r="J2495" s="5"/>
      <c r="K2495" s="5"/>
      <c r="L2495" s="5"/>
      <c r="M2495" s="5"/>
      <c r="N2495" s="5"/>
      <c r="O2495" s="5"/>
      <c r="P2495" s="5"/>
      <c r="Q2495" s="5"/>
      <c r="AL2495" s="7" t="str">
        <f>HYPERLINK("http://dx.doi.org/10.1111/jvs.12570","http://dx.doi.org/10.1111/jvs.12570")</f>
        <v>http://dx.doi.org/10.1111/jvs.12570</v>
      </c>
      <c r="AM2495" s="5">
        <v>15</v>
      </c>
      <c r="AN2495" s="5">
        <v>16</v>
      </c>
      <c r="AO2495" s="5">
        <v>28</v>
      </c>
      <c r="AP2495" s="5">
        <v>6</v>
      </c>
      <c r="AQ2495" s="5">
        <v>1107</v>
      </c>
      <c r="AR2495" s="5">
        <v>1117</v>
      </c>
      <c r="AS2495" s="5" t="s">
        <v>16</v>
      </c>
      <c r="AT2495" s="5" t="s">
        <v>14944</v>
      </c>
      <c r="AU2495" s="5" t="s">
        <v>14945</v>
      </c>
      <c r="AV2495" s="5" t="s">
        <v>14947</v>
      </c>
    </row>
    <row r="2496" spans="1:48" ht="45" customHeight="1" x14ac:dyDescent="0.15">
      <c r="A2496" s="5" t="s">
        <v>14948</v>
      </c>
      <c r="B2496" s="5">
        <v>2015</v>
      </c>
      <c r="C2496" s="5" t="s">
        <v>14949</v>
      </c>
      <c r="D2496" s="5" t="s">
        <v>49</v>
      </c>
      <c r="E2496" s="5" t="s">
        <v>18453</v>
      </c>
      <c r="F2496" s="5" t="s">
        <v>14952</v>
      </c>
      <c r="G2496" s="5"/>
      <c r="H2496" s="5"/>
      <c r="I2496" s="5"/>
      <c r="J2496" s="5"/>
      <c r="K2496" s="5"/>
      <c r="L2496" s="5"/>
      <c r="M2496" s="5"/>
      <c r="N2496" s="5"/>
      <c r="O2496" s="5"/>
      <c r="P2496" s="5"/>
      <c r="Q2496" s="5"/>
      <c r="AL2496" s="7" t="str">
        <f>HYPERLINK("http://dx.doi.org/10.3354/meps11179","http://dx.doi.org/10.3354/meps11179")</f>
        <v>http://dx.doi.org/10.3354/meps11179</v>
      </c>
      <c r="AM2496" s="5">
        <v>16</v>
      </c>
      <c r="AN2496" s="5">
        <v>17</v>
      </c>
      <c r="AO2496" s="5">
        <v>525</v>
      </c>
      <c r="AP2496" s="5" t="s">
        <v>16</v>
      </c>
      <c r="AQ2496" s="5">
        <v>229</v>
      </c>
      <c r="AR2496" s="5">
        <v>243</v>
      </c>
      <c r="AS2496" s="5" t="s">
        <v>16</v>
      </c>
      <c r="AT2496" s="5" t="s">
        <v>14950</v>
      </c>
      <c r="AU2496" s="5" t="s">
        <v>14951</v>
      </c>
      <c r="AV2496" s="5" t="s">
        <v>14953</v>
      </c>
    </row>
    <row r="2497" spans="1:48" ht="45" customHeight="1" x14ac:dyDescent="0.15">
      <c r="A2497" s="5" t="s">
        <v>14954</v>
      </c>
      <c r="B2497" s="5">
        <v>2014</v>
      </c>
      <c r="C2497" s="5" t="s">
        <v>14955</v>
      </c>
      <c r="D2497" s="5" t="s">
        <v>973</v>
      </c>
      <c r="E2497" s="5" t="s">
        <v>18453</v>
      </c>
      <c r="F2497" s="5" t="s">
        <v>14957</v>
      </c>
      <c r="G2497" s="5"/>
      <c r="H2497" s="5"/>
      <c r="I2497" s="5"/>
      <c r="J2497" s="5"/>
      <c r="K2497" s="5"/>
      <c r="L2497" s="5"/>
      <c r="M2497" s="5"/>
      <c r="N2497" s="5"/>
      <c r="O2497" s="5"/>
      <c r="P2497" s="5"/>
      <c r="Q2497" s="5"/>
      <c r="AL2497" s="7" t="str">
        <f>HYPERLINK("http://dx.doi.org/10.5194/bg-11-1297-2014","http://dx.doi.org/10.5194/bg-11-1297-2014")</f>
        <v>http://dx.doi.org/10.5194/bg-11-1297-2014</v>
      </c>
      <c r="AM2497" s="5">
        <v>45</v>
      </c>
      <c r="AN2497" s="5">
        <v>47</v>
      </c>
      <c r="AO2497" s="5">
        <v>11</v>
      </c>
      <c r="AP2497" s="5">
        <v>4</v>
      </c>
      <c r="AQ2497" s="5">
        <v>1297</v>
      </c>
      <c r="AR2497" s="5">
        <v>1317</v>
      </c>
      <c r="AS2497" s="5" t="s">
        <v>16</v>
      </c>
      <c r="AT2497" s="5" t="s">
        <v>16</v>
      </c>
      <c r="AU2497" s="5" t="s">
        <v>14956</v>
      </c>
      <c r="AV2497" s="5" t="s">
        <v>14958</v>
      </c>
    </row>
    <row r="2498" spans="1:48" ht="45" customHeight="1" x14ac:dyDescent="0.15">
      <c r="A2498" s="5" t="s">
        <v>14959</v>
      </c>
      <c r="B2498" s="5">
        <v>2012</v>
      </c>
      <c r="C2498" s="5" t="s">
        <v>14960</v>
      </c>
      <c r="D2498" s="5" t="s">
        <v>49</v>
      </c>
      <c r="E2498" s="5" t="s">
        <v>18453</v>
      </c>
      <c r="F2498" s="5" t="s">
        <v>14963</v>
      </c>
      <c r="G2498" s="5"/>
      <c r="H2498" s="5"/>
      <c r="I2498" s="5"/>
      <c r="J2498" s="5"/>
      <c r="K2498" s="5"/>
      <c r="L2498" s="5"/>
      <c r="M2498" s="5"/>
      <c r="N2498" s="5"/>
      <c r="O2498" s="5"/>
      <c r="P2498" s="5"/>
      <c r="Q2498" s="5"/>
      <c r="AL2498" s="7" t="str">
        <f>HYPERLINK("http://dx.doi.org/10.3354/meps09750","http://dx.doi.org/10.3354/meps09750")</f>
        <v>http://dx.doi.org/10.3354/meps09750</v>
      </c>
      <c r="AM2498" s="5">
        <v>26</v>
      </c>
      <c r="AN2498" s="5">
        <v>27</v>
      </c>
      <c r="AO2498" s="5">
        <v>460</v>
      </c>
      <c r="AP2498" s="5" t="s">
        <v>16</v>
      </c>
      <c r="AQ2498" s="5">
        <v>247</v>
      </c>
      <c r="AR2498" s="5">
        <v>259</v>
      </c>
      <c r="AS2498" s="5" t="s">
        <v>16</v>
      </c>
      <c r="AT2498" s="5" t="s">
        <v>14961</v>
      </c>
      <c r="AU2498" s="5" t="s">
        <v>14962</v>
      </c>
      <c r="AV2498" s="5" t="s">
        <v>14964</v>
      </c>
    </row>
    <row r="2499" spans="1:48" ht="45" customHeight="1" x14ac:dyDescent="0.15">
      <c r="A2499" s="5" t="s">
        <v>14965</v>
      </c>
      <c r="B2499" s="5">
        <v>2017</v>
      </c>
      <c r="C2499" s="5" t="s">
        <v>14966</v>
      </c>
      <c r="D2499" s="5" t="s">
        <v>162</v>
      </c>
      <c r="E2499" s="5" t="s">
        <v>18453</v>
      </c>
      <c r="F2499" s="5" t="s">
        <v>14969</v>
      </c>
      <c r="G2499" s="5"/>
      <c r="H2499" s="5"/>
      <c r="I2499" s="5"/>
      <c r="J2499" s="5"/>
      <c r="K2499" s="5"/>
      <c r="L2499" s="5"/>
      <c r="M2499" s="5"/>
      <c r="N2499" s="5"/>
      <c r="O2499" s="5"/>
      <c r="P2499" s="5"/>
      <c r="Q2499" s="5"/>
      <c r="AL2499" s="7" t="str">
        <f>HYPERLINK("http://dx.doi.org/10.1111/1365-2435.12838","http://dx.doi.org/10.1111/1365-2435.12838")</f>
        <v>http://dx.doi.org/10.1111/1365-2435.12838</v>
      </c>
      <c r="AM2499" s="5">
        <v>23</v>
      </c>
      <c r="AN2499" s="5">
        <v>23</v>
      </c>
      <c r="AO2499" s="5">
        <v>31</v>
      </c>
      <c r="AP2499" s="5">
        <v>5</v>
      </c>
      <c r="AQ2499" s="5">
        <v>1135</v>
      </c>
      <c r="AR2499" s="5">
        <v>1144</v>
      </c>
      <c r="AS2499" s="5" t="s">
        <v>16</v>
      </c>
      <c r="AT2499" s="5" t="s">
        <v>14967</v>
      </c>
      <c r="AU2499" s="5" t="s">
        <v>14968</v>
      </c>
      <c r="AV2499" s="5" t="s">
        <v>14970</v>
      </c>
    </row>
    <row r="2500" spans="1:48" ht="45" customHeight="1" x14ac:dyDescent="0.15">
      <c r="A2500" s="5" t="s">
        <v>14971</v>
      </c>
      <c r="B2500" s="5">
        <v>2017</v>
      </c>
      <c r="C2500" s="5" t="s">
        <v>14972</v>
      </c>
      <c r="D2500" s="5" t="s">
        <v>1765</v>
      </c>
      <c r="E2500" s="5" t="s">
        <v>18453</v>
      </c>
      <c r="F2500" s="5" t="s">
        <v>14975</v>
      </c>
      <c r="G2500" s="5"/>
      <c r="H2500" s="5"/>
      <c r="I2500" s="5"/>
      <c r="J2500" s="5"/>
      <c r="K2500" s="5"/>
      <c r="L2500" s="5"/>
      <c r="M2500" s="5"/>
      <c r="N2500" s="5"/>
      <c r="O2500" s="5"/>
      <c r="P2500" s="5"/>
      <c r="Q2500" s="5"/>
      <c r="AL2500" s="7" t="str">
        <f>HYPERLINK("http://dx.doi.org/10.1016/j.agee.2017.06.003","http://dx.doi.org/10.1016/j.agee.2017.06.003")</f>
        <v>http://dx.doi.org/10.1016/j.agee.2017.06.003</v>
      </c>
      <c r="AM2500" s="5">
        <v>39</v>
      </c>
      <c r="AN2500" s="5">
        <v>39</v>
      </c>
      <c r="AO2500" s="5">
        <v>246</v>
      </c>
      <c r="AP2500" s="5" t="s">
        <v>16</v>
      </c>
      <c r="AQ2500" s="5">
        <v>134</v>
      </c>
      <c r="AR2500" s="5">
        <v>143</v>
      </c>
      <c r="AS2500" s="5" t="s">
        <v>16</v>
      </c>
      <c r="AT2500" s="5" t="s">
        <v>14973</v>
      </c>
      <c r="AU2500" s="5" t="s">
        <v>14974</v>
      </c>
      <c r="AV2500" s="5" t="s">
        <v>14976</v>
      </c>
    </row>
    <row r="2501" spans="1:48" ht="45" customHeight="1" x14ac:dyDescent="0.15">
      <c r="A2501" s="5" t="s">
        <v>14977</v>
      </c>
      <c r="B2501" s="5">
        <v>2022</v>
      </c>
      <c r="C2501" s="5" t="s">
        <v>14978</v>
      </c>
      <c r="D2501" s="5" t="s">
        <v>942</v>
      </c>
      <c r="E2501" s="5" t="s">
        <v>18453</v>
      </c>
      <c r="F2501" s="5" t="s">
        <v>14981</v>
      </c>
      <c r="G2501" s="5"/>
      <c r="H2501" s="5"/>
      <c r="I2501" s="5"/>
      <c r="J2501" s="5"/>
      <c r="K2501" s="5"/>
      <c r="L2501" s="5"/>
      <c r="M2501" s="5"/>
      <c r="N2501" s="5"/>
      <c r="O2501" s="5"/>
      <c r="P2501" s="5"/>
      <c r="Q2501" s="5"/>
      <c r="AL2501" s="7" t="str">
        <f>HYPERLINK("http://dx.doi.org/10.1016/j.rsma.2022.102536","http://dx.doi.org/10.1016/j.rsma.2022.102536")</f>
        <v>http://dx.doi.org/10.1016/j.rsma.2022.102536</v>
      </c>
      <c r="AM2501" s="5">
        <v>0</v>
      </c>
      <c r="AN2501" s="5">
        <v>0</v>
      </c>
      <c r="AO2501" s="5">
        <v>55</v>
      </c>
      <c r="AP2501" s="5" t="s">
        <v>16</v>
      </c>
      <c r="AQ2501" s="5" t="s">
        <v>16</v>
      </c>
      <c r="AR2501" s="5" t="s">
        <v>16</v>
      </c>
      <c r="AS2501" s="5">
        <v>102536</v>
      </c>
      <c r="AT2501" s="5" t="s">
        <v>14979</v>
      </c>
      <c r="AU2501" s="5" t="s">
        <v>14980</v>
      </c>
      <c r="AV2501" s="5" t="s">
        <v>14982</v>
      </c>
    </row>
    <row r="2502" spans="1:48" ht="45" customHeight="1" x14ac:dyDescent="0.15">
      <c r="A2502" s="5" t="s">
        <v>14983</v>
      </c>
      <c r="B2502" s="5">
        <v>2011</v>
      </c>
      <c r="C2502" s="5" t="s">
        <v>14984</v>
      </c>
      <c r="D2502" s="5" t="s">
        <v>6380</v>
      </c>
      <c r="E2502" s="5" t="s">
        <v>18453</v>
      </c>
      <c r="F2502" s="5" t="s">
        <v>14986</v>
      </c>
      <c r="G2502" s="5"/>
      <c r="H2502" s="5"/>
      <c r="I2502" s="5"/>
      <c r="J2502" s="5"/>
      <c r="K2502" s="5"/>
      <c r="L2502" s="5"/>
      <c r="M2502" s="5"/>
      <c r="N2502" s="5"/>
      <c r="O2502" s="5"/>
      <c r="P2502" s="5"/>
      <c r="Q2502" s="5"/>
      <c r="AL2502" s="7" t="str">
        <f>HYPERLINK("http://dx.doi.org/10.1666/09067.1","http://dx.doi.org/10.1666/09067.1")</f>
        <v>http://dx.doi.org/10.1666/09067.1</v>
      </c>
      <c r="AM2502" s="5">
        <v>90</v>
      </c>
      <c r="AN2502" s="5">
        <v>94</v>
      </c>
      <c r="AO2502" s="5">
        <v>37</v>
      </c>
      <c r="AP2502" s="5">
        <v>1</v>
      </c>
      <c r="AQ2502" s="5">
        <v>50</v>
      </c>
      <c r="AR2502" s="5">
        <v>71</v>
      </c>
      <c r="AS2502" s="5" t="s">
        <v>16</v>
      </c>
      <c r="AT2502" s="5" t="s">
        <v>16</v>
      </c>
      <c r="AU2502" s="5" t="s">
        <v>14985</v>
      </c>
      <c r="AV2502" s="5" t="s">
        <v>14987</v>
      </c>
    </row>
    <row r="2503" spans="1:48" ht="45" customHeight="1" x14ac:dyDescent="0.15">
      <c r="A2503" s="5" t="s">
        <v>14988</v>
      </c>
      <c r="B2503" s="5">
        <v>2011</v>
      </c>
      <c r="C2503" s="5" t="s">
        <v>14989</v>
      </c>
      <c r="D2503" s="5" t="s">
        <v>217</v>
      </c>
      <c r="E2503" s="5" t="s">
        <v>18453</v>
      </c>
      <c r="F2503" s="5" t="s">
        <v>14992</v>
      </c>
      <c r="G2503" s="5"/>
      <c r="H2503" s="5"/>
      <c r="I2503" s="5"/>
      <c r="J2503" s="5"/>
      <c r="K2503" s="5"/>
      <c r="L2503" s="5"/>
      <c r="M2503" s="5"/>
      <c r="N2503" s="5"/>
      <c r="O2503" s="5"/>
      <c r="P2503" s="5"/>
      <c r="Q2503" s="5"/>
      <c r="AL2503" s="7" t="str">
        <f>HYPERLINK("http://dx.doi.org/10.1111/j.2041-210X.2010.00072.x","http://dx.doi.org/10.1111/j.2041-210X.2010.00072.x")</f>
        <v>http://dx.doi.org/10.1111/j.2041-210X.2010.00072.x</v>
      </c>
      <c r="AM2503" s="5">
        <v>27</v>
      </c>
      <c r="AN2503" s="5">
        <v>28</v>
      </c>
      <c r="AO2503" s="5">
        <v>2</v>
      </c>
      <c r="AP2503" s="5">
        <v>3</v>
      </c>
      <c r="AQ2503" s="5">
        <v>326</v>
      </c>
      <c r="AR2503" s="5">
        <v>332</v>
      </c>
      <c r="AS2503" s="5" t="s">
        <v>16</v>
      </c>
      <c r="AT2503" s="5" t="s">
        <v>14990</v>
      </c>
      <c r="AU2503" s="5" t="s">
        <v>14991</v>
      </c>
      <c r="AV2503" s="5" t="s">
        <v>14993</v>
      </c>
    </row>
    <row r="2504" spans="1:48" ht="45" customHeight="1" x14ac:dyDescent="0.15">
      <c r="A2504" s="5" t="s">
        <v>14994</v>
      </c>
      <c r="B2504" s="5">
        <v>2020</v>
      </c>
      <c r="C2504" s="5" t="s">
        <v>14995</v>
      </c>
      <c r="D2504" s="5" t="s">
        <v>312</v>
      </c>
      <c r="E2504" s="5" t="s">
        <v>18453</v>
      </c>
      <c r="F2504" s="5" t="s">
        <v>14998</v>
      </c>
      <c r="G2504" s="5"/>
      <c r="H2504" s="5"/>
      <c r="I2504" s="5"/>
      <c r="J2504" s="5"/>
      <c r="K2504" s="5"/>
      <c r="L2504" s="5"/>
      <c r="M2504" s="5"/>
      <c r="N2504" s="5"/>
      <c r="O2504" s="5"/>
      <c r="P2504" s="5"/>
      <c r="Q2504" s="5"/>
      <c r="AL2504" s="7" t="str">
        <f>HYPERLINK("http://dx.doi.org/10.1016/j.ecolmodel.2020.109297","http://dx.doi.org/10.1016/j.ecolmodel.2020.109297")</f>
        <v>http://dx.doi.org/10.1016/j.ecolmodel.2020.109297</v>
      </c>
      <c r="AM2504" s="5">
        <v>0</v>
      </c>
      <c r="AN2504" s="5">
        <v>2</v>
      </c>
      <c r="AO2504" s="5">
        <v>437</v>
      </c>
      <c r="AP2504" s="5" t="s">
        <v>16</v>
      </c>
      <c r="AQ2504" s="5" t="s">
        <v>16</v>
      </c>
      <c r="AR2504" s="5" t="s">
        <v>16</v>
      </c>
      <c r="AS2504" s="5">
        <v>109297</v>
      </c>
      <c r="AT2504" s="5" t="s">
        <v>14996</v>
      </c>
      <c r="AU2504" s="5" t="s">
        <v>14997</v>
      </c>
      <c r="AV2504" s="5" t="s">
        <v>14999</v>
      </c>
    </row>
    <row r="2505" spans="1:48" ht="45" customHeight="1" x14ac:dyDescent="0.15">
      <c r="A2505" s="5" t="s">
        <v>15000</v>
      </c>
      <c r="B2505" s="5">
        <v>2003</v>
      </c>
      <c r="C2505" s="5" t="s">
        <v>15001</v>
      </c>
      <c r="D2505" s="5" t="s">
        <v>1725</v>
      </c>
      <c r="E2505" s="5" t="s">
        <v>18453</v>
      </c>
      <c r="F2505" s="5" t="s">
        <v>15004</v>
      </c>
      <c r="G2505" s="5"/>
      <c r="H2505" s="5"/>
      <c r="I2505" s="5"/>
      <c r="J2505" s="5"/>
      <c r="K2505" s="5"/>
      <c r="L2505" s="5"/>
      <c r="M2505" s="5"/>
      <c r="N2505" s="5"/>
      <c r="O2505" s="5"/>
      <c r="P2505" s="5"/>
      <c r="Q2505" s="5"/>
      <c r="AL2505" s="7" t="str">
        <f>HYPERLINK("http://dx.doi.org/10.1046/j.1365-2907.2003.00015.x","http://dx.doi.org/10.1046/j.1365-2907.2003.00015.x")</f>
        <v>http://dx.doi.org/10.1046/j.1365-2907.2003.00015.x</v>
      </c>
      <c r="AM2505" s="5">
        <v>10</v>
      </c>
      <c r="AN2505" s="5">
        <v>10</v>
      </c>
      <c r="AO2505" s="5">
        <v>33</v>
      </c>
      <c r="AP2505" s="5" t="s">
        <v>639</v>
      </c>
      <c r="AQ2505" s="5">
        <v>295</v>
      </c>
      <c r="AR2505" s="5">
        <v>301</v>
      </c>
      <c r="AS2505" s="5" t="s">
        <v>16</v>
      </c>
      <c r="AT2505" s="5" t="s">
        <v>15002</v>
      </c>
      <c r="AU2505" s="5" t="s">
        <v>15003</v>
      </c>
      <c r="AV2505" s="5" t="s">
        <v>15005</v>
      </c>
    </row>
    <row r="2506" spans="1:48" ht="45" customHeight="1" x14ac:dyDescent="0.15">
      <c r="A2506" s="5" t="s">
        <v>15006</v>
      </c>
      <c r="B2506" s="5">
        <v>2017</v>
      </c>
      <c r="C2506" s="5" t="s">
        <v>15007</v>
      </c>
      <c r="D2506" s="5" t="s">
        <v>212</v>
      </c>
      <c r="E2506" s="5" t="s">
        <v>18453</v>
      </c>
      <c r="F2506" s="5" t="s">
        <v>15010</v>
      </c>
      <c r="G2506" s="5"/>
      <c r="H2506" s="5"/>
      <c r="I2506" s="5"/>
      <c r="J2506" s="5"/>
      <c r="K2506" s="5"/>
      <c r="L2506" s="5"/>
      <c r="M2506" s="5"/>
      <c r="N2506" s="5"/>
      <c r="O2506" s="5"/>
      <c r="P2506" s="5"/>
      <c r="Q2506" s="5"/>
      <c r="AL2506" s="7" t="str">
        <f>HYPERLINK("http://dx.doi.org/10.1007/s00300-016-2007-x","http://dx.doi.org/10.1007/s00300-016-2007-x")</f>
        <v>http://dx.doi.org/10.1007/s00300-016-2007-x</v>
      </c>
      <c r="AM2506" s="5">
        <v>48</v>
      </c>
      <c r="AN2506" s="5">
        <v>52</v>
      </c>
      <c r="AO2506" s="5">
        <v>40</v>
      </c>
      <c r="AP2506" s="5">
        <v>4</v>
      </c>
      <c r="AQ2506" s="5">
        <v>807</v>
      </c>
      <c r="AR2506" s="5">
        <v>821</v>
      </c>
      <c r="AS2506" s="5" t="s">
        <v>16</v>
      </c>
      <c r="AT2506" s="5" t="s">
        <v>15008</v>
      </c>
      <c r="AU2506" s="5" t="s">
        <v>15009</v>
      </c>
      <c r="AV2506" s="5" t="s">
        <v>15011</v>
      </c>
    </row>
    <row r="2507" spans="1:48" ht="45" customHeight="1" x14ac:dyDescent="0.15">
      <c r="A2507" s="5" t="s">
        <v>15012</v>
      </c>
      <c r="B2507" s="5">
        <v>2022</v>
      </c>
      <c r="C2507" s="5" t="s">
        <v>15013</v>
      </c>
      <c r="D2507" s="5" t="s">
        <v>44</v>
      </c>
      <c r="E2507" s="5" t="s">
        <v>18453</v>
      </c>
      <c r="F2507" s="5" t="s">
        <v>15016</v>
      </c>
      <c r="G2507" s="5"/>
      <c r="H2507" s="5"/>
      <c r="I2507" s="5"/>
      <c r="J2507" s="5"/>
      <c r="K2507" s="5"/>
      <c r="L2507" s="5"/>
      <c r="M2507" s="5"/>
      <c r="N2507" s="5"/>
      <c r="O2507" s="5"/>
      <c r="P2507" s="5"/>
      <c r="Q2507" s="5"/>
      <c r="AL2507" s="7" t="str">
        <f>HYPERLINK("http://dx.doi.org/10.3389/fevo.2022.993630","http://dx.doi.org/10.3389/fevo.2022.993630")</f>
        <v>http://dx.doi.org/10.3389/fevo.2022.993630</v>
      </c>
      <c r="AM2507" s="5">
        <v>0</v>
      </c>
      <c r="AN2507" s="5">
        <v>0</v>
      </c>
      <c r="AO2507" s="5">
        <v>10</v>
      </c>
      <c r="AP2507" s="5" t="s">
        <v>16</v>
      </c>
      <c r="AQ2507" s="5" t="s">
        <v>16</v>
      </c>
      <c r="AR2507" s="5" t="s">
        <v>16</v>
      </c>
      <c r="AS2507" s="5">
        <v>993630</v>
      </c>
      <c r="AT2507" s="5" t="s">
        <v>15014</v>
      </c>
      <c r="AU2507" s="5" t="s">
        <v>15015</v>
      </c>
      <c r="AV2507" s="5" t="s">
        <v>15017</v>
      </c>
    </row>
    <row r="2508" spans="1:48" ht="45" customHeight="1" x14ac:dyDescent="0.15">
      <c r="A2508" s="5" t="s">
        <v>15018</v>
      </c>
      <c r="B2508" s="5">
        <v>2014</v>
      </c>
      <c r="C2508" s="5" t="s">
        <v>15019</v>
      </c>
      <c r="D2508" s="5" t="s">
        <v>1109</v>
      </c>
      <c r="E2508" s="5" t="s">
        <v>18453</v>
      </c>
      <c r="F2508" s="5" t="s">
        <v>15022</v>
      </c>
      <c r="G2508" s="5"/>
      <c r="H2508" s="5"/>
      <c r="I2508" s="5"/>
      <c r="J2508" s="5"/>
      <c r="K2508" s="5"/>
      <c r="L2508" s="5"/>
      <c r="M2508" s="5"/>
      <c r="N2508" s="5"/>
      <c r="O2508" s="5"/>
      <c r="P2508" s="5"/>
      <c r="Q2508" s="5"/>
      <c r="AL2508" s="7" t="str">
        <f>HYPERLINK("http://dx.doi.org/10.1017/S0266467413000795","http://dx.doi.org/10.1017/S0266467413000795")</f>
        <v>http://dx.doi.org/10.1017/S0266467413000795</v>
      </c>
      <c r="AM2508" s="5">
        <v>11</v>
      </c>
      <c r="AN2508" s="5">
        <v>11</v>
      </c>
      <c r="AO2508" s="5">
        <v>30</v>
      </c>
      <c r="AP2508" s="5" t="s">
        <v>16</v>
      </c>
      <c r="AQ2508" s="5">
        <v>13</v>
      </c>
      <c r="AR2508" s="5">
        <v>22</v>
      </c>
      <c r="AS2508" s="5" t="s">
        <v>16</v>
      </c>
      <c r="AT2508" s="5" t="s">
        <v>15020</v>
      </c>
      <c r="AU2508" s="5" t="s">
        <v>15021</v>
      </c>
      <c r="AV2508" s="5" t="s">
        <v>15023</v>
      </c>
    </row>
    <row r="2509" spans="1:48" ht="45" customHeight="1" x14ac:dyDescent="0.15">
      <c r="A2509" s="5" t="s">
        <v>15024</v>
      </c>
      <c r="B2509" s="5">
        <v>2006</v>
      </c>
      <c r="C2509" s="5" t="s">
        <v>15025</v>
      </c>
      <c r="D2509" s="5" t="s">
        <v>295</v>
      </c>
      <c r="E2509" s="5" t="s">
        <v>18453</v>
      </c>
      <c r="F2509" s="5" t="s">
        <v>15028</v>
      </c>
      <c r="G2509" s="5"/>
      <c r="H2509" s="5"/>
      <c r="I2509" s="5"/>
      <c r="J2509" s="5"/>
      <c r="K2509" s="5"/>
      <c r="L2509" s="5"/>
      <c r="M2509" s="5"/>
      <c r="N2509" s="5"/>
      <c r="O2509" s="5"/>
      <c r="P2509" s="5"/>
      <c r="Q2509" s="5"/>
      <c r="AL2509" s="7" t="str">
        <f>HYPERLINK("http://dx.doi.org/10.1016/j.jembe.2005.12.020","http://dx.doi.org/10.1016/j.jembe.2005.12.020")</f>
        <v>http://dx.doi.org/10.1016/j.jembe.2005.12.020</v>
      </c>
      <c r="AM2509" s="5">
        <v>43</v>
      </c>
      <c r="AN2509" s="5">
        <v>45</v>
      </c>
      <c r="AO2509" s="5">
        <v>330</v>
      </c>
      <c r="AP2509" s="5">
        <v>1</v>
      </c>
      <c r="AQ2509" s="5">
        <v>105</v>
      </c>
      <c r="AR2509" s="5">
        <v>118</v>
      </c>
      <c r="AS2509" s="5" t="s">
        <v>16</v>
      </c>
      <c r="AT2509" s="5" t="s">
        <v>15026</v>
      </c>
      <c r="AU2509" s="5" t="s">
        <v>15027</v>
      </c>
      <c r="AV2509" s="5" t="s">
        <v>15029</v>
      </c>
    </row>
    <row r="2510" spans="1:48" ht="45" customHeight="1" x14ac:dyDescent="0.15">
      <c r="A2510" s="5" t="s">
        <v>15030</v>
      </c>
      <c r="B2510" s="5">
        <v>2019</v>
      </c>
      <c r="C2510" s="5" t="s">
        <v>15031</v>
      </c>
      <c r="D2510" s="5" t="s">
        <v>163</v>
      </c>
      <c r="E2510" s="5" t="s">
        <v>18453</v>
      </c>
      <c r="F2510" s="5" t="s">
        <v>15034</v>
      </c>
      <c r="G2510" s="5"/>
      <c r="H2510" s="5"/>
      <c r="I2510" s="5"/>
      <c r="J2510" s="5"/>
      <c r="K2510" s="5"/>
      <c r="L2510" s="5"/>
      <c r="M2510" s="5"/>
      <c r="N2510" s="5"/>
      <c r="O2510" s="5"/>
      <c r="P2510" s="5"/>
      <c r="Q2510" s="5"/>
      <c r="AL2510" s="7" t="str">
        <f>HYPERLINK("http://dx.doi.org/10.1080/02757540.2018.1546295","http://dx.doi.org/10.1080/02757540.2018.1546295")</f>
        <v>http://dx.doi.org/10.1080/02757540.2018.1546295</v>
      </c>
      <c r="AM2510" s="5">
        <v>5</v>
      </c>
      <c r="AN2510" s="5">
        <v>5</v>
      </c>
      <c r="AO2510" s="5">
        <v>35</v>
      </c>
      <c r="AP2510" s="5">
        <v>2</v>
      </c>
      <c r="AQ2510" s="5">
        <v>179</v>
      </c>
      <c r="AR2510" s="5">
        <v>190</v>
      </c>
      <c r="AS2510" s="5" t="s">
        <v>16</v>
      </c>
      <c r="AT2510" s="5" t="s">
        <v>15032</v>
      </c>
      <c r="AU2510" s="5" t="s">
        <v>15033</v>
      </c>
      <c r="AV2510" s="5" t="s">
        <v>15035</v>
      </c>
    </row>
    <row r="2511" spans="1:48" ht="45" customHeight="1" x14ac:dyDescent="0.15">
      <c r="A2511" s="5" t="s">
        <v>15036</v>
      </c>
      <c r="B2511" s="5">
        <v>2011</v>
      </c>
      <c r="C2511" s="5" t="s">
        <v>15037</v>
      </c>
      <c r="D2511" s="5" t="s">
        <v>2087</v>
      </c>
      <c r="E2511" s="5" t="s">
        <v>18453</v>
      </c>
      <c r="F2511" s="5" t="s">
        <v>15040</v>
      </c>
      <c r="G2511" s="5"/>
      <c r="H2511" s="5"/>
      <c r="I2511" s="5"/>
      <c r="J2511" s="5"/>
      <c r="K2511" s="5"/>
      <c r="L2511" s="5"/>
      <c r="M2511" s="5"/>
      <c r="N2511" s="5"/>
      <c r="O2511" s="5"/>
      <c r="P2511" s="5"/>
      <c r="Q2511" s="5"/>
      <c r="AL2511" s="7" t="str">
        <f>HYPERLINK("http://dx.doi.org/10.1002/eco.167","http://dx.doi.org/10.1002/eco.167")</f>
        <v>http://dx.doi.org/10.1002/eco.167</v>
      </c>
      <c r="AM2511" s="5">
        <v>49</v>
      </c>
      <c r="AN2511" s="5">
        <v>50</v>
      </c>
      <c r="AO2511" s="5">
        <v>4</v>
      </c>
      <c r="AP2511" s="5">
        <v>6</v>
      </c>
      <c r="AQ2511" s="5">
        <v>791</v>
      </c>
      <c r="AR2511" s="5">
        <v>806</v>
      </c>
      <c r="AS2511" s="5" t="s">
        <v>16</v>
      </c>
      <c r="AT2511" s="5" t="s">
        <v>15038</v>
      </c>
      <c r="AU2511" s="5" t="s">
        <v>15039</v>
      </c>
      <c r="AV2511" s="5" t="s">
        <v>15041</v>
      </c>
    </row>
    <row r="2512" spans="1:48" ht="45" customHeight="1" x14ac:dyDescent="0.15">
      <c r="A2512" s="5" t="s">
        <v>15042</v>
      </c>
      <c r="B2512" s="5">
        <v>2011</v>
      </c>
      <c r="C2512" s="5" t="s">
        <v>15043</v>
      </c>
      <c r="D2512" s="5" t="s">
        <v>116</v>
      </c>
      <c r="E2512" s="5" t="s">
        <v>18453</v>
      </c>
      <c r="F2512" s="5" t="s">
        <v>15046</v>
      </c>
      <c r="G2512" s="5"/>
      <c r="H2512" s="5"/>
      <c r="I2512" s="5"/>
      <c r="J2512" s="5"/>
      <c r="K2512" s="5"/>
      <c r="L2512" s="5"/>
      <c r="M2512" s="5"/>
      <c r="N2512" s="5"/>
      <c r="O2512" s="5"/>
      <c r="P2512" s="5"/>
      <c r="Q2512" s="5"/>
      <c r="AL2512" s="7" t="str">
        <f>HYPERLINK("http://dx.doi.org/10.1007/s10641-011-9820-4","http://dx.doi.org/10.1007/s10641-011-9820-4")</f>
        <v>http://dx.doi.org/10.1007/s10641-011-9820-4</v>
      </c>
      <c r="AM2512" s="5">
        <v>12</v>
      </c>
      <c r="AN2512" s="5">
        <v>15</v>
      </c>
      <c r="AO2512" s="5">
        <v>92</v>
      </c>
      <c r="AP2512" s="5">
        <v>1</v>
      </c>
      <c r="AQ2512" s="5">
        <v>101</v>
      </c>
      <c r="AR2512" s="5">
        <v>112</v>
      </c>
      <c r="AS2512" s="5" t="s">
        <v>16</v>
      </c>
      <c r="AT2512" s="5" t="s">
        <v>15044</v>
      </c>
      <c r="AU2512" s="5" t="s">
        <v>15045</v>
      </c>
      <c r="AV2512" s="5" t="s">
        <v>15047</v>
      </c>
    </row>
    <row r="2513" spans="1:48" ht="45" customHeight="1" x14ac:dyDescent="0.15">
      <c r="A2513" s="5" t="s">
        <v>15048</v>
      </c>
      <c r="B2513" s="5">
        <v>2013</v>
      </c>
      <c r="C2513" s="5" t="s">
        <v>15049</v>
      </c>
      <c r="D2513" s="5" t="s">
        <v>15050</v>
      </c>
      <c r="E2513" s="5" t="s">
        <v>18453</v>
      </c>
      <c r="F2513" s="5" t="s">
        <v>15052</v>
      </c>
      <c r="G2513" s="5"/>
      <c r="H2513" s="5"/>
      <c r="I2513" s="5"/>
      <c r="J2513" s="5"/>
      <c r="K2513" s="5"/>
      <c r="L2513" s="5"/>
      <c r="M2513" s="5"/>
      <c r="N2513" s="5"/>
      <c r="O2513" s="5"/>
      <c r="P2513" s="5"/>
      <c r="Q2513" s="5"/>
      <c r="AL2513" s="7" t="str">
        <f>HYPERLINK("http://dx.doi.org/10.1017/S0032247412000587","http://dx.doi.org/10.1017/S0032247412000587")</f>
        <v>http://dx.doi.org/10.1017/S0032247412000587</v>
      </c>
      <c r="AM2513" s="5">
        <v>8</v>
      </c>
      <c r="AN2513" s="5">
        <v>8</v>
      </c>
      <c r="AO2513" s="5">
        <v>49</v>
      </c>
      <c r="AP2513" s="5">
        <v>250</v>
      </c>
      <c r="AQ2513" s="5">
        <v>210</v>
      </c>
      <c r="AR2513" s="5">
        <v>220</v>
      </c>
      <c r="AS2513" s="5" t="s">
        <v>16</v>
      </c>
      <c r="AT2513" s="5" t="s">
        <v>16</v>
      </c>
      <c r="AU2513" s="5" t="s">
        <v>15051</v>
      </c>
      <c r="AV2513" s="5" t="s">
        <v>15053</v>
      </c>
    </row>
    <row r="2514" spans="1:48" ht="45" customHeight="1" x14ac:dyDescent="0.15">
      <c r="A2514" s="5" t="s">
        <v>15054</v>
      </c>
      <c r="B2514" s="5">
        <v>2020</v>
      </c>
      <c r="C2514" s="5" t="s">
        <v>15055</v>
      </c>
      <c r="D2514" s="5" t="s">
        <v>212</v>
      </c>
      <c r="E2514" s="5" t="s">
        <v>18453</v>
      </c>
      <c r="F2514" s="5" t="s">
        <v>15058</v>
      </c>
      <c r="G2514" s="5"/>
      <c r="H2514" s="5"/>
      <c r="I2514" s="5"/>
      <c r="J2514" s="5"/>
      <c r="K2514" s="5"/>
      <c r="L2514" s="5"/>
      <c r="M2514" s="5"/>
      <c r="N2514" s="5"/>
      <c r="O2514" s="5"/>
      <c r="P2514" s="5"/>
      <c r="Q2514" s="5"/>
      <c r="AL2514" s="7" t="str">
        <f>HYPERLINK("http://dx.doi.org/10.1007/s00300-020-02683-6","http://dx.doi.org/10.1007/s00300-020-02683-6")</f>
        <v>http://dx.doi.org/10.1007/s00300-020-02683-6</v>
      </c>
      <c r="AM2514" s="5">
        <v>3</v>
      </c>
      <c r="AN2514" s="5">
        <v>3</v>
      </c>
      <c r="AO2514" s="5">
        <v>43</v>
      </c>
      <c r="AP2514" s="5">
        <v>7</v>
      </c>
      <c r="AQ2514" s="5">
        <v>911</v>
      </c>
      <c r="AR2514" s="5">
        <v>917</v>
      </c>
      <c r="AS2514" s="5" t="s">
        <v>16</v>
      </c>
      <c r="AT2514" s="5" t="s">
        <v>15056</v>
      </c>
      <c r="AU2514" s="5" t="s">
        <v>15057</v>
      </c>
      <c r="AV2514" s="5" t="s">
        <v>15059</v>
      </c>
    </row>
    <row r="2515" spans="1:48" ht="45" customHeight="1" x14ac:dyDescent="0.15">
      <c r="A2515" s="5" t="s">
        <v>15060</v>
      </c>
      <c r="B2515" s="5">
        <v>2000</v>
      </c>
      <c r="C2515" s="5" t="s">
        <v>15061</v>
      </c>
      <c r="D2515" s="5" t="s">
        <v>27</v>
      </c>
      <c r="E2515" s="5" t="s">
        <v>18453</v>
      </c>
      <c r="F2515" s="5" t="s">
        <v>15064</v>
      </c>
      <c r="G2515" s="5"/>
      <c r="H2515" s="5"/>
      <c r="I2515" s="5"/>
      <c r="J2515" s="5"/>
      <c r="K2515" s="5"/>
      <c r="L2515" s="5"/>
      <c r="M2515" s="5"/>
      <c r="N2515" s="5"/>
      <c r="O2515" s="5"/>
      <c r="P2515" s="5"/>
      <c r="Q2515" s="5"/>
      <c r="AL2515" s="7" t="str">
        <f>HYPERLINK("http://dx.doi.org/10.2307/177461","http://dx.doi.org/10.2307/177461")</f>
        <v>http://dx.doi.org/10.2307/177461</v>
      </c>
      <c r="AM2515" s="5">
        <v>122</v>
      </c>
      <c r="AN2515" s="5">
        <v>126</v>
      </c>
      <c r="AO2515" s="5">
        <v>81</v>
      </c>
      <c r="AP2515" s="5">
        <v>9</v>
      </c>
      <c r="AQ2515" s="5">
        <v>2377</v>
      </c>
      <c r="AR2515" s="5">
        <v>2391</v>
      </c>
      <c r="AS2515" s="5" t="s">
        <v>16</v>
      </c>
      <c r="AT2515" s="5" t="s">
        <v>15062</v>
      </c>
      <c r="AU2515" s="5" t="s">
        <v>15063</v>
      </c>
      <c r="AV2515" s="5" t="s">
        <v>15065</v>
      </c>
    </row>
    <row r="2516" spans="1:48" ht="45" customHeight="1" x14ac:dyDescent="0.15">
      <c r="A2516" s="5" t="s">
        <v>15066</v>
      </c>
      <c r="B2516" s="5">
        <v>2016</v>
      </c>
      <c r="C2516" s="5" t="s">
        <v>15067</v>
      </c>
      <c r="D2516" s="5" t="s">
        <v>49</v>
      </c>
      <c r="E2516" s="5" t="s">
        <v>18453</v>
      </c>
      <c r="F2516" s="5" t="s">
        <v>15070</v>
      </c>
      <c r="G2516" s="5"/>
      <c r="H2516" s="5"/>
      <c r="I2516" s="5"/>
      <c r="J2516" s="5"/>
      <c r="K2516" s="5"/>
      <c r="L2516" s="5"/>
      <c r="M2516" s="5"/>
      <c r="N2516" s="5"/>
      <c r="O2516" s="5"/>
      <c r="P2516" s="5"/>
      <c r="Q2516" s="5"/>
      <c r="AL2516" s="7" t="str">
        <f>HYPERLINK("http://dx.doi.org/10.3354/meps11707","http://dx.doi.org/10.3354/meps11707")</f>
        <v>http://dx.doi.org/10.3354/meps11707</v>
      </c>
      <c r="AM2516" s="5">
        <v>24</v>
      </c>
      <c r="AN2516" s="5">
        <v>25</v>
      </c>
      <c r="AO2516" s="5">
        <v>549</v>
      </c>
      <c r="AP2516" s="5" t="s">
        <v>16</v>
      </c>
      <c r="AQ2516" s="5">
        <v>217</v>
      </c>
      <c r="AR2516" s="5">
        <v>229</v>
      </c>
      <c r="AS2516" s="5" t="s">
        <v>16</v>
      </c>
      <c r="AT2516" s="5" t="s">
        <v>15068</v>
      </c>
      <c r="AU2516" s="5" t="s">
        <v>15069</v>
      </c>
      <c r="AV2516" s="5" t="s">
        <v>15071</v>
      </c>
    </row>
    <row r="2517" spans="1:48" ht="45" customHeight="1" x14ac:dyDescent="0.15">
      <c r="A2517" s="5" t="s">
        <v>15072</v>
      </c>
      <c r="B2517" s="5">
        <v>2010</v>
      </c>
      <c r="C2517" s="5" t="s">
        <v>15073</v>
      </c>
      <c r="D2517" s="5" t="s">
        <v>17</v>
      </c>
      <c r="E2517" s="5" t="s">
        <v>18453</v>
      </c>
      <c r="F2517" s="5" t="s">
        <v>15076</v>
      </c>
      <c r="G2517" s="5"/>
      <c r="H2517" s="5"/>
      <c r="I2517" s="5"/>
      <c r="J2517" s="5"/>
      <c r="K2517" s="5"/>
      <c r="L2517" s="5"/>
      <c r="M2517" s="5"/>
      <c r="N2517" s="5"/>
      <c r="O2517" s="5"/>
      <c r="P2517" s="5"/>
      <c r="Q2517" s="5"/>
      <c r="AL2517" s="7" t="str">
        <f>HYPERLINK("http://dx.doi.org/10.1111/j.1365-2427.2009.02300.x","http://dx.doi.org/10.1111/j.1365-2427.2009.02300.x")</f>
        <v>http://dx.doi.org/10.1111/j.1365-2427.2009.02300.x</v>
      </c>
      <c r="AM2517" s="5">
        <v>11</v>
      </c>
      <c r="AN2517" s="5">
        <v>11</v>
      </c>
      <c r="AO2517" s="5">
        <v>55</v>
      </c>
      <c r="AP2517" s="5">
        <v>5</v>
      </c>
      <c r="AQ2517" s="5">
        <v>1036</v>
      </c>
      <c r="AR2517" s="5">
        <v>1049</v>
      </c>
      <c r="AS2517" s="5" t="s">
        <v>16</v>
      </c>
      <c r="AT2517" s="5" t="s">
        <v>15074</v>
      </c>
      <c r="AU2517" s="5" t="s">
        <v>15075</v>
      </c>
      <c r="AV2517" s="5" t="s">
        <v>15077</v>
      </c>
    </row>
    <row r="2518" spans="1:48" ht="45" customHeight="1" x14ac:dyDescent="0.15">
      <c r="A2518" s="5" t="s">
        <v>15078</v>
      </c>
      <c r="B2518" s="5">
        <v>2012</v>
      </c>
      <c r="C2518" s="5" t="s">
        <v>15079</v>
      </c>
      <c r="D2518" s="5" t="s">
        <v>77</v>
      </c>
      <c r="E2518" s="5" t="s">
        <v>18453</v>
      </c>
      <c r="F2518" s="5" t="s">
        <v>15082</v>
      </c>
      <c r="G2518" s="5"/>
      <c r="H2518" s="5"/>
      <c r="I2518" s="5"/>
      <c r="J2518" s="5"/>
      <c r="K2518" s="5"/>
      <c r="L2518" s="5"/>
      <c r="M2518" s="5"/>
      <c r="N2518" s="5"/>
      <c r="O2518" s="5"/>
      <c r="P2518" s="5"/>
      <c r="Q2518" s="5"/>
      <c r="AL2518" s="7" t="str">
        <f>HYPERLINK("http://dx.doi.org/10.1111/j.1365-2656.2012.01981.x","http://dx.doi.org/10.1111/j.1365-2656.2012.01981.x")</f>
        <v>http://dx.doi.org/10.1111/j.1365-2656.2012.01981.x</v>
      </c>
      <c r="AM2518" s="5">
        <v>7</v>
      </c>
      <c r="AN2518" s="5">
        <v>7</v>
      </c>
      <c r="AO2518" s="5">
        <v>81</v>
      </c>
      <c r="AP2518" s="5">
        <v>5</v>
      </c>
      <c r="AQ2518" s="5">
        <v>1132</v>
      </c>
      <c r="AR2518" s="5">
        <v>1142</v>
      </c>
      <c r="AS2518" s="5" t="s">
        <v>16</v>
      </c>
      <c r="AT2518" s="5" t="s">
        <v>15080</v>
      </c>
      <c r="AU2518" s="5" t="s">
        <v>15081</v>
      </c>
      <c r="AV2518" s="5" t="s">
        <v>15083</v>
      </c>
    </row>
    <row r="2519" spans="1:48" ht="45" customHeight="1" x14ac:dyDescent="0.15">
      <c r="A2519" s="5" t="s">
        <v>15084</v>
      </c>
      <c r="B2519" s="5">
        <v>2006</v>
      </c>
      <c r="C2519" s="5" t="s">
        <v>15085</v>
      </c>
      <c r="D2519" s="5" t="s">
        <v>10171</v>
      </c>
      <c r="E2519" s="5" t="s">
        <v>18453</v>
      </c>
      <c r="F2519" s="5" t="s">
        <v>15088</v>
      </c>
      <c r="G2519" s="5"/>
      <c r="H2519" s="5"/>
      <c r="I2519" s="5"/>
      <c r="J2519" s="5"/>
      <c r="K2519" s="5"/>
      <c r="L2519" s="5"/>
      <c r="M2519" s="5"/>
      <c r="N2519" s="5"/>
      <c r="O2519" s="5"/>
      <c r="P2519" s="5"/>
      <c r="Q2519" s="5"/>
      <c r="AL2519" s="7" t="str">
        <f>HYPERLINK("http://dx.doi.org/10.2981/0909-6396(2006)12[375:ACITDO]2.0.CO;2","http://dx.doi.org/10.2981/0909-6396(2006)12[375:ACITDO]2.0.CO;2")</f>
        <v>http://dx.doi.org/10.2981/0909-6396(2006)12[375:ACITDO]2.0.CO;2</v>
      </c>
      <c r="AM2519" s="5">
        <v>9</v>
      </c>
      <c r="AN2519" s="5">
        <v>10</v>
      </c>
      <c r="AO2519" s="5">
        <v>12</v>
      </c>
      <c r="AP2519" s="5">
        <v>4</v>
      </c>
      <c r="AQ2519" s="5">
        <v>375</v>
      </c>
      <c r="AR2519" s="5">
        <v>384</v>
      </c>
      <c r="AS2519" s="5" t="s">
        <v>16</v>
      </c>
      <c r="AT2519" s="5" t="s">
        <v>15086</v>
      </c>
      <c r="AU2519" s="5" t="s">
        <v>15087</v>
      </c>
      <c r="AV2519" s="5" t="s">
        <v>15089</v>
      </c>
    </row>
    <row r="2520" spans="1:48" ht="45" customHeight="1" x14ac:dyDescent="0.15">
      <c r="A2520" s="5" t="s">
        <v>15090</v>
      </c>
      <c r="B2520" s="5">
        <v>2004</v>
      </c>
      <c r="C2520" s="5" t="s">
        <v>15091</v>
      </c>
      <c r="D2520" s="5" t="s">
        <v>27</v>
      </c>
      <c r="E2520" s="5" t="s">
        <v>18453</v>
      </c>
      <c r="F2520" s="5" t="s">
        <v>15094</v>
      </c>
      <c r="G2520" s="5"/>
      <c r="H2520" s="5"/>
      <c r="I2520" s="5"/>
      <c r="J2520" s="5"/>
      <c r="K2520" s="5"/>
      <c r="L2520" s="5"/>
      <c r="M2520" s="5"/>
      <c r="N2520" s="5"/>
      <c r="O2520" s="5"/>
      <c r="P2520" s="5"/>
      <c r="Q2520" s="5"/>
      <c r="AL2520" s="7" t="str">
        <f>HYPERLINK("http://dx.doi.org/10.1890/02-0750","http://dx.doi.org/10.1890/02-0750")</f>
        <v>http://dx.doi.org/10.1890/02-0750</v>
      </c>
      <c r="AM2520" s="5">
        <v>78</v>
      </c>
      <c r="AN2520" s="5">
        <v>79</v>
      </c>
      <c r="AO2520" s="5">
        <v>85</v>
      </c>
      <c r="AP2520" s="5">
        <v>5</v>
      </c>
      <c r="AQ2520" s="5">
        <v>1343</v>
      </c>
      <c r="AR2520" s="5">
        <v>1354</v>
      </c>
      <c r="AS2520" s="5" t="s">
        <v>16</v>
      </c>
      <c r="AT2520" s="5" t="s">
        <v>15092</v>
      </c>
      <c r="AU2520" s="5" t="s">
        <v>15093</v>
      </c>
      <c r="AV2520" s="5" t="s">
        <v>15095</v>
      </c>
    </row>
    <row r="2521" spans="1:48" ht="45" customHeight="1" x14ac:dyDescent="0.15">
      <c r="A2521" s="5" t="s">
        <v>15096</v>
      </c>
      <c r="B2521" s="5">
        <v>2010</v>
      </c>
      <c r="C2521" s="5" t="s">
        <v>15097</v>
      </c>
      <c r="D2521" s="5" t="s">
        <v>15098</v>
      </c>
      <c r="E2521" s="5" t="s">
        <v>18453</v>
      </c>
      <c r="F2521" s="5" t="s">
        <v>15101</v>
      </c>
      <c r="G2521" s="5"/>
      <c r="H2521" s="5"/>
      <c r="I2521" s="5"/>
      <c r="J2521" s="5"/>
      <c r="K2521" s="5"/>
      <c r="L2521" s="5"/>
      <c r="M2521" s="5"/>
      <c r="N2521" s="5"/>
      <c r="O2521" s="5"/>
      <c r="P2521" s="5"/>
      <c r="Q2521" s="5"/>
      <c r="AL2521" s="7" t="str">
        <f>HYPERLINK("http://dx.doi.org/10.22621/cfn.v124i2.1048","http://dx.doi.org/10.22621/cfn.v124i2.1048")</f>
        <v>http://dx.doi.org/10.22621/cfn.v124i2.1048</v>
      </c>
      <c r="AM2521" s="5">
        <v>5</v>
      </c>
      <c r="AN2521" s="5">
        <v>6</v>
      </c>
      <c r="AO2521" s="5">
        <v>124</v>
      </c>
      <c r="AP2521" s="5">
        <v>2</v>
      </c>
      <c r="AQ2521" s="5">
        <v>113</v>
      </c>
      <c r="AR2521" s="5">
        <v>117</v>
      </c>
      <c r="AS2521" s="5" t="s">
        <v>16</v>
      </c>
      <c r="AT2521" s="5" t="s">
        <v>15099</v>
      </c>
      <c r="AU2521" s="5" t="s">
        <v>15100</v>
      </c>
      <c r="AV2521" s="5" t="s">
        <v>15102</v>
      </c>
    </row>
    <row r="2522" spans="1:48" ht="45" customHeight="1" x14ac:dyDescent="0.15">
      <c r="A2522" s="5" t="s">
        <v>15103</v>
      </c>
      <c r="B2522" s="5">
        <v>2016</v>
      </c>
      <c r="C2522" s="5" t="s">
        <v>15104</v>
      </c>
      <c r="D2522" s="5" t="s">
        <v>1765</v>
      </c>
      <c r="E2522" s="5" t="s">
        <v>18453</v>
      </c>
      <c r="F2522" s="5" t="s">
        <v>15107</v>
      </c>
      <c r="G2522" s="5"/>
      <c r="H2522" s="5"/>
      <c r="I2522" s="5"/>
      <c r="J2522" s="5"/>
      <c r="K2522" s="5"/>
      <c r="L2522" s="5"/>
      <c r="M2522" s="5"/>
      <c r="N2522" s="5"/>
      <c r="O2522" s="5"/>
      <c r="P2522" s="5"/>
      <c r="Q2522" s="5"/>
      <c r="AL2522" s="7" t="str">
        <f>HYPERLINK("http://dx.doi.org/10.1016/j.agee.2015.10.017","http://dx.doi.org/10.1016/j.agee.2015.10.017")</f>
        <v>http://dx.doi.org/10.1016/j.agee.2015.10.017</v>
      </c>
      <c r="AM2522" s="5">
        <v>24</v>
      </c>
      <c r="AN2522" s="5">
        <v>33</v>
      </c>
      <c r="AO2522" s="5">
        <v>216</v>
      </c>
      <c r="AP2522" s="5" t="s">
        <v>16</v>
      </c>
      <c r="AQ2522" s="5">
        <v>314</v>
      </c>
      <c r="AR2522" s="5">
        <v>321</v>
      </c>
      <c r="AS2522" s="5" t="s">
        <v>16</v>
      </c>
      <c r="AT2522" s="5" t="s">
        <v>15105</v>
      </c>
      <c r="AU2522" s="5" t="s">
        <v>15106</v>
      </c>
      <c r="AV2522" s="5" t="s">
        <v>15108</v>
      </c>
    </row>
    <row r="2523" spans="1:48" ht="45" customHeight="1" x14ac:dyDescent="0.15">
      <c r="A2523" s="5" t="s">
        <v>15109</v>
      </c>
      <c r="B2523" s="5">
        <v>2021</v>
      </c>
      <c r="C2523" s="5" t="s">
        <v>15110</v>
      </c>
      <c r="D2523" s="5" t="s">
        <v>1758</v>
      </c>
      <c r="E2523" s="5" t="s">
        <v>18453</v>
      </c>
      <c r="F2523" s="5" t="s">
        <v>15113</v>
      </c>
      <c r="G2523" s="5"/>
      <c r="H2523" s="5"/>
      <c r="I2523" s="5"/>
      <c r="J2523" s="5"/>
      <c r="K2523" s="5"/>
      <c r="L2523" s="5"/>
      <c r="M2523" s="5"/>
      <c r="N2523" s="5"/>
      <c r="O2523" s="5"/>
      <c r="P2523" s="5"/>
      <c r="Q2523" s="5"/>
      <c r="AL2523" s="7" t="str">
        <f>HYPERLINK("http://dx.doi.org/10.1007/s13157-021-01394-w","http://dx.doi.org/10.1007/s13157-021-01394-w")</f>
        <v>http://dx.doi.org/10.1007/s13157-021-01394-w</v>
      </c>
      <c r="AM2523" s="5">
        <v>0</v>
      </c>
      <c r="AN2523" s="5">
        <v>0</v>
      </c>
      <c r="AO2523" s="5">
        <v>41</v>
      </c>
      <c r="AP2523" s="5">
        <v>1</v>
      </c>
      <c r="AQ2523" s="5" t="s">
        <v>16</v>
      </c>
      <c r="AR2523" s="5" t="s">
        <v>16</v>
      </c>
      <c r="AS2523" s="5">
        <v>3</v>
      </c>
      <c r="AT2523" s="5" t="s">
        <v>15111</v>
      </c>
      <c r="AU2523" s="5" t="s">
        <v>15112</v>
      </c>
      <c r="AV2523" s="5" t="s">
        <v>15114</v>
      </c>
    </row>
    <row r="2524" spans="1:48" ht="45" customHeight="1" x14ac:dyDescent="0.15">
      <c r="A2524" s="5" t="s">
        <v>15115</v>
      </c>
      <c r="B2524" s="5">
        <v>2014</v>
      </c>
      <c r="C2524" s="5" t="s">
        <v>15116</v>
      </c>
      <c r="D2524" s="5" t="s">
        <v>973</v>
      </c>
      <c r="E2524" s="5" t="s">
        <v>18453</v>
      </c>
      <c r="F2524" s="5" t="s">
        <v>15118</v>
      </c>
      <c r="G2524" s="5"/>
      <c r="H2524" s="5"/>
      <c r="I2524" s="5"/>
      <c r="J2524" s="5"/>
      <c r="K2524" s="5"/>
      <c r="L2524" s="5"/>
      <c r="M2524" s="5"/>
      <c r="N2524" s="5"/>
      <c r="O2524" s="5"/>
      <c r="P2524" s="5"/>
      <c r="Q2524" s="5"/>
      <c r="AL2524" s="7" t="str">
        <f>HYPERLINK("http://dx.doi.org/10.5194/bg-11-1479-2014","http://dx.doi.org/10.5194/bg-11-1479-2014")</f>
        <v>http://dx.doi.org/10.5194/bg-11-1479-2014</v>
      </c>
      <c r="AM2524" s="5">
        <v>52</v>
      </c>
      <c r="AN2524" s="5">
        <v>52</v>
      </c>
      <c r="AO2524" s="5">
        <v>11</v>
      </c>
      <c r="AP2524" s="5">
        <v>6</v>
      </c>
      <c r="AQ2524" s="5">
        <v>1479</v>
      </c>
      <c r="AR2524" s="5">
        <v>1489</v>
      </c>
      <c r="AS2524" s="5" t="s">
        <v>16</v>
      </c>
      <c r="AT2524" s="5" t="s">
        <v>16</v>
      </c>
      <c r="AU2524" s="5" t="s">
        <v>15117</v>
      </c>
      <c r="AV2524" s="5" t="s">
        <v>15119</v>
      </c>
    </row>
    <row r="2525" spans="1:48" ht="45" customHeight="1" x14ac:dyDescent="0.15">
      <c r="A2525" s="5" t="s">
        <v>15120</v>
      </c>
      <c r="B2525" s="5">
        <v>2016</v>
      </c>
      <c r="C2525" s="5" t="s">
        <v>15121</v>
      </c>
      <c r="D2525" s="5" t="s">
        <v>259</v>
      </c>
      <c r="E2525" s="5" t="s">
        <v>18453</v>
      </c>
      <c r="F2525" s="5" t="s">
        <v>15124</v>
      </c>
      <c r="G2525" s="5"/>
      <c r="H2525" s="5"/>
      <c r="I2525" s="5"/>
      <c r="J2525" s="5"/>
      <c r="K2525" s="5"/>
      <c r="L2525" s="5"/>
      <c r="M2525" s="5"/>
      <c r="N2525" s="5"/>
      <c r="O2525" s="5"/>
      <c r="P2525" s="5"/>
      <c r="Q2525" s="5"/>
      <c r="AL2525" s="7" t="str">
        <f>HYPERLINK("http://dx.doi.org/10.1002/jwmg.989","http://dx.doi.org/10.1002/jwmg.989")</f>
        <v>http://dx.doi.org/10.1002/jwmg.989</v>
      </c>
      <c r="AM2525" s="5">
        <v>5</v>
      </c>
      <c r="AN2525" s="5">
        <v>5</v>
      </c>
      <c r="AO2525" s="5">
        <v>80</v>
      </c>
      <c r="AP2525" s="5">
        <v>1</v>
      </c>
      <c r="AQ2525" s="5">
        <v>57</v>
      </c>
      <c r="AR2525" s="5">
        <v>62</v>
      </c>
      <c r="AS2525" s="5" t="s">
        <v>16</v>
      </c>
      <c r="AT2525" s="5" t="s">
        <v>15122</v>
      </c>
      <c r="AU2525" s="5" t="s">
        <v>15123</v>
      </c>
      <c r="AV2525" s="5" t="s">
        <v>15125</v>
      </c>
    </row>
    <row r="2526" spans="1:48" ht="45" customHeight="1" x14ac:dyDescent="0.15">
      <c r="A2526" s="5" t="s">
        <v>15126</v>
      </c>
      <c r="B2526" s="5">
        <v>2014</v>
      </c>
      <c r="C2526" s="5" t="s">
        <v>15127</v>
      </c>
      <c r="D2526" s="5" t="s">
        <v>1660</v>
      </c>
      <c r="E2526" s="5" t="s">
        <v>18453</v>
      </c>
      <c r="F2526" s="5" t="s">
        <v>15129</v>
      </c>
      <c r="G2526" s="5"/>
      <c r="H2526" s="5"/>
      <c r="I2526" s="5"/>
      <c r="J2526" s="5"/>
      <c r="K2526" s="5"/>
      <c r="L2526" s="5"/>
      <c r="M2526" s="5"/>
      <c r="N2526" s="5"/>
      <c r="O2526" s="5"/>
      <c r="P2526" s="5"/>
      <c r="Q2526" s="5"/>
      <c r="AL2526" s="7" t="str">
        <f>HYPERLINK("http://dx.doi.org/10.1890/130276","http://dx.doi.org/10.1890/130276")</f>
        <v>http://dx.doi.org/10.1890/130276</v>
      </c>
      <c r="AM2526" s="5">
        <v>42</v>
      </c>
      <c r="AN2526" s="5">
        <v>42</v>
      </c>
      <c r="AO2526" s="5">
        <v>12</v>
      </c>
      <c r="AP2526" s="5">
        <v>2</v>
      </c>
      <c r="AQ2526" s="5">
        <v>107</v>
      </c>
      <c r="AR2526" s="5">
        <v>114</v>
      </c>
      <c r="AS2526" s="5" t="s">
        <v>16</v>
      </c>
      <c r="AT2526" s="5" t="s">
        <v>16</v>
      </c>
      <c r="AU2526" s="5" t="s">
        <v>15128</v>
      </c>
      <c r="AV2526" s="5" t="s">
        <v>15130</v>
      </c>
    </row>
    <row r="2527" spans="1:48" ht="45" customHeight="1" x14ac:dyDescent="0.15">
      <c r="A2527" s="5" t="s">
        <v>15131</v>
      </c>
      <c r="B2527" s="5">
        <v>2011</v>
      </c>
      <c r="C2527" s="5" t="s">
        <v>15132</v>
      </c>
      <c r="D2527" s="5" t="s">
        <v>83</v>
      </c>
      <c r="E2527" s="5" t="s">
        <v>18453</v>
      </c>
      <c r="F2527" s="5" t="s">
        <v>15135</v>
      </c>
      <c r="G2527" s="5"/>
      <c r="H2527" s="5"/>
      <c r="I2527" s="5"/>
      <c r="J2527" s="5"/>
      <c r="K2527" s="5"/>
      <c r="L2527" s="5"/>
      <c r="M2527" s="5"/>
      <c r="N2527" s="5"/>
      <c r="O2527" s="5"/>
      <c r="P2527" s="5"/>
      <c r="Q2527" s="5"/>
      <c r="AL2527" s="7" t="str">
        <f>HYPERLINK("http://dx.doi.org/10.1007/s10646-011-0603-7","http://dx.doi.org/10.1007/s10646-011-0603-7")</f>
        <v>http://dx.doi.org/10.1007/s10646-011-0603-7</v>
      </c>
      <c r="AM2527" s="5">
        <v>27</v>
      </c>
      <c r="AN2527" s="5">
        <v>29</v>
      </c>
      <c r="AO2527" s="5">
        <v>20</v>
      </c>
      <c r="AP2527" s="5">
        <v>4</v>
      </c>
      <c r="AQ2527" s="5">
        <v>635</v>
      </c>
      <c r="AR2527" s="5">
        <v>642</v>
      </c>
      <c r="AS2527" s="5" t="s">
        <v>16</v>
      </c>
      <c r="AT2527" s="5" t="s">
        <v>15133</v>
      </c>
      <c r="AU2527" s="5" t="s">
        <v>15134</v>
      </c>
      <c r="AV2527" s="5" t="s">
        <v>15136</v>
      </c>
    </row>
    <row r="2528" spans="1:48" ht="45" customHeight="1" x14ac:dyDescent="0.15">
      <c r="A2528" s="5" t="s">
        <v>15137</v>
      </c>
      <c r="B2528" s="5">
        <v>2012</v>
      </c>
      <c r="C2528" s="5" t="s">
        <v>15138</v>
      </c>
      <c r="D2528" s="5" t="s">
        <v>249</v>
      </c>
      <c r="E2528" s="5" t="s">
        <v>18453</v>
      </c>
      <c r="F2528" s="5" t="s">
        <v>15141</v>
      </c>
      <c r="G2528" s="5"/>
      <c r="H2528" s="5"/>
      <c r="I2528" s="5"/>
      <c r="J2528" s="5"/>
      <c r="K2528" s="5"/>
      <c r="L2528" s="5"/>
      <c r="M2528" s="5"/>
      <c r="N2528" s="5"/>
      <c r="O2528" s="5"/>
      <c r="P2528" s="5"/>
      <c r="Q2528" s="5"/>
      <c r="AL2528" s="7" t="str">
        <f>HYPERLINK("http://dx.doi.org/10.1016/j.jaridenv.2012.03.009","http://dx.doi.org/10.1016/j.jaridenv.2012.03.009")</f>
        <v>http://dx.doi.org/10.1016/j.jaridenv.2012.03.009</v>
      </c>
      <c r="AM2528" s="5">
        <v>29</v>
      </c>
      <c r="AN2528" s="5">
        <v>31</v>
      </c>
      <c r="AO2528" s="5">
        <v>83</v>
      </c>
      <c r="AP2528" s="5" t="s">
        <v>16</v>
      </c>
      <c r="AQ2528" s="5">
        <v>25</v>
      </c>
      <c r="AR2528" s="5">
        <v>34</v>
      </c>
      <c r="AS2528" s="5" t="s">
        <v>16</v>
      </c>
      <c r="AT2528" s="5" t="s">
        <v>15139</v>
      </c>
      <c r="AU2528" s="5" t="s">
        <v>15140</v>
      </c>
      <c r="AV2528" s="5" t="s">
        <v>15142</v>
      </c>
    </row>
    <row r="2529" spans="1:48" ht="45" customHeight="1" x14ac:dyDescent="0.15">
      <c r="A2529" s="5" t="s">
        <v>15143</v>
      </c>
      <c r="B2529" s="5">
        <v>2009</v>
      </c>
      <c r="C2529" s="5" t="s">
        <v>15144</v>
      </c>
      <c r="D2529" s="5" t="s">
        <v>2437</v>
      </c>
      <c r="E2529" s="5" t="s">
        <v>18453</v>
      </c>
      <c r="F2529" s="5" t="s">
        <v>15147</v>
      </c>
      <c r="G2529" s="5"/>
      <c r="H2529" s="5"/>
      <c r="I2529" s="5"/>
      <c r="J2529" s="5"/>
      <c r="K2529" s="5"/>
      <c r="L2529" s="5"/>
      <c r="M2529" s="5"/>
      <c r="N2529" s="5"/>
      <c r="O2529" s="5"/>
      <c r="P2529" s="5"/>
      <c r="Q2529" s="5"/>
      <c r="AL2529" s="7" t="str">
        <f>HYPERLINK("http://dx.doi.org/10.1890/08-0586.1","http://dx.doi.org/10.1890/08-0586.1")</f>
        <v>http://dx.doi.org/10.1890/08-0586.1</v>
      </c>
      <c r="AM2529" s="5">
        <v>4</v>
      </c>
      <c r="AN2529" s="5">
        <v>4</v>
      </c>
      <c r="AO2529" s="5">
        <v>79</v>
      </c>
      <c r="AP2529" s="5">
        <v>4</v>
      </c>
      <c r="AQ2529" s="5">
        <v>595</v>
      </c>
      <c r="AR2529" s="5">
        <v>617</v>
      </c>
      <c r="AS2529" s="5" t="s">
        <v>16</v>
      </c>
      <c r="AT2529" s="5" t="s">
        <v>15145</v>
      </c>
      <c r="AU2529" s="5" t="s">
        <v>15146</v>
      </c>
      <c r="AV2529" s="5" t="s">
        <v>15148</v>
      </c>
    </row>
    <row r="2530" spans="1:48" ht="45" customHeight="1" x14ac:dyDescent="0.15">
      <c r="A2530" s="5" t="s">
        <v>15149</v>
      </c>
      <c r="B2530" s="5">
        <v>2020</v>
      </c>
      <c r="C2530" s="5" t="s">
        <v>15150</v>
      </c>
      <c r="D2530" s="5" t="s">
        <v>27</v>
      </c>
      <c r="E2530" s="5" t="s">
        <v>18453</v>
      </c>
      <c r="F2530" s="5" t="s">
        <v>15153</v>
      </c>
      <c r="G2530" s="5"/>
      <c r="H2530" s="5"/>
      <c r="I2530" s="5"/>
      <c r="J2530" s="5"/>
      <c r="K2530" s="5"/>
      <c r="L2530" s="5"/>
      <c r="M2530" s="5"/>
      <c r="N2530" s="5"/>
      <c r="O2530" s="5"/>
      <c r="P2530" s="5"/>
      <c r="Q2530" s="5"/>
      <c r="AL2530" s="7" t="str">
        <f>HYPERLINK("http://dx.doi.org/10.1002/ecy.3013","http://dx.doi.org/10.1002/ecy.3013")</f>
        <v>http://dx.doi.org/10.1002/ecy.3013</v>
      </c>
      <c r="AM2530" s="5">
        <v>11</v>
      </c>
      <c r="AN2530" s="5">
        <v>11</v>
      </c>
      <c r="AO2530" s="5">
        <v>101</v>
      </c>
      <c r="AP2530" s="5">
        <v>6</v>
      </c>
      <c r="AQ2530" s="5" t="s">
        <v>16</v>
      </c>
      <c r="AR2530" s="5" t="s">
        <v>16</v>
      </c>
      <c r="AS2530" s="5" t="s">
        <v>16</v>
      </c>
      <c r="AT2530" s="5" t="s">
        <v>15151</v>
      </c>
      <c r="AU2530" s="5" t="s">
        <v>15152</v>
      </c>
      <c r="AV2530" s="5" t="s">
        <v>15154</v>
      </c>
    </row>
    <row r="2531" spans="1:48" ht="45" customHeight="1" x14ac:dyDescent="0.15">
      <c r="A2531" s="5" t="s">
        <v>15155</v>
      </c>
      <c r="B2531" s="5">
        <v>2006</v>
      </c>
      <c r="C2531" s="5" t="s">
        <v>15156</v>
      </c>
      <c r="D2531" s="5" t="s">
        <v>262</v>
      </c>
      <c r="E2531" s="5" t="s">
        <v>18453</v>
      </c>
      <c r="F2531" s="5" t="s">
        <v>15158</v>
      </c>
      <c r="G2531" s="5"/>
      <c r="H2531" s="5"/>
      <c r="I2531" s="5"/>
      <c r="J2531" s="5"/>
      <c r="K2531" s="5"/>
      <c r="L2531" s="5"/>
      <c r="M2531" s="5"/>
      <c r="N2531" s="5"/>
      <c r="O2531" s="5"/>
      <c r="P2531" s="5"/>
      <c r="Q2531" s="5"/>
      <c r="AL2531" s="5" t="s">
        <v>16</v>
      </c>
      <c r="AM2531" s="5">
        <v>46</v>
      </c>
      <c r="AN2531" s="5">
        <v>46</v>
      </c>
      <c r="AO2531" s="5">
        <v>115</v>
      </c>
      <c r="AP2531" s="5">
        <v>1</v>
      </c>
      <c r="AQ2531" s="5">
        <v>69</v>
      </c>
      <c r="AR2531" s="5">
        <v>80</v>
      </c>
      <c r="AS2531" s="5" t="s">
        <v>16</v>
      </c>
      <c r="AT2531" s="5" t="s">
        <v>16</v>
      </c>
      <c r="AU2531" s="5" t="s">
        <v>15157</v>
      </c>
      <c r="AV2531" s="5" t="s">
        <v>16</v>
      </c>
    </row>
    <row r="2532" spans="1:48" ht="45" customHeight="1" x14ac:dyDescent="0.15">
      <c r="A2532" s="5" t="s">
        <v>15159</v>
      </c>
      <c r="B2532" s="5">
        <v>2021</v>
      </c>
      <c r="C2532" s="5" t="s">
        <v>15160</v>
      </c>
      <c r="D2532" s="5" t="s">
        <v>160</v>
      </c>
      <c r="E2532" s="5" t="s">
        <v>18453</v>
      </c>
      <c r="F2532" s="5" t="s">
        <v>15163</v>
      </c>
      <c r="G2532" s="5"/>
      <c r="H2532" s="5"/>
      <c r="I2532" s="5"/>
      <c r="J2532" s="5"/>
      <c r="K2532" s="5"/>
      <c r="L2532" s="5"/>
      <c r="M2532" s="5"/>
      <c r="N2532" s="5"/>
      <c r="O2532" s="5"/>
      <c r="P2532" s="5"/>
      <c r="Q2532" s="5"/>
      <c r="AL2532" s="7" t="str">
        <f>HYPERLINK("http://dx.doi.org/10.1111/1365-2664.13992","http://dx.doi.org/10.1111/1365-2664.13992")</f>
        <v>http://dx.doi.org/10.1111/1365-2664.13992</v>
      </c>
      <c r="AM2532" s="5">
        <v>11</v>
      </c>
      <c r="AN2532" s="5">
        <v>11</v>
      </c>
      <c r="AO2532" s="5">
        <v>58</v>
      </c>
      <c r="AP2532" s="5">
        <v>11</v>
      </c>
      <c r="AQ2532" s="5">
        <v>2493</v>
      </c>
      <c r="AR2532" s="5">
        <v>2504</v>
      </c>
      <c r="AS2532" s="5" t="s">
        <v>16</v>
      </c>
      <c r="AT2532" s="5" t="s">
        <v>15161</v>
      </c>
      <c r="AU2532" s="5" t="s">
        <v>15162</v>
      </c>
      <c r="AV2532" s="5" t="s">
        <v>15164</v>
      </c>
    </row>
    <row r="2533" spans="1:48" ht="45" customHeight="1" x14ac:dyDescent="0.15">
      <c r="A2533" s="5" t="s">
        <v>15165</v>
      </c>
      <c r="B2533" s="5">
        <v>2023</v>
      </c>
      <c r="C2533" s="5" t="s">
        <v>15166</v>
      </c>
      <c r="D2533" s="5" t="s">
        <v>1785</v>
      </c>
      <c r="E2533" s="5" t="s">
        <v>18453</v>
      </c>
      <c r="F2533" s="5" t="s">
        <v>15169</v>
      </c>
      <c r="G2533" s="5"/>
      <c r="H2533" s="5"/>
      <c r="I2533" s="5"/>
      <c r="J2533" s="5"/>
      <c r="K2533" s="5"/>
      <c r="L2533" s="5"/>
      <c r="M2533" s="5"/>
      <c r="N2533" s="5"/>
      <c r="O2533" s="5"/>
      <c r="P2533" s="5"/>
      <c r="Q2533" s="5"/>
      <c r="AL2533" s="7" t="str">
        <f>HYPERLINK("http://dx.doi.org/10.5751/ACE-02410-180117","http://dx.doi.org/10.5751/ACE-02410-180117")</f>
        <v>http://dx.doi.org/10.5751/ACE-02410-180117</v>
      </c>
      <c r="AM2533" s="5">
        <v>0</v>
      </c>
      <c r="AN2533" s="5">
        <v>0</v>
      </c>
      <c r="AO2533" s="5">
        <v>18</v>
      </c>
      <c r="AP2533" s="5">
        <v>1</v>
      </c>
      <c r="AQ2533" s="5" t="s">
        <v>16</v>
      </c>
      <c r="AR2533" s="5" t="s">
        <v>16</v>
      </c>
      <c r="AS2533" s="5">
        <v>17</v>
      </c>
      <c r="AT2533" s="5" t="s">
        <v>15167</v>
      </c>
      <c r="AU2533" s="5" t="s">
        <v>15168</v>
      </c>
      <c r="AV2533" s="5" t="s">
        <v>15170</v>
      </c>
    </row>
    <row r="2534" spans="1:48" ht="45" customHeight="1" x14ac:dyDescent="0.15">
      <c r="A2534" s="5" t="s">
        <v>15171</v>
      </c>
      <c r="B2534" s="5">
        <v>2004</v>
      </c>
      <c r="C2534" s="5" t="s">
        <v>15172</v>
      </c>
      <c r="D2534" s="5" t="s">
        <v>172</v>
      </c>
      <c r="E2534" s="5" t="s">
        <v>18453</v>
      </c>
      <c r="F2534" s="5" t="s">
        <v>15175</v>
      </c>
      <c r="G2534" s="5"/>
      <c r="H2534" s="5"/>
      <c r="I2534" s="5"/>
      <c r="J2534" s="5"/>
      <c r="K2534" s="5"/>
      <c r="L2534" s="5"/>
      <c r="M2534" s="5"/>
      <c r="N2534" s="5"/>
      <c r="O2534" s="5"/>
      <c r="P2534" s="5"/>
      <c r="Q2534" s="5"/>
      <c r="AL2534" s="7" t="str">
        <f>HYPERLINK("http://dx.doi.org/10.1007/s00442-004-1540-4","http://dx.doi.org/10.1007/s00442-004-1540-4")</f>
        <v>http://dx.doi.org/10.1007/s00442-004-1540-4</v>
      </c>
      <c r="AM2534" s="5">
        <v>171</v>
      </c>
      <c r="AN2534" s="5">
        <v>203</v>
      </c>
      <c r="AO2534" s="5">
        <v>139</v>
      </c>
      <c r="AP2534" s="5">
        <v>4</v>
      </c>
      <c r="AQ2534" s="5">
        <v>551</v>
      </c>
      <c r="AR2534" s="5">
        <v>559</v>
      </c>
      <c r="AS2534" s="5" t="s">
        <v>16</v>
      </c>
      <c r="AT2534" s="5" t="s">
        <v>15173</v>
      </c>
      <c r="AU2534" s="5" t="s">
        <v>15174</v>
      </c>
      <c r="AV2534" s="5" t="s">
        <v>15176</v>
      </c>
    </row>
    <row r="2535" spans="1:48" ht="45" customHeight="1" x14ac:dyDescent="0.15">
      <c r="A2535" s="5" t="s">
        <v>15177</v>
      </c>
      <c r="B2535" s="5">
        <v>2015</v>
      </c>
      <c r="C2535" s="5" t="s">
        <v>15178</v>
      </c>
      <c r="D2535" s="5" t="s">
        <v>49</v>
      </c>
      <c r="E2535" s="5" t="s">
        <v>18453</v>
      </c>
      <c r="F2535" s="5" t="s">
        <v>15181</v>
      </c>
      <c r="G2535" s="5"/>
      <c r="H2535" s="5"/>
      <c r="I2535" s="5"/>
      <c r="J2535" s="5"/>
      <c r="K2535" s="5"/>
      <c r="L2535" s="5"/>
      <c r="M2535" s="5"/>
      <c r="N2535" s="5"/>
      <c r="O2535" s="5"/>
      <c r="P2535" s="5"/>
      <c r="Q2535" s="5"/>
      <c r="AL2535" s="7" t="str">
        <f>HYPERLINK("http://dx.doi.org/10.3354/meps11542","http://dx.doi.org/10.3354/meps11542")</f>
        <v>http://dx.doi.org/10.3354/meps11542</v>
      </c>
      <c r="AM2535" s="5">
        <v>6</v>
      </c>
      <c r="AN2535" s="5">
        <v>6</v>
      </c>
      <c r="AO2535" s="5">
        <v>541</v>
      </c>
      <c r="AP2535" s="5" t="s">
        <v>16</v>
      </c>
      <c r="AQ2535" s="5">
        <v>195</v>
      </c>
      <c r="AR2535" s="5">
        <v>204</v>
      </c>
      <c r="AS2535" s="5" t="s">
        <v>16</v>
      </c>
      <c r="AT2535" s="5" t="s">
        <v>15179</v>
      </c>
      <c r="AU2535" s="5" t="s">
        <v>15180</v>
      </c>
      <c r="AV2535" s="5" t="s">
        <v>15182</v>
      </c>
    </row>
    <row r="2536" spans="1:48" ht="45" customHeight="1" x14ac:dyDescent="0.15">
      <c r="A2536" s="5" t="s">
        <v>15183</v>
      </c>
      <c r="B2536" s="5">
        <v>2004</v>
      </c>
      <c r="C2536" s="5" t="s">
        <v>15184</v>
      </c>
      <c r="D2536" s="5" t="s">
        <v>17</v>
      </c>
      <c r="E2536" s="5" t="s">
        <v>18453</v>
      </c>
      <c r="F2536" s="5" t="s">
        <v>15187</v>
      </c>
      <c r="G2536" s="5"/>
      <c r="H2536" s="5"/>
      <c r="I2536" s="5"/>
      <c r="J2536" s="5"/>
      <c r="K2536" s="5"/>
      <c r="L2536" s="5"/>
      <c r="M2536" s="5"/>
      <c r="N2536" s="5"/>
      <c r="O2536" s="5"/>
      <c r="P2536" s="5"/>
      <c r="Q2536" s="5"/>
      <c r="AL2536" s="7" t="str">
        <f>HYPERLINK("http://dx.doi.org/10.1111/j.1365-2427.2004.01203.x","http://dx.doi.org/10.1111/j.1365-2427.2004.01203.x")</f>
        <v>http://dx.doi.org/10.1111/j.1365-2427.2004.01203.x</v>
      </c>
      <c r="AM2536" s="5">
        <v>65</v>
      </c>
      <c r="AN2536" s="5">
        <v>70</v>
      </c>
      <c r="AO2536" s="5">
        <v>49</v>
      </c>
      <c r="AP2536" s="5">
        <v>4</v>
      </c>
      <c r="AQ2536" s="5">
        <v>490</v>
      </c>
      <c r="AR2536" s="5">
        <v>501</v>
      </c>
      <c r="AS2536" s="5" t="s">
        <v>16</v>
      </c>
      <c r="AT2536" s="5" t="s">
        <v>15185</v>
      </c>
      <c r="AU2536" s="5" t="s">
        <v>15186</v>
      </c>
      <c r="AV2536" s="5" t="s">
        <v>15188</v>
      </c>
    </row>
    <row r="2537" spans="1:48" ht="45" customHeight="1" x14ac:dyDescent="0.15">
      <c r="A2537" s="5" t="s">
        <v>15189</v>
      </c>
      <c r="B2537" s="5">
        <v>2004</v>
      </c>
      <c r="C2537" s="5" t="s">
        <v>15190</v>
      </c>
      <c r="D2537" s="5" t="s">
        <v>6380</v>
      </c>
      <c r="E2537" s="5" t="s">
        <v>18453</v>
      </c>
      <c r="F2537" s="5" t="s">
        <v>15192</v>
      </c>
      <c r="G2537" s="5"/>
      <c r="H2537" s="5"/>
      <c r="I2537" s="5"/>
      <c r="J2537" s="5"/>
      <c r="K2537" s="5"/>
      <c r="L2537" s="5"/>
      <c r="M2537" s="5"/>
      <c r="N2537" s="5"/>
      <c r="O2537" s="5"/>
      <c r="P2537" s="5"/>
      <c r="Q2537" s="5"/>
      <c r="AL2537" s="7" t="str">
        <f>HYPERLINK("http://dx.doi.org/10.1666/0094-8373(2004)030&lt;0129:LPMHSM&gt;2.0.CO;2","http://dx.doi.org/10.1666/0094-8373(2004)030&lt;0129:LPMHSM&gt;2.0.CO;2")</f>
        <v>http://dx.doi.org/10.1666/0094-8373(2004)030&lt;0129:LPMHSM&gt;2.0.CO;2</v>
      </c>
      <c r="AM2537" s="5">
        <v>105</v>
      </c>
      <c r="AN2537" s="5">
        <v>113</v>
      </c>
      <c r="AO2537" s="5">
        <v>30</v>
      </c>
      <c r="AP2537" s="5">
        <v>1</v>
      </c>
      <c r="AQ2537" s="5">
        <v>129</v>
      </c>
      <c r="AR2537" s="5">
        <v>145</v>
      </c>
      <c r="AS2537" s="5" t="s">
        <v>16</v>
      </c>
      <c r="AT2537" s="5" t="s">
        <v>16</v>
      </c>
      <c r="AU2537" s="5" t="s">
        <v>15191</v>
      </c>
      <c r="AV2537" s="5" t="s">
        <v>15193</v>
      </c>
    </row>
    <row r="2538" spans="1:48" ht="45" customHeight="1" x14ac:dyDescent="0.15">
      <c r="A2538" s="5" t="s">
        <v>15194</v>
      </c>
      <c r="B2538" s="5">
        <v>2021</v>
      </c>
      <c r="C2538" s="5" t="s">
        <v>15195</v>
      </c>
      <c r="D2538" s="5" t="s">
        <v>2087</v>
      </c>
      <c r="E2538" s="5" t="s">
        <v>18453</v>
      </c>
      <c r="F2538" s="5" t="s">
        <v>15198</v>
      </c>
      <c r="G2538" s="5"/>
      <c r="H2538" s="5"/>
      <c r="I2538" s="5"/>
      <c r="J2538" s="5"/>
      <c r="K2538" s="5"/>
      <c r="L2538" s="5"/>
      <c r="M2538" s="5"/>
      <c r="N2538" s="5"/>
      <c r="O2538" s="5"/>
      <c r="P2538" s="5"/>
      <c r="Q2538" s="5"/>
      <c r="AL2538" s="7" t="str">
        <f>HYPERLINK("http://dx.doi.org/10.1002/eco.2306","http://dx.doi.org/10.1002/eco.2306")</f>
        <v>http://dx.doi.org/10.1002/eco.2306</v>
      </c>
      <c r="AM2538" s="5">
        <v>8</v>
      </c>
      <c r="AN2538" s="5">
        <v>8</v>
      </c>
      <c r="AO2538" s="5">
        <v>14</v>
      </c>
      <c r="AP2538" s="5">
        <v>6</v>
      </c>
      <c r="AQ2538" s="5" t="s">
        <v>16</v>
      </c>
      <c r="AR2538" s="5" t="s">
        <v>16</v>
      </c>
      <c r="AS2538" s="5" t="s">
        <v>15199</v>
      </c>
      <c r="AT2538" s="5" t="s">
        <v>15196</v>
      </c>
      <c r="AU2538" s="5" t="s">
        <v>15197</v>
      </c>
      <c r="AV2538" s="5" t="s">
        <v>15200</v>
      </c>
    </row>
    <row r="2539" spans="1:48" ht="45" customHeight="1" x14ac:dyDescent="0.15">
      <c r="A2539" s="5" t="s">
        <v>15201</v>
      </c>
      <c r="B2539" s="5">
        <v>2009</v>
      </c>
      <c r="C2539" s="5" t="s">
        <v>15202</v>
      </c>
      <c r="D2539" s="5" t="s">
        <v>1531</v>
      </c>
      <c r="E2539" s="5" t="s">
        <v>18453</v>
      </c>
      <c r="F2539" s="5" t="s">
        <v>15205</v>
      </c>
      <c r="G2539" s="5"/>
      <c r="H2539" s="5"/>
      <c r="I2539" s="5"/>
      <c r="J2539" s="5"/>
      <c r="K2539" s="5"/>
      <c r="L2539" s="5"/>
      <c r="M2539" s="5"/>
      <c r="N2539" s="5"/>
      <c r="O2539" s="5"/>
      <c r="P2539" s="5"/>
      <c r="Q2539" s="5"/>
      <c r="AL2539" s="7" t="str">
        <f>HYPERLINK("http://dx.doi.org/10.1899/08-030.1","http://dx.doi.org/10.1899/08-030.1")</f>
        <v>http://dx.doi.org/10.1899/08-030.1</v>
      </c>
      <c r="AM2539" s="5">
        <v>22</v>
      </c>
      <c r="AN2539" s="5">
        <v>22</v>
      </c>
      <c r="AO2539" s="5">
        <v>28</v>
      </c>
      <c r="AP2539" s="5">
        <v>1</v>
      </c>
      <c r="AQ2539" s="5">
        <v>207</v>
      </c>
      <c r="AR2539" s="5">
        <v>219</v>
      </c>
      <c r="AS2539" s="5" t="s">
        <v>16</v>
      </c>
      <c r="AT2539" s="5" t="s">
        <v>15203</v>
      </c>
      <c r="AU2539" s="5" t="s">
        <v>15204</v>
      </c>
      <c r="AV2539" s="5" t="s">
        <v>15206</v>
      </c>
    </row>
    <row r="2540" spans="1:48" ht="45" customHeight="1" x14ac:dyDescent="0.15">
      <c r="A2540" s="5" t="s">
        <v>15207</v>
      </c>
      <c r="B2540" s="5">
        <v>2010</v>
      </c>
      <c r="C2540" s="5" t="s">
        <v>15208</v>
      </c>
      <c r="D2540" s="5" t="s">
        <v>17</v>
      </c>
      <c r="E2540" s="5" t="s">
        <v>18453</v>
      </c>
      <c r="F2540" s="5" t="s">
        <v>15211</v>
      </c>
      <c r="G2540" s="5"/>
      <c r="H2540" s="5"/>
      <c r="I2540" s="5"/>
      <c r="J2540" s="5"/>
      <c r="K2540" s="5"/>
      <c r="L2540" s="5"/>
      <c r="M2540" s="5"/>
      <c r="N2540" s="5"/>
      <c r="O2540" s="5"/>
      <c r="P2540" s="5"/>
      <c r="Q2540" s="5"/>
      <c r="AL2540" s="7" t="str">
        <f>HYPERLINK("http://dx.doi.org/10.1111/j.1365-2427.2009.02271.x","http://dx.doi.org/10.1111/j.1365-2427.2009.02271.x")</f>
        <v>http://dx.doi.org/10.1111/j.1365-2427.2009.02271.x</v>
      </c>
      <c r="AM2540" s="5">
        <v>133</v>
      </c>
      <c r="AN2540" s="5">
        <v>136</v>
      </c>
      <c r="AO2540" s="5">
        <v>55</v>
      </c>
      <c r="AP2540" s="5">
        <v>1</v>
      </c>
      <c r="AQ2540" s="5">
        <v>68</v>
      </c>
      <c r="AR2540" s="5">
        <v>85</v>
      </c>
      <c r="AS2540" s="5" t="s">
        <v>16</v>
      </c>
      <c r="AT2540" s="5" t="s">
        <v>15209</v>
      </c>
      <c r="AU2540" s="5" t="s">
        <v>15210</v>
      </c>
      <c r="AV2540" s="5" t="s">
        <v>15212</v>
      </c>
    </row>
    <row r="2541" spans="1:48" ht="45" customHeight="1" x14ac:dyDescent="0.15">
      <c r="A2541" s="5" t="s">
        <v>15213</v>
      </c>
      <c r="B2541" s="5">
        <v>2015</v>
      </c>
      <c r="C2541" s="5" t="s">
        <v>15214</v>
      </c>
      <c r="D2541" s="5" t="s">
        <v>49</v>
      </c>
      <c r="E2541" s="5" t="s">
        <v>18453</v>
      </c>
      <c r="F2541" s="5" t="s">
        <v>15217</v>
      </c>
      <c r="G2541" s="5"/>
      <c r="H2541" s="5"/>
      <c r="I2541" s="5"/>
      <c r="J2541" s="5"/>
      <c r="K2541" s="5"/>
      <c r="L2541" s="5"/>
      <c r="M2541" s="5"/>
      <c r="N2541" s="5"/>
      <c r="O2541" s="5"/>
      <c r="P2541" s="5"/>
      <c r="Q2541" s="5"/>
      <c r="AL2541" s="7" t="str">
        <f>HYPERLINK("http://dx.doi.org/10.3354/meps11183","http://dx.doi.org/10.3354/meps11183")</f>
        <v>http://dx.doi.org/10.3354/meps11183</v>
      </c>
      <c r="AM2541" s="5">
        <v>15</v>
      </c>
      <c r="AN2541" s="5">
        <v>15</v>
      </c>
      <c r="AO2541" s="5">
        <v>525</v>
      </c>
      <c r="AP2541" s="5" t="s">
        <v>16</v>
      </c>
      <c r="AQ2541" s="5">
        <v>217</v>
      </c>
      <c r="AR2541" s="5">
        <v>228</v>
      </c>
      <c r="AS2541" s="5" t="s">
        <v>16</v>
      </c>
      <c r="AT2541" s="5" t="s">
        <v>15215</v>
      </c>
      <c r="AU2541" s="5" t="s">
        <v>15216</v>
      </c>
      <c r="AV2541" s="5" t="s">
        <v>15218</v>
      </c>
    </row>
    <row r="2542" spans="1:48" ht="45" customHeight="1" x14ac:dyDescent="0.15">
      <c r="A2542" s="5" t="s">
        <v>15219</v>
      </c>
      <c r="B2542" s="5">
        <v>2018</v>
      </c>
      <c r="C2542" s="5" t="s">
        <v>15220</v>
      </c>
      <c r="D2542" s="5" t="s">
        <v>973</v>
      </c>
      <c r="E2542" s="5" t="s">
        <v>18453</v>
      </c>
      <c r="F2542" s="5" t="s">
        <v>15222</v>
      </c>
      <c r="G2542" s="5"/>
      <c r="H2542" s="5"/>
      <c r="I2542" s="5"/>
      <c r="J2542" s="5"/>
      <c r="K2542" s="5"/>
      <c r="L2542" s="5"/>
      <c r="M2542" s="5"/>
      <c r="N2542" s="5"/>
      <c r="O2542" s="5"/>
      <c r="P2542" s="5"/>
      <c r="Q2542" s="5"/>
      <c r="AL2542" s="7" t="str">
        <f>HYPERLINK("http://dx.doi.org/10.5194/bg-15-3717-2018","http://dx.doi.org/10.5194/bg-15-3717-2018")</f>
        <v>http://dx.doi.org/10.5194/bg-15-3717-2018</v>
      </c>
      <c r="AM2542" s="5">
        <v>4</v>
      </c>
      <c r="AN2542" s="5">
        <v>4</v>
      </c>
      <c r="AO2542" s="5">
        <v>15</v>
      </c>
      <c r="AP2542" s="5">
        <v>12</v>
      </c>
      <c r="AQ2542" s="5">
        <v>3717</v>
      </c>
      <c r="AR2542" s="5">
        <v>3729</v>
      </c>
      <c r="AS2542" s="5" t="s">
        <v>16</v>
      </c>
      <c r="AT2542" s="5" t="s">
        <v>16</v>
      </c>
      <c r="AU2542" s="5" t="s">
        <v>15221</v>
      </c>
      <c r="AV2542" s="5" t="s">
        <v>15223</v>
      </c>
    </row>
    <row r="2543" spans="1:48" ht="45" customHeight="1" x14ac:dyDescent="0.15">
      <c r="A2543" s="5" t="s">
        <v>15224</v>
      </c>
      <c r="B2543" s="5">
        <v>2021</v>
      </c>
      <c r="C2543" s="5" t="s">
        <v>15225</v>
      </c>
      <c r="D2543" s="5" t="s">
        <v>10401</v>
      </c>
      <c r="E2543" s="5" t="s">
        <v>18453</v>
      </c>
      <c r="F2543" s="5" t="s">
        <v>15228</v>
      </c>
      <c r="G2543" s="5"/>
      <c r="H2543" s="5"/>
      <c r="I2543" s="5"/>
      <c r="J2543" s="5"/>
      <c r="K2543" s="5"/>
      <c r="L2543" s="5"/>
      <c r="M2543" s="5"/>
      <c r="N2543" s="5"/>
      <c r="O2543" s="5"/>
      <c r="P2543" s="5"/>
      <c r="Q2543" s="5"/>
      <c r="AL2543" s="7" t="str">
        <f>HYPERLINK("http://dx.doi.org/10.1111/evo.14270","http://dx.doi.org/10.1111/evo.14270")</f>
        <v>http://dx.doi.org/10.1111/evo.14270</v>
      </c>
      <c r="AM2543" s="5">
        <v>10</v>
      </c>
      <c r="AN2543" s="5">
        <v>10</v>
      </c>
      <c r="AO2543" s="5">
        <v>75</v>
      </c>
      <c r="AP2543" s="5">
        <v>11</v>
      </c>
      <c r="AQ2543" s="5">
        <v>2791</v>
      </c>
      <c r="AR2543" s="5">
        <v>2801</v>
      </c>
      <c r="AS2543" s="5" t="s">
        <v>16</v>
      </c>
      <c r="AT2543" s="5" t="s">
        <v>15226</v>
      </c>
      <c r="AU2543" s="5" t="s">
        <v>15227</v>
      </c>
      <c r="AV2543" s="5" t="s">
        <v>15229</v>
      </c>
    </row>
    <row r="2544" spans="1:48" ht="45" customHeight="1" x14ac:dyDescent="0.15">
      <c r="A2544" s="5" t="s">
        <v>15230</v>
      </c>
      <c r="B2544" s="5">
        <v>2021</v>
      </c>
      <c r="C2544" s="5" t="s">
        <v>15231</v>
      </c>
      <c r="D2544" s="5" t="s">
        <v>15</v>
      </c>
      <c r="E2544" s="5" t="s">
        <v>18453</v>
      </c>
      <c r="F2544" s="5" t="s">
        <v>15234</v>
      </c>
      <c r="G2544" s="5"/>
      <c r="H2544" s="5"/>
      <c r="I2544" s="5"/>
      <c r="J2544" s="5"/>
      <c r="K2544" s="5"/>
      <c r="L2544" s="5"/>
      <c r="M2544" s="5"/>
      <c r="N2544" s="5"/>
      <c r="O2544" s="5"/>
      <c r="P2544" s="5"/>
      <c r="Q2544" s="5"/>
      <c r="AL2544" s="7" t="str">
        <f>HYPERLINK("http://dx.doi.org/10.1002/ece3.7085","http://dx.doi.org/10.1002/ece3.7085")</f>
        <v>http://dx.doi.org/10.1002/ece3.7085</v>
      </c>
      <c r="AM2544" s="5">
        <v>6</v>
      </c>
      <c r="AN2544" s="5">
        <v>6</v>
      </c>
      <c r="AO2544" s="5">
        <v>11</v>
      </c>
      <c r="AP2544" s="5">
        <v>1</v>
      </c>
      <c r="AQ2544" s="5">
        <v>599</v>
      </c>
      <c r="AR2544" s="5">
        <v>611</v>
      </c>
      <c r="AS2544" s="5" t="s">
        <v>16</v>
      </c>
      <c r="AT2544" s="5" t="s">
        <v>15232</v>
      </c>
      <c r="AU2544" s="5" t="s">
        <v>15233</v>
      </c>
      <c r="AV2544" s="5" t="s">
        <v>15235</v>
      </c>
    </row>
    <row r="2545" spans="1:48" ht="45" customHeight="1" x14ac:dyDescent="0.15">
      <c r="A2545" s="5" t="s">
        <v>15236</v>
      </c>
      <c r="B2545" s="5">
        <v>1999</v>
      </c>
      <c r="C2545" s="5" t="s">
        <v>15237</v>
      </c>
      <c r="D2545" s="5" t="s">
        <v>49</v>
      </c>
      <c r="E2545" s="5" t="s">
        <v>18453</v>
      </c>
      <c r="F2545" s="5" t="s">
        <v>15240</v>
      </c>
      <c r="G2545" s="5"/>
      <c r="H2545" s="5"/>
      <c r="I2545" s="5"/>
      <c r="J2545" s="5"/>
      <c r="K2545" s="5"/>
      <c r="L2545" s="5"/>
      <c r="M2545" s="5"/>
      <c r="N2545" s="5"/>
      <c r="O2545" s="5"/>
      <c r="P2545" s="5"/>
      <c r="Q2545" s="5"/>
      <c r="AL2545" s="7" t="str">
        <f>HYPERLINK("http://dx.doi.org/10.3354/meps179071","http://dx.doi.org/10.3354/meps179071")</f>
        <v>http://dx.doi.org/10.3354/meps179071</v>
      </c>
      <c r="AM2545" s="5">
        <v>52</v>
      </c>
      <c r="AN2545" s="5">
        <v>55</v>
      </c>
      <c r="AO2545" s="5">
        <v>179</v>
      </c>
      <c r="AP2545" s="5" t="s">
        <v>16</v>
      </c>
      <c r="AQ2545" s="5">
        <v>71</v>
      </c>
      <c r="AR2545" s="5">
        <v>79</v>
      </c>
      <c r="AS2545" s="5" t="s">
        <v>16</v>
      </c>
      <c r="AT2545" s="5" t="s">
        <v>15238</v>
      </c>
      <c r="AU2545" s="5" t="s">
        <v>15239</v>
      </c>
      <c r="AV2545" s="5" t="s">
        <v>15241</v>
      </c>
    </row>
    <row r="2546" spans="1:48" ht="45" customHeight="1" x14ac:dyDescent="0.15">
      <c r="A2546" s="5" t="s">
        <v>15242</v>
      </c>
      <c r="B2546" s="5">
        <v>2023</v>
      </c>
      <c r="C2546" s="5" t="s">
        <v>15243</v>
      </c>
      <c r="D2546" s="5" t="s">
        <v>262</v>
      </c>
      <c r="E2546" s="5" t="s">
        <v>18453</v>
      </c>
      <c r="F2546" s="5" t="s">
        <v>15246</v>
      </c>
      <c r="G2546" s="5"/>
      <c r="H2546" s="5"/>
      <c r="I2546" s="5"/>
      <c r="J2546" s="5"/>
      <c r="K2546" s="5"/>
      <c r="L2546" s="5"/>
      <c r="M2546" s="5"/>
      <c r="N2546" s="5"/>
      <c r="O2546" s="5"/>
      <c r="P2546" s="5"/>
      <c r="Q2546" s="5"/>
      <c r="AL2546" s="7" t="str">
        <f>HYPERLINK("http://dx.doi.org/10.1111/oik.09828","http://dx.doi.org/10.1111/oik.09828")</f>
        <v>http://dx.doi.org/10.1111/oik.09828</v>
      </c>
      <c r="AM2546" s="5">
        <v>0</v>
      </c>
      <c r="AN2546" s="5">
        <v>0</v>
      </c>
      <c r="AO2546" s="5" t="s">
        <v>16</v>
      </c>
      <c r="AP2546" s="5" t="s">
        <v>16</v>
      </c>
      <c r="AQ2546" s="5" t="s">
        <v>16</v>
      </c>
      <c r="AR2546" s="5" t="s">
        <v>16</v>
      </c>
      <c r="AS2546" s="5" t="s">
        <v>16</v>
      </c>
      <c r="AT2546" s="5" t="s">
        <v>15244</v>
      </c>
      <c r="AU2546" s="5" t="s">
        <v>15245</v>
      </c>
      <c r="AV2546" s="5" t="s">
        <v>15247</v>
      </c>
    </row>
    <row r="2547" spans="1:48" ht="45" customHeight="1" x14ac:dyDescent="0.15">
      <c r="A2547" s="5" t="s">
        <v>15248</v>
      </c>
      <c r="B2547" s="5">
        <v>2022</v>
      </c>
      <c r="C2547" s="5" t="s">
        <v>15249</v>
      </c>
      <c r="D2547" s="5" t="s">
        <v>2087</v>
      </c>
      <c r="E2547" s="5" t="s">
        <v>18453</v>
      </c>
      <c r="F2547" s="5" t="s">
        <v>15252</v>
      </c>
      <c r="G2547" s="5"/>
      <c r="H2547" s="5"/>
      <c r="I2547" s="5"/>
      <c r="J2547" s="5"/>
      <c r="K2547" s="5"/>
      <c r="L2547" s="5"/>
      <c r="M2547" s="5"/>
      <c r="N2547" s="5"/>
      <c r="O2547" s="5"/>
      <c r="P2547" s="5"/>
      <c r="Q2547" s="5"/>
      <c r="AL2547" s="7" t="str">
        <f>HYPERLINK("http://dx.doi.org/10.1002/eco.2383","http://dx.doi.org/10.1002/eco.2383")</f>
        <v>http://dx.doi.org/10.1002/eco.2383</v>
      </c>
      <c r="AM2547" s="5">
        <v>6</v>
      </c>
      <c r="AN2547" s="5">
        <v>7</v>
      </c>
      <c r="AO2547" s="5">
        <v>15</v>
      </c>
      <c r="AP2547" s="5">
        <v>6</v>
      </c>
      <c r="AQ2547" s="5" t="s">
        <v>16</v>
      </c>
      <c r="AR2547" s="5" t="s">
        <v>16</v>
      </c>
      <c r="AS2547" s="5" t="s">
        <v>15253</v>
      </c>
      <c r="AT2547" s="5" t="s">
        <v>15250</v>
      </c>
      <c r="AU2547" s="5" t="s">
        <v>15251</v>
      </c>
      <c r="AV2547" s="5" t="s">
        <v>15254</v>
      </c>
    </row>
    <row r="2548" spans="1:48" ht="45" customHeight="1" x14ac:dyDescent="0.15">
      <c r="A2548" s="5" t="s">
        <v>15255</v>
      </c>
      <c r="B2548" s="5">
        <v>2021</v>
      </c>
      <c r="C2548" s="5" t="s">
        <v>15256</v>
      </c>
      <c r="D2548" s="5" t="s">
        <v>2437</v>
      </c>
      <c r="E2548" s="5" t="s">
        <v>18453</v>
      </c>
      <c r="F2548" s="5" t="s">
        <v>15259</v>
      </c>
      <c r="G2548" s="5"/>
      <c r="H2548" s="5"/>
      <c r="I2548" s="5"/>
      <c r="J2548" s="5"/>
      <c r="K2548" s="5"/>
      <c r="L2548" s="5"/>
      <c r="M2548" s="5"/>
      <c r="N2548" s="5"/>
      <c r="O2548" s="5"/>
      <c r="P2548" s="5"/>
      <c r="Q2548" s="5"/>
      <c r="AL2548" s="7" t="str">
        <f>HYPERLINK("http://dx.doi.org/10.1002/ecm.1477","http://dx.doi.org/10.1002/ecm.1477")</f>
        <v>http://dx.doi.org/10.1002/ecm.1477</v>
      </c>
      <c r="AM2548" s="5">
        <v>0</v>
      </c>
      <c r="AN2548" s="5">
        <v>0</v>
      </c>
      <c r="AO2548" s="5">
        <v>91</v>
      </c>
      <c r="AP2548" s="5">
        <v>4</v>
      </c>
      <c r="AQ2548" s="5" t="s">
        <v>16</v>
      </c>
      <c r="AR2548" s="5" t="s">
        <v>16</v>
      </c>
      <c r="AS2548" s="5" t="s">
        <v>15260</v>
      </c>
      <c r="AT2548" s="5" t="s">
        <v>15257</v>
      </c>
      <c r="AU2548" s="5" t="s">
        <v>15258</v>
      </c>
      <c r="AV2548" s="5" t="s">
        <v>15261</v>
      </c>
    </row>
    <row r="2549" spans="1:48" ht="45" customHeight="1" x14ac:dyDescent="0.15">
      <c r="A2549" s="5" t="s">
        <v>15262</v>
      </c>
      <c r="B2549" s="5">
        <v>2013</v>
      </c>
      <c r="C2549" s="5" t="s">
        <v>15263</v>
      </c>
      <c r="D2549" s="5" t="s">
        <v>17</v>
      </c>
      <c r="E2549" s="5" t="s">
        <v>18453</v>
      </c>
      <c r="F2549" s="5" t="s">
        <v>15266</v>
      </c>
      <c r="G2549" s="5"/>
      <c r="H2549" s="5"/>
      <c r="I2549" s="5"/>
      <c r="J2549" s="5"/>
      <c r="K2549" s="5"/>
      <c r="L2549" s="5"/>
      <c r="M2549" s="5"/>
      <c r="N2549" s="5"/>
      <c r="O2549" s="5"/>
      <c r="P2549" s="5"/>
      <c r="Q2549" s="5"/>
      <c r="AL2549" s="7" t="str">
        <f>HYPERLINK("http://dx.doi.org/10.1111/fwb.12238","http://dx.doi.org/10.1111/fwb.12238")</f>
        <v>http://dx.doi.org/10.1111/fwb.12238</v>
      </c>
      <c r="AM2549" s="5">
        <v>31</v>
      </c>
      <c r="AN2549" s="5">
        <v>31</v>
      </c>
      <c r="AO2549" s="5">
        <v>58</v>
      </c>
      <c r="AP2549" s="5">
        <v>12</v>
      </c>
      <c r="AQ2549" s="5">
        <v>2614</v>
      </c>
      <c r="AR2549" s="5">
        <v>2631</v>
      </c>
      <c r="AS2549" s="5" t="s">
        <v>16</v>
      </c>
      <c r="AT2549" s="5" t="s">
        <v>15264</v>
      </c>
      <c r="AU2549" s="5" t="s">
        <v>15265</v>
      </c>
      <c r="AV2549" s="5" t="s">
        <v>15267</v>
      </c>
    </row>
    <row r="2550" spans="1:48" ht="45" customHeight="1" x14ac:dyDescent="0.15">
      <c r="A2550" s="5" t="s">
        <v>15268</v>
      </c>
      <c r="B2550" s="5">
        <v>2012</v>
      </c>
      <c r="C2550" s="5" t="s">
        <v>15269</v>
      </c>
      <c r="D2550" s="5" t="s">
        <v>124</v>
      </c>
      <c r="E2550" s="5" t="s">
        <v>18453</v>
      </c>
      <c r="F2550" s="5" t="s">
        <v>15272</v>
      </c>
      <c r="G2550" s="5"/>
      <c r="H2550" s="5"/>
      <c r="I2550" s="5"/>
      <c r="J2550" s="5"/>
      <c r="K2550" s="5"/>
      <c r="L2550" s="5"/>
      <c r="M2550" s="5"/>
      <c r="N2550" s="5"/>
      <c r="O2550" s="5"/>
      <c r="P2550" s="5"/>
      <c r="Q2550" s="5"/>
      <c r="AL2550" s="7" t="str">
        <f>HYPERLINK("http://dx.doi.org/10.1086/664628","http://dx.doi.org/10.1086/664628")</f>
        <v>http://dx.doi.org/10.1086/664628</v>
      </c>
      <c r="AM2550" s="5">
        <v>64</v>
      </c>
      <c r="AN2550" s="5">
        <v>66</v>
      </c>
      <c r="AO2550" s="5">
        <v>179</v>
      </c>
      <c r="AP2550" s="5">
        <v>4</v>
      </c>
      <c r="AQ2550" s="5">
        <v>524</v>
      </c>
      <c r="AR2550" s="5">
        <v>535</v>
      </c>
      <c r="AS2550" s="5" t="s">
        <v>16</v>
      </c>
      <c r="AT2550" s="5" t="s">
        <v>15270</v>
      </c>
      <c r="AU2550" s="5" t="s">
        <v>15271</v>
      </c>
      <c r="AV2550" s="5" t="s">
        <v>15273</v>
      </c>
    </row>
    <row r="2551" spans="1:48" ht="45" customHeight="1" x14ac:dyDescent="0.15">
      <c r="A2551" s="5" t="s">
        <v>15274</v>
      </c>
      <c r="B2551" s="5">
        <v>2005</v>
      </c>
      <c r="C2551" s="5" t="s">
        <v>15275</v>
      </c>
      <c r="D2551" s="5" t="s">
        <v>82</v>
      </c>
      <c r="E2551" s="5" t="s">
        <v>18453</v>
      </c>
      <c r="F2551" s="5" t="s">
        <v>15278</v>
      </c>
      <c r="G2551" s="5"/>
      <c r="H2551" s="5"/>
      <c r="I2551" s="5"/>
      <c r="J2551" s="5"/>
      <c r="K2551" s="5"/>
      <c r="L2551" s="5"/>
      <c r="M2551" s="5"/>
      <c r="N2551" s="5"/>
      <c r="O2551" s="5"/>
      <c r="P2551" s="5"/>
      <c r="Q2551" s="5"/>
      <c r="AL2551" s="7" t="str">
        <f>HYPERLINK("http://dx.doi.org/10.1890/03-5047","http://dx.doi.org/10.1890/03-5047")</f>
        <v>http://dx.doi.org/10.1890/03-5047</v>
      </c>
      <c r="AM2551" s="5">
        <v>32</v>
      </c>
      <c r="AN2551" s="5">
        <v>33</v>
      </c>
      <c r="AO2551" s="5">
        <v>15</v>
      </c>
      <c r="AP2551" s="5">
        <v>1</v>
      </c>
      <c r="AQ2551" s="5">
        <v>58</v>
      </c>
      <c r="AR2551" s="5">
        <v>70</v>
      </c>
      <c r="AS2551" s="5" t="s">
        <v>16</v>
      </c>
      <c r="AT2551" s="5" t="s">
        <v>15276</v>
      </c>
      <c r="AU2551" s="5" t="s">
        <v>15277</v>
      </c>
      <c r="AV2551" s="5" t="s">
        <v>15279</v>
      </c>
    </row>
    <row r="2552" spans="1:48" ht="45" customHeight="1" x14ac:dyDescent="0.15">
      <c r="A2552" s="5" t="s">
        <v>15280</v>
      </c>
      <c r="B2552" s="5">
        <v>2012</v>
      </c>
      <c r="C2552" s="5" t="s">
        <v>15281</v>
      </c>
      <c r="D2552" s="5" t="s">
        <v>116</v>
      </c>
      <c r="E2552" s="5" t="s">
        <v>18453</v>
      </c>
      <c r="F2552" s="5" t="s">
        <v>15284</v>
      </c>
      <c r="G2552" s="5"/>
      <c r="H2552" s="5"/>
      <c r="I2552" s="5"/>
      <c r="J2552" s="5"/>
      <c r="K2552" s="5"/>
      <c r="L2552" s="5"/>
      <c r="M2552" s="5"/>
      <c r="N2552" s="5"/>
      <c r="O2552" s="5"/>
      <c r="P2552" s="5"/>
      <c r="Q2552" s="5"/>
      <c r="AL2552" s="7" t="str">
        <f>HYPERLINK("http://dx.doi.org/10.1007/s10641-012-0034-1","http://dx.doi.org/10.1007/s10641-012-0034-1")</f>
        <v>http://dx.doi.org/10.1007/s10641-012-0034-1</v>
      </c>
      <c r="AM2552" s="5">
        <v>8</v>
      </c>
      <c r="AN2552" s="5">
        <v>9</v>
      </c>
      <c r="AO2552" s="5">
        <v>95</v>
      </c>
      <c r="AP2552" s="5">
        <v>4</v>
      </c>
      <c r="AQ2552" s="5">
        <v>463</v>
      </c>
      <c r="AR2552" s="5">
        <v>468</v>
      </c>
      <c r="AS2552" s="5" t="s">
        <v>16</v>
      </c>
      <c r="AT2552" s="5" t="s">
        <v>15282</v>
      </c>
      <c r="AU2552" s="5" t="s">
        <v>15283</v>
      </c>
      <c r="AV2552" s="5" t="s">
        <v>15285</v>
      </c>
    </row>
    <row r="2553" spans="1:48" ht="45" customHeight="1" x14ac:dyDescent="0.15">
      <c r="A2553" s="5" t="s">
        <v>15286</v>
      </c>
      <c r="B2553" s="5">
        <v>2010</v>
      </c>
      <c r="C2553" s="5" t="s">
        <v>15287</v>
      </c>
      <c r="D2553" s="5" t="s">
        <v>3860</v>
      </c>
      <c r="E2553" s="5" t="s">
        <v>18453</v>
      </c>
      <c r="F2553" s="5" t="s">
        <v>15290</v>
      </c>
      <c r="G2553" s="5"/>
      <c r="H2553" s="5"/>
      <c r="I2553" s="5"/>
      <c r="J2553" s="5"/>
      <c r="K2553" s="5"/>
      <c r="L2553" s="5"/>
      <c r="M2553" s="5"/>
      <c r="N2553" s="5"/>
      <c r="O2553" s="5"/>
      <c r="P2553" s="5"/>
      <c r="Q2553" s="5"/>
      <c r="AL2553" s="7" t="str">
        <f>HYPERLINK("http://dx.doi.org/10.1556/ComEc.11.2010.2.11","http://dx.doi.org/10.1556/ComEc.11.2010.2.11")</f>
        <v>http://dx.doi.org/10.1556/ComEc.11.2010.2.11</v>
      </c>
      <c r="AM2553" s="5">
        <v>46</v>
      </c>
      <c r="AN2553" s="5">
        <v>47</v>
      </c>
      <c r="AO2553" s="5">
        <v>11</v>
      </c>
      <c r="AP2553" s="5">
        <v>2</v>
      </c>
      <c r="AQ2553" s="5">
        <v>223</v>
      </c>
      <c r="AR2553" s="5">
        <v>231</v>
      </c>
      <c r="AS2553" s="5" t="s">
        <v>16</v>
      </c>
      <c r="AT2553" s="5" t="s">
        <v>15288</v>
      </c>
      <c r="AU2553" s="5" t="s">
        <v>15289</v>
      </c>
      <c r="AV2553" s="5" t="s">
        <v>15291</v>
      </c>
    </row>
    <row r="2554" spans="1:48" ht="45" customHeight="1" x14ac:dyDescent="0.15">
      <c r="A2554" s="5" t="s">
        <v>15292</v>
      </c>
      <c r="B2554" s="5">
        <v>2016</v>
      </c>
      <c r="C2554" s="5" t="s">
        <v>15293</v>
      </c>
      <c r="D2554" s="5" t="s">
        <v>973</v>
      </c>
      <c r="E2554" s="5" t="s">
        <v>18453</v>
      </c>
      <c r="F2554" s="5" t="s">
        <v>15295</v>
      </c>
      <c r="G2554" s="5"/>
      <c r="H2554" s="5"/>
      <c r="I2554" s="5"/>
      <c r="J2554" s="5"/>
      <c r="K2554" s="5"/>
      <c r="L2554" s="5"/>
      <c r="M2554" s="5"/>
      <c r="N2554" s="5"/>
      <c r="O2554" s="5"/>
      <c r="P2554" s="5"/>
      <c r="Q2554" s="5"/>
      <c r="AL2554" s="7" t="str">
        <f>HYPERLINK("http://dx.doi.org/10.5194/bg-13-1129-2016","http://dx.doi.org/10.5194/bg-13-1129-2016")</f>
        <v>http://dx.doi.org/10.5194/bg-13-1129-2016</v>
      </c>
      <c r="AM2554" s="5">
        <v>43</v>
      </c>
      <c r="AN2554" s="5">
        <v>46</v>
      </c>
      <c r="AO2554" s="5">
        <v>13</v>
      </c>
      <c r="AP2554" s="5">
        <v>4</v>
      </c>
      <c r="AQ2554" s="5">
        <v>1129</v>
      </c>
      <c r="AR2554" s="5">
        <v>1144</v>
      </c>
      <c r="AS2554" s="5" t="s">
        <v>16</v>
      </c>
      <c r="AT2554" s="5" t="s">
        <v>16</v>
      </c>
      <c r="AU2554" s="5" t="s">
        <v>15294</v>
      </c>
      <c r="AV2554" s="5" t="s">
        <v>15296</v>
      </c>
    </row>
    <row r="2555" spans="1:48" ht="45" customHeight="1" x14ac:dyDescent="0.15">
      <c r="A2555" s="5" t="s">
        <v>15297</v>
      </c>
      <c r="B2555" s="5">
        <v>2014</v>
      </c>
      <c r="C2555" s="5" t="s">
        <v>15298</v>
      </c>
      <c r="D2555" s="5" t="s">
        <v>312</v>
      </c>
      <c r="E2555" s="5" t="s">
        <v>18453</v>
      </c>
      <c r="F2555" s="5" t="s">
        <v>15301</v>
      </c>
      <c r="G2555" s="5"/>
      <c r="H2555" s="5"/>
      <c r="I2555" s="5"/>
      <c r="J2555" s="5"/>
      <c r="K2555" s="5"/>
      <c r="L2555" s="5"/>
      <c r="M2555" s="5"/>
      <c r="N2555" s="5"/>
      <c r="O2555" s="5"/>
      <c r="P2555" s="5"/>
      <c r="Q2555" s="5"/>
      <c r="AL2555" s="7" t="str">
        <f>HYPERLINK("http://dx.doi.org/10.1016/j.ecolmodel.2014.09.008","http://dx.doi.org/10.1016/j.ecolmodel.2014.09.008")</f>
        <v>http://dx.doi.org/10.1016/j.ecolmodel.2014.09.008</v>
      </c>
      <c r="AM2555" s="5">
        <v>17</v>
      </c>
      <c r="AN2555" s="5">
        <v>18</v>
      </c>
      <c r="AO2555" s="5">
        <v>294</v>
      </c>
      <c r="AP2555" s="5" t="s">
        <v>16</v>
      </c>
      <c r="AQ2555" s="5">
        <v>117</v>
      </c>
      <c r="AR2555" s="5">
        <v>136</v>
      </c>
      <c r="AS2555" s="5" t="s">
        <v>16</v>
      </c>
      <c r="AT2555" s="5" t="s">
        <v>15299</v>
      </c>
      <c r="AU2555" s="5" t="s">
        <v>15300</v>
      </c>
      <c r="AV2555" s="5" t="s">
        <v>15302</v>
      </c>
    </row>
    <row r="2556" spans="1:48" ht="45" customHeight="1" x14ac:dyDescent="0.15">
      <c r="A2556" s="5" t="s">
        <v>15303</v>
      </c>
      <c r="B2556" s="5">
        <v>2018</v>
      </c>
      <c r="C2556" s="5" t="s">
        <v>15304</v>
      </c>
      <c r="D2556" s="5" t="s">
        <v>2087</v>
      </c>
      <c r="E2556" s="5" t="s">
        <v>18453</v>
      </c>
      <c r="F2556" s="5" t="s">
        <v>15307</v>
      </c>
      <c r="G2556" s="5"/>
      <c r="H2556" s="5"/>
      <c r="I2556" s="5"/>
      <c r="J2556" s="5"/>
      <c r="K2556" s="5"/>
      <c r="L2556" s="5"/>
      <c r="M2556" s="5"/>
      <c r="N2556" s="5"/>
      <c r="O2556" s="5"/>
      <c r="P2556" s="5"/>
      <c r="Q2556" s="5"/>
      <c r="AL2556" s="7" t="str">
        <f>HYPERLINK("http://dx.doi.org/10.1002/eco.1929","http://dx.doi.org/10.1002/eco.1929")</f>
        <v>http://dx.doi.org/10.1002/eco.1929</v>
      </c>
      <c r="AM2556" s="5">
        <v>9</v>
      </c>
      <c r="AN2556" s="5">
        <v>9</v>
      </c>
      <c r="AO2556" s="5">
        <v>11</v>
      </c>
      <c r="AP2556" s="5">
        <v>2</v>
      </c>
      <c r="AQ2556" s="5" t="s">
        <v>16</v>
      </c>
      <c r="AR2556" s="5" t="s">
        <v>16</v>
      </c>
      <c r="AS2556" s="5" t="s">
        <v>15308</v>
      </c>
      <c r="AT2556" s="5" t="s">
        <v>15305</v>
      </c>
      <c r="AU2556" s="5" t="s">
        <v>15306</v>
      </c>
      <c r="AV2556" s="5" t="s">
        <v>15309</v>
      </c>
    </row>
    <row r="2557" spans="1:48" ht="45" customHeight="1" x14ac:dyDescent="0.15">
      <c r="A2557" s="5" t="s">
        <v>15310</v>
      </c>
      <c r="B2557" s="5">
        <v>2010</v>
      </c>
      <c r="C2557" s="5" t="s">
        <v>15311</v>
      </c>
      <c r="D2557" s="5" t="s">
        <v>49</v>
      </c>
      <c r="E2557" s="5" t="s">
        <v>18453</v>
      </c>
      <c r="F2557" s="5" t="s">
        <v>15314</v>
      </c>
      <c r="G2557" s="5"/>
      <c r="H2557" s="5"/>
      <c r="I2557" s="5"/>
      <c r="J2557" s="5"/>
      <c r="K2557" s="5"/>
      <c r="L2557" s="5"/>
      <c r="M2557" s="5"/>
      <c r="N2557" s="5"/>
      <c r="O2557" s="5"/>
      <c r="P2557" s="5"/>
      <c r="Q2557" s="5"/>
      <c r="AL2557" s="7" t="str">
        <f>HYPERLINK("http://dx.doi.org/10.3354/meps08647","http://dx.doi.org/10.3354/meps08647")</f>
        <v>http://dx.doi.org/10.3354/meps08647</v>
      </c>
      <c r="AM2557" s="5">
        <v>80</v>
      </c>
      <c r="AN2557" s="5">
        <v>80</v>
      </c>
      <c r="AO2557" s="5">
        <v>411</v>
      </c>
      <c r="AP2557" s="5" t="s">
        <v>16</v>
      </c>
      <c r="AQ2557" s="5">
        <v>49</v>
      </c>
      <c r="AR2557" s="5">
        <v>60</v>
      </c>
      <c r="AS2557" s="5" t="s">
        <v>16</v>
      </c>
      <c r="AT2557" s="5" t="s">
        <v>15312</v>
      </c>
      <c r="AU2557" s="5" t="s">
        <v>15313</v>
      </c>
      <c r="AV2557" s="5" t="s">
        <v>15315</v>
      </c>
    </row>
    <row r="2558" spans="1:48" ht="45" customHeight="1" x14ac:dyDescent="0.15">
      <c r="A2558" s="5" t="s">
        <v>15316</v>
      </c>
      <c r="B2558" s="5">
        <v>2018</v>
      </c>
      <c r="C2558" s="5" t="s">
        <v>15317</v>
      </c>
      <c r="D2558" s="5" t="s">
        <v>33</v>
      </c>
      <c r="E2558" s="5" t="s">
        <v>18453</v>
      </c>
      <c r="F2558" s="5" t="s">
        <v>15320</v>
      </c>
      <c r="G2558" s="5"/>
      <c r="H2558" s="5"/>
      <c r="I2558" s="5"/>
      <c r="J2558" s="5"/>
      <c r="K2558" s="5"/>
      <c r="L2558" s="5"/>
      <c r="M2558" s="5"/>
      <c r="N2558" s="5"/>
      <c r="O2558" s="5"/>
      <c r="P2558" s="5"/>
      <c r="Q2558" s="5"/>
      <c r="AL2558" s="7" t="str">
        <f>HYPERLINK("http://dx.doi.org/10.1111/gcb.14089","http://dx.doi.org/10.1111/gcb.14089")</f>
        <v>http://dx.doi.org/10.1111/gcb.14089</v>
      </c>
      <c r="AM2558" s="5">
        <v>49</v>
      </c>
      <c r="AN2558" s="5">
        <v>49</v>
      </c>
      <c r="AO2558" s="5">
        <v>24</v>
      </c>
      <c r="AP2558" s="5">
        <v>6</v>
      </c>
      <c r="AQ2558" s="5">
        <v>2498</v>
      </c>
      <c r="AR2558" s="5">
        <v>2512</v>
      </c>
      <c r="AS2558" s="5" t="s">
        <v>16</v>
      </c>
      <c r="AT2558" s="5" t="s">
        <v>15318</v>
      </c>
      <c r="AU2558" s="5" t="s">
        <v>15319</v>
      </c>
      <c r="AV2558" s="5" t="s">
        <v>15321</v>
      </c>
    </row>
    <row r="2559" spans="1:48" ht="45" customHeight="1" x14ac:dyDescent="0.15">
      <c r="A2559" s="5" t="s">
        <v>15322</v>
      </c>
      <c r="B2559" s="5">
        <v>2010</v>
      </c>
      <c r="C2559" s="5" t="s">
        <v>15323</v>
      </c>
      <c r="D2559" s="5" t="s">
        <v>262</v>
      </c>
      <c r="E2559" s="5" t="s">
        <v>18453</v>
      </c>
      <c r="F2559" s="5" t="s">
        <v>15325</v>
      </c>
      <c r="G2559" s="5"/>
      <c r="H2559" s="5"/>
      <c r="I2559" s="5"/>
      <c r="J2559" s="5"/>
      <c r="K2559" s="5"/>
      <c r="L2559" s="5"/>
      <c r="M2559" s="5"/>
      <c r="N2559" s="5"/>
      <c r="O2559" s="5"/>
      <c r="P2559" s="5"/>
      <c r="Q2559" s="5"/>
      <c r="AL2559" s="7" t="str">
        <f>HYPERLINK("http://dx.doi.org/10.1111/j.1600-0706.2009.17859.x","http://dx.doi.org/10.1111/j.1600-0706.2009.17859.x")</f>
        <v>http://dx.doi.org/10.1111/j.1600-0706.2009.17859.x</v>
      </c>
      <c r="AM2559" s="5">
        <v>39</v>
      </c>
      <c r="AN2559" s="5">
        <v>42</v>
      </c>
      <c r="AO2559" s="5">
        <v>119</v>
      </c>
      <c r="AP2559" s="5">
        <v>2</v>
      </c>
      <c r="AQ2559" s="5">
        <v>409</v>
      </c>
      <c r="AR2559" s="5">
        <v>416</v>
      </c>
      <c r="AS2559" s="5" t="s">
        <v>16</v>
      </c>
      <c r="AT2559" s="5" t="s">
        <v>16</v>
      </c>
      <c r="AU2559" s="5" t="s">
        <v>15324</v>
      </c>
      <c r="AV2559" s="5" t="s">
        <v>15326</v>
      </c>
    </row>
    <row r="2560" spans="1:48" ht="45" customHeight="1" x14ac:dyDescent="0.15">
      <c r="A2560" s="5" t="s">
        <v>15327</v>
      </c>
      <c r="B2560" s="5">
        <v>2019</v>
      </c>
      <c r="C2560" s="5" t="s">
        <v>15328</v>
      </c>
      <c r="D2560" s="5" t="s">
        <v>49</v>
      </c>
      <c r="E2560" s="5" t="s">
        <v>18453</v>
      </c>
      <c r="F2560" s="5" t="s">
        <v>15331</v>
      </c>
      <c r="G2560" s="5"/>
      <c r="H2560" s="5"/>
      <c r="I2560" s="5"/>
      <c r="J2560" s="5"/>
      <c r="K2560" s="5"/>
      <c r="L2560" s="5"/>
      <c r="M2560" s="5"/>
      <c r="N2560" s="5"/>
      <c r="O2560" s="5"/>
      <c r="P2560" s="5"/>
      <c r="Q2560" s="5"/>
      <c r="AL2560" s="7" t="str">
        <f>HYPERLINK("http://dx.doi.org/10.3354/meps12962","http://dx.doi.org/10.3354/meps12962")</f>
        <v>http://dx.doi.org/10.3354/meps12962</v>
      </c>
      <c r="AM2560" s="5">
        <v>15</v>
      </c>
      <c r="AN2560" s="5">
        <v>15</v>
      </c>
      <c r="AO2560" s="5">
        <v>620</v>
      </c>
      <c r="AP2560" s="5" t="s">
        <v>16</v>
      </c>
      <c r="AQ2560" s="5">
        <v>139</v>
      </c>
      <c r="AR2560" s="5">
        <v>154</v>
      </c>
      <c r="AS2560" s="5" t="s">
        <v>16</v>
      </c>
      <c r="AT2560" s="5" t="s">
        <v>15329</v>
      </c>
      <c r="AU2560" s="5" t="s">
        <v>15330</v>
      </c>
      <c r="AV2560" s="5" t="s">
        <v>15332</v>
      </c>
    </row>
    <row r="2561" spans="1:48" ht="45" customHeight="1" x14ac:dyDescent="0.15">
      <c r="A2561" s="5" t="s">
        <v>2055</v>
      </c>
      <c r="B2561" s="5">
        <v>2021</v>
      </c>
      <c r="C2561" s="5" t="s">
        <v>15333</v>
      </c>
      <c r="D2561" s="5" t="s">
        <v>2057</v>
      </c>
      <c r="E2561" s="5" t="s">
        <v>18453</v>
      </c>
      <c r="F2561" s="5" t="s">
        <v>15336</v>
      </c>
      <c r="G2561" s="5"/>
      <c r="H2561" s="5"/>
      <c r="I2561" s="5"/>
      <c r="J2561" s="5"/>
      <c r="K2561" s="5"/>
      <c r="L2561" s="5"/>
      <c r="M2561" s="5"/>
      <c r="N2561" s="5"/>
      <c r="O2561" s="5"/>
      <c r="P2561" s="5"/>
      <c r="Q2561" s="5"/>
      <c r="AL2561" s="7" t="str">
        <f>HYPERLINK("http://dx.doi.org/10.1139/as-2019-0039","http://dx.doi.org/10.1139/as-2019-0039")</f>
        <v>http://dx.doi.org/10.1139/as-2019-0039</v>
      </c>
      <c r="AM2561" s="5">
        <v>6</v>
      </c>
      <c r="AN2561" s="5">
        <v>6</v>
      </c>
      <c r="AO2561" s="5">
        <v>7</v>
      </c>
      <c r="AP2561" s="5">
        <v>2</v>
      </c>
      <c r="AQ2561" s="5">
        <v>512</v>
      </c>
      <c r="AR2561" s="5">
        <v>544</v>
      </c>
      <c r="AS2561" s="5" t="s">
        <v>16</v>
      </c>
      <c r="AT2561" s="5" t="s">
        <v>15334</v>
      </c>
      <c r="AU2561" s="5" t="s">
        <v>15335</v>
      </c>
      <c r="AV2561" s="5" t="s">
        <v>15337</v>
      </c>
    </row>
    <row r="2562" spans="1:48" ht="45" customHeight="1" x14ac:dyDescent="0.15">
      <c r="A2562" s="5" t="s">
        <v>15338</v>
      </c>
      <c r="B2562" s="5">
        <v>2017</v>
      </c>
      <c r="C2562" s="5" t="s">
        <v>15339</v>
      </c>
      <c r="D2562" s="5" t="s">
        <v>2761</v>
      </c>
      <c r="E2562" s="5" t="s">
        <v>18453</v>
      </c>
      <c r="F2562" s="5" t="s">
        <v>15342</v>
      </c>
      <c r="G2562" s="5"/>
      <c r="H2562" s="5"/>
      <c r="I2562" s="5"/>
      <c r="J2562" s="5"/>
      <c r="K2562" s="5"/>
      <c r="L2562" s="5"/>
      <c r="M2562" s="5"/>
      <c r="N2562" s="5"/>
      <c r="O2562" s="5"/>
      <c r="P2562" s="5"/>
      <c r="Q2562" s="5"/>
      <c r="AL2562" s="7" t="str">
        <f>HYPERLINK("http://dx.doi.org/10.1186/s12898-017-0142-z","http://dx.doi.org/10.1186/s12898-017-0142-z")</f>
        <v>http://dx.doi.org/10.1186/s12898-017-0142-z</v>
      </c>
      <c r="AM2562" s="5">
        <v>17</v>
      </c>
      <c r="AN2562" s="5">
        <v>17</v>
      </c>
      <c r="AO2562" s="5">
        <v>17</v>
      </c>
      <c r="AP2562" s="5" t="s">
        <v>16</v>
      </c>
      <c r="AQ2562" s="5" t="s">
        <v>16</v>
      </c>
      <c r="AR2562" s="5" t="s">
        <v>16</v>
      </c>
      <c r="AS2562" s="5">
        <v>32</v>
      </c>
      <c r="AT2562" s="5" t="s">
        <v>15340</v>
      </c>
      <c r="AU2562" s="5" t="s">
        <v>15341</v>
      </c>
      <c r="AV2562" s="5" t="s">
        <v>15343</v>
      </c>
    </row>
    <row r="2563" spans="1:48" ht="45" customHeight="1" x14ac:dyDescent="0.15">
      <c r="A2563" s="5" t="s">
        <v>15344</v>
      </c>
      <c r="B2563" s="5">
        <v>2023</v>
      </c>
      <c r="C2563" s="5" t="s">
        <v>15345</v>
      </c>
      <c r="D2563" s="5" t="s">
        <v>973</v>
      </c>
      <c r="E2563" s="5" t="s">
        <v>18453</v>
      </c>
      <c r="F2563" s="5" t="s">
        <v>15347</v>
      </c>
      <c r="G2563" s="5"/>
      <c r="H2563" s="5"/>
      <c r="I2563" s="5"/>
      <c r="J2563" s="5"/>
      <c r="K2563" s="5"/>
      <c r="L2563" s="5"/>
      <c r="M2563" s="5"/>
      <c r="N2563" s="5"/>
      <c r="O2563" s="5"/>
      <c r="P2563" s="5"/>
      <c r="Q2563" s="5"/>
      <c r="AL2563" s="7" t="str">
        <f>HYPERLINK("http://dx.doi.org/10.5194/bg-20-753-2023","http://dx.doi.org/10.5194/bg-20-753-2023")</f>
        <v>http://dx.doi.org/10.5194/bg-20-753-2023</v>
      </c>
      <c r="AM2563" s="5">
        <v>0</v>
      </c>
      <c r="AN2563" s="5">
        <v>0</v>
      </c>
      <c r="AO2563" s="5">
        <v>20</v>
      </c>
      <c r="AP2563" s="5">
        <v>3</v>
      </c>
      <c r="AQ2563" s="5">
        <v>753</v>
      </c>
      <c r="AR2563" s="5">
        <v>766</v>
      </c>
      <c r="AS2563" s="5" t="s">
        <v>16</v>
      </c>
      <c r="AT2563" s="5" t="s">
        <v>16</v>
      </c>
      <c r="AU2563" s="5" t="s">
        <v>15346</v>
      </c>
      <c r="AV2563" s="5" t="s">
        <v>15348</v>
      </c>
    </row>
    <row r="2564" spans="1:48" ht="45" customHeight="1" x14ac:dyDescent="0.15">
      <c r="A2564" s="5" t="s">
        <v>15349</v>
      </c>
      <c r="B2564" s="5">
        <v>2021</v>
      </c>
      <c r="C2564" s="5" t="s">
        <v>15350</v>
      </c>
      <c r="D2564" s="5" t="s">
        <v>15</v>
      </c>
      <c r="E2564" s="5" t="s">
        <v>18453</v>
      </c>
      <c r="F2564" s="5" t="s">
        <v>15353</v>
      </c>
      <c r="G2564" s="5"/>
      <c r="H2564" s="5"/>
      <c r="I2564" s="5"/>
      <c r="J2564" s="5"/>
      <c r="K2564" s="5"/>
      <c r="L2564" s="5"/>
      <c r="M2564" s="5"/>
      <c r="N2564" s="5"/>
      <c r="O2564" s="5"/>
      <c r="P2564" s="5"/>
      <c r="Q2564" s="5"/>
      <c r="AL2564" s="7" t="str">
        <f>HYPERLINK("http://dx.doi.org/10.1002/ece3.7298","http://dx.doi.org/10.1002/ece3.7298")</f>
        <v>http://dx.doi.org/10.1002/ece3.7298</v>
      </c>
      <c r="AM2564" s="5">
        <v>2</v>
      </c>
      <c r="AN2564" s="5">
        <v>3</v>
      </c>
      <c r="AO2564" s="5">
        <v>11</v>
      </c>
      <c r="AP2564" s="5">
        <v>9</v>
      </c>
      <c r="AQ2564" s="5">
        <v>4035</v>
      </c>
      <c r="AR2564" s="5">
        <v>4045</v>
      </c>
      <c r="AS2564" s="5" t="s">
        <v>16</v>
      </c>
      <c r="AT2564" s="5" t="s">
        <v>15351</v>
      </c>
      <c r="AU2564" s="5" t="s">
        <v>15352</v>
      </c>
      <c r="AV2564" s="5" t="s">
        <v>15354</v>
      </c>
    </row>
    <row r="2565" spans="1:48" ht="45" customHeight="1" x14ac:dyDescent="0.15">
      <c r="A2565" s="5" t="s">
        <v>15355</v>
      </c>
      <c r="B2565" s="5">
        <v>2015</v>
      </c>
      <c r="C2565" s="5" t="s">
        <v>15356</v>
      </c>
      <c r="D2565" s="5" t="s">
        <v>6075</v>
      </c>
      <c r="E2565" s="5" t="s">
        <v>18453</v>
      </c>
      <c r="F2565" s="5" t="s">
        <v>15359</v>
      </c>
      <c r="G2565" s="5"/>
      <c r="H2565" s="5"/>
      <c r="I2565" s="5"/>
      <c r="J2565" s="5"/>
      <c r="K2565" s="5"/>
      <c r="L2565" s="5"/>
      <c r="M2565" s="5"/>
      <c r="N2565" s="5"/>
      <c r="O2565" s="5"/>
      <c r="P2565" s="5"/>
      <c r="Q2565" s="5"/>
      <c r="AL2565" s="7" t="str">
        <f>HYPERLINK("http://dx.doi.org/10.1111/jeb.12585","http://dx.doi.org/10.1111/jeb.12585")</f>
        <v>http://dx.doi.org/10.1111/jeb.12585</v>
      </c>
      <c r="AM2565" s="5">
        <v>23</v>
      </c>
      <c r="AN2565" s="5">
        <v>22</v>
      </c>
      <c r="AO2565" s="5">
        <v>28</v>
      </c>
      <c r="AP2565" s="5">
        <v>3</v>
      </c>
      <c r="AQ2565" s="5">
        <v>535</v>
      </c>
      <c r="AR2565" s="5">
        <v>546</v>
      </c>
      <c r="AS2565" s="5" t="s">
        <v>16</v>
      </c>
      <c r="AT2565" s="5" t="s">
        <v>15357</v>
      </c>
      <c r="AU2565" s="5" t="s">
        <v>15358</v>
      </c>
      <c r="AV2565" s="5" t="s">
        <v>15360</v>
      </c>
    </row>
    <row r="2566" spans="1:48" ht="45" customHeight="1" x14ac:dyDescent="0.15">
      <c r="A2566" s="5" t="s">
        <v>15361</v>
      </c>
      <c r="B2566" s="5">
        <v>2018</v>
      </c>
      <c r="C2566" s="5" t="s">
        <v>15362</v>
      </c>
      <c r="D2566" s="5" t="s">
        <v>18</v>
      </c>
      <c r="E2566" s="5" t="s">
        <v>18453</v>
      </c>
      <c r="F2566" s="5" t="s">
        <v>15365</v>
      </c>
      <c r="G2566" s="5"/>
      <c r="H2566" s="5"/>
      <c r="I2566" s="5"/>
      <c r="J2566" s="5"/>
      <c r="K2566" s="5"/>
      <c r="L2566" s="5"/>
      <c r="M2566" s="5"/>
      <c r="N2566" s="5"/>
      <c r="O2566" s="5"/>
      <c r="P2566" s="5"/>
      <c r="Q2566" s="5"/>
      <c r="AL2566" s="7" t="str">
        <f>HYPERLINK("http://dx.doi.org/10.1002/ecs2.2200","http://dx.doi.org/10.1002/ecs2.2200")</f>
        <v>http://dx.doi.org/10.1002/ecs2.2200</v>
      </c>
      <c r="AM2566" s="5">
        <v>22</v>
      </c>
      <c r="AN2566" s="5">
        <v>22</v>
      </c>
      <c r="AO2566" s="5">
        <v>9</v>
      </c>
      <c r="AP2566" s="5">
        <v>4</v>
      </c>
      <c r="AQ2566" s="5" t="s">
        <v>16</v>
      </c>
      <c r="AR2566" s="5" t="s">
        <v>16</v>
      </c>
      <c r="AS2566" s="5" t="s">
        <v>15366</v>
      </c>
      <c r="AT2566" s="5" t="s">
        <v>15363</v>
      </c>
      <c r="AU2566" s="5" t="s">
        <v>15364</v>
      </c>
      <c r="AV2566" s="5" t="s">
        <v>15367</v>
      </c>
    </row>
    <row r="2567" spans="1:48" ht="45" customHeight="1" x14ac:dyDescent="0.15">
      <c r="A2567" s="5" t="s">
        <v>15368</v>
      </c>
      <c r="B2567" s="5">
        <v>2020</v>
      </c>
      <c r="C2567" s="5" t="s">
        <v>15369</v>
      </c>
      <c r="D2567" s="5" t="s">
        <v>973</v>
      </c>
      <c r="E2567" s="5" t="s">
        <v>18453</v>
      </c>
      <c r="F2567" s="5" t="s">
        <v>15371</v>
      </c>
      <c r="G2567" s="5"/>
      <c r="H2567" s="5"/>
      <c r="I2567" s="5"/>
      <c r="J2567" s="5"/>
      <c r="K2567" s="5"/>
      <c r="L2567" s="5"/>
      <c r="M2567" s="5"/>
      <c r="N2567" s="5"/>
      <c r="O2567" s="5"/>
      <c r="P2567" s="5"/>
      <c r="Q2567" s="5"/>
      <c r="AL2567" s="7" t="str">
        <f>HYPERLINK("http://dx.doi.org/10.5194/bg-17-4853-2020","http://dx.doi.org/10.5194/bg-17-4853-2020")</f>
        <v>http://dx.doi.org/10.5194/bg-17-4853-2020</v>
      </c>
      <c r="AM2567" s="5">
        <v>27</v>
      </c>
      <c r="AN2567" s="5">
        <v>27</v>
      </c>
      <c r="AO2567" s="5">
        <v>17</v>
      </c>
      <c r="AP2567" s="5">
        <v>19</v>
      </c>
      <c r="AQ2567" s="5">
        <v>4853</v>
      </c>
      <c r="AR2567" s="5">
        <v>4870</v>
      </c>
      <c r="AS2567" s="5" t="s">
        <v>16</v>
      </c>
      <c r="AT2567" s="5" t="s">
        <v>16</v>
      </c>
      <c r="AU2567" s="5" t="s">
        <v>15370</v>
      </c>
      <c r="AV2567" s="5" t="s">
        <v>15372</v>
      </c>
    </row>
    <row r="2568" spans="1:48" ht="45" customHeight="1" x14ac:dyDescent="0.15">
      <c r="A2568" s="5" t="s">
        <v>15373</v>
      </c>
      <c r="B2568" s="5">
        <v>2016</v>
      </c>
      <c r="C2568" s="5" t="s">
        <v>15374</v>
      </c>
      <c r="D2568" s="5" t="s">
        <v>295</v>
      </c>
      <c r="E2568" s="5" t="s">
        <v>18453</v>
      </c>
      <c r="F2568" s="5" t="s">
        <v>15377</v>
      </c>
      <c r="G2568" s="5"/>
      <c r="H2568" s="5"/>
      <c r="I2568" s="5"/>
      <c r="J2568" s="5"/>
      <c r="K2568" s="5"/>
      <c r="L2568" s="5"/>
      <c r="M2568" s="5"/>
      <c r="N2568" s="5"/>
      <c r="O2568" s="5"/>
      <c r="P2568" s="5"/>
      <c r="Q2568" s="5"/>
      <c r="AL2568" s="7" t="str">
        <f>HYPERLINK("http://dx.doi.org/10.1016/j.jembe.2016.01.010","http://dx.doi.org/10.1016/j.jembe.2016.01.010")</f>
        <v>http://dx.doi.org/10.1016/j.jembe.2016.01.010</v>
      </c>
      <c r="AM2568" s="5">
        <v>27</v>
      </c>
      <c r="AN2568" s="5">
        <v>27</v>
      </c>
      <c r="AO2568" s="5">
        <v>477</v>
      </c>
      <c r="AP2568" s="5" t="s">
        <v>16</v>
      </c>
      <c r="AQ2568" s="5">
        <v>92</v>
      </c>
      <c r="AR2568" s="5">
        <v>102</v>
      </c>
      <c r="AS2568" s="5" t="s">
        <v>16</v>
      </c>
      <c r="AT2568" s="5" t="s">
        <v>15375</v>
      </c>
      <c r="AU2568" s="5" t="s">
        <v>15376</v>
      </c>
      <c r="AV2568" s="5" t="s">
        <v>15378</v>
      </c>
    </row>
    <row r="2569" spans="1:48" ht="45" customHeight="1" x14ac:dyDescent="0.15">
      <c r="A2569" s="5" t="s">
        <v>15379</v>
      </c>
      <c r="B2569" s="5">
        <v>2009</v>
      </c>
      <c r="C2569" s="5" t="s">
        <v>15380</v>
      </c>
      <c r="D2569" s="5" t="s">
        <v>49</v>
      </c>
      <c r="E2569" s="5" t="s">
        <v>18453</v>
      </c>
      <c r="F2569" s="5" t="s">
        <v>15383</v>
      </c>
      <c r="G2569" s="5"/>
      <c r="H2569" s="5"/>
      <c r="I2569" s="5"/>
      <c r="J2569" s="5"/>
      <c r="K2569" s="5"/>
      <c r="L2569" s="5"/>
      <c r="M2569" s="5"/>
      <c r="N2569" s="5"/>
      <c r="O2569" s="5"/>
      <c r="P2569" s="5"/>
      <c r="Q2569" s="5"/>
      <c r="AL2569" s="7" t="str">
        <f>HYPERLINK("http://dx.doi.org/10.3354/meps07957","http://dx.doi.org/10.3354/meps07957")</f>
        <v>http://dx.doi.org/10.3354/meps07957</v>
      </c>
      <c r="AM2569" s="5">
        <v>66</v>
      </c>
      <c r="AN2569" s="5">
        <v>66</v>
      </c>
      <c r="AO2569" s="5">
        <v>381</v>
      </c>
      <c r="AP2569" s="5" t="s">
        <v>16</v>
      </c>
      <c r="AQ2569" s="5">
        <v>259</v>
      </c>
      <c r="AR2569" s="5">
        <v>272</v>
      </c>
      <c r="AS2569" s="5" t="s">
        <v>16</v>
      </c>
      <c r="AT2569" s="5" t="s">
        <v>15381</v>
      </c>
      <c r="AU2569" s="5" t="s">
        <v>15382</v>
      </c>
      <c r="AV2569" s="5" t="s">
        <v>15384</v>
      </c>
    </row>
    <row r="2570" spans="1:48" ht="45" customHeight="1" x14ac:dyDescent="0.15">
      <c r="A2570" s="5" t="s">
        <v>15385</v>
      </c>
      <c r="B2570" s="5">
        <v>2021</v>
      </c>
      <c r="C2570" s="5" t="s">
        <v>15386</v>
      </c>
      <c r="D2570" s="5" t="s">
        <v>15</v>
      </c>
      <c r="E2570" s="5" t="s">
        <v>18453</v>
      </c>
      <c r="F2570" s="5" t="s">
        <v>15389</v>
      </c>
      <c r="G2570" s="5"/>
      <c r="H2570" s="5"/>
      <c r="I2570" s="5"/>
      <c r="J2570" s="5"/>
      <c r="K2570" s="5"/>
      <c r="L2570" s="5"/>
      <c r="M2570" s="5"/>
      <c r="N2570" s="5"/>
      <c r="O2570" s="5"/>
      <c r="P2570" s="5"/>
      <c r="Q2570" s="5"/>
      <c r="AL2570" s="7" t="str">
        <f>HYPERLINK("http://dx.doi.org/10.1002/ece3.8209","http://dx.doi.org/10.1002/ece3.8209")</f>
        <v>http://dx.doi.org/10.1002/ece3.8209</v>
      </c>
      <c r="AM2570" s="5">
        <v>2</v>
      </c>
      <c r="AN2570" s="5">
        <v>2</v>
      </c>
      <c r="AO2570" s="5">
        <v>11</v>
      </c>
      <c r="AP2570" s="5">
        <v>21</v>
      </c>
      <c r="AQ2570" s="5">
        <v>15261</v>
      </c>
      <c r="AR2570" s="5">
        <v>15272</v>
      </c>
      <c r="AS2570" s="5" t="s">
        <v>16</v>
      </c>
      <c r="AT2570" s="5" t="s">
        <v>15387</v>
      </c>
      <c r="AU2570" s="5" t="s">
        <v>15388</v>
      </c>
      <c r="AV2570" s="5" t="s">
        <v>15390</v>
      </c>
    </row>
    <row r="2571" spans="1:48" ht="45" customHeight="1" x14ac:dyDescent="0.15">
      <c r="A2571" s="5" t="s">
        <v>15391</v>
      </c>
      <c r="B2571" s="5">
        <v>2014</v>
      </c>
      <c r="C2571" s="5" t="s">
        <v>15392</v>
      </c>
      <c r="D2571" s="5" t="s">
        <v>1765</v>
      </c>
      <c r="E2571" s="5" t="s">
        <v>18453</v>
      </c>
      <c r="F2571" s="5" t="s">
        <v>15395</v>
      </c>
      <c r="G2571" s="5"/>
      <c r="H2571" s="5"/>
      <c r="I2571" s="5"/>
      <c r="J2571" s="5"/>
      <c r="K2571" s="5"/>
      <c r="L2571" s="5"/>
      <c r="M2571" s="5"/>
      <c r="N2571" s="5"/>
      <c r="O2571" s="5"/>
      <c r="P2571" s="5"/>
      <c r="Q2571" s="5"/>
      <c r="AL2571" s="7" t="str">
        <f>HYPERLINK("http://dx.doi.org/10.1016/j.agee.2014.04.023","http://dx.doi.org/10.1016/j.agee.2014.04.023")</f>
        <v>http://dx.doi.org/10.1016/j.agee.2014.04.023</v>
      </c>
      <c r="AM2571" s="5">
        <v>47</v>
      </c>
      <c r="AN2571" s="5">
        <v>50</v>
      </c>
      <c r="AO2571" s="5">
        <v>193</v>
      </c>
      <c r="AP2571" s="5" t="s">
        <v>16</v>
      </c>
      <c r="AQ2571" s="5">
        <v>70</v>
      </c>
      <c r="AR2571" s="5">
        <v>82</v>
      </c>
      <c r="AS2571" s="5" t="s">
        <v>16</v>
      </c>
      <c r="AT2571" s="5" t="s">
        <v>15393</v>
      </c>
      <c r="AU2571" s="5" t="s">
        <v>15394</v>
      </c>
      <c r="AV2571" s="5" t="s">
        <v>15396</v>
      </c>
    </row>
    <row r="2572" spans="1:48" ht="45" customHeight="1" x14ac:dyDescent="0.15">
      <c r="A2572" s="5" t="s">
        <v>15397</v>
      </c>
      <c r="B2572" s="5">
        <v>2019</v>
      </c>
      <c r="C2572" s="5" t="s">
        <v>15398</v>
      </c>
      <c r="D2572" s="5" t="s">
        <v>10298</v>
      </c>
      <c r="E2572" s="5" t="s">
        <v>18453</v>
      </c>
      <c r="F2572" s="5" t="s">
        <v>15401</v>
      </c>
      <c r="G2572" s="5"/>
      <c r="H2572" s="5"/>
      <c r="I2572" s="5"/>
      <c r="J2572" s="5"/>
      <c r="K2572" s="5"/>
      <c r="L2572" s="5"/>
      <c r="M2572" s="5"/>
      <c r="N2572" s="5"/>
      <c r="O2572" s="5"/>
      <c r="P2572" s="5"/>
      <c r="Q2572" s="5"/>
      <c r="AL2572" s="7" t="str">
        <f>HYPERLINK("http://dx.doi.org/10.1002/1438-390X.1003","http://dx.doi.org/10.1002/1438-390X.1003")</f>
        <v>http://dx.doi.org/10.1002/1438-390X.1003</v>
      </c>
      <c r="AM2572" s="5">
        <v>5</v>
      </c>
      <c r="AN2572" s="5">
        <v>5</v>
      </c>
      <c r="AO2572" s="5">
        <v>61</v>
      </c>
      <c r="AP2572" s="5">
        <v>1</v>
      </c>
      <c r="AQ2572" s="5">
        <v>14</v>
      </c>
      <c r="AR2572" s="5">
        <v>24</v>
      </c>
      <c r="AS2572" s="5" t="s">
        <v>16</v>
      </c>
      <c r="AT2572" s="5" t="s">
        <v>15399</v>
      </c>
      <c r="AU2572" s="5" t="s">
        <v>15400</v>
      </c>
      <c r="AV2572" s="5" t="s">
        <v>15402</v>
      </c>
    </row>
    <row r="2573" spans="1:48" ht="45" customHeight="1" x14ac:dyDescent="0.15">
      <c r="A2573" s="5" t="s">
        <v>15403</v>
      </c>
      <c r="B2573" s="5">
        <v>2005</v>
      </c>
      <c r="C2573" s="5" t="s">
        <v>15404</v>
      </c>
      <c r="D2573" s="5" t="s">
        <v>49</v>
      </c>
      <c r="E2573" s="5" t="s">
        <v>18453</v>
      </c>
      <c r="F2573" s="5" t="s">
        <v>15407</v>
      </c>
      <c r="G2573" s="5"/>
      <c r="H2573" s="5"/>
      <c r="I2573" s="5"/>
      <c r="J2573" s="5"/>
      <c r="K2573" s="5"/>
      <c r="L2573" s="5"/>
      <c r="M2573" s="5"/>
      <c r="N2573" s="5"/>
      <c r="O2573" s="5"/>
      <c r="P2573" s="5"/>
      <c r="Q2573" s="5"/>
      <c r="AL2573" s="7" t="str">
        <f>HYPERLINK("http://dx.doi.org/10.3354/meps302263","http://dx.doi.org/10.3354/meps302263")</f>
        <v>http://dx.doi.org/10.3354/meps302263</v>
      </c>
      <c r="AM2573" s="5">
        <v>42</v>
      </c>
      <c r="AN2573" s="5">
        <v>47</v>
      </c>
      <c r="AO2573" s="5">
        <v>302</v>
      </c>
      <c r="AP2573" s="5" t="s">
        <v>16</v>
      </c>
      <c r="AQ2573" s="5">
        <v>263</v>
      </c>
      <c r="AR2573" s="5">
        <v>274</v>
      </c>
      <c r="AS2573" s="5" t="s">
        <v>16</v>
      </c>
      <c r="AT2573" s="5" t="s">
        <v>15405</v>
      </c>
      <c r="AU2573" s="5" t="s">
        <v>15406</v>
      </c>
      <c r="AV2573" s="5" t="s">
        <v>15408</v>
      </c>
    </row>
    <row r="2574" spans="1:48" ht="45" customHeight="1" x14ac:dyDescent="0.15">
      <c r="A2574" s="5" t="s">
        <v>15409</v>
      </c>
      <c r="B2574" s="5">
        <v>1994</v>
      </c>
      <c r="C2574" s="5" t="s">
        <v>15410</v>
      </c>
      <c r="D2574" s="5" t="s">
        <v>82</v>
      </c>
      <c r="E2574" s="5" t="s">
        <v>18453</v>
      </c>
      <c r="F2574" s="5" t="s">
        <v>15413</v>
      </c>
      <c r="G2574" s="5"/>
      <c r="H2574" s="5"/>
      <c r="I2574" s="5"/>
      <c r="J2574" s="5"/>
      <c r="K2574" s="5"/>
      <c r="L2574" s="5"/>
      <c r="M2574" s="5"/>
      <c r="N2574" s="5"/>
      <c r="O2574" s="5"/>
      <c r="P2574" s="5"/>
      <c r="Q2574" s="5"/>
      <c r="AL2574" s="7" t="str">
        <f>HYPERLINK("http://dx.doi.org/10.2307/1942124","http://dx.doi.org/10.2307/1942124")</f>
        <v>http://dx.doi.org/10.2307/1942124</v>
      </c>
      <c r="AM2574" s="5">
        <v>91</v>
      </c>
      <c r="AN2574" s="5">
        <v>96</v>
      </c>
      <c r="AO2574" s="5">
        <v>4</v>
      </c>
      <c r="AP2574" s="5">
        <v>1</v>
      </c>
      <c r="AQ2574" s="5">
        <v>144</v>
      </c>
      <c r="AR2574" s="5">
        <v>156</v>
      </c>
      <c r="AS2574" s="5" t="s">
        <v>16</v>
      </c>
      <c r="AT2574" s="5" t="s">
        <v>15411</v>
      </c>
      <c r="AU2574" s="5" t="s">
        <v>15412</v>
      </c>
      <c r="AV2574" s="5" t="s">
        <v>15414</v>
      </c>
    </row>
    <row r="2575" spans="1:48" ht="45" customHeight="1" x14ac:dyDescent="0.15">
      <c r="A2575" s="5" t="s">
        <v>15415</v>
      </c>
      <c r="B2575" s="5">
        <v>2021</v>
      </c>
      <c r="C2575" s="5" t="s">
        <v>15416</v>
      </c>
      <c r="D2575" s="5" t="s">
        <v>17</v>
      </c>
      <c r="E2575" s="5" t="s">
        <v>18453</v>
      </c>
      <c r="F2575" s="5" t="s">
        <v>15419</v>
      </c>
      <c r="G2575" s="5"/>
      <c r="H2575" s="5"/>
      <c r="I2575" s="5"/>
      <c r="J2575" s="5"/>
      <c r="K2575" s="5"/>
      <c r="L2575" s="5"/>
      <c r="M2575" s="5"/>
      <c r="N2575" s="5"/>
      <c r="O2575" s="5"/>
      <c r="P2575" s="5"/>
      <c r="Q2575" s="5"/>
      <c r="AL2575" s="7" t="str">
        <f>HYPERLINK("http://dx.doi.org/10.1111/fwb.13703","http://dx.doi.org/10.1111/fwb.13703")</f>
        <v>http://dx.doi.org/10.1111/fwb.13703</v>
      </c>
      <c r="AM2575" s="5">
        <v>4</v>
      </c>
      <c r="AN2575" s="5">
        <v>4</v>
      </c>
      <c r="AO2575" s="5">
        <v>66</v>
      </c>
      <c r="AP2575" s="5">
        <v>6</v>
      </c>
      <c r="AQ2575" s="5">
        <v>1110</v>
      </c>
      <c r="AR2575" s="5">
        <v>1122</v>
      </c>
      <c r="AS2575" s="5" t="s">
        <v>16</v>
      </c>
      <c r="AT2575" s="5" t="s">
        <v>15417</v>
      </c>
      <c r="AU2575" s="5" t="s">
        <v>15418</v>
      </c>
      <c r="AV2575" s="5" t="s">
        <v>15420</v>
      </c>
    </row>
    <row r="2576" spans="1:48" ht="45" customHeight="1" x14ac:dyDescent="0.15">
      <c r="A2576" s="5" t="s">
        <v>15421</v>
      </c>
      <c r="B2576" s="5">
        <v>2013</v>
      </c>
      <c r="C2576" s="5" t="s">
        <v>15422</v>
      </c>
      <c r="D2576" s="5" t="s">
        <v>124</v>
      </c>
      <c r="E2576" s="5" t="s">
        <v>18453</v>
      </c>
      <c r="F2576" s="5" t="s">
        <v>15425</v>
      </c>
      <c r="G2576" s="5"/>
      <c r="H2576" s="5"/>
      <c r="I2576" s="5"/>
      <c r="J2576" s="5"/>
      <c r="K2576" s="5"/>
      <c r="L2576" s="5"/>
      <c r="M2576" s="5"/>
      <c r="N2576" s="5"/>
      <c r="O2576" s="5"/>
      <c r="P2576" s="5"/>
      <c r="Q2576" s="5"/>
      <c r="AL2576" s="7" t="str">
        <f>HYPERLINK("http://dx.doi.org/10.1086/670614","http://dx.doi.org/10.1086/670614")</f>
        <v>http://dx.doi.org/10.1086/670614</v>
      </c>
      <c r="AM2576" s="5">
        <v>31</v>
      </c>
      <c r="AN2576" s="5">
        <v>31</v>
      </c>
      <c r="AO2576" s="5">
        <v>182</v>
      </c>
      <c r="AP2576" s="5">
        <v>1</v>
      </c>
      <c r="AQ2576" s="5">
        <v>53</v>
      </c>
      <c r="AR2576" s="5">
        <v>66</v>
      </c>
      <c r="AS2576" s="5" t="s">
        <v>16</v>
      </c>
      <c r="AT2576" s="5" t="s">
        <v>15423</v>
      </c>
      <c r="AU2576" s="5" t="s">
        <v>15424</v>
      </c>
      <c r="AV2576" s="5" t="s">
        <v>15426</v>
      </c>
    </row>
    <row r="2577" spans="1:48" ht="45" customHeight="1" x14ac:dyDescent="0.15">
      <c r="A2577" s="5" t="s">
        <v>15427</v>
      </c>
      <c r="B2577" s="5">
        <v>2010</v>
      </c>
      <c r="C2577" s="5" t="s">
        <v>15428</v>
      </c>
      <c r="D2577" s="5" t="s">
        <v>1445</v>
      </c>
      <c r="E2577" s="5" t="s">
        <v>18453</v>
      </c>
      <c r="F2577" s="5" t="s">
        <v>15430</v>
      </c>
      <c r="G2577" s="5"/>
      <c r="H2577" s="5"/>
      <c r="I2577" s="5"/>
      <c r="J2577" s="5"/>
      <c r="K2577" s="5"/>
      <c r="L2577" s="5"/>
      <c r="M2577" s="5"/>
      <c r="N2577" s="5"/>
      <c r="O2577" s="5"/>
      <c r="P2577" s="5"/>
      <c r="Q2577" s="5"/>
      <c r="AL2577" s="7" t="str">
        <f>HYPERLINK("http://dx.doi.org/10.1080/02705060.2010.9664388","http://dx.doi.org/10.1080/02705060.2010.9664388")</f>
        <v>http://dx.doi.org/10.1080/02705060.2010.9664388</v>
      </c>
      <c r="AM2577" s="5">
        <v>4</v>
      </c>
      <c r="AN2577" s="5">
        <v>4</v>
      </c>
      <c r="AO2577" s="5">
        <v>25</v>
      </c>
      <c r="AP2577" s="5">
        <v>3</v>
      </c>
      <c r="AQ2577" s="5">
        <v>449</v>
      </c>
      <c r="AR2577" s="5">
        <v>455</v>
      </c>
      <c r="AS2577" s="5" t="s">
        <v>16</v>
      </c>
      <c r="AT2577" s="5" t="s">
        <v>16</v>
      </c>
      <c r="AU2577" s="5" t="s">
        <v>15429</v>
      </c>
      <c r="AV2577" s="5" t="s">
        <v>15431</v>
      </c>
    </row>
    <row r="2578" spans="1:48" ht="45" customHeight="1" x14ac:dyDescent="0.15">
      <c r="A2578" s="5" t="s">
        <v>15432</v>
      </c>
      <c r="B2578" s="5">
        <v>2011</v>
      </c>
      <c r="C2578" s="5" t="s">
        <v>15433</v>
      </c>
      <c r="D2578" s="5" t="s">
        <v>49</v>
      </c>
      <c r="E2578" s="5" t="s">
        <v>18453</v>
      </c>
      <c r="F2578" s="5" t="s">
        <v>15436</v>
      </c>
      <c r="G2578" s="5"/>
      <c r="H2578" s="5"/>
      <c r="I2578" s="5"/>
      <c r="J2578" s="5"/>
      <c r="K2578" s="5"/>
      <c r="L2578" s="5"/>
      <c r="M2578" s="5"/>
      <c r="N2578" s="5"/>
      <c r="O2578" s="5"/>
      <c r="P2578" s="5"/>
      <c r="Q2578" s="5"/>
      <c r="AL2578" s="7" t="str">
        <f>HYPERLINK("http://dx.doi.org/10.3354/meps09420","http://dx.doi.org/10.3354/meps09420")</f>
        <v>http://dx.doi.org/10.3354/meps09420</v>
      </c>
      <c r="AM2578" s="5">
        <v>19</v>
      </c>
      <c r="AN2578" s="5">
        <v>19</v>
      </c>
      <c r="AO2578" s="5">
        <v>442</v>
      </c>
      <c r="AP2578" s="5" t="s">
        <v>16</v>
      </c>
      <c r="AQ2578" s="5">
        <v>229</v>
      </c>
      <c r="AR2578" s="5">
        <v>239</v>
      </c>
      <c r="AS2578" s="5" t="s">
        <v>16</v>
      </c>
      <c r="AT2578" s="5" t="s">
        <v>15434</v>
      </c>
      <c r="AU2578" s="5" t="s">
        <v>15435</v>
      </c>
      <c r="AV2578" s="5" t="s">
        <v>15437</v>
      </c>
    </row>
    <row r="2579" spans="1:48" ht="45" customHeight="1" x14ac:dyDescent="0.15">
      <c r="A2579" s="5" t="s">
        <v>15438</v>
      </c>
      <c r="B2579" s="5">
        <v>2018</v>
      </c>
      <c r="C2579" s="5" t="s">
        <v>15439</v>
      </c>
      <c r="D2579" s="5" t="s">
        <v>49</v>
      </c>
      <c r="E2579" s="5" t="s">
        <v>18453</v>
      </c>
      <c r="F2579" s="5" t="s">
        <v>15442</v>
      </c>
      <c r="G2579" s="5"/>
      <c r="H2579" s="5"/>
      <c r="I2579" s="5"/>
      <c r="J2579" s="5"/>
      <c r="K2579" s="5"/>
      <c r="L2579" s="5"/>
      <c r="M2579" s="5"/>
      <c r="N2579" s="5"/>
      <c r="O2579" s="5"/>
      <c r="P2579" s="5"/>
      <c r="Q2579" s="5"/>
      <c r="AL2579" s="7" t="str">
        <f>HYPERLINK("http://dx.doi.org/10.3354/meps12524","http://dx.doi.org/10.3354/meps12524")</f>
        <v>http://dx.doi.org/10.3354/meps12524</v>
      </c>
      <c r="AM2579" s="5">
        <v>27</v>
      </c>
      <c r="AN2579" s="5">
        <v>27</v>
      </c>
      <c r="AO2579" s="5">
        <v>593</v>
      </c>
      <c r="AP2579" s="5" t="s">
        <v>16</v>
      </c>
      <c r="AQ2579" s="5">
        <v>29</v>
      </c>
      <c r="AR2579" s="5">
        <v>45</v>
      </c>
      <c r="AS2579" s="5" t="s">
        <v>16</v>
      </c>
      <c r="AT2579" s="5" t="s">
        <v>15440</v>
      </c>
      <c r="AU2579" s="5" t="s">
        <v>15441</v>
      </c>
      <c r="AV2579" s="5" t="s">
        <v>15443</v>
      </c>
    </row>
    <row r="2580" spans="1:48" ht="45" customHeight="1" x14ac:dyDescent="0.15">
      <c r="A2580" s="5" t="s">
        <v>15444</v>
      </c>
      <c r="B2580" s="5">
        <v>2009</v>
      </c>
      <c r="C2580" s="5" t="s">
        <v>15445</v>
      </c>
      <c r="D2580" s="5" t="s">
        <v>49</v>
      </c>
      <c r="E2580" s="5" t="s">
        <v>18453</v>
      </c>
      <c r="F2580" s="5" t="s">
        <v>15448</v>
      </c>
      <c r="G2580" s="5"/>
      <c r="H2580" s="5"/>
      <c r="I2580" s="5"/>
      <c r="J2580" s="5"/>
      <c r="K2580" s="5"/>
      <c r="L2580" s="5"/>
      <c r="M2580" s="5"/>
      <c r="N2580" s="5"/>
      <c r="O2580" s="5"/>
      <c r="P2580" s="5"/>
      <c r="Q2580" s="5"/>
      <c r="AL2580" s="7" t="str">
        <f>HYPERLINK("http://dx.doi.org/10.3354/meps08243","http://dx.doi.org/10.3354/meps08243")</f>
        <v>http://dx.doi.org/10.3354/meps08243</v>
      </c>
      <c r="AM2580" s="5">
        <v>44</v>
      </c>
      <c r="AN2580" s="5">
        <v>44</v>
      </c>
      <c r="AO2580" s="5">
        <v>394</v>
      </c>
      <c r="AP2580" s="5" t="s">
        <v>16</v>
      </c>
      <c r="AQ2580" s="5">
        <v>201</v>
      </c>
      <c r="AR2580" s="5">
        <v>213</v>
      </c>
      <c r="AS2580" s="5" t="s">
        <v>16</v>
      </c>
      <c r="AT2580" s="5" t="s">
        <v>15446</v>
      </c>
      <c r="AU2580" s="5" t="s">
        <v>15447</v>
      </c>
      <c r="AV2580" s="5" t="s">
        <v>15449</v>
      </c>
    </row>
    <row r="2581" spans="1:48" ht="45" customHeight="1" x14ac:dyDescent="0.15">
      <c r="A2581" s="5" t="s">
        <v>15450</v>
      </c>
      <c r="B2581" s="5">
        <v>2022</v>
      </c>
      <c r="C2581" s="5" t="s">
        <v>15451</v>
      </c>
      <c r="D2581" s="5" t="s">
        <v>172</v>
      </c>
      <c r="E2581" s="5" t="s">
        <v>18453</v>
      </c>
      <c r="F2581" s="5" t="s">
        <v>15454</v>
      </c>
      <c r="G2581" s="5"/>
      <c r="H2581" s="5"/>
      <c r="I2581" s="5"/>
      <c r="J2581" s="5"/>
      <c r="K2581" s="5"/>
      <c r="L2581" s="5"/>
      <c r="M2581" s="5"/>
      <c r="N2581" s="5"/>
      <c r="O2581" s="5"/>
      <c r="P2581" s="5"/>
      <c r="Q2581" s="5"/>
      <c r="AL2581" s="7" t="str">
        <f>HYPERLINK("http://dx.doi.org/10.1007/s00442-022-05241-5","http://dx.doi.org/10.1007/s00442-022-05241-5")</f>
        <v>http://dx.doi.org/10.1007/s00442-022-05241-5</v>
      </c>
      <c r="AM2581" s="5">
        <v>1</v>
      </c>
      <c r="AN2581" s="5">
        <v>1</v>
      </c>
      <c r="AO2581" s="5">
        <v>200</v>
      </c>
      <c r="AP2581" s="5" t="s">
        <v>778</v>
      </c>
      <c r="AQ2581" s="5">
        <v>65</v>
      </c>
      <c r="AR2581" s="5">
        <v>78</v>
      </c>
      <c r="AS2581" s="5" t="s">
        <v>16</v>
      </c>
      <c r="AT2581" s="5" t="s">
        <v>15452</v>
      </c>
      <c r="AU2581" s="5" t="s">
        <v>15453</v>
      </c>
      <c r="AV2581" s="5" t="s">
        <v>15455</v>
      </c>
    </row>
    <row r="2582" spans="1:48" ht="45" customHeight="1" x14ac:dyDescent="0.15">
      <c r="A2582" s="5" t="s">
        <v>15456</v>
      </c>
      <c r="B2582" s="5">
        <v>2020</v>
      </c>
      <c r="C2582" s="5" t="s">
        <v>15457</v>
      </c>
      <c r="D2582" s="5" t="s">
        <v>83</v>
      </c>
      <c r="E2582" s="5" t="s">
        <v>18453</v>
      </c>
      <c r="F2582" s="5" t="s">
        <v>15460</v>
      </c>
      <c r="G2582" s="5"/>
      <c r="H2582" s="5"/>
      <c r="I2582" s="5"/>
      <c r="J2582" s="5"/>
      <c r="K2582" s="5"/>
      <c r="L2582" s="5"/>
      <c r="M2582" s="5"/>
      <c r="N2582" s="5"/>
      <c r="O2582" s="5"/>
      <c r="P2582" s="5"/>
      <c r="Q2582" s="5"/>
      <c r="AL2582" s="7" t="str">
        <f>HYPERLINK("http://dx.doi.org/10.1007/s10646-020-02190-8","http://dx.doi.org/10.1007/s10646-020-02190-8")</f>
        <v>http://dx.doi.org/10.1007/s10646-020-02190-8</v>
      </c>
      <c r="AM2582" s="5">
        <v>7</v>
      </c>
      <c r="AN2582" s="5">
        <v>7</v>
      </c>
      <c r="AO2582" s="5">
        <v>29</v>
      </c>
      <c r="AP2582" s="5">
        <v>8</v>
      </c>
      <c r="AQ2582" s="5">
        <v>1240</v>
      </c>
      <c r="AR2582" s="5">
        <v>1253</v>
      </c>
      <c r="AS2582" s="5" t="s">
        <v>16</v>
      </c>
      <c r="AT2582" s="5" t="s">
        <v>15458</v>
      </c>
      <c r="AU2582" s="5" t="s">
        <v>15459</v>
      </c>
      <c r="AV2582" s="5" t="s">
        <v>15461</v>
      </c>
    </row>
    <row r="2583" spans="1:48" ht="45" customHeight="1" x14ac:dyDescent="0.15">
      <c r="A2583" s="5" t="s">
        <v>15462</v>
      </c>
      <c r="B2583" s="5">
        <v>2013</v>
      </c>
      <c r="C2583" s="5" t="s">
        <v>15463</v>
      </c>
      <c r="D2583" s="5" t="s">
        <v>1134</v>
      </c>
      <c r="E2583" s="5" t="s">
        <v>18453</v>
      </c>
      <c r="F2583" s="5" t="s">
        <v>15466</v>
      </c>
      <c r="G2583" s="5"/>
      <c r="H2583" s="5"/>
      <c r="I2583" s="5"/>
      <c r="J2583" s="5"/>
      <c r="K2583" s="5"/>
      <c r="L2583" s="5"/>
      <c r="M2583" s="5"/>
      <c r="N2583" s="5"/>
      <c r="O2583" s="5"/>
      <c r="P2583" s="5"/>
      <c r="Q2583" s="5"/>
      <c r="AL2583" s="7" t="str">
        <f>HYPERLINK("http://dx.doi.org/10.1080/17451000.2012.739698","http://dx.doi.org/10.1080/17451000.2012.739698")</f>
        <v>http://dx.doi.org/10.1080/17451000.2012.739698</v>
      </c>
      <c r="AM2583" s="5">
        <v>6</v>
      </c>
      <c r="AN2583" s="5">
        <v>6</v>
      </c>
      <c r="AO2583" s="5">
        <v>9</v>
      </c>
      <c r="AP2583" s="5">
        <v>3</v>
      </c>
      <c r="AQ2583" s="5">
        <v>316</v>
      </c>
      <c r="AR2583" s="5">
        <v>323</v>
      </c>
      <c r="AS2583" s="5" t="s">
        <v>16</v>
      </c>
      <c r="AT2583" s="5" t="s">
        <v>15464</v>
      </c>
      <c r="AU2583" s="5" t="s">
        <v>15465</v>
      </c>
      <c r="AV2583" s="5" t="s">
        <v>15467</v>
      </c>
    </row>
    <row r="2584" spans="1:48" ht="45" customHeight="1" x14ac:dyDescent="0.15">
      <c r="A2584" s="5" t="s">
        <v>15468</v>
      </c>
      <c r="B2584" s="5">
        <v>2004</v>
      </c>
      <c r="C2584" s="5" t="s">
        <v>15469</v>
      </c>
      <c r="D2584" s="5" t="s">
        <v>82</v>
      </c>
      <c r="E2584" s="5" t="s">
        <v>18453</v>
      </c>
      <c r="F2584" s="5" t="s">
        <v>15472</v>
      </c>
      <c r="G2584" s="5"/>
      <c r="H2584" s="5"/>
      <c r="I2584" s="5"/>
      <c r="J2584" s="5"/>
      <c r="K2584" s="5"/>
      <c r="L2584" s="5"/>
      <c r="M2584" s="5"/>
      <c r="N2584" s="5"/>
      <c r="O2584" s="5"/>
      <c r="P2584" s="5"/>
      <c r="Q2584" s="5"/>
      <c r="AL2584" s="5" t="s">
        <v>16</v>
      </c>
      <c r="AM2584" s="5">
        <v>95</v>
      </c>
      <c r="AN2584" s="5">
        <v>103</v>
      </c>
      <c r="AO2584" s="5">
        <v>14</v>
      </c>
      <c r="AP2584" s="5">
        <v>4</v>
      </c>
      <c r="AQ2584" s="5" t="s">
        <v>15473</v>
      </c>
      <c r="AR2584" s="5" t="s">
        <v>15474</v>
      </c>
      <c r="AS2584" s="5" t="s">
        <v>16</v>
      </c>
      <c r="AT2584" s="5" t="s">
        <v>15470</v>
      </c>
      <c r="AU2584" s="5" t="s">
        <v>15471</v>
      </c>
      <c r="AV2584" s="5" t="s">
        <v>16</v>
      </c>
    </row>
    <row r="2585" spans="1:48" ht="45" customHeight="1" x14ac:dyDescent="0.15">
      <c r="A2585" s="5" t="s">
        <v>15475</v>
      </c>
      <c r="B2585" s="5">
        <v>2014</v>
      </c>
      <c r="C2585" s="5" t="s">
        <v>15476</v>
      </c>
      <c r="D2585" s="5" t="s">
        <v>1134</v>
      </c>
      <c r="E2585" s="5" t="s">
        <v>18453</v>
      </c>
      <c r="F2585" s="5" t="s">
        <v>15479</v>
      </c>
      <c r="G2585" s="5"/>
      <c r="H2585" s="5"/>
      <c r="I2585" s="5"/>
      <c r="J2585" s="5"/>
      <c r="K2585" s="5"/>
      <c r="L2585" s="5"/>
      <c r="M2585" s="5"/>
      <c r="N2585" s="5"/>
      <c r="O2585" s="5"/>
      <c r="P2585" s="5"/>
      <c r="Q2585" s="5"/>
      <c r="AL2585" s="7" t="str">
        <f>HYPERLINK("http://dx.doi.org/10.1080/17451000.2013.819982","http://dx.doi.org/10.1080/17451000.2013.819982")</f>
        <v>http://dx.doi.org/10.1080/17451000.2013.819982</v>
      </c>
      <c r="AM2585" s="5">
        <v>4</v>
      </c>
      <c r="AN2585" s="5">
        <v>4</v>
      </c>
      <c r="AO2585" s="5">
        <v>10</v>
      </c>
      <c r="AP2585" s="5">
        <v>5</v>
      </c>
      <c r="AQ2585" s="5">
        <v>472</v>
      </c>
      <c r="AR2585" s="5">
        <v>481</v>
      </c>
      <c r="AS2585" s="5" t="s">
        <v>16</v>
      </c>
      <c r="AT2585" s="5" t="s">
        <v>15477</v>
      </c>
      <c r="AU2585" s="5" t="s">
        <v>15478</v>
      </c>
      <c r="AV2585" s="5" t="s">
        <v>15480</v>
      </c>
    </row>
    <row r="2586" spans="1:48" ht="45" customHeight="1" x14ac:dyDescent="0.15">
      <c r="A2586" s="5" t="s">
        <v>15481</v>
      </c>
      <c r="B2586" s="5">
        <v>2019</v>
      </c>
      <c r="C2586" s="5" t="s">
        <v>15482</v>
      </c>
      <c r="D2586" s="5" t="s">
        <v>18</v>
      </c>
      <c r="E2586" s="5" t="s">
        <v>18453</v>
      </c>
      <c r="F2586" s="5" t="s">
        <v>15485</v>
      </c>
      <c r="G2586" s="5"/>
      <c r="H2586" s="5"/>
      <c r="I2586" s="5"/>
      <c r="J2586" s="5"/>
      <c r="K2586" s="5"/>
      <c r="L2586" s="5"/>
      <c r="M2586" s="5"/>
      <c r="N2586" s="5"/>
      <c r="O2586" s="5"/>
      <c r="P2586" s="5"/>
      <c r="Q2586" s="5"/>
      <c r="AL2586" s="7" t="str">
        <f>HYPERLINK("http://dx.doi.org/10.1002/ecs2.2602","http://dx.doi.org/10.1002/ecs2.2602")</f>
        <v>http://dx.doi.org/10.1002/ecs2.2602</v>
      </c>
      <c r="AM2586" s="5">
        <v>18</v>
      </c>
      <c r="AN2586" s="5">
        <v>18</v>
      </c>
      <c r="AO2586" s="5">
        <v>10</v>
      </c>
      <c r="AP2586" s="5">
        <v>2</v>
      </c>
      <c r="AQ2586" s="5" t="s">
        <v>16</v>
      </c>
      <c r="AR2586" s="5" t="s">
        <v>16</v>
      </c>
      <c r="AS2586" s="5" t="s">
        <v>15486</v>
      </c>
      <c r="AT2586" s="5" t="s">
        <v>15483</v>
      </c>
      <c r="AU2586" s="5" t="s">
        <v>15484</v>
      </c>
      <c r="AV2586" s="5" t="s">
        <v>15487</v>
      </c>
    </row>
    <row r="2587" spans="1:48" ht="45" customHeight="1" x14ac:dyDescent="0.15">
      <c r="A2587" s="5" t="s">
        <v>15488</v>
      </c>
      <c r="B2587" s="5">
        <v>2021</v>
      </c>
      <c r="C2587" s="5" t="s">
        <v>15489</v>
      </c>
      <c r="D2587" s="5" t="s">
        <v>57</v>
      </c>
      <c r="E2587" s="5" t="s">
        <v>18453</v>
      </c>
      <c r="F2587" s="5" t="s">
        <v>15491</v>
      </c>
      <c r="G2587" s="5"/>
      <c r="H2587" s="5"/>
      <c r="I2587" s="5"/>
      <c r="J2587" s="5"/>
      <c r="K2587" s="5"/>
      <c r="L2587" s="5"/>
      <c r="M2587" s="5"/>
      <c r="N2587" s="5"/>
      <c r="O2587" s="5"/>
      <c r="P2587" s="5"/>
      <c r="Q2587" s="5"/>
      <c r="AL2587" s="7" t="str">
        <f>HYPERLINK("http://dx.doi.org/10.1098/rsbl.2020.0798","http://dx.doi.org/10.1098/rsbl.2020.0798")</f>
        <v>http://dx.doi.org/10.1098/rsbl.2020.0798</v>
      </c>
      <c r="AM2587" s="5">
        <v>3</v>
      </c>
      <c r="AN2587" s="5">
        <v>4</v>
      </c>
      <c r="AO2587" s="5">
        <v>17</v>
      </c>
      <c r="AP2587" s="5">
        <v>3</v>
      </c>
      <c r="AQ2587" s="5" t="s">
        <v>16</v>
      </c>
      <c r="AR2587" s="5" t="s">
        <v>16</v>
      </c>
      <c r="AS2587" s="5">
        <v>20200798</v>
      </c>
      <c r="AT2587" s="5" t="s">
        <v>15490</v>
      </c>
      <c r="AU2587" s="5" t="s">
        <v>16</v>
      </c>
      <c r="AV2587" s="5" t="s">
        <v>15492</v>
      </c>
    </row>
    <row r="2588" spans="1:48" ht="45" customHeight="1" x14ac:dyDescent="0.15">
      <c r="A2588" s="5" t="s">
        <v>15493</v>
      </c>
      <c r="B2588" s="5">
        <v>2016</v>
      </c>
      <c r="C2588" s="5" t="s">
        <v>15494</v>
      </c>
      <c r="D2588" s="5" t="s">
        <v>1765</v>
      </c>
      <c r="E2588" s="5" t="s">
        <v>18453</v>
      </c>
      <c r="F2588" s="5" t="s">
        <v>15497</v>
      </c>
      <c r="G2588" s="5"/>
      <c r="H2588" s="5"/>
      <c r="I2588" s="5"/>
      <c r="J2588" s="5"/>
      <c r="K2588" s="5"/>
      <c r="L2588" s="5"/>
      <c r="M2588" s="5"/>
      <c r="N2588" s="5"/>
      <c r="O2588" s="5"/>
      <c r="P2588" s="5"/>
      <c r="Q2588" s="5"/>
      <c r="AL2588" s="7" t="str">
        <f>HYPERLINK("http://dx.doi.org/10.1016/j.agee.2016.03.032","http://dx.doi.org/10.1016/j.agee.2016.03.032")</f>
        <v>http://dx.doi.org/10.1016/j.agee.2016.03.032</v>
      </c>
      <c r="AM2588" s="5">
        <v>20</v>
      </c>
      <c r="AN2588" s="5">
        <v>20</v>
      </c>
      <c r="AO2588" s="5">
        <v>224</v>
      </c>
      <c r="AP2588" s="5" t="s">
        <v>16</v>
      </c>
      <c r="AQ2588" s="5">
        <v>50</v>
      </c>
      <c r="AR2588" s="5">
        <v>55</v>
      </c>
      <c r="AS2588" s="5" t="s">
        <v>16</v>
      </c>
      <c r="AT2588" s="5" t="s">
        <v>15495</v>
      </c>
      <c r="AU2588" s="5" t="s">
        <v>15496</v>
      </c>
      <c r="AV2588" s="5" t="s">
        <v>15498</v>
      </c>
    </row>
    <row r="2589" spans="1:48" ht="45" customHeight="1" x14ac:dyDescent="0.15">
      <c r="A2589" s="5" t="s">
        <v>15499</v>
      </c>
      <c r="B2589" s="5">
        <v>1996</v>
      </c>
      <c r="C2589" s="5" t="s">
        <v>15500</v>
      </c>
      <c r="D2589" s="5" t="s">
        <v>15501</v>
      </c>
      <c r="E2589" s="5" t="s">
        <v>18453</v>
      </c>
      <c r="F2589" s="5" t="s">
        <v>15504</v>
      </c>
      <c r="G2589" s="5"/>
      <c r="H2589" s="5"/>
      <c r="I2589" s="5"/>
      <c r="J2589" s="5"/>
      <c r="K2589" s="5"/>
      <c r="L2589" s="5"/>
      <c r="M2589" s="5"/>
      <c r="N2589" s="5"/>
      <c r="O2589" s="5"/>
      <c r="P2589" s="5"/>
      <c r="Q2589" s="5"/>
      <c r="AL2589" s="7" t="str">
        <f>HYPERLINK("http://dx.doi.org/10.1080/00364827.1996.10413618","http://dx.doi.org/10.1080/00364827.1996.10413618")</f>
        <v>http://dx.doi.org/10.1080/00364827.1996.10413618</v>
      </c>
      <c r="AM2589" s="5">
        <v>56</v>
      </c>
      <c r="AN2589" s="5">
        <v>55</v>
      </c>
      <c r="AO2589" s="5">
        <v>81</v>
      </c>
      <c r="AP2589" s="5">
        <v>2</v>
      </c>
      <c r="AQ2589" s="5">
        <v>143</v>
      </c>
      <c r="AR2589" s="5">
        <v>153</v>
      </c>
      <c r="AS2589" s="5" t="s">
        <v>16</v>
      </c>
      <c r="AT2589" s="5" t="s">
        <v>15502</v>
      </c>
      <c r="AU2589" s="5" t="s">
        <v>15503</v>
      </c>
      <c r="AV2589" s="5" t="s">
        <v>15505</v>
      </c>
    </row>
    <row r="2590" spans="1:48" ht="45" customHeight="1" x14ac:dyDescent="0.15">
      <c r="A2590" s="5" t="s">
        <v>15506</v>
      </c>
      <c r="B2590" s="5">
        <v>2014</v>
      </c>
      <c r="C2590" s="5" t="s">
        <v>15507</v>
      </c>
      <c r="D2590" s="5" t="s">
        <v>49</v>
      </c>
      <c r="E2590" s="5" t="s">
        <v>18453</v>
      </c>
      <c r="F2590" s="5" t="s">
        <v>15510</v>
      </c>
      <c r="G2590" s="5"/>
      <c r="H2590" s="5"/>
      <c r="I2590" s="5"/>
      <c r="J2590" s="5"/>
      <c r="K2590" s="5"/>
      <c r="L2590" s="5"/>
      <c r="M2590" s="5"/>
      <c r="N2590" s="5"/>
      <c r="O2590" s="5"/>
      <c r="P2590" s="5"/>
      <c r="Q2590" s="5"/>
      <c r="AL2590" s="7" t="str">
        <f>HYPERLINK("http://dx.doi.org/10.3354/meps10781","http://dx.doi.org/10.3354/meps10781")</f>
        <v>http://dx.doi.org/10.3354/meps10781</v>
      </c>
      <c r="AM2590" s="5">
        <v>84</v>
      </c>
      <c r="AN2590" s="5">
        <v>84</v>
      </c>
      <c r="AO2590" s="5">
        <v>504</v>
      </c>
      <c r="AP2590" s="5" t="s">
        <v>16</v>
      </c>
      <c r="AQ2590" s="5">
        <v>265</v>
      </c>
      <c r="AR2590" s="5">
        <v>276</v>
      </c>
      <c r="AS2590" s="5" t="s">
        <v>16</v>
      </c>
      <c r="AT2590" s="5" t="s">
        <v>15508</v>
      </c>
      <c r="AU2590" s="5" t="s">
        <v>15509</v>
      </c>
      <c r="AV2590" s="5" t="s">
        <v>15511</v>
      </c>
    </row>
    <row r="2591" spans="1:48" ht="45" customHeight="1" x14ac:dyDescent="0.15">
      <c r="A2591" s="5" t="s">
        <v>15512</v>
      </c>
      <c r="B2591" s="5">
        <v>1993</v>
      </c>
      <c r="C2591" s="5" t="s">
        <v>15513</v>
      </c>
      <c r="D2591" s="5" t="s">
        <v>27</v>
      </c>
      <c r="E2591" s="5" t="s">
        <v>18453</v>
      </c>
      <c r="F2591" s="5" t="s">
        <v>15516</v>
      </c>
      <c r="G2591" s="5"/>
      <c r="H2591" s="5"/>
      <c r="I2591" s="5"/>
      <c r="J2591" s="5"/>
      <c r="K2591" s="5"/>
      <c r="L2591" s="5"/>
      <c r="M2591" s="5"/>
      <c r="N2591" s="5"/>
      <c r="O2591" s="5"/>
      <c r="P2591" s="5"/>
      <c r="Q2591" s="5"/>
      <c r="AL2591" s="7" t="str">
        <f>HYPERLINK("http://dx.doi.org/10.2307/1940793","http://dx.doi.org/10.2307/1940793")</f>
        <v>http://dx.doi.org/10.2307/1940793</v>
      </c>
      <c r="AM2591" s="5">
        <v>217</v>
      </c>
      <c r="AN2591" s="5">
        <v>233</v>
      </c>
      <c r="AO2591" s="5">
        <v>74</v>
      </c>
      <c r="AP2591" s="5">
        <v>3</v>
      </c>
      <c r="AQ2591" s="5">
        <v>643</v>
      </c>
      <c r="AR2591" s="5">
        <v>652</v>
      </c>
      <c r="AS2591" s="5" t="s">
        <v>16</v>
      </c>
      <c r="AT2591" s="5" t="s">
        <v>15514</v>
      </c>
      <c r="AU2591" s="5" t="s">
        <v>15515</v>
      </c>
      <c r="AV2591" s="5" t="s">
        <v>15517</v>
      </c>
    </row>
    <row r="2592" spans="1:48" ht="45" customHeight="1" x14ac:dyDescent="0.15">
      <c r="A2592" s="5" t="s">
        <v>15518</v>
      </c>
      <c r="B2592" s="5">
        <v>2021</v>
      </c>
      <c r="C2592" s="5" t="s">
        <v>15519</v>
      </c>
      <c r="D2592" s="5" t="s">
        <v>212</v>
      </c>
      <c r="E2592" s="5" t="s">
        <v>18453</v>
      </c>
      <c r="F2592" s="5" t="s">
        <v>15522</v>
      </c>
      <c r="G2592" s="5"/>
      <c r="H2592" s="5"/>
      <c r="I2592" s="5"/>
      <c r="J2592" s="5"/>
      <c r="K2592" s="5"/>
      <c r="L2592" s="5"/>
      <c r="M2592" s="5"/>
      <c r="N2592" s="5"/>
      <c r="O2592" s="5"/>
      <c r="P2592" s="5"/>
      <c r="Q2592" s="5"/>
      <c r="AL2592" s="7" t="str">
        <f>HYPERLINK("http://dx.doi.org/10.1007/s00300-020-02776-2","http://dx.doi.org/10.1007/s00300-020-02776-2")</f>
        <v>http://dx.doi.org/10.1007/s00300-020-02776-2</v>
      </c>
      <c r="AM2592" s="5">
        <v>1</v>
      </c>
      <c r="AN2592" s="5">
        <v>1</v>
      </c>
      <c r="AO2592" s="5">
        <v>44</v>
      </c>
      <c r="AP2592" s="5">
        <v>1</v>
      </c>
      <c r="AQ2592" s="5">
        <v>73</v>
      </c>
      <c r="AR2592" s="5">
        <v>84</v>
      </c>
      <c r="AS2592" s="5" t="s">
        <v>16</v>
      </c>
      <c r="AT2592" s="5" t="s">
        <v>15520</v>
      </c>
      <c r="AU2592" s="5" t="s">
        <v>15521</v>
      </c>
      <c r="AV2592" s="5" t="s">
        <v>15523</v>
      </c>
    </row>
    <row r="2593" spans="1:48" ht="45" customHeight="1" x14ac:dyDescent="0.15">
      <c r="A2593" s="5" t="s">
        <v>15524</v>
      </c>
      <c r="B2593" s="5">
        <v>2018</v>
      </c>
      <c r="C2593" s="5" t="s">
        <v>15525</v>
      </c>
      <c r="D2593" s="5" t="s">
        <v>3183</v>
      </c>
      <c r="E2593" s="5" t="s">
        <v>18453</v>
      </c>
      <c r="F2593" s="5" t="s">
        <v>15528</v>
      </c>
      <c r="G2593" s="5"/>
      <c r="H2593" s="5"/>
      <c r="I2593" s="5"/>
      <c r="J2593" s="5"/>
      <c r="K2593" s="5"/>
      <c r="L2593" s="5"/>
      <c r="M2593" s="5"/>
      <c r="N2593" s="5"/>
      <c r="O2593" s="5"/>
      <c r="P2593" s="5"/>
      <c r="Q2593" s="5"/>
      <c r="AL2593" s="7" t="str">
        <f>HYPERLINK("http://dx.doi.org/10.1016/j.pedobi.2017.10.003","http://dx.doi.org/10.1016/j.pedobi.2017.10.003")</f>
        <v>http://dx.doi.org/10.1016/j.pedobi.2017.10.003</v>
      </c>
      <c r="AM2593" s="5">
        <v>7</v>
      </c>
      <c r="AN2593" s="5">
        <v>7</v>
      </c>
      <c r="AO2593" s="5">
        <v>66</v>
      </c>
      <c r="AP2593" s="5" t="s">
        <v>16</v>
      </c>
      <c r="AQ2593" s="5">
        <v>65</v>
      </c>
      <c r="AR2593" s="5">
        <v>73</v>
      </c>
      <c r="AS2593" s="5" t="s">
        <v>16</v>
      </c>
      <c r="AT2593" s="5" t="s">
        <v>15526</v>
      </c>
      <c r="AU2593" s="5" t="s">
        <v>15527</v>
      </c>
      <c r="AV2593" s="5" t="s">
        <v>15529</v>
      </c>
    </row>
    <row r="2594" spans="1:48" ht="45" customHeight="1" x14ac:dyDescent="0.15">
      <c r="A2594" s="5" t="s">
        <v>15530</v>
      </c>
      <c r="B2594" s="5">
        <v>2000</v>
      </c>
      <c r="C2594" s="5" t="s">
        <v>15531</v>
      </c>
      <c r="D2594" s="5" t="s">
        <v>312</v>
      </c>
      <c r="E2594" s="5" t="s">
        <v>18453</v>
      </c>
      <c r="F2594" s="5" t="s">
        <v>15534</v>
      </c>
      <c r="G2594" s="5"/>
      <c r="H2594" s="5"/>
      <c r="I2594" s="5"/>
      <c r="J2594" s="5"/>
      <c r="K2594" s="5"/>
      <c r="L2594" s="5"/>
      <c r="M2594" s="5"/>
      <c r="N2594" s="5"/>
      <c r="O2594" s="5"/>
      <c r="P2594" s="5"/>
      <c r="Q2594" s="5"/>
      <c r="AL2594" s="7" t="str">
        <f>HYPERLINK("http://dx.doi.org/10.1016/S0304-3800(00)00197-6","http://dx.doi.org/10.1016/S0304-3800(00)00197-6")</f>
        <v>http://dx.doi.org/10.1016/S0304-3800(00)00197-6</v>
      </c>
      <c r="AM2594" s="5">
        <v>29</v>
      </c>
      <c r="AN2594" s="5">
        <v>37</v>
      </c>
      <c r="AO2594" s="5">
        <v>128</v>
      </c>
      <c r="AP2594" s="5" t="s">
        <v>68</v>
      </c>
      <c r="AQ2594" s="5">
        <v>211</v>
      </c>
      <c r="AR2594" s="5">
        <v>220</v>
      </c>
      <c r="AS2594" s="5" t="s">
        <v>16</v>
      </c>
      <c r="AT2594" s="5" t="s">
        <v>15532</v>
      </c>
      <c r="AU2594" s="5" t="s">
        <v>15533</v>
      </c>
      <c r="AV2594" s="5" t="s">
        <v>15535</v>
      </c>
    </row>
    <row r="2595" spans="1:48" ht="45" customHeight="1" x14ac:dyDescent="0.15">
      <c r="A2595" s="5" t="s">
        <v>15536</v>
      </c>
      <c r="B2595" s="5">
        <v>2013</v>
      </c>
      <c r="C2595" s="5" t="s">
        <v>15537</v>
      </c>
      <c r="D2595" s="5" t="s">
        <v>11675</v>
      </c>
      <c r="E2595" s="5" t="s">
        <v>18453</v>
      </c>
      <c r="F2595" s="5" t="s">
        <v>15540</v>
      </c>
      <c r="G2595" s="5"/>
      <c r="H2595" s="5"/>
      <c r="I2595" s="5"/>
      <c r="J2595" s="5"/>
      <c r="K2595" s="5"/>
      <c r="L2595" s="5"/>
      <c r="M2595" s="5"/>
      <c r="N2595" s="5"/>
      <c r="O2595" s="5"/>
      <c r="P2595" s="5"/>
      <c r="Q2595" s="5"/>
      <c r="AL2595" s="7" t="str">
        <f>HYPERLINK("http://dx.doi.org/10.3354/ame01642","http://dx.doi.org/10.3354/ame01642")</f>
        <v>http://dx.doi.org/10.3354/ame01642</v>
      </c>
      <c r="AM2595" s="5">
        <v>24</v>
      </c>
      <c r="AN2595" s="5">
        <v>32</v>
      </c>
      <c r="AO2595" s="5">
        <v>70</v>
      </c>
      <c r="AP2595" s="5">
        <v>1</v>
      </c>
      <c r="AQ2595" s="5">
        <v>63</v>
      </c>
      <c r="AR2595" s="5">
        <v>75</v>
      </c>
      <c r="AS2595" s="5" t="s">
        <v>16</v>
      </c>
      <c r="AT2595" s="5" t="s">
        <v>15538</v>
      </c>
      <c r="AU2595" s="5" t="s">
        <v>15539</v>
      </c>
      <c r="AV2595" s="5" t="s">
        <v>15541</v>
      </c>
    </row>
    <row r="2596" spans="1:48" ht="45" customHeight="1" x14ac:dyDescent="0.15">
      <c r="A2596" s="5" t="s">
        <v>15542</v>
      </c>
      <c r="B2596" s="5">
        <v>2023</v>
      </c>
      <c r="C2596" s="5" t="s">
        <v>15543</v>
      </c>
      <c r="D2596" s="5" t="s">
        <v>59</v>
      </c>
      <c r="E2596" s="5" t="s">
        <v>18453</v>
      </c>
      <c r="F2596" s="5" t="s">
        <v>15546</v>
      </c>
      <c r="G2596" s="5"/>
      <c r="H2596" s="5"/>
      <c r="I2596" s="5"/>
      <c r="J2596" s="5"/>
      <c r="K2596" s="5"/>
      <c r="L2596" s="5"/>
      <c r="M2596" s="5"/>
      <c r="N2596" s="5"/>
      <c r="O2596" s="5"/>
      <c r="P2596" s="5"/>
      <c r="Q2596" s="5"/>
      <c r="AL2596" s="7" t="str">
        <f>HYPERLINK("http://dx.doi.org/10.1111/ele.14182","http://dx.doi.org/10.1111/ele.14182")</f>
        <v>http://dx.doi.org/10.1111/ele.14182</v>
      </c>
      <c r="AM2596" s="5">
        <v>0</v>
      </c>
      <c r="AN2596" s="5">
        <v>0</v>
      </c>
      <c r="AO2596" s="5">
        <v>26</v>
      </c>
      <c r="AP2596" s="5">
        <v>4</v>
      </c>
      <c r="AQ2596" s="5">
        <v>597</v>
      </c>
      <c r="AR2596" s="5">
        <v>608</v>
      </c>
      <c r="AS2596" s="5" t="s">
        <v>16</v>
      </c>
      <c r="AT2596" s="5" t="s">
        <v>15544</v>
      </c>
      <c r="AU2596" s="5" t="s">
        <v>15545</v>
      </c>
      <c r="AV2596" s="5" t="s">
        <v>15547</v>
      </c>
    </row>
    <row r="2597" spans="1:48" ht="45" customHeight="1" x14ac:dyDescent="0.15">
      <c r="A2597" s="5" t="s">
        <v>15548</v>
      </c>
      <c r="B2597" s="5">
        <v>2016</v>
      </c>
      <c r="C2597" s="5" t="s">
        <v>15549</v>
      </c>
      <c r="D2597" s="5" t="s">
        <v>8897</v>
      </c>
      <c r="E2597" s="5" t="s">
        <v>18453</v>
      </c>
      <c r="F2597" s="5" t="s">
        <v>15552</v>
      </c>
      <c r="G2597" s="5"/>
      <c r="H2597" s="5"/>
      <c r="I2597" s="5"/>
      <c r="J2597" s="5"/>
      <c r="K2597" s="5"/>
      <c r="L2597" s="5"/>
      <c r="M2597" s="5"/>
      <c r="N2597" s="5"/>
      <c r="O2597" s="5"/>
      <c r="P2597" s="5"/>
      <c r="Q2597" s="5"/>
      <c r="AL2597" s="7" t="str">
        <f>HYPERLINK("http://dx.doi.org/10.1007/s00265-016-2067-5","http://dx.doi.org/10.1007/s00265-016-2067-5")</f>
        <v>http://dx.doi.org/10.1007/s00265-016-2067-5</v>
      </c>
      <c r="AM2597" s="5">
        <v>76</v>
      </c>
      <c r="AN2597" s="5">
        <v>76</v>
      </c>
      <c r="AO2597" s="5">
        <v>70</v>
      </c>
      <c r="AP2597" s="5">
        <v>4</v>
      </c>
      <c r="AQ2597" s="5">
        <v>509</v>
      </c>
      <c r="AR2597" s="5">
        <v>517</v>
      </c>
      <c r="AS2597" s="5" t="s">
        <v>16</v>
      </c>
      <c r="AT2597" s="5" t="s">
        <v>15550</v>
      </c>
      <c r="AU2597" s="5" t="s">
        <v>15551</v>
      </c>
      <c r="AV2597" s="5" t="s">
        <v>15553</v>
      </c>
    </row>
    <row r="2598" spans="1:48" ht="45" customHeight="1" x14ac:dyDescent="0.15">
      <c r="A2598" s="5" t="s">
        <v>15554</v>
      </c>
      <c r="B2598" s="5">
        <v>2001</v>
      </c>
      <c r="C2598" s="5" t="s">
        <v>15555</v>
      </c>
      <c r="D2598" s="5" t="s">
        <v>1531</v>
      </c>
      <c r="E2598" s="5" t="s">
        <v>18453</v>
      </c>
      <c r="F2598" s="5" t="s">
        <v>15558</v>
      </c>
      <c r="G2598" s="5"/>
      <c r="H2598" s="5"/>
      <c r="I2598" s="5"/>
      <c r="J2598" s="5"/>
      <c r="K2598" s="5"/>
      <c r="L2598" s="5"/>
      <c r="M2598" s="5"/>
      <c r="N2598" s="5"/>
      <c r="O2598" s="5"/>
      <c r="P2598" s="5"/>
      <c r="Q2598" s="5"/>
      <c r="AL2598" s="7" t="str">
        <f>HYPERLINK("http://dx.doi.org/10.2307/1468093","http://dx.doi.org/10.2307/1468093")</f>
        <v>http://dx.doi.org/10.2307/1468093</v>
      </c>
      <c r="AM2598" s="5">
        <v>25</v>
      </c>
      <c r="AN2598" s="5">
        <v>27</v>
      </c>
      <c r="AO2598" s="5">
        <v>20</v>
      </c>
      <c r="AP2598" s="5">
        <v>4</v>
      </c>
      <c r="AQ2598" s="5">
        <v>629</v>
      </c>
      <c r="AR2598" s="5">
        <v>642</v>
      </c>
      <c r="AS2598" s="5" t="s">
        <v>16</v>
      </c>
      <c r="AT2598" s="5" t="s">
        <v>15556</v>
      </c>
      <c r="AU2598" s="5" t="s">
        <v>15557</v>
      </c>
      <c r="AV2598" s="5" t="s">
        <v>15559</v>
      </c>
    </row>
    <row r="2599" spans="1:48" ht="45" customHeight="1" x14ac:dyDescent="0.15">
      <c r="A2599" s="5" t="s">
        <v>15560</v>
      </c>
      <c r="B2599" s="5">
        <v>2018</v>
      </c>
      <c r="C2599" s="5" t="s">
        <v>15561</v>
      </c>
      <c r="D2599" s="5" t="s">
        <v>161</v>
      </c>
      <c r="E2599" s="5" t="s">
        <v>18453</v>
      </c>
      <c r="F2599" s="5" t="s">
        <v>15564</v>
      </c>
      <c r="G2599" s="5"/>
      <c r="H2599" s="5"/>
      <c r="I2599" s="5"/>
      <c r="J2599" s="5"/>
      <c r="K2599" s="5"/>
      <c r="L2599" s="5"/>
      <c r="M2599" s="5"/>
      <c r="N2599" s="5"/>
      <c r="O2599" s="5"/>
      <c r="P2599" s="5"/>
      <c r="Q2599" s="5"/>
      <c r="AL2599" s="7" t="str">
        <f>HYPERLINK("http://dx.doi.org/10.1111/geb.12823","http://dx.doi.org/10.1111/geb.12823")</f>
        <v>http://dx.doi.org/10.1111/geb.12823</v>
      </c>
      <c r="AM2599" s="5">
        <v>15</v>
      </c>
      <c r="AN2599" s="5">
        <v>15</v>
      </c>
      <c r="AO2599" s="5">
        <v>27</v>
      </c>
      <c r="AP2599" s="5">
        <v>12</v>
      </c>
      <c r="AQ2599" s="5">
        <v>1467</v>
      </c>
      <c r="AR2599" s="5">
        <v>1480</v>
      </c>
      <c r="AS2599" s="5" t="s">
        <v>16</v>
      </c>
      <c r="AT2599" s="5" t="s">
        <v>15562</v>
      </c>
      <c r="AU2599" s="5" t="s">
        <v>15563</v>
      </c>
      <c r="AV2599" s="5" t="s">
        <v>15565</v>
      </c>
    </row>
    <row r="2600" spans="1:48" ht="45" customHeight="1" x14ac:dyDescent="0.15">
      <c r="A2600" s="5" t="s">
        <v>15566</v>
      </c>
      <c r="B2600" s="5">
        <v>2021</v>
      </c>
      <c r="C2600" s="5" t="s">
        <v>15567</v>
      </c>
      <c r="D2600" s="5" t="s">
        <v>82</v>
      </c>
      <c r="E2600" s="5" t="s">
        <v>18453</v>
      </c>
      <c r="F2600" s="5" t="s">
        <v>15570</v>
      </c>
      <c r="G2600" s="5"/>
      <c r="H2600" s="5"/>
      <c r="I2600" s="5"/>
      <c r="J2600" s="5"/>
      <c r="K2600" s="5"/>
      <c r="L2600" s="5"/>
      <c r="M2600" s="5"/>
      <c r="N2600" s="5"/>
      <c r="O2600" s="5"/>
      <c r="P2600" s="5"/>
      <c r="Q2600" s="5"/>
      <c r="AL2600" s="7" t="str">
        <f>HYPERLINK("http://dx.doi.org/10.1002/eap.2379","http://dx.doi.org/10.1002/eap.2379")</f>
        <v>http://dx.doi.org/10.1002/eap.2379</v>
      </c>
      <c r="AM2600" s="5">
        <v>11</v>
      </c>
      <c r="AN2600" s="5">
        <v>11</v>
      </c>
      <c r="AO2600" s="5">
        <v>31</v>
      </c>
      <c r="AP2600" s="5">
        <v>6</v>
      </c>
      <c r="AQ2600" s="5" t="s">
        <v>16</v>
      </c>
      <c r="AR2600" s="5" t="s">
        <v>16</v>
      </c>
      <c r="AS2600" s="5" t="s">
        <v>15571</v>
      </c>
      <c r="AT2600" s="5" t="s">
        <v>15568</v>
      </c>
      <c r="AU2600" s="5" t="s">
        <v>15569</v>
      </c>
      <c r="AV2600" s="5" t="s">
        <v>15572</v>
      </c>
    </row>
    <row r="2601" spans="1:48" ht="45" customHeight="1" x14ac:dyDescent="0.15">
      <c r="A2601" s="5" t="s">
        <v>15573</v>
      </c>
      <c r="B2601" s="5">
        <v>2016</v>
      </c>
      <c r="C2601" s="5" t="s">
        <v>15574</v>
      </c>
      <c r="D2601" s="5" t="s">
        <v>189</v>
      </c>
      <c r="E2601" s="5" t="s">
        <v>18453</v>
      </c>
      <c r="F2601" s="5" t="s">
        <v>15576</v>
      </c>
      <c r="G2601" s="5"/>
      <c r="H2601" s="5"/>
      <c r="I2601" s="5"/>
      <c r="J2601" s="5"/>
      <c r="K2601" s="5"/>
      <c r="L2601" s="5"/>
      <c r="M2601" s="5"/>
      <c r="N2601" s="5"/>
      <c r="O2601" s="5"/>
      <c r="P2601" s="5"/>
      <c r="Q2601" s="5"/>
      <c r="AL2601" s="7" t="str">
        <f>HYPERLINK("http://dx.doi.org/10.1111/ecog.01779","http://dx.doi.org/10.1111/ecog.01779")</f>
        <v>http://dx.doi.org/10.1111/ecog.01779</v>
      </c>
      <c r="AM2601" s="5">
        <v>27</v>
      </c>
      <c r="AN2601" s="5">
        <v>27</v>
      </c>
      <c r="AO2601" s="5">
        <v>39</v>
      </c>
      <c r="AP2601" s="5">
        <v>2</v>
      </c>
      <c r="AQ2601" s="5">
        <v>223</v>
      </c>
      <c r="AR2601" s="5">
        <v>239</v>
      </c>
      <c r="AS2601" s="5" t="s">
        <v>16</v>
      </c>
      <c r="AT2601" s="5" t="s">
        <v>16</v>
      </c>
      <c r="AU2601" s="5" t="s">
        <v>15575</v>
      </c>
      <c r="AV2601" s="5" t="s">
        <v>15577</v>
      </c>
    </row>
    <row r="2602" spans="1:48" ht="45" customHeight="1" x14ac:dyDescent="0.15">
      <c r="A2602" s="5" t="s">
        <v>15578</v>
      </c>
      <c r="B2602" s="5">
        <v>2023</v>
      </c>
      <c r="C2602" s="5" t="s">
        <v>15579</v>
      </c>
      <c r="D2602" s="5" t="s">
        <v>15</v>
      </c>
      <c r="E2602" s="5" t="s">
        <v>18453</v>
      </c>
      <c r="F2602" s="5" t="s">
        <v>15582</v>
      </c>
      <c r="G2602" s="5"/>
      <c r="H2602" s="5"/>
      <c r="I2602" s="5"/>
      <c r="J2602" s="5"/>
      <c r="K2602" s="5"/>
      <c r="L2602" s="5"/>
      <c r="M2602" s="5"/>
      <c r="N2602" s="5"/>
      <c r="O2602" s="5"/>
      <c r="P2602" s="5"/>
      <c r="Q2602" s="5"/>
      <c r="AL2602" s="7" t="str">
        <f>HYPERLINK("http://dx.doi.org/10.1002/ece3.9702","http://dx.doi.org/10.1002/ece3.9702")</f>
        <v>http://dx.doi.org/10.1002/ece3.9702</v>
      </c>
      <c r="AM2602" s="5">
        <v>0</v>
      </c>
      <c r="AN2602" s="5">
        <v>0</v>
      </c>
      <c r="AO2602" s="5">
        <v>13</v>
      </c>
      <c r="AP2602" s="5">
        <v>1</v>
      </c>
      <c r="AQ2602" s="5" t="s">
        <v>16</v>
      </c>
      <c r="AR2602" s="5" t="s">
        <v>16</v>
      </c>
      <c r="AS2602" s="5" t="s">
        <v>15583</v>
      </c>
      <c r="AT2602" s="5" t="s">
        <v>15580</v>
      </c>
      <c r="AU2602" s="5" t="s">
        <v>15581</v>
      </c>
      <c r="AV2602" s="5" t="s">
        <v>15584</v>
      </c>
    </row>
    <row r="2603" spans="1:48" ht="45" customHeight="1" x14ac:dyDescent="0.15">
      <c r="A2603" s="5" t="s">
        <v>15585</v>
      </c>
      <c r="B2603" s="5">
        <v>2022</v>
      </c>
      <c r="C2603" s="5" t="s">
        <v>15586</v>
      </c>
      <c r="D2603" s="5" t="s">
        <v>1141</v>
      </c>
      <c r="E2603" s="5" t="s">
        <v>18453</v>
      </c>
      <c r="F2603" s="5" t="s">
        <v>15589</v>
      </c>
      <c r="G2603" s="5"/>
      <c r="H2603" s="5"/>
      <c r="I2603" s="5"/>
      <c r="J2603" s="5"/>
      <c r="K2603" s="5"/>
      <c r="L2603" s="5"/>
      <c r="M2603" s="5"/>
      <c r="N2603" s="5"/>
      <c r="O2603" s="5"/>
      <c r="P2603" s="5"/>
      <c r="Q2603" s="5"/>
      <c r="AL2603" s="7" t="str">
        <f>HYPERLINK("http://dx.doi.org/10.1080/11956860.2022.2094630","http://dx.doi.org/10.1080/11956860.2022.2094630")</f>
        <v>http://dx.doi.org/10.1080/11956860.2022.2094630</v>
      </c>
      <c r="AM2603" s="5">
        <v>0</v>
      </c>
      <c r="AN2603" s="5">
        <v>0</v>
      </c>
      <c r="AO2603" s="5">
        <v>29</v>
      </c>
      <c r="AP2603" s="5">
        <v>4</v>
      </c>
      <c r="AQ2603" s="5">
        <v>293</v>
      </c>
      <c r="AR2603" s="5">
        <v>310</v>
      </c>
      <c r="AS2603" s="5" t="s">
        <v>16</v>
      </c>
      <c r="AT2603" s="5" t="s">
        <v>15587</v>
      </c>
      <c r="AU2603" s="5" t="s">
        <v>15588</v>
      </c>
      <c r="AV2603" s="5" t="s">
        <v>15590</v>
      </c>
    </row>
    <row r="2604" spans="1:48" ht="45" customHeight="1" x14ac:dyDescent="0.15">
      <c r="A2604" s="5" t="s">
        <v>15591</v>
      </c>
      <c r="B2604" s="5">
        <v>1996</v>
      </c>
      <c r="C2604" s="5" t="s">
        <v>15592</v>
      </c>
      <c r="D2604" s="5" t="s">
        <v>1765</v>
      </c>
      <c r="E2604" s="5" t="s">
        <v>18453</v>
      </c>
      <c r="F2604" s="5" t="s">
        <v>15595</v>
      </c>
      <c r="G2604" s="5"/>
      <c r="H2604" s="5"/>
      <c r="I2604" s="5"/>
      <c r="J2604" s="5"/>
      <c r="K2604" s="5"/>
      <c r="L2604" s="5"/>
      <c r="M2604" s="5"/>
      <c r="N2604" s="5"/>
      <c r="O2604" s="5"/>
      <c r="P2604" s="5"/>
      <c r="Q2604" s="5"/>
      <c r="AL2604" s="7" t="str">
        <f>HYPERLINK("http://dx.doi.org/10.1016/S0167-8809(96)01062-6","http://dx.doi.org/10.1016/S0167-8809(96)01062-6")</f>
        <v>http://dx.doi.org/10.1016/S0167-8809(96)01062-6</v>
      </c>
      <c r="AM2604" s="5">
        <v>40</v>
      </c>
      <c r="AN2604" s="5">
        <v>41</v>
      </c>
      <c r="AO2604" s="5">
        <v>60</v>
      </c>
      <c r="AP2604" s="5">
        <v>1</v>
      </c>
      <c r="AQ2604" s="5">
        <v>61</v>
      </c>
      <c r="AR2604" s="5">
        <v>69</v>
      </c>
      <c r="AS2604" s="5" t="s">
        <v>16</v>
      </c>
      <c r="AT2604" s="5" t="s">
        <v>15593</v>
      </c>
      <c r="AU2604" s="5" t="s">
        <v>15594</v>
      </c>
      <c r="AV2604" s="5" t="s">
        <v>15596</v>
      </c>
    </row>
    <row r="2605" spans="1:48" ht="45" customHeight="1" x14ac:dyDescent="0.15">
      <c r="A2605" s="5" t="s">
        <v>15597</v>
      </c>
      <c r="B2605" s="5">
        <v>2019</v>
      </c>
      <c r="C2605" s="5" t="s">
        <v>15598</v>
      </c>
      <c r="D2605" s="5" t="s">
        <v>6328</v>
      </c>
      <c r="E2605" s="5" t="s">
        <v>18453</v>
      </c>
      <c r="F2605" s="5" t="s">
        <v>15601</v>
      </c>
      <c r="G2605" s="5"/>
      <c r="H2605" s="5"/>
      <c r="I2605" s="5"/>
      <c r="J2605" s="5"/>
      <c r="K2605" s="5"/>
      <c r="L2605" s="5"/>
      <c r="M2605" s="5"/>
      <c r="N2605" s="5"/>
      <c r="O2605" s="5"/>
      <c r="P2605" s="5"/>
      <c r="Q2605" s="5"/>
      <c r="AL2605" s="7" t="str">
        <f>HYPERLINK("http://dx.doi.org/10.15666/aeer/1706_1377713792","http://dx.doi.org/10.15666/aeer/1706_1377713792")</f>
        <v>http://dx.doi.org/10.15666/aeer/1706_1377713792</v>
      </c>
      <c r="AM2605" s="5">
        <v>1</v>
      </c>
      <c r="AN2605" s="5">
        <v>1</v>
      </c>
      <c r="AO2605" s="5">
        <v>17</v>
      </c>
      <c r="AP2605" s="5">
        <v>6</v>
      </c>
      <c r="AQ2605" s="5">
        <v>13777</v>
      </c>
      <c r="AR2605" s="5">
        <v>13792</v>
      </c>
      <c r="AS2605" s="5" t="s">
        <v>16</v>
      </c>
      <c r="AT2605" s="5" t="s">
        <v>15599</v>
      </c>
      <c r="AU2605" s="5" t="s">
        <v>15600</v>
      </c>
      <c r="AV2605" s="5" t="s">
        <v>15602</v>
      </c>
    </row>
    <row r="2606" spans="1:48" ht="45" customHeight="1" x14ac:dyDescent="0.15">
      <c r="A2606" s="5" t="s">
        <v>15603</v>
      </c>
      <c r="B2606" s="5">
        <v>2017</v>
      </c>
      <c r="C2606" s="5" t="s">
        <v>15604</v>
      </c>
      <c r="D2606" s="5" t="s">
        <v>18</v>
      </c>
      <c r="E2606" s="5" t="s">
        <v>18453</v>
      </c>
      <c r="F2606" s="5" t="s">
        <v>15607</v>
      </c>
      <c r="G2606" s="5"/>
      <c r="H2606" s="5"/>
      <c r="I2606" s="5"/>
      <c r="J2606" s="5"/>
      <c r="K2606" s="5"/>
      <c r="L2606" s="5"/>
      <c r="M2606" s="5"/>
      <c r="N2606" s="5"/>
      <c r="O2606" s="5"/>
      <c r="P2606" s="5"/>
      <c r="Q2606" s="5"/>
      <c r="AL2606" s="7" t="str">
        <f>HYPERLINK("http://dx.doi.org/10.1002/ecs2.1616","http://dx.doi.org/10.1002/ecs2.1616")</f>
        <v>http://dx.doi.org/10.1002/ecs2.1616</v>
      </c>
      <c r="AM2606" s="5">
        <v>13</v>
      </c>
      <c r="AN2606" s="5">
        <v>14</v>
      </c>
      <c r="AO2606" s="5">
        <v>8</v>
      </c>
      <c r="AP2606" s="5">
        <v>1</v>
      </c>
      <c r="AQ2606" s="5" t="s">
        <v>16</v>
      </c>
      <c r="AR2606" s="5" t="s">
        <v>16</v>
      </c>
      <c r="AS2606" s="5" t="s">
        <v>15608</v>
      </c>
      <c r="AT2606" s="5" t="s">
        <v>15605</v>
      </c>
      <c r="AU2606" s="5" t="s">
        <v>15606</v>
      </c>
      <c r="AV2606" s="5" t="s">
        <v>15609</v>
      </c>
    </row>
    <row r="2607" spans="1:48" ht="45" customHeight="1" x14ac:dyDescent="0.15">
      <c r="A2607" s="5" t="s">
        <v>15610</v>
      </c>
      <c r="B2607" s="5">
        <v>2022</v>
      </c>
      <c r="C2607" s="5" t="s">
        <v>15611</v>
      </c>
      <c r="D2607" s="5" t="s">
        <v>49</v>
      </c>
      <c r="E2607" s="5" t="s">
        <v>18453</v>
      </c>
      <c r="F2607" s="5" t="s">
        <v>15614</v>
      </c>
      <c r="G2607" s="5"/>
      <c r="H2607" s="5"/>
      <c r="I2607" s="5"/>
      <c r="J2607" s="5"/>
      <c r="K2607" s="5"/>
      <c r="L2607" s="5"/>
      <c r="M2607" s="5"/>
      <c r="N2607" s="5"/>
      <c r="O2607" s="5"/>
      <c r="P2607" s="5"/>
      <c r="Q2607" s="5"/>
      <c r="AL2607" s="7" t="str">
        <f>HYPERLINK("http://dx.doi.org/10.3354/meps13965","http://dx.doi.org/10.3354/meps13965")</f>
        <v>http://dx.doi.org/10.3354/meps13965</v>
      </c>
      <c r="AM2607" s="5">
        <v>0</v>
      </c>
      <c r="AN2607" s="5">
        <v>0</v>
      </c>
      <c r="AO2607" s="5">
        <v>683</v>
      </c>
      <c r="AP2607" s="5" t="s">
        <v>16</v>
      </c>
      <c r="AQ2607" s="5">
        <v>81</v>
      </c>
      <c r="AR2607" s="5">
        <v>95</v>
      </c>
      <c r="AS2607" s="5" t="s">
        <v>16</v>
      </c>
      <c r="AT2607" s="5" t="s">
        <v>15612</v>
      </c>
      <c r="AU2607" s="5" t="s">
        <v>15613</v>
      </c>
      <c r="AV2607" s="5" t="s">
        <v>15615</v>
      </c>
    </row>
    <row r="2608" spans="1:48" ht="45" customHeight="1" x14ac:dyDescent="0.15">
      <c r="A2608" s="5" t="s">
        <v>15616</v>
      </c>
      <c r="B2608" s="5">
        <v>2006</v>
      </c>
      <c r="C2608" s="5" t="s">
        <v>15617</v>
      </c>
      <c r="D2608" s="5" t="s">
        <v>49</v>
      </c>
      <c r="E2608" s="5" t="s">
        <v>18453</v>
      </c>
      <c r="F2608" s="5" t="s">
        <v>15620</v>
      </c>
      <c r="G2608" s="5"/>
      <c r="H2608" s="5"/>
      <c r="I2608" s="5"/>
      <c r="J2608" s="5"/>
      <c r="K2608" s="5"/>
      <c r="L2608" s="5"/>
      <c r="M2608" s="5"/>
      <c r="N2608" s="5"/>
      <c r="O2608" s="5"/>
      <c r="P2608" s="5"/>
      <c r="Q2608" s="5"/>
      <c r="AL2608" s="7" t="str">
        <f>HYPERLINK("http://dx.doi.org/10.3354/meps315001","http://dx.doi.org/10.3354/meps315001")</f>
        <v>http://dx.doi.org/10.3354/meps315001</v>
      </c>
      <c r="AM2608" s="5">
        <v>120</v>
      </c>
      <c r="AN2608" s="5">
        <v>123</v>
      </c>
      <c r="AO2608" s="5">
        <v>315</v>
      </c>
      <c r="AP2608" s="5" t="s">
        <v>16</v>
      </c>
      <c r="AQ2608" s="5">
        <v>1</v>
      </c>
      <c r="AR2608" s="5">
        <v>11</v>
      </c>
      <c r="AS2608" s="5" t="s">
        <v>16</v>
      </c>
      <c r="AT2608" s="5" t="s">
        <v>15618</v>
      </c>
      <c r="AU2608" s="5" t="s">
        <v>15619</v>
      </c>
      <c r="AV2608" s="5" t="s">
        <v>15621</v>
      </c>
    </row>
    <row r="2609" spans="1:48" ht="45" customHeight="1" x14ac:dyDescent="0.15">
      <c r="A2609" s="5" t="s">
        <v>15622</v>
      </c>
      <c r="B2609" s="5">
        <v>2010</v>
      </c>
      <c r="C2609" s="5" t="s">
        <v>15623</v>
      </c>
      <c r="D2609" s="5" t="s">
        <v>138</v>
      </c>
      <c r="E2609" s="5" t="s">
        <v>18453</v>
      </c>
      <c r="F2609" s="5" t="s">
        <v>15626</v>
      </c>
      <c r="G2609" s="5"/>
      <c r="H2609" s="5"/>
      <c r="I2609" s="5"/>
      <c r="J2609" s="5"/>
      <c r="K2609" s="5"/>
      <c r="L2609" s="5"/>
      <c r="M2609" s="5"/>
      <c r="N2609" s="5"/>
      <c r="O2609" s="5"/>
      <c r="P2609" s="5"/>
      <c r="Q2609" s="5"/>
      <c r="AL2609" s="7" t="str">
        <f>HYPERLINK("http://dx.doi.org/10.1111/j.1442-9993.2009.02017.x","http://dx.doi.org/10.1111/j.1442-9993.2009.02017.x")</f>
        <v>http://dx.doi.org/10.1111/j.1442-9993.2009.02017.x</v>
      </c>
      <c r="AM2609" s="5">
        <v>11</v>
      </c>
      <c r="AN2609" s="5">
        <v>11</v>
      </c>
      <c r="AO2609" s="5">
        <v>35</v>
      </c>
      <c r="AP2609" s="5">
        <v>1</v>
      </c>
      <c r="AQ2609" s="5">
        <v>96</v>
      </c>
      <c r="AR2609" s="5">
        <v>103</v>
      </c>
      <c r="AS2609" s="5" t="s">
        <v>16</v>
      </c>
      <c r="AT2609" s="5" t="s">
        <v>15624</v>
      </c>
      <c r="AU2609" s="5" t="s">
        <v>15625</v>
      </c>
      <c r="AV2609" s="5" t="s">
        <v>15627</v>
      </c>
    </row>
    <row r="2610" spans="1:48" ht="45" customHeight="1" x14ac:dyDescent="0.15">
      <c r="A2610" s="5" t="s">
        <v>15628</v>
      </c>
      <c r="B2610" s="5">
        <v>2013</v>
      </c>
      <c r="C2610" s="5" t="s">
        <v>15629</v>
      </c>
      <c r="D2610" s="5" t="s">
        <v>92</v>
      </c>
      <c r="E2610" s="5" t="s">
        <v>18453</v>
      </c>
      <c r="F2610" s="5" t="s">
        <v>15632</v>
      </c>
      <c r="G2610" s="5"/>
      <c r="H2610" s="5"/>
      <c r="I2610" s="5"/>
      <c r="J2610" s="5"/>
      <c r="K2610" s="5"/>
      <c r="L2610" s="5"/>
      <c r="M2610" s="5"/>
      <c r="N2610" s="5"/>
      <c r="O2610" s="5"/>
      <c r="P2610" s="5"/>
      <c r="Q2610" s="5"/>
      <c r="AL2610" s="7" t="str">
        <f>HYPERLINK("http://dx.doi.org/10.1899/12-063.1","http://dx.doi.org/10.1899/12-063.1")</f>
        <v>http://dx.doi.org/10.1899/12-063.1</v>
      </c>
      <c r="AM2610" s="5">
        <v>52</v>
      </c>
      <c r="AN2610" s="5">
        <v>52</v>
      </c>
      <c r="AO2610" s="5">
        <v>32</v>
      </c>
      <c r="AP2610" s="5">
        <v>1</v>
      </c>
      <c r="AQ2610" s="5">
        <v>283</v>
      </c>
      <c r="AR2610" s="5">
        <v>298</v>
      </c>
      <c r="AS2610" s="5" t="s">
        <v>16</v>
      </c>
      <c r="AT2610" s="5" t="s">
        <v>15630</v>
      </c>
      <c r="AU2610" s="5" t="s">
        <v>15631</v>
      </c>
      <c r="AV2610" s="5" t="s">
        <v>15633</v>
      </c>
    </row>
    <row r="2611" spans="1:48" ht="45" customHeight="1" x14ac:dyDescent="0.15">
      <c r="A2611" s="5" t="s">
        <v>15634</v>
      </c>
      <c r="B2611" s="5">
        <v>2014</v>
      </c>
      <c r="C2611" s="5" t="s">
        <v>15635</v>
      </c>
      <c r="D2611" s="5" t="s">
        <v>212</v>
      </c>
      <c r="E2611" s="5" t="s">
        <v>18453</v>
      </c>
      <c r="F2611" s="5" t="s">
        <v>15638</v>
      </c>
      <c r="G2611" s="5"/>
      <c r="H2611" s="5"/>
      <c r="I2611" s="5"/>
      <c r="J2611" s="5"/>
      <c r="K2611" s="5"/>
      <c r="L2611" s="5"/>
      <c r="M2611" s="5"/>
      <c r="N2611" s="5"/>
      <c r="O2611" s="5"/>
      <c r="P2611" s="5"/>
      <c r="Q2611" s="5"/>
      <c r="AL2611" s="7" t="str">
        <f>HYPERLINK("http://dx.doi.org/10.1007/s00300-014-1476-z","http://dx.doi.org/10.1007/s00300-014-1476-z")</f>
        <v>http://dx.doi.org/10.1007/s00300-014-1476-z</v>
      </c>
      <c r="AM2611" s="5">
        <v>14</v>
      </c>
      <c r="AN2611" s="5">
        <v>14</v>
      </c>
      <c r="AO2611" s="5">
        <v>37</v>
      </c>
      <c r="AP2611" s="5">
        <v>6</v>
      </c>
      <c r="AQ2611" s="5">
        <v>763</v>
      </c>
      <c r="AR2611" s="5">
        <v>771</v>
      </c>
      <c r="AS2611" s="5" t="s">
        <v>16</v>
      </c>
      <c r="AT2611" s="5" t="s">
        <v>15636</v>
      </c>
      <c r="AU2611" s="5" t="s">
        <v>15637</v>
      </c>
      <c r="AV2611" s="5" t="s">
        <v>15639</v>
      </c>
    </row>
    <row r="2612" spans="1:48" ht="45" customHeight="1" x14ac:dyDescent="0.15">
      <c r="A2612" s="5" t="s">
        <v>15640</v>
      </c>
      <c r="B2612" s="5">
        <v>2013</v>
      </c>
      <c r="C2612" s="5" t="s">
        <v>15641</v>
      </c>
      <c r="D2612" s="5" t="s">
        <v>513</v>
      </c>
      <c r="E2612" s="5" t="s">
        <v>18453</v>
      </c>
      <c r="F2612" s="5" t="s">
        <v>15644</v>
      </c>
      <c r="G2612" s="5"/>
      <c r="H2612" s="5"/>
      <c r="I2612" s="5"/>
      <c r="J2612" s="5"/>
      <c r="K2612" s="5"/>
      <c r="L2612" s="5"/>
      <c r="M2612" s="5"/>
      <c r="N2612" s="5"/>
      <c r="O2612" s="5"/>
      <c r="P2612" s="5"/>
      <c r="Q2612" s="5"/>
      <c r="AL2612" s="7" t="str">
        <f>HYPERLINK("http://dx.doi.org/10.1016/j.ecoleng.2013.07.022","http://dx.doi.org/10.1016/j.ecoleng.2013.07.022")</f>
        <v>http://dx.doi.org/10.1016/j.ecoleng.2013.07.022</v>
      </c>
      <c r="AM2612" s="5">
        <v>10</v>
      </c>
      <c r="AN2612" s="5">
        <v>11</v>
      </c>
      <c r="AO2612" s="5">
        <v>60</v>
      </c>
      <c r="AP2612" s="5" t="s">
        <v>16</v>
      </c>
      <c r="AQ2612" s="5">
        <v>116</v>
      </c>
      <c r="AR2612" s="5">
        <v>125</v>
      </c>
      <c r="AS2612" s="5" t="s">
        <v>16</v>
      </c>
      <c r="AT2612" s="5" t="s">
        <v>15642</v>
      </c>
      <c r="AU2612" s="5" t="s">
        <v>15643</v>
      </c>
      <c r="AV2612" s="5" t="s">
        <v>15645</v>
      </c>
    </row>
    <row r="2613" spans="1:48" ht="45" customHeight="1" x14ac:dyDescent="0.15">
      <c r="A2613" s="5" t="s">
        <v>15646</v>
      </c>
      <c r="B2613" s="5">
        <v>2019</v>
      </c>
      <c r="C2613" s="5" t="s">
        <v>15647</v>
      </c>
      <c r="D2613" s="5" t="s">
        <v>1765</v>
      </c>
      <c r="E2613" s="5" t="s">
        <v>18453</v>
      </c>
      <c r="F2613" s="5" t="s">
        <v>15650</v>
      </c>
      <c r="G2613" s="5"/>
      <c r="H2613" s="5"/>
      <c r="I2613" s="5"/>
      <c r="J2613" s="5"/>
      <c r="K2613" s="5"/>
      <c r="L2613" s="5"/>
      <c r="M2613" s="5"/>
      <c r="N2613" s="5"/>
      <c r="O2613" s="5"/>
      <c r="P2613" s="5"/>
      <c r="Q2613" s="5"/>
      <c r="AL2613" s="7" t="str">
        <f>HYPERLINK("http://dx.doi.org/10.1016/j.agee.2019.02.015","http://dx.doi.org/10.1016/j.agee.2019.02.015")</f>
        <v>http://dx.doi.org/10.1016/j.agee.2019.02.015</v>
      </c>
      <c r="AM2613" s="5">
        <v>25</v>
      </c>
      <c r="AN2613" s="5">
        <v>31</v>
      </c>
      <c r="AO2613" s="5">
        <v>276</v>
      </c>
      <c r="AP2613" s="5" t="s">
        <v>16</v>
      </c>
      <c r="AQ2613" s="5">
        <v>55</v>
      </c>
      <c r="AR2613" s="5">
        <v>63</v>
      </c>
      <c r="AS2613" s="5" t="s">
        <v>16</v>
      </c>
      <c r="AT2613" s="5" t="s">
        <v>15648</v>
      </c>
      <c r="AU2613" s="5" t="s">
        <v>15649</v>
      </c>
      <c r="AV2613" s="5" t="s">
        <v>15651</v>
      </c>
    </row>
    <row r="2614" spans="1:48" ht="45" customHeight="1" x14ac:dyDescent="0.15">
      <c r="A2614" s="5" t="s">
        <v>15652</v>
      </c>
      <c r="B2614" s="5">
        <v>2004</v>
      </c>
      <c r="C2614" s="5" t="s">
        <v>15653</v>
      </c>
      <c r="D2614" s="5" t="s">
        <v>62</v>
      </c>
      <c r="E2614" s="5" t="s">
        <v>18453</v>
      </c>
      <c r="F2614" s="5" t="s">
        <v>15656</v>
      </c>
      <c r="G2614" s="5"/>
      <c r="H2614" s="5"/>
      <c r="I2614" s="5"/>
      <c r="J2614" s="5"/>
      <c r="K2614" s="5"/>
      <c r="L2614" s="5"/>
      <c r="M2614" s="5"/>
      <c r="N2614" s="5"/>
      <c r="O2614" s="5"/>
      <c r="P2614" s="5"/>
      <c r="Q2614" s="5"/>
      <c r="AL2614" s="7" t="str">
        <f>HYPERLINK("http://dx.doi.org/10.1007/s10021-004-0139-2","http://dx.doi.org/10.1007/s10021-004-0139-2")</f>
        <v>http://dx.doi.org/10.1007/s10021-004-0139-2</v>
      </c>
      <c r="AM2614" s="5">
        <v>37</v>
      </c>
      <c r="AN2614" s="5">
        <v>37</v>
      </c>
      <c r="AO2614" s="5">
        <v>7</v>
      </c>
      <c r="AP2614" s="5">
        <v>5</v>
      </c>
      <c r="AQ2614" s="5">
        <v>482</v>
      </c>
      <c r="AR2614" s="5">
        <v>497</v>
      </c>
      <c r="AS2614" s="5" t="s">
        <v>16</v>
      </c>
      <c r="AT2614" s="5" t="s">
        <v>15654</v>
      </c>
      <c r="AU2614" s="5" t="s">
        <v>15655</v>
      </c>
      <c r="AV2614" s="5" t="s">
        <v>15657</v>
      </c>
    </row>
    <row r="2615" spans="1:48" ht="45" customHeight="1" x14ac:dyDescent="0.15">
      <c r="A2615" s="5" t="s">
        <v>15658</v>
      </c>
      <c r="B2615" s="5">
        <v>2008</v>
      </c>
      <c r="C2615" s="5" t="s">
        <v>15659</v>
      </c>
      <c r="D2615" s="5" t="s">
        <v>49</v>
      </c>
      <c r="E2615" s="5" t="s">
        <v>18453</v>
      </c>
      <c r="F2615" s="5" t="s">
        <v>15662</v>
      </c>
      <c r="G2615" s="5"/>
      <c r="H2615" s="5"/>
      <c r="I2615" s="5"/>
      <c r="J2615" s="5"/>
      <c r="K2615" s="5"/>
      <c r="L2615" s="5"/>
      <c r="M2615" s="5"/>
      <c r="N2615" s="5"/>
      <c r="O2615" s="5"/>
      <c r="P2615" s="5"/>
      <c r="Q2615" s="5"/>
      <c r="AL2615" s="7" t="str">
        <f>HYPERLINK("http://dx.doi.org/10.3354/meps07653","http://dx.doi.org/10.3354/meps07653")</f>
        <v>http://dx.doi.org/10.3354/meps07653</v>
      </c>
      <c r="AM2615" s="5">
        <v>57</v>
      </c>
      <c r="AN2615" s="5">
        <v>59</v>
      </c>
      <c r="AO2615" s="5">
        <v>370</v>
      </c>
      <c r="AP2615" s="5" t="s">
        <v>16</v>
      </c>
      <c r="AQ2615" s="5">
        <v>199</v>
      </c>
      <c r="AR2615" s="5">
        <v>206</v>
      </c>
      <c r="AS2615" s="5" t="s">
        <v>16</v>
      </c>
      <c r="AT2615" s="5" t="s">
        <v>15660</v>
      </c>
      <c r="AU2615" s="5" t="s">
        <v>15661</v>
      </c>
      <c r="AV2615" s="5" t="s">
        <v>15663</v>
      </c>
    </row>
    <row r="2616" spans="1:48" ht="45" customHeight="1" x14ac:dyDescent="0.15">
      <c r="A2616" s="5" t="s">
        <v>15664</v>
      </c>
      <c r="B2616" s="5">
        <v>2021</v>
      </c>
      <c r="C2616" s="5" t="s">
        <v>15665</v>
      </c>
      <c r="D2616" s="5" t="s">
        <v>49</v>
      </c>
      <c r="E2616" s="5" t="s">
        <v>18453</v>
      </c>
      <c r="F2616" s="5" t="s">
        <v>15668</v>
      </c>
      <c r="G2616" s="5"/>
      <c r="H2616" s="5"/>
      <c r="I2616" s="5"/>
      <c r="J2616" s="5"/>
      <c r="K2616" s="5"/>
      <c r="L2616" s="5"/>
      <c r="M2616" s="5"/>
      <c r="N2616" s="5"/>
      <c r="O2616" s="5"/>
      <c r="P2616" s="5"/>
      <c r="Q2616" s="5"/>
      <c r="AL2616" s="7" t="str">
        <f>HYPERLINK("http://dx.doi.org/10.3354/meps13657","http://dx.doi.org/10.3354/meps13657")</f>
        <v>http://dx.doi.org/10.3354/meps13657</v>
      </c>
      <c r="AM2616" s="5">
        <v>1</v>
      </c>
      <c r="AN2616" s="5">
        <v>1</v>
      </c>
      <c r="AO2616" s="5">
        <v>665</v>
      </c>
      <c r="AP2616" s="5" t="s">
        <v>16</v>
      </c>
      <c r="AQ2616" s="5">
        <v>63</v>
      </c>
      <c r="AR2616" s="5">
        <v>73</v>
      </c>
      <c r="AS2616" s="5" t="s">
        <v>16</v>
      </c>
      <c r="AT2616" s="5" t="s">
        <v>15666</v>
      </c>
      <c r="AU2616" s="5" t="s">
        <v>15667</v>
      </c>
      <c r="AV2616" s="5" t="s">
        <v>15669</v>
      </c>
    </row>
    <row r="2617" spans="1:48" ht="45" customHeight="1" x14ac:dyDescent="0.15">
      <c r="A2617" s="5" t="s">
        <v>15670</v>
      </c>
      <c r="B2617" s="5">
        <v>2012</v>
      </c>
      <c r="C2617" s="5" t="s">
        <v>15671</v>
      </c>
      <c r="D2617" s="5" t="s">
        <v>269</v>
      </c>
      <c r="E2617" s="5" t="s">
        <v>18453</v>
      </c>
      <c r="F2617" s="5" t="s">
        <v>15674</v>
      </c>
      <c r="G2617" s="5"/>
      <c r="H2617" s="5"/>
      <c r="I2617" s="5"/>
      <c r="J2617" s="5"/>
      <c r="K2617" s="5"/>
      <c r="L2617" s="5"/>
      <c r="M2617" s="5"/>
      <c r="N2617" s="5"/>
      <c r="O2617" s="5"/>
      <c r="P2617" s="5"/>
      <c r="Q2617" s="5"/>
      <c r="AL2617" s="7" t="str">
        <f>HYPERLINK("http://dx.doi.org/10.1080/14634988.2012.727732","http://dx.doi.org/10.1080/14634988.2012.727732")</f>
        <v>http://dx.doi.org/10.1080/14634988.2012.727732</v>
      </c>
      <c r="AM2617" s="5">
        <v>15</v>
      </c>
      <c r="AN2617" s="5">
        <v>15</v>
      </c>
      <c r="AO2617" s="5">
        <v>15</v>
      </c>
      <c r="AP2617" s="5">
        <v>4</v>
      </c>
      <c r="AQ2617" s="5">
        <v>370</v>
      </c>
      <c r="AR2617" s="5">
        <v>384</v>
      </c>
      <c r="AS2617" s="5" t="s">
        <v>16</v>
      </c>
      <c r="AT2617" s="5" t="s">
        <v>15672</v>
      </c>
      <c r="AU2617" s="5" t="s">
        <v>15673</v>
      </c>
      <c r="AV2617" s="5" t="s">
        <v>15675</v>
      </c>
    </row>
    <row r="2618" spans="1:48" ht="45" customHeight="1" x14ac:dyDescent="0.15">
      <c r="A2618" s="5" t="s">
        <v>15676</v>
      </c>
      <c r="B2618" s="5">
        <v>2016</v>
      </c>
      <c r="C2618" s="5" t="s">
        <v>15677</v>
      </c>
      <c r="D2618" s="5" t="s">
        <v>18</v>
      </c>
      <c r="E2618" s="5" t="s">
        <v>18453</v>
      </c>
      <c r="F2618" s="5" t="s">
        <v>15680</v>
      </c>
      <c r="G2618" s="5"/>
      <c r="H2618" s="5"/>
      <c r="I2618" s="5"/>
      <c r="J2618" s="5"/>
      <c r="K2618" s="5"/>
      <c r="L2618" s="5"/>
      <c r="M2618" s="5"/>
      <c r="N2618" s="5"/>
      <c r="O2618" s="5"/>
      <c r="P2618" s="5"/>
      <c r="Q2618" s="5"/>
      <c r="AL2618" s="7" t="str">
        <f>HYPERLINK("http://dx.doi.org/10.1002/ecs2.1532","http://dx.doi.org/10.1002/ecs2.1532")</f>
        <v>http://dx.doi.org/10.1002/ecs2.1532</v>
      </c>
      <c r="AM2618" s="5">
        <v>15</v>
      </c>
      <c r="AN2618" s="5">
        <v>15</v>
      </c>
      <c r="AO2618" s="5">
        <v>7</v>
      </c>
      <c r="AP2618" s="5">
        <v>10</v>
      </c>
      <c r="AQ2618" s="5" t="s">
        <v>16</v>
      </c>
      <c r="AR2618" s="5" t="s">
        <v>16</v>
      </c>
      <c r="AS2618" s="5" t="s">
        <v>15681</v>
      </c>
      <c r="AT2618" s="5" t="s">
        <v>15678</v>
      </c>
      <c r="AU2618" s="5" t="s">
        <v>15679</v>
      </c>
      <c r="AV2618" s="5" t="s">
        <v>15682</v>
      </c>
    </row>
    <row r="2619" spans="1:48" ht="45" customHeight="1" x14ac:dyDescent="0.15">
      <c r="A2619" s="5" t="s">
        <v>15683</v>
      </c>
      <c r="B2619" s="5">
        <v>2014</v>
      </c>
      <c r="C2619" s="5" t="s">
        <v>15684</v>
      </c>
      <c r="D2619" s="5" t="s">
        <v>5517</v>
      </c>
      <c r="E2619" s="5" t="s">
        <v>18453</v>
      </c>
      <c r="F2619" s="5" t="s">
        <v>15687</v>
      </c>
      <c r="G2619" s="5"/>
      <c r="H2619" s="5"/>
      <c r="I2619" s="5"/>
      <c r="J2619" s="5"/>
      <c r="K2619" s="5"/>
      <c r="L2619" s="5"/>
      <c r="M2619" s="5"/>
      <c r="N2619" s="5"/>
      <c r="O2619" s="5"/>
      <c r="P2619" s="5"/>
      <c r="Q2619" s="5"/>
      <c r="AL2619" s="7" t="str">
        <f>HYPERLINK("http://dx.doi.org/10.1038/ismej.2014.71","http://dx.doi.org/10.1038/ismej.2014.71")</f>
        <v>http://dx.doi.org/10.1038/ismej.2014.71</v>
      </c>
      <c r="AM2619" s="5">
        <v>78</v>
      </c>
      <c r="AN2619" s="5">
        <v>78</v>
      </c>
      <c r="AO2619" s="5">
        <v>8</v>
      </c>
      <c r="AP2619" s="5">
        <v>11</v>
      </c>
      <c r="AQ2619" s="5">
        <v>2180</v>
      </c>
      <c r="AR2619" s="5">
        <v>2192</v>
      </c>
      <c r="AS2619" s="5" t="s">
        <v>16</v>
      </c>
      <c r="AT2619" s="5" t="s">
        <v>15685</v>
      </c>
      <c r="AU2619" s="5" t="s">
        <v>15686</v>
      </c>
      <c r="AV2619" s="5" t="s">
        <v>15688</v>
      </c>
    </row>
    <row r="2620" spans="1:48" ht="45" customHeight="1" x14ac:dyDescent="0.15">
      <c r="A2620" s="5" t="s">
        <v>15689</v>
      </c>
      <c r="B2620" s="5">
        <v>2023</v>
      </c>
      <c r="C2620" s="5" t="s">
        <v>15690</v>
      </c>
      <c r="D2620" s="5" t="s">
        <v>160</v>
      </c>
      <c r="E2620" s="5" t="s">
        <v>18453</v>
      </c>
      <c r="F2620" s="5" t="s">
        <v>15693</v>
      </c>
      <c r="G2620" s="5"/>
      <c r="H2620" s="5"/>
      <c r="I2620" s="5"/>
      <c r="J2620" s="5"/>
      <c r="K2620" s="5"/>
      <c r="L2620" s="5"/>
      <c r="M2620" s="5"/>
      <c r="N2620" s="5"/>
      <c r="O2620" s="5"/>
      <c r="P2620" s="5"/>
      <c r="Q2620" s="5"/>
      <c r="AL2620" s="7" t="str">
        <f>HYPERLINK("http://dx.doi.org/10.1111/1365-2664.14384","http://dx.doi.org/10.1111/1365-2664.14384")</f>
        <v>http://dx.doi.org/10.1111/1365-2664.14384</v>
      </c>
      <c r="AM2620" s="5">
        <v>1</v>
      </c>
      <c r="AN2620" s="5">
        <v>1</v>
      </c>
      <c r="AO2620" s="5">
        <v>60</v>
      </c>
      <c r="AP2620" s="5">
        <v>5</v>
      </c>
      <c r="AQ2620" s="5">
        <v>803</v>
      </c>
      <c r="AR2620" s="5">
        <v>813</v>
      </c>
      <c r="AS2620" s="5" t="s">
        <v>16</v>
      </c>
      <c r="AT2620" s="5" t="s">
        <v>15691</v>
      </c>
      <c r="AU2620" s="5" t="s">
        <v>15692</v>
      </c>
      <c r="AV2620" s="5" t="s">
        <v>15694</v>
      </c>
    </row>
    <row r="2621" spans="1:48" ht="45" customHeight="1" x14ac:dyDescent="0.15">
      <c r="A2621" s="5" t="s">
        <v>15695</v>
      </c>
      <c r="B2621" s="5">
        <v>2021</v>
      </c>
      <c r="C2621" s="5" t="s">
        <v>15696</v>
      </c>
      <c r="D2621" s="5" t="s">
        <v>159</v>
      </c>
      <c r="E2621" s="5" t="s">
        <v>18453</v>
      </c>
      <c r="F2621" s="5" t="s">
        <v>15699</v>
      </c>
      <c r="G2621" s="5"/>
      <c r="H2621" s="5"/>
      <c r="I2621" s="5"/>
      <c r="J2621" s="5"/>
      <c r="K2621" s="5"/>
      <c r="L2621" s="5"/>
      <c r="M2621" s="5"/>
      <c r="N2621" s="5"/>
      <c r="O2621" s="5"/>
      <c r="P2621" s="5"/>
      <c r="Q2621" s="5"/>
      <c r="AL2621" s="7" t="str">
        <f>HYPERLINK("http://dx.doi.org/10.3390/d13080349","http://dx.doi.org/10.3390/d13080349")</f>
        <v>http://dx.doi.org/10.3390/d13080349</v>
      </c>
      <c r="AM2621" s="5">
        <v>1</v>
      </c>
      <c r="AN2621" s="5">
        <v>1</v>
      </c>
      <c r="AO2621" s="5">
        <v>13</v>
      </c>
      <c r="AP2621" s="5">
        <v>8</v>
      </c>
      <c r="AQ2621" s="5" t="s">
        <v>16</v>
      </c>
      <c r="AR2621" s="5" t="s">
        <v>16</v>
      </c>
      <c r="AS2621" s="5">
        <v>349</v>
      </c>
      <c r="AT2621" s="5" t="s">
        <v>15697</v>
      </c>
      <c r="AU2621" s="5" t="s">
        <v>15698</v>
      </c>
      <c r="AV2621" s="5" t="s">
        <v>15700</v>
      </c>
    </row>
    <row r="2622" spans="1:48" ht="45" customHeight="1" x14ac:dyDescent="0.15">
      <c r="A2622" s="5" t="s">
        <v>15701</v>
      </c>
      <c r="B2622" s="5">
        <v>2007</v>
      </c>
      <c r="C2622" s="5" t="s">
        <v>15702</v>
      </c>
      <c r="D2622" s="5" t="s">
        <v>8569</v>
      </c>
      <c r="E2622" s="5" t="s">
        <v>18453</v>
      </c>
      <c r="F2622" s="5" t="s">
        <v>15705</v>
      </c>
      <c r="G2622" s="5"/>
      <c r="H2622" s="5"/>
      <c r="I2622" s="5"/>
      <c r="J2622" s="5"/>
      <c r="K2622" s="5"/>
      <c r="L2622" s="5"/>
      <c r="M2622" s="5"/>
      <c r="N2622" s="5"/>
      <c r="O2622" s="5"/>
      <c r="P2622" s="5"/>
      <c r="Q2622" s="5"/>
      <c r="AL2622" s="5" t="s">
        <v>16</v>
      </c>
      <c r="AM2622" s="5">
        <v>10</v>
      </c>
      <c r="AN2622" s="5">
        <v>12</v>
      </c>
      <c r="AO2622" s="5">
        <v>16</v>
      </c>
      <c r="AP2622" s="5">
        <v>62</v>
      </c>
      <c r="AQ2622" s="5">
        <v>1</v>
      </c>
      <c r="AR2622" s="5">
        <v>8</v>
      </c>
      <c r="AS2622" s="5" t="s">
        <v>16</v>
      </c>
      <c r="AT2622" s="5" t="s">
        <v>15703</v>
      </c>
      <c r="AU2622" s="5" t="s">
        <v>15704</v>
      </c>
      <c r="AV2622" s="5" t="s">
        <v>16</v>
      </c>
    </row>
    <row r="2623" spans="1:48" ht="45" customHeight="1" x14ac:dyDescent="0.15">
      <c r="A2623" s="5" t="s">
        <v>15706</v>
      </c>
      <c r="B2623" s="5">
        <v>2004</v>
      </c>
      <c r="C2623" s="5" t="s">
        <v>15707</v>
      </c>
      <c r="D2623" s="5" t="s">
        <v>11675</v>
      </c>
      <c r="E2623" s="5" t="s">
        <v>18453</v>
      </c>
      <c r="F2623" s="5" t="s">
        <v>15710</v>
      </c>
      <c r="G2623" s="5"/>
      <c r="H2623" s="5"/>
      <c r="I2623" s="5"/>
      <c r="J2623" s="5"/>
      <c r="K2623" s="5"/>
      <c r="L2623" s="5"/>
      <c r="M2623" s="5"/>
      <c r="N2623" s="5"/>
      <c r="O2623" s="5"/>
      <c r="P2623" s="5"/>
      <c r="Q2623" s="5"/>
      <c r="AL2623" s="7" t="str">
        <f>HYPERLINK("http://dx.doi.org/10.3354/ame036227","http://dx.doi.org/10.3354/ame036227")</f>
        <v>http://dx.doi.org/10.3354/ame036227</v>
      </c>
      <c r="AM2623" s="5">
        <v>101</v>
      </c>
      <c r="AN2623" s="5">
        <v>105</v>
      </c>
      <c r="AO2623" s="5">
        <v>36</v>
      </c>
      <c r="AP2623" s="5">
        <v>3</v>
      </c>
      <c r="AQ2623" s="5">
        <v>227</v>
      </c>
      <c r="AR2623" s="5">
        <v>237</v>
      </c>
      <c r="AS2623" s="5" t="s">
        <v>16</v>
      </c>
      <c r="AT2623" s="5" t="s">
        <v>15708</v>
      </c>
      <c r="AU2623" s="5" t="s">
        <v>15709</v>
      </c>
      <c r="AV2623" s="5" t="s">
        <v>15711</v>
      </c>
    </row>
    <row r="2624" spans="1:48" ht="45" customHeight="1" x14ac:dyDescent="0.15">
      <c r="A2624" s="5" t="s">
        <v>15712</v>
      </c>
      <c r="B2624" s="5">
        <v>2022</v>
      </c>
      <c r="C2624" s="5" t="s">
        <v>15713</v>
      </c>
      <c r="D2624" s="5" t="s">
        <v>67</v>
      </c>
      <c r="E2624" s="5" t="s">
        <v>18453</v>
      </c>
      <c r="F2624" s="5" t="s">
        <v>15716</v>
      </c>
      <c r="G2624" s="5"/>
      <c r="H2624" s="5"/>
      <c r="I2624" s="5"/>
      <c r="J2624" s="5"/>
      <c r="K2624" s="5"/>
      <c r="L2624" s="5"/>
      <c r="M2624" s="5"/>
      <c r="N2624" s="5"/>
      <c r="O2624" s="5"/>
      <c r="P2624" s="5"/>
      <c r="Q2624" s="5"/>
      <c r="AL2624" s="7" t="str">
        <f>HYPERLINK("http://dx.doi.org/10.1111/jbi.14285","http://dx.doi.org/10.1111/jbi.14285")</f>
        <v>http://dx.doi.org/10.1111/jbi.14285</v>
      </c>
      <c r="AM2624" s="5">
        <v>0</v>
      </c>
      <c r="AN2624" s="5">
        <v>0</v>
      </c>
      <c r="AO2624" s="5">
        <v>49</v>
      </c>
      <c r="AP2624" s="5">
        <v>1</v>
      </c>
      <c r="AQ2624" s="5">
        <v>104</v>
      </c>
      <c r="AR2624" s="5">
        <v>116</v>
      </c>
      <c r="AS2624" s="5" t="s">
        <v>16</v>
      </c>
      <c r="AT2624" s="5" t="s">
        <v>15714</v>
      </c>
      <c r="AU2624" s="5" t="s">
        <v>15715</v>
      </c>
      <c r="AV2624" s="5" t="s">
        <v>15717</v>
      </c>
    </row>
    <row r="2625" spans="1:48" ht="45" customHeight="1" x14ac:dyDescent="0.15">
      <c r="A2625" s="5" t="s">
        <v>15718</v>
      </c>
      <c r="B2625" s="5">
        <v>2007</v>
      </c>
      <c r="C2625" s="5" t="s">
        <v>15719</v>
      </c>
      <c r="D2625" s="5" t="s">
        <v>3980</v>
      </c>
      <c r="E2625" s="5" t="s">
        <v>18453</v>
      </c>
      <c r="F2625" s="5" t="s">
        <v>15722</v>
      </c>
      <c r="G2625" s="5"/>
      <c r="H2625" s="5"/>
      <c r="I2625" s="5"/>
      <c r="J2625" s="5"/>
      <c r="K2625" s="5"/>
      <c r="L2625" s="5"/>
      <c r="M2625" s="5"/>
      <c r="N2625" s="5"/>
      <c r="O2625" s="5"/>
      <c r="P2625" s="5"/>
      <c r="Q2625" s="5"/>
      <c r="AL2625" s="7" t="str">
        <f>HYPERLINK("http://dx.doi.org/10.1111/j.1744-7429.2007.00285.x","http://dx.doi.org/10.1111/j.1744-7429.2007.00285.x")</f>
        <v>http://dx.doi.org/10.1111/j.1744-7429.2007.00285.x</v>
      </c>
      <c r="AM2625" s="5">
        <v>100</v>
      </c>
      <c r="AN2625" s="5">
        <v>106</v>
      </c>
      <c r="AO2625" s="5">
        <v>39</v>
      </c>
      <c r="AP2625" s="5">
        <v>4</v>
      </c>
      <c r="AQ2625" s="5">
        <v>489</v>
      </c>
      <c r="AR2625" s="5">
        <v>495</v>
      </c>
      <c r="AS2625" s="5" t="s">
        <v>16</v>
      </c>
      <c r="AT2625" s="5" t="s">
        <v>15720</v>
      </c>
      <c r="AU2625" s="5" t="s">
        <v>15721</v>
      </c>
      <c r="AV2625" s="5" t="s">
        <v>15723</v>
      </c>
    </row>
    <row r="2626" spans="1:48" ht="45" customHeight="1" x14ac:dyDescent="0.15">
      <c r="A2626" s="5" t="s">
        <v>15724</v>
      </c>
      <c r="B2626" s="5">
        <v>2012</v>
      </c>
      <c r="C2626" s="5" t="s">
        <v>15725</v>
      </c>
      <c r="D2626" s="5" t="s">
        <v>138</v>
      </c>
      <c r="E2626" s="5" t="s">
        <v>18453</v>
      </c>
      <c r="F2626" s="5" t="s">
        <v>15728</v>
      </c>
      <c r="G2626" s="5"/>
      <c r="H2626" s="5"/>
      <c r="I2626" s="5"/>
      <c r="J2626" s="5"/>
      <c r="K2626" s="5"/>
      <c r="L2626" s="5"/>
      <c r="M2626" s="5"/>
      <c r="N2626" s="5"/>
      <c r="O2626" s="5"/>
      <c r="P2626" s="5"/>
      <c r="Q2626" s="5"/>
      <c r="AL2626" s="7" t="str">
        <f>HYPERLINK("http://dx.doi.org/10.1111/j.1442-9993.2011.02258.x","http://dx.doi.org/10.1111/j.1442-9993.2011.02258.x")</f>
        <v>http://dx.doi.org/10.1111/j.1442-9993.2011.02258.x</v>
      </c>
      <c r="AM2626" s="5">
        <v>18</v>
      </c>
      <c r="AN2626" s="5">
        <v>20</v>
      </c>
      <c r="AO2626" s="5">
        <v>37</v>
      </c>
      <c r="AP2626" s="5">
        <v>2</v>
      </c>
      <c r="AQ2626" s="5">
        <v>153</v>
      </c>
      <c r="AR2626" s="5">
        <v>163</v>
      </c>
      <c r="AS2626" s="5" t="s">
        <v>16</v>
      </c>
      <c r="AT2626" s="5" t="s">
        <v>15726</v>
      </c>
      <c r="AU2626" s="5" t="s">
        <v>15727</v>
      </c>
      <c r="AV2626" s="5" t="s">
        <v>15729</v>
      </c>
    </row>
    <row r="2627" spans="1:48" ht="45" customHeight="1" x14ac:dyDescent="0.15">
      <c r="A2627" s="5" t="s">
        <v>15730</v>
      </c>
      <c r="B2627" s="5">
        <v>2019</v>
      </c>
      <c r="C2627" s="5" t="s">
        <v>15731</v>
      </c>
      <c r="D2627" s="5" t="s">
        <v>49</v>
      </c>
      <c r="E2627" s="5" t="s">
        <v>18453</v>
      </c>
      <c r="F2627" s="5" t="s">
        <v>15734</v>
      </c>
      <c r="G2627" s="5"/>
      <c r="H2627" s="5"/>
      <c r="I2627" s="5"/>
      <c r="J2627" s="5"/>
      <c r="K2627" s="5"/>
      <c r="L2627" s="5"/>
      <c r="M2627" s="5"/>
      <c r="N2627" s="5"/>
      <c r="O2627" s="5"/>
      <c r="P2627" s="5"/>
      <c r="Q2627" s="5"/>
      <c r="AL2627" s="7" t="str">
        <f>HYPERLINK("http://dx.doi.org/10.3354/meps12974","http://dx.doi.org/10.3354/meps12974")</f>
        <v>http://dx.doi.org/10.3354/meps12974</v>
      </c>
      <c r="AM2627" s="5">
        <v>15</v>
      </c>
      <c r="AN2627" s="5">
        <v>15</v>
      </c>
      <c r="AO2627" s="5">
        <v>621</v>
      </c>
      <c r="AP2627" s="5" t="s">
        <v>16</v>
      </c>
      <c r="AQ2627" s="5">
        <v>19</v>
      </c>
      <c r="AR2627" s="5">
        <v>32</v>
      </c>
      <c r="AS2627" s="5" t="s">
        <v>16</v>
      </c>
      <c r="AT2627" s="5" t="s">
        <v>15732</v>
      </c>
      <c r="AU2627" s="5" t="s">
        <v>15733</v>
      </c>
      <c r="AV2627" s="5" t="s">
        <v>15735</v>
      </c>
    </row>
    <row r="2628" spans="1:48" ht="45" customHeight="1" x14ac:dyDescent="0.15">
      <c r="A2628" s="5" t="s">
        <v>15736</v>
      </c>
      <c r="B2628" s="5">
        <v>2013</v>
      </c>
      <c r="C2628" s="5" t="s">
        <v>15737</v>
      </c>
      <c r="D2628" s="5" t="s">
        <v>513</v>
      </c>
      <c r="E2628" s="5" t="s">
        <v>18453</v>
      </c>
      <c r="F2628" s="5" t="s">
        <v>15740</v>
      </c>
      <c r="G2628" s="5"/>
      <c r="H2628" s="5"/>
      <c r="I2628" s="5"/>
      <c r="J2628" s="5"/>
      <c r="K2628" s="5"/>
      <c r="L2628" s="5"/>
      <c r="M2628" s="5"/>
      <c r="N2628" s="5"/>
      <c r="O2628" s="5"/>
      <c r="P2628" s="5"/>
      <c r="Q2628" s="5"/>
      <c r="AL2628" s="7" t="str">
        <f>HYPERLINK("http://dx.doi.org/10.1016/j.ecoleng.2012.12.099","http://dx.doi.org/10.1016/j.ecoleng.2012.12.099")</f>
        <v>http://dx.doi.org/10.1016/j.ecoleng.2012.12.099</v>
      </c>
      <c r="AM2628" s="5">
        <v>61</v>
      </c>
      <c r="AN2628" s="5">
        <v>67</v>
      </c>
      <c r="AO2628" s="5">
        <v>52</v>
      </c>
      <c r="AP2628" s="5" t="s">
        <v>16</v>
      </c>
      <c r="AQ2628" s="5">
        <v>154</v>
      </c>
      <c r="AR2628" s="5">
        <v>160</v>
      </c>
      <c r="AS2628" s="5" t="s">
        <v>16</v>
      </c>
      <c r="AT2628" s="5" t="s">
        <v>15738</v>
      </c>
      <c r="AU2628" s="5" t="s">
        <v>15739</v>
      </c>
      <c r="AV2628" s="5" t="s">
        <v>15741</v>
      </c>
    </row>
    <row r="2629" spans="1:48" ht="45" customHeight="1" x14ac:dyDescent="0.15">
      <c r="A2629" s="5" t="s">
        <v>15742</v>
      </c>
      <c r="B2629" s="5">
        <v>2014</v>
      </c>
      <c r="C2629" s="5" t="s">
        <v>15743</v>
      </c>
      <c r="D2629" s="5" t="s">
        <v>1134</v>
      </c>
      <c r="E2629" s="5" t="s">
        <v>18453</v>
      </c>
      <c r="F2629" s="5" t="s">
        <v>16</v>
      </c>
      <c r="G2629" s="5"/>
      <c r="H2629" s="5"/>
      <c r="I2629" s="5"/>
      <c r="J2629" s="5"/>
      <c r="K2629" s="5"/>
      <c r="L2629" s="5"/>
      <c r="M2629" s="5"/>
      <c r="N2629" s="5"/>
      <c r="O2629" s="5"/>
      <c r="P2629" s="5"/>
      <c r="Q2629" s="5"/>
      <c r="AL2629" s="7" t="str">
        <f>HYPERLINK("http://dx.doi.org/10.1080/17451000.2013.833338","http://dx.doi.org/10.1080/17451000.2013.833338")</f>
        <v>http://dx.doi.org/10.1080/17451000.2013.833338</v>
      </c>
      <c r="AM2629" s="5">
        <v>15</v>
      </c>
      <c r="AN2629" s="5">
        <v>15</v>
      </c>
      <c r="AO2629" s="5">
        <v>10</v>
      </c>
      <c r="AP2629" s="5">
        <v>6</v>
      </c>
      <c r="AQ2629" s="5">
        <v>625</v>
      </c>
      <c r="AR2629" s="5">
        <v>634</v>
      </c>
      <c r="AS2629" s="5" t="s">
        <v>16</v>
      </c>
      <c r="AT2629" s="5" t="s">
        <v>16</v>
      </c>
      <c r="AU2629" s="5" t="s">
        <v>15744</v>
      </c>
      <c r="AV2629" s="5" t="s">
        <v>15745</v>
      </c>
    </row>
    <row r="2630" spans="1:48" ht="45" customHeight="1" x14ac:dyDescent="0.15">
      <c r="A2630" s="5" t="s">
        <v>15746</v>
      </c>
      <c r="B2630" s="5">
        <v>2012</v>
      </c>
      <c r="C2630" s="5" t="s">
        <v>15747</v>
      </c>
      <c r="D2630" s="5" t="s">
        <v>62</v>
      </c>
      <c r="E2630" s="5" t="s">
        <v>18453</v>
      </c>
      <c r="F2630" s="5" t="s">
        <v>15750</v>
      </c>
      <c r="G2630" s="5"/>
      <c r="H2630" s="5"/>
      <c r="I2630" s="5"/>
      <c r="J2630" s="5"/>
      <c r="K2630" s="5"/>
      <c r="L2630" s="5"/>
      <c r="M2630" s="5"/>
      <c r="N2630" s="5"/>
      <c r="O2630" s="5"/>
      <c r="P2630" s="5"/>
      <c r="Q2630" s="5"/>
      <c r="AL2630" s="7" t="str">
        <f>HYPERLINK("http://dx.doi.org/10.1007/s10021-011-9495-x","http://dx.doi.org/10.1007/s10021-011-9495-x")</f>
        <v>http://dx.doi.org/10.1007/s10021-011-9495-x</v>
      </c>
      <c r="AM2630" s="5">
        <v>26</v>
      </c>
      <c r="AN2630" s="5">
        <v>26</v>
      </c>
      <c r="AO2630" s="5">
        <v>15</v>
      </c>
      <c r="AP2630" s="5">
        <v>1</v>
      </c>
      <c r="AQ2630" s="5">
        <v>83</v>
      </c>
      <c r="AR2630" s="5">
        <v>96</v>
      </c>
      <c r="AS2630" s="5" t="s">
        <v>16</v>
      </c>
      <c r="AT2630" s="5" t="s">
        <v>15748</v>
      </c>
      <c r="AU2630" s="5" t="s">
        <v>15749</v>
      </c>
      <c r="AV2630" s="5" t="s">
        <v>15751</v>
      </c>
    </row>
    <row r="2631" spans="1:48" ht="45" customHeight="1" x14ac:dyDescent="0.15">
      <c r="A2631" s="5" t="s">
        <v>15752</v>
      </c>
      <c r="B2631" s="5">
        <v>2012</v>
      </c>
      <c r="C2631" s="5" t="s">
        <v>15753</v>
      </c>
      <c r="D2631" s="5" t="s">
        <v>242</v>
      </c>
      <c r="E2631" s="5" t="s">
        <v>18453</v>
      </c>
      <c r="F2631" s="5" t="s">
        <v>15756</v>
      </c>
      <c r="G2631" s="5"/>
      <c r="H2631" s="5"/>
      <c r="I2631" s="5"/>
      <c r="J2631" s="5"/>
      <c r="K2631" s="5"/>
      <c r="L2631" s="5"/>
      <c r="M2631" s="5"/>
      <c r="N2631" s="5"/>
      <c r="O2631" s="5"/>
      <c r="P2631" s="5"/>
      <c r="Q2631" s="5"/>
      <c r="AL2631" s="7" t="str">
        <f>HYPERLINK("http://dx.doi.org/10.1007/s10980-012-9797-1","http://dx.doi.org/10.1007/s10980-012-9797-1")</f>
        <v>http://dx.doi.org/10.1007/s10980-012-9797-1</v>
      </c>
      <c r="AM2631" s="5">
        <v>19</v>
      </c>
      <c r="AN2631" s="5">
        <v>20</v>
      </c>
      <c r="AO2631" s="5">
        <v>27</v>
      </c>
      <c r="AP2631" s="5">
        <v>9</v>
      </c>
      <c r="AQ2631" s="5">
        <v>1237</v>
      </c>
      <c r="AR2631" s="5">
        <v>1248</v>
      </c>
      <c r="AS2631" s="5" t="s">
        <v>16</v>
      </c>
      <c r="AT2631" s="5" t="s">
        <v>15754</v>
      </c>
      <c r="AU2631" s="5" t="s">
        <v>15755</v>
      </c>
      <c r="AV2631" s="5" t="s">
        <v>15757</v>
      </c>
    </row>
    <row r="2632" spans="1:48" ht="45" customHeight="1" x14ac:dyDescent="0.15">
      <c r="A2632" s="5" t="s">
        <v>15758</v>
      </c>
      <c r="B2632" s="5">
        <v>2013</v>
      </c>
      <c r="C2632" s="5" t="s">
        <v>15759</v>
      </c>
      <c r="D2632" s="5" t="s">
        <v>242</v>
      </c>
      <c r="E2632" s="5" t="s">
        <v>18453</v>
      </c>
      <c r="F2632" s="5" t="s">
        <v>15762</v>
      </c>
      <c r="G2632" s="5"/>
      <c r="H2632" s="5"/>
      <c r="I2632" s="5"/>
      <c r="J2632" s="5"/>
      <c r="K2632" s="5"/>
      <c r="L2632" s="5"/>
      <c r="M2632" s="5"/>
      <c r="N2632" s="5"/>
      <c r="O2632" s="5"/>
      <c r="P2632" s="5"/>
      <c r="Q2632" s="5"/>
      <c r="AL2632" s="7" t="str">
        <f>HYPERLINK("http://dx.doi.org/10.1007/s10980-012-9819-z","http://dx.doi.org/10.1007/s10980-012-9819-z")</f>
        <v>http://dx.doi.org/10.1007/s10980-012-9819-z</v>
      </c>
      <c r="AM2632" s="5">
        <v>216</v>
      </c>
      <c r="AN2632" s="5">
        <v>218</v>
      </c>
      <c r="AO2632" s="5">
        <v>28</v>
      </c>
      <c r="AP2632" s="5">
        <v>2</v>
      </c>
      <c r="AQ2632" s="5">
        <v>165</v>
      </c>
      <c r="AR2632" s="5">
        <v>185</v>
      </c>
      <c r="AS2632" s="5" t="s">
        <v>16</v>
      </c>
      <c r="AT2632" s="5" t="s">
        <v>15760</v>
      </c>
      <c r="AU2632" s="5" t="s">
        <v>15761</v>
      </c>
      <c r="AV2632" s="5" t="s">
        <v>15763</v>
      </c>
    </row>
    <row r="2633" spans="1:48" ht="45" customHeight="1" x14ac:dyDescent="0.15">
      <c r="A2633" s="5" t="s">
        <v>15764</v>
      </c>
      <c r="B2633" s="5">
        <v>1997</v>
      </c>
      <c r="C2633" s="5" t="s">
        <v>15765</v>
      </c>
      <c r="D2633" s="5" t="s">
        <v>82</v>
      </c>
      <c r="E2633" s="5" t="s">
        <v>18453</v>
      </c>
      <c r="F2633" s="5" t="s">
        <v>15768</v>
      </c>
      <c r="G2633" s="5"/>
      <c r="H2633" s="5"/>
      <c r="I2633" s="5"/>
      <c r="J2633" s="5"/>
      <c r="K2633" s="5"/>
      <c r="L2633" s="5"/>
      <c r="M2633" s="5"/>
      <c r="N2633" s="5"/>
      <c r="O2633" s="5"/>
      <c r="P2633" s="5"/>
      <c r="Q2633" s="5"/>
      <c r="AL2633" s="5" t="s">
        <v>16</v>
      </c>
      <c r="AM2633" s="5">
        <v>213</v>
      </c>
      <c r="AN2633" s="5">
        <v>219</v>
      </c>
      <c r="AO2633" s="5">
        <v>7</v>
      </c>
      <c r="AP2633" s="5">
        <v>3</v>
      </c>
      <c r="AQ2633" s="5">
        <v>1024</v>
      </c>
      <c r="AR2633" s="5">
        <v>1038</v>
      </c>
      <c r="AS2633" s="5" t="s">
        <v>16</v>
      </c>
      <c r="AT2633" s="5" t="s">
        <v>15766</v>
      </c>
      <c r="AU2633" s="5" t="s">
        <v>15767</v>
      </c>
      <c r="AV2633" s="5" t="s">
        <v>16</v>
      </c>
    </row>
    <row r="2634" spans="1:48" ht="45" customHeight="1" x14ac:dyDescent="0.15">
      <c r="A2634" s="5" t="s">
        <v>15769</v>
      </c>
      <c r="B2634" s="5">
        <v>2021</v>
      </c>
      <c r="C2634" s="5" t="s">
        <v>15770</v>
      </c>
      <c r="D2634" s="5" t="s">
        <v>77</v>
      </c>
      <c r="E2634" s="5" t="s">
        <v>18453</v>
      </c>
      <c r="F2634" s="5" t="s">
        <v>15773</v>
      </c>
      <c r="G2634" s="5"/>
      <c r="H2634" s="5"/>
      <c r="I2634" s="5"/>
      <c r="J2634" s="5"/>
      <c r="K2634" s="5"/>
      <c r="L2634" s="5"/>
      <c r="M2634" s="5"/>
      <c r="N2634" s="5"/>
      <c r="O2634" s="5"/>
      <c r="P2634" s="5"/>
      <c r="Q2634" s="5"/>
      <c r="AL2634" s="7" t="str">
        <f>HYPERLINK("http://dx.doi.org/10.1111/1365-2656.13446","http://dx.doi.org/10.1111/1365-2656.13446")</f>
        <v>http://dx.doi.org/10.1111/1365-2656.13446</v>
      </c>
      <c r="AM2634" s="5">
        <v>2</v>
      </c>
      <c r="AN2634" s="5">
        <v>2</v>
      </c>
      <c r="AO2634" s="5">
        <v>90</v>
      </c>
      <c r="AP2634" s="5">
        <v>5</v>
      </c>
      <c r="AQ2634" s="5">
        <v>1191</v>
      </c>
      <c r="AR2634" s="5">
        <v>1204</v>
      </c>
      <c r="AS2634" s="5" t="s">
        <v>16</v>
      </c>
      <c r="AT2634" s="5" t="s">
        <v>15771</v>
      </c>
      <c r="AU2634" s="5" t="s">
        <v>15772</v>
      </c>
      <c r="AV2634" s="5" t="s">
        <v>15774</v>
      </c>
    </row>
    <row r="2635" spans="1:48" ht="45" customHeight="1" x14ac:dyDescent="0.15">
      <c r="A2635" s="5" t="s">
        <v>15775</v>
      </c>
      <c r="B2635" s="5">
        <v>2008</v>
      </c>
      <c r="C2635" s="5" t="s">
        <v>15776</v>
      </c>
      <c r="D2635" s="5" t="s">
        <v>82</v>
      </c>
      <c r="E2635" s="5" t="s">
        <v>18453</v>
      </c>
      <c r="F2635" s="5" t="s">
        <v>15779</v>
      </c>
      <c r="G2635" s="5"/>
      <c r="H2635" s="5"/>
      <c r="I2635" s="5"/>
      <c r="J2635" s="5"/>
      <c r="K2635" s="5"/>
      <c r="L2635" s="5"/>
      <c r="M2635" s="5"/>
      <c r="N2635" s="5"/>
      <c r="O2635" s="5"/>
      <c r="P2635" s="5"/>
      <c r="Q2635" s="5"/>
      <c r="AL2635" s="7" t="str">
        <f>HYPERLINK("http://dx.doi.org/10.1890/06-1458.1","http://dx.doi.org/10.1890/06-1458.1")</f>
        <v>http://dx.doi.org/10.1890/06-1458.1</v>
      </c>
      <c r="AM2635" s="5">
        <v>20</v>
      </c>
      <c r="AN2635" s="5">
        <v>21</v>
      </c>
      <c r="AO2635" s="5">
        <v>18</v>
      </c>
      <c r="AP2635" s="5">
        <v>8</v>
      </c>
      <c r="AQ2635" s="5" t="s">
        <v>15780</v>
      </c>
      <c r="AR2635" s="5" t="s">
        <v>15781</v>
      </c>
      <c r="AS2635" s="5" t="s">
        <v>16</v>
      </c>
      <c r="AT2635" s="5" t="s">
        <v>15777</v>
      </c>
      <c r="AU2635" s="5" t="s">
        <v>15778</v>
      </c>
      <c r="AV2635" s="5" t="s">
        <v>15782</v>
      </c>
    </row>
    <row r="2636" spans="1:48" ht="45" customHeight="1" x14ac:dyDescent="0.15">
      <c r="A2636" s="5" t="s">
        <v>15783</v>
      </c>
      <c r="B2636" s="5">
        <v>2016</v>
      </c>
      <c r="C2636" s="5" t="s">
        <v>15784</v>
      </c>
      <c r="D2636" s="5" t="s">
        <v>49</v>
      </c>
      <c r="E2636" s="5" t="s">
        <v>18453</v>
      </c>
      <c r="F2636" s="5" t="s">
        <v>15787</v>
      </c>
      <c r="G2636" s="5"/>
      <c r="H2636" s="5"/>
      <c r="I2636" s="5"/>
      <c r="J2636" s="5"/>
      <c r="K2636" s="5"/>
      <c r="L2636" s="5"/>
      <c r="M2636" s="5"/>
      <c r="N2636" s="5"/>
      <c r="O2636" s="5"/>
      <c r="P2636" s="5"/>
      <c r="Q2636" s="5"/>
      <c r="AL2636" s="7" t="str">
        <f>HYPERLINK("http://dx.doi.org/10.3354/meps11880","http://dx.doi.org/10.3354/meps11880")</f>
        <v>http://dx.doi.org/10.3354/meps11880</v>
      </c>
      <c r="AM2636" s="5">
        <v>4</v>
      </c>
      <c r="AN2636" s="5">
        <v>4</v>
      </c>
      <c r="AO2636" s="5">
        <v>558</v>
      </c>
      <c r="AP2636" s="5" t="s">
        <v>16</v>
      </c>
      <c r="AQ2636" s="5">
        <v>143</v>
      </c>
      <c r="AR2636" s="5">
        <v>152</v>
      </c>
      <c r="AS2636" s="5" t="s">
        <v>16</v>
      </c>
      <c r="AT2636" s="5" t="s">
        <v>15785</v>
      </c>
      <c r="AU2636" s="5" t="s">
        <v>15786</v>
      </c>
      <c r="AV2636" s="5" t="s">
        <v>15788</v>
      </c>
    </row>
    <row r="2637" spans="1:48" ht="45" customHeight="1" x14ac:dyDescent="0.15">
      <c r="A2637" s="5" t="s">
        <v>15789</v>
      </c>
      <c r="B2637" s="5">
        <v>2020</v>
      </c>
      <c r="C2637" s="5" t="s">
        <v>15790</v>
      </c>
      <c r="D2637" s="5" t="s">
        <v>18</v>
      </c>
      <c r="E2637" s="5" t="s">
        <v>18453</v>
      </c>
      <c r="F2637" s="5" t="s">
        <v>15793</v>
      </c>
      <c r="G2637" s="5"/>
      <c r="H2637" s="5"/>
      <c r="I2637" s="5"/>
      <c r="J2637" s="5"/>
      <c r="K2637" s="5"/>
      <c r="L2637" s="5"/>
      <c r="M2637" s="5"/>
      <c r="N2637" s="5"/>
      <c r="O2637" s="5"/>
      <c r="P2637" s="5"/>
      <c r="Q2637" s="5"/>
      <c r="AL2637" s="7" t="str">
        <f>HYPERLINK("http://dx.doi.org/10.1002/ecs2.3223","http://dx.doi.org/10.1002/ecs2.3223")</f>
        <v>http://dx.doi.org/10.1002/ecs2.3223</v>
      </c>
      <c r="AM2637" s="5">
        <v>8</v>
      </c>
      <c r="AN2637" s="5">
        <v>9</v>
      </c>
      <c r="AO2637" s="5">
        <v>11</v>
      </c>
      <c r="AP2637" s="5">
        <v>8</v>
      </c>
      <c r="AQ2637" s="5" t="s">
        <v>16</v>
      </c>
      <c r="AR2637" s="5" t="s">
        <v>16</v>
      </c>
      <c r="AS2637" s="5" t="s">
        <v>15794</v>
      </c>
      <c r="AT2637" s="5" t="s">
        <v>15791</v>
      </c>
      <c r="AU2637" s="5" t="s">
        <v>15792</v>
      </c>
      <c r="AV2637" s="5" t="s">
        <v>15795</v>
      </c>
    </row>
    <row r="2638" spans="1:48" ht="45" customHeight="1" x14ac:dyDescent="0.15">
      <c r="A2638" s="5" t="s">
        <v>15796</v>
      </c>
      <c r="B2638" s="5">
        <v>2022</v>
      </c>
      <c r="C2638" s="5" t="s">
        <v>15797</v>
      </c>
      <c r="D2638" s="5" t="s">
        <v>44</v>
      </c>
      <c r="E2638" s="5" t="s">
        <v>18453</v>
      </c>
      <c r="F2638" s="5" t="s">
        <v>15800</v>
      </c>
      <c r="G2638" s="5"/>
      <c r="H2638" s="5"/>
      <c r="I2638" s="5"/>
      <c r="J2638" s="5"/>
      <c r="K2638" s="5"/>
      <c r="L2638" s="5"/>
      <c r="M2638" s="5"/>
      <c r="N2638" s="5"/>
      <c r="O2638" s="5"/>
      <c r="P2638" s="5"/>
      <c r="Q2638" s="5"/>
      <c r="AL2638" s="7" t="str">
        <f>HYPERLINK("http://dx.doi.org/10.3389/fevo.2022.925648","http://dx.doi.org/10.3389/fevo.2022.925648")</f>
        <v>http://dx.doi.org/10.3389/fevo.2022.925648</v>
      </c>
      <c r="AM2638" s="5">
        <v>0</v>
      </c>
      <c r="AN2638" s="5">
        <v>0</v>
      </c>
      <c r="AO2638" s="5">
        <v>10</v>
      </c>
      <c r="AP2638" s="5" t="s">
        <v>16</v>
      </c>
      <c r="AQ2638" s="5" t="s">
        <v>16</v>
      </c>
      <c r="AR2638" s="5" t="s">
        <v>16</v>
      </c>
      <c r="AS2638" s="5">
        <v>925648</v>
      </c>
      <c r="AT2638" s="5" t="s">
        <v>15798</v>
      </c>
      <c r="AU2638" s="5" t="s">
        <v>15799</v>
      </c>
      <c r="AV2638" s="5" t="s">
        <v>15801</v>
      </c>
    </row>
    <row r="2639" spans="1:48" ht="45" customHeight="1" x14ac:dyDescent="0.15">
      <c r="A2639" s="5" t="s">
        <v>15802</v>
      </c>
      <c r="B2639" s="5">
        <v>2013</v>
      </c>
      <c r="C2639" s="5" t="s">
        <v>15803</v>
      </c>
      <c r="D2639" s="5" t="s">
        <v>13092</v>
      </c>
      <c r="E2639" s="5" t="s">
        <v>18453</v>
      </c>
      <c r="F2639" s="5" t="s">
        <v>15806</v>
      </c>
      <c r="G2639" s="5"/>
      <c r="H2639" s="5"/>
      <c r="I2639" s="5"/>
      <c r="J2639" s="5"/>
      <c r="K2639" s="5"/>
      <c r="L2639" s="5"/>
      <c r="M2639" s="5"/>
      <c r="N2639" s="5"/>
      <c r="O2639" s="5"/>
      <c r="P2639" s="5"/>
      <c r="Q2639" s="5"/>
      <c r="AL2639" s="7" t="str">
        <f>HYPERLINK("http://dx.doi.org/10.1007/s10682-012-9596-9","http://dx.doi.org/10.1007/s10682-012-9596-9")</f>
        <v>http://dx.doi.org/10.1007/s10682-012-9596-9</v>
      </c>
      <c r="AM2639" s="5">
        <v>26</v>
      </c>
      <c r="AN2639" s="5">
        <v>26</v>
      </c>
      <c r="AO2639" s="5">
        <v>27</v>
      </c>
      <c r="AP2639" s="5">
        <v>2</v>
      </c>
      <c r="AQ2639" s="5">
        <v>253</v>
      </c>
      <c r="AR2639" s="5">
        <v>267</v>
      </c>
      <c r="AS2639" s="5" t="s">
        <v>16</v>
      </c>
      <c r="AT2639" s="5" t="s">
        <v>15804</v>
      </c>
      <c r="AU2639" s="5" t="s">
        <v>15805</v>
      </c>
      <c r="AV2639" s="5" t="s">
        <v>15807</v>
      </c>
    </row>
    <row r="2640" spans="1:48" ht="45" customHeight="1" x14ac:dyDescent="0.15">
      <c r="A2640" s="5" t="s">
        <v>15808</v>
      </c>
      <c r="B2640" s="5">
        <v>2011</v>
      </c>
      <c r="C2640" s="5" t="s">
        <v>15809</v>
      </c>
      <c r="D2640" s="5" t="s">
        <v>973</v>
      </c>
      <c r="E2640" s="5" t="s">
        <v>18453</v>
      </c>
      <c r="F2640" s="5" t="s">
        <v>15811</v>
      </c>
      <c r="G2640" s="5"/>
      <c r="H2640" s="5"/>
      <c r="I2640" s="5"/>
      <c r="J2640" s="5"/>
      <c r="K2640" s="5"/>
      <c r="L2640" s="5"/>
      <c r="M2640" s="5"/>
      <c r="N2640" s="5"/>
      <c r="O2640" s="5"/>
      <c r="P2640" s="5"/>
      <c r="Q2640" s="5"/>
      <c r="AL2640" s="7" t="str">
        <f>HYPERLINK("http://dx.doi.org/10.5194/bg-8-3457-2011","http://dx.doi.org/10.5194/bg-8-3457-2011")</f>
        <v>http://dx.doi.org/10.5194/bg-8-3457-2011</v>
      </c>
      <c r="AM2640" s="5">
        <v>253</v>
      </c>
      <c r="AN2640" s="5">
        <v>263</v>
      </c>
      <c r="AO2640" s="5">
        <v>8</v>
      </c>
      <c r="AP2640" s="5">
        <v>11</v>
      </c>
      <c r="AQ2640" s="5">
        <v>3457</v>
      </c>
      <c r="AR2640" s="5">
        <v>3489</v>
      </c>
      <c r="AS2640" s="5" t="s">
        <v>16</v>
      </c>
      <c r="AT2640" s="5" t="s">
        <v>16</v>
      </c>
      <c r="AU2640" s="5" t="s">
        <v>15810</v>
      </c>
      <c r="AV2640" s="5" t="s">
        <v>15812</v>
      </c>
    </row>
    <row r="2641" spans="1:48" ht="45" customHeight="1" x14ac:dyDescent="0.15">
      <c r="A2641" s="5" t="s">
        <v>15813</v>
      </c>
      <c r="B2641" s="5">
        <v>2019</v>
      </c>
      <c r="C2641" s="5" t="s">
        <v>15814</v>
      </c>
      <c r="D2641" s="5" t="s">
        <v>18</v>
      </c>
      <c r="E2641" s="5" t="s">
        <v>18453</v>
      </c>
      <c r="F2641" s="5" t="s">
        <v>15817</v>
      </c>
      <c r="G2641" s="5"/>
      <c r="H2641" s="5"/>
      <c r="I2641" s="5"/>
      <c r="J2641" s="5"/>
      <c r="K2641" s="5"/>
      <c r="L2641" s="5"/>
      <c r="M2641" s="5"/>
      <c r="N2641" s="5"/>
      <c r="O2641" s="5"/>
      <c r="P2641" s="5"/>
      <c r="Q2641" s="5"/>
      <c r="AL2641" s="7" t="str">
        <f>HYPERLINK("http://dx.doi.org/10.1002/ecs2.2531","http://dx.doi.org/10.1002/ecs2.2531")</f>
        <v>http://dx.doi.org/10.1002/ecs2.2531</v>
      </c>
      <c r="AM2641" s="5">
        <v>15</v>
      </c>
      <c r="AN2641" s="5">
        <v>16</v>
      </c>
      <c r="AO2641" s="5">
        <v>10</v>
      </c>
      <c r="AP2641" s="5">
        <v>1</v>
      </c>
      <c r="AQ2641" s="5" t="s">
        <v>16</v>
      </c>
      <c r="AR2641" s="5" t="s">
        <v>16</v>
      </c>
      <c r="AS2641" s="5" t="s">
        <v>15818</v>
      </c>
      <c r="AT2641" s="5" t="s">
        <v>15815</v>
      </c>
      <c r="AU2641" s="5" t="s">
        <v>15816</v>
      </c>
      <c r="AV2641" s="5" t="s">
        <v>15819</v>
      </c>
    </row>
    <row r="2642" spans="1:48" ht="45" customHeight="1" x14ac:dyDescent="0.15">
      <c r="A2642" s="5" t="s">
        <v>15820</v>
      </c>
      <c r="B2642" s="5">
        <v>2016</v>
      </c>
      <c r="C2642" s="5" t="s">
        <v>15821</v>
      </c>
      <c r="D2642" s="5" t="s">
        <v>15</v>
      </c>
      <c r="E2642" s="5" t="s">
        <v>18453</v>
      </c>
      <c r="F2642" s="5" t="s">
        <v>15824</v>
      </c>
      <c r="G2642" s="5"/>
      <c r="H2642" s="5"/>
      <c r="I2642" s="5"/>
      <c r="J2642" s="5"/>
      <c r="K2642" s="5"/>
      <c r="L2642" s="5"/>
      <c r="M2642" s="5"/>
      <c r="N2642" s="5"/>
      <c r="O2642" s="5"/>
      <c r="P2642" s="5"/>
      <c r="Q2642" s="5"/>
      <c r="AL2642" s="7" t="str">
        <f>HYPERLINK("http://dx.doi.org/10.1002/ece3.2457","http://dx.doi.org/10.1002/ece3.2457")</f>
        <v>http://dx.doi.org/10.1002/ece3.2457</v>
      </c>
      <c r="AM2642" s="5">
        <v>20</v>
      </c>
      <c r="AN2642" s="5">
        <v>21</v>
      </c>
      <c r="AO2642" s="5">
        <v>6</v>
      </c>
      <c r="AP2642" s="5">
        <v>20</v>
      </c>
      <c r="AQ2642" s="5">
        <v>7276</v>
      </c>
      <c r="AR2642" s="5">
        <v>7285</v>
      </c>
      <c r="AS2642" s="5" t="s">
        <v>16</v>
      </c>
      <c r="AT2642" s="5" t="s">
        <v>15822</v>
      </c>
      <c r="AU2642" s="5" t="s">
        <v>15823</v>
      </c>
      <c r="AV2642" s="5" t="s">
        <v>15825</v>
      </c>
    </row>
    <row r="2643" spans="1:48" ht="45" customHeight="1" x14ac:dyDescent="0.15">
      <c r="A2643" s="5" t="s">
        <v>15826</v>
      </c>
      <c r="B2643" s="5">
        <v>2017</v>
      </c>
      <c r="C2643" s="5" t="s">
        <v>15827</v>
      </c>
      <c r="D2643" s="5" t="s">
        <v>62</v>
      </c>
      <c r="E2643" s="5" t="s">
        <v>18453</v>
      </c>
      <c r="F2643" s="5" t="s">
        <v>15830</v>
      </c>
      <c r="G2643" s="5"/>
      <c r="H2643" s="5"/>
      <c r="I2643" s="5"/>
      <c r="J2643" s="5"/>
      <c r="K2643" s="5"/>
      <c r="L2643" s="5"/>
      <c r="M2643" s="5"/>
      <c r="N2643" s="5"/>
      <c r="O2643" s="5"/>
      <c r="P2643" s="5"/>
      <c r="Q2643" s="5"/>
      <c r="AL2643" s="7" t="str">
        <f>HYPERLINK("http://dx.doi.org/10.1007/s10021-016-0094-8","http://dx.doi.org/10.1007/s10021-016-0094-8")</f>
        <v>http://dx.doi.org/10.1007/s10021-016-0094-8</v>
      </c>
      <c r="AM2643" s="5">
        <v>13</v>
      </c>
      <c r="AN2643" s="5">
        <v>13</v>
      </c>
      <c r="AO2643" s="5">
        <v>20</v>
      </c>
      <c r="AP2643" s="5">
        <v>6</v>
      </c>
      <c r="AQ2643" s="5">
        <v>1073</v>
      </c>
      <c r="AR2643" s="5">
        <v>1088</v>
      </c>
      <c r="AS2643" s="5" t="s">
        <v>16</v>
      </c>
      <c r="AT2643" s="5" t="s">
        <v>15828</v>
      </c>
      <c r="AU2643" s="5" t="s">
        <v>15829</v>
      </c>
      <c r="AV2643" s="5" t="s">
        <v>15831</v>
      </c>
    </row>
    <row r="2644" spans="1:48" ht="45" customHeight="1" x14ac:dyDescent="0.15">
      <c r="A2644" s="5" t="s">
        <v>15832</v>
      </c>
      <c r="B2644" s="5">
        <v>2014</v>
      </c>
      <c r="C2644" s="5" t="s">
        <v>15833</v>
      </c>
      <c r="D2644" s="5" t="s">
        <v>92</v>
      </c>
      <c r="E2644" s="5" t="s">
        <v>18453</v>
      </c>
      <c r="F2644" s="5" t="s">
        <v>15836</v>
      </c>
      <c r="G2644" s="5"/>
      <c r="H2644" s="5"/>
      <c r="I2644" s="5"/>
      <c r="J2644" s="5"/>
      <c r="K2644" s="5"/>
      <c r="L2644" s="5"/>
      <c r="M2644" s="5"/>
      <c r="N2644" s="5"/>
      <c r="O2644" s="5"/>
      <c r="P2644" s="5"/>
      <c r="Q2644" s="5"/>
      <c r="AL2644" s="7" t="str">
        <f>HYPERLINK("http://dx.doi.org/10.1086/676140","http://dx.doi.org/10.1086/676140")</f>
        <v>http://dx.doi.org/10.1086/676140</v>
      </c>
      <c r="AM2644" s="5">
        <v>90</v>
      </c>
      <c r="AN2644" s="5">
        <v>95</v>
      </c>
      <c r="AO2644" s="5">
        <v>33</v>
      </c>
      <c r="AP2644" s="5">
        <v>2</v>
      </c>
      <c r="AQ2644" s="5">
        <v>475</v>
      </c>
      <c r="AR2644" s="5">
        <v>486</v>
      </c>
      <c r="AS2644" s="5" t="s">
        <v>16</v>
      </c>
      <c r="AT2644" s="5" t="s">
        <v>15834</v>
      </c>
      <c r="AU2644" s="5" t="s">
        <v>15835</v>
      </c>
      <c r="AV2644" s="5" t="s">
        <v>15837</v>
      </c>
    </row>
    <row r="2645" spans="1:48" ht="45" customHeight="1" x14ac:dyDescent="0.15">
      <c r="A2645" s="5" t="s">
        <v>15838</v>
      </c>
      <c r="B2645" s="5">
        <v>2011</v>
      </c>
      <c r="C2645" s="5" t="s">
        <v>15839</v>
      </c>
      <c r="D2645" s="5" t="s">
        <v>1765</v>
      </c>
      <c r="E2645" s="5" t="s">
        <v>18453</v>
      </c>
      <c r="F2645" s="5" t="s">
        <v>15842</v>
      </c>
      <c r="G2645" s="5"/>
      <c r="H2645" s="5"/>
      <c r="I2645" s="5"/>
      <c r="J2645" s="5"/>
      <c r="K2645" s="5"/>
      <c r="L2645" s="5"/>
      <c r="M2645" s="5"/>
      <c r="N2645" s="5"/>
      <c r="O2645" s="5"/>
      <c r="P2645" s="5"/>
      <c r="Q2645" s="5"/>
      <c r="AL2645" s="7" t="str">
        <f>HYPERLINK("http://dx.doi.org/10.1016/j.agee.2010.11.009","http://dx.doi.org/10.1016/j.agee.2010.11.009")</f>
        <v>http://dx.doi.org/10.1016/j.agee.2010.11.009</v>
      </c>
      <c r="AM2645" s="5">
        <v>14</v>
      </c>
      <c r="AN2645" s="5">
        <v>14</v>
      </c>
      <c r="AO2645" s="5">
        <v>140</v>
      </c>
      <c r="AP2645" s="5" t="s">
        <v>778</v>
      </c>
      <c r="AQ2645" s="5">
        <v>34</v>
      </c>
      <c r="AR2645" s="5">
        <v>45</v>
      </c>
      <c r="AS2645" s="5" t="s">
        <v>16</v>
      </c>
      <c r="AT2645" s="5" t="s">
        <v>15840</v>
      </c>
      <c r="AU2645" s="5" t="s">
        <v>15841</v>
      </c>
      <c r="AV2645" s="5" t="s">
        <v>15843</v>
      </c>
    </row>
    <row r="2646" spans="1:48" ht="45" customHeight="1" x14ac:dyDescent="0.15">
      <c r="A2646" s="5" t="s">
        <v>15844</v>
      </c>
      <c r="B2646" s="5">
        <v>2021</v>
      </c>
      <c r="C2646" s="5" t="s">
        <v>15845</v>
      </c>
      <c r="D2646" s="5" t="s">
        <v>973</v>
      </c>
      <c r="E2646" s="5" t="s">
        <v>18453</v>
      </c>
      <c r="F2646" s="5" t="s">
        <v>15847</v>
      </c>
      <c r="G2646" s="5"/>
      <c r="H2646" s="5"/>
      <c r="I2646" s="5"/>
      <c r="J2646" s="5"/>
      <c r="K2646" s="5"/>
      <c r="L2646" s="5"/>
      <c r="M2646" s="5"/>
      <c r="N2646" s="5"/>
      <c r="O2646" s="5"/>
      <c r="P2646" s="5"/>
      <c r="Q2646" s="5"/>
      <c r="AL2646" s="7" t="str">
        <f>HYPERLINK("http://dx.doi.org/10.5194/bg-18-2527-2021","http://dx.doi.org/10.5194/bg-18-2527-2021")</f>
        <v>http://dx.doi.org/10.5194/bg-18-2527-2021</v>
      </c>
      <c r="AM2646" s="5">
        <v>6</v>
      </c>
      <c r="AN2646" s="5">
        <v>6</v>
      </c>
      <c r="AO2646" s="5">
        <v>18</v>
      </c>
      <c r="AP2646" s="5">
        <v>8</v>
      </c>
      <c r="AQ2646" s="5">
        <v>2527</v>
      </c>
      <c r="AR2646" s="5">
        <v>2538</v>
      </c>
      <c r="AS2646" s="5" t="s">
        <v>16</v>
      </c>
      <c r="AT2646" s="5" t="s">
        <v>16</v>
      </c>
      <c r="AU2646" s="5" t="s">
        <v>15846</v>
      </c>
      <c r="AV2646" s="5" t="s">
        <v>15848</v>
      </c>
    </row>
    <row r="2647" spans="1:48" ht="45" customHeight="1" x14ac:dyDescent="0.15">
      <c r="A2647" s="5" t="s">
        <v>15849</v>
      </c>
      <c r="B2647" s="5">
        <v>2014</v>
      </c>
      <c r="C2647" s="5" t="s">
        <v>15850</v>
      </c>
      <c r="D2647" s="5" t="s">
        <v>77</v>
      </c>
      <c r="E2647" s="5" t="s">
        <v>18453</v>
      </c>
      <c r="F2647" s="5" t="s">
        <v>15853</v>
      </c>
      <c r="G2647" s="5"/>
      <c r="H2647" s="5"/>
      <c r="I2647" s="5"/>
      <c r="J2647" s="5"/>
      <c r="K2647" s="5"/>
      <c r="L2647" s="5"/>
      <c r="M2647" s="5"/>
      <c r="N2647" s="5"/>
      <c r="O2647" s="5"/>
      <c r="P2647" s="5"/>
      <c r="Q2647" s="5"/>
      <c r="AL2647" s="7" t="str">
        <f>HYPERLINK("http://dx.doi.org/10.1111/1365-2656.12152","http://dx.doi.org/10.1111/1365-2656.12152")</f>
        <v>http://dx.doi.org/10.1111/1365-2656.12152</v>
      </c>
      <c r="AM2647" s="5">
        <v>28</v>
      </c>
      <c r="AN2647" s="5">
        <v>28</v>
      </c>
      <c r="AO2647" s="5">
        <v>83</v>
      </c>
      <c r="AP2647" s="5">
        <v>2</v>
      </c>
      <c r="AQ2647" s="5">
        <v>450</v>
      </c>
      <c r="AR2647" s="5">
        <v>459</v>
      </c>
      <c r="AS2647" s="5" t="s">
        <v>16</v>
      </c>
      <c r="AT2647" s="5" t="s">
        <v>15851</v>
      </c>
      <c r="AU2647" s="5" t="s">
        <v>15852</v>
      </c>
      <c r="AV2647" s="5" t="s">
        <v>15854</v>
      </c>
    </row>
    <row r="2648" spans="1:48" ht="45" customHeight="1" x14ac:dyDescent="0.15">
      <c r="A2648" s="5" t="s">
        <v>15855</v>
      </c>
      <c r="B2648" s="5">
        <v>2016</v>
      </c>
      <c r="C2648" s="5" t="s">
        <v>15856</v>
      </c>
      <c r="D2648" s="5" t="s">
        <v>973</v>
      </c>
      <c r="E2648" s="5" t="s">
        <v>18453</v>
      </c>
      <c r="F2648" s="5" t="s">
        <v>15858</v>
      </c>
      <c r="G2648" s="5"/>
      <c r="H2648" s="5"/>
      <c r="I2648" s="5"/>
      <c r="J2648" s="5"/>
      <c r="K2648" s="5"/>
      <c r="L2648" s="5"/>
      <c r="M2648" s="5"/>
      <c r="N2648" s="5"/>
      <c r="O2648" s="5"/>
      <c r="P2648" s="5"/>
      <c r="Q2648" s="5"/>
      <c r="AL2648" s="7" t="str">
        <f>HYPERLINK("http://dx.doi.org/10.5194/bg-13-6211-2016","http://dx.doi.org/10.5194/bg-13-6211-2016")</f>
        <v>http://dx.doi.org/10.5194/bg-13-6211-2016</v>
      </c>
      <c r="AM2648" s="5">
        <v>35</v>
      </c>
      <c r="AN2648" s="5">
        <v>35</v>
      </c>
      <c r="AO2648" s="5">
        <v>13</v>
      </c>
      <c r="AP2648" s="5">
        <v>22</v>
      </c>
      <c r="AQ2648" s="5">
        <v>6211</v>
      </c>
      <c r="AR2648" s="5">
        <v>6228</v>
      </c>
      <c r="AS2648" s="5" t="s">
        <v>16</v>
      </c>
      <c r="AT2648" s="5" t="s">
        <v>16</v>
      </c>
      <c r="AU2648" s="5" t="s">
        <v>15857</v>
      </c>
      <c r="AV2648" s="5" t="s">
        <v>15859</v>
      </c>
    </row>
    <row r="2649" spans="1:48" ht="45" customHeight="1" x14ac:dyDescent="0.15">
      <c r="A2649" s="5" t="s">
        <v>15860</v>
      </c>
      <c r="B2649" s="5">
        <v>1997</v>
      </c>
      <c r="C2649" s="5" t="s">
        <v>15861</v>
      </c>
      <c r="D2649" s="5" t="s">
        <v>17</v>
      </c>
      <c r="E2649" s="5" t="s">
        <v>18453</v>
      </c>
      <c r="F2649" s="5" t="s">
        <v>15863</v>
      </c>
      <c r="G2649" s="5"/>
      <c r="H2649" s="5"/>
      <c r="I2649" s="5"/>
      <c r="J2649" s="5"/>
      <c r="K2649" s="5"/>
      <c r="L2649" s="5"/>
      <c r="M2649" s="5"/>
      <c r="N2649" s="5"/>
      <c r="O2649" s="5"/>
      <c r="P2649" s="5"/>
      <c r="Q2649" s="5"/>
      <c r="AL2649" s="7" t="str">
        <f>HYPERLINK("http://dx.doi.org/10.1046/j.1365-2427.1997.d01-540.x","http://dx.doi.org/10.1046/j.1365-2427.1997.d01-540.x")</f>
        <v>http://dx.doi.org/10.1046/j.1365-2427.1997.d01-540.x</v>
      </c>
      <c r="AM2649" s="5">
        <v>297</v>
      </c>
      <c r="AN2649" s="5">
        <v>308</v>
      </c>
      <c r="AO2649" s="5">
        <v>37</v>
      </c>
      <c r="AP2649" s="5">
        <v>1</v>
      </c>
      <c r="AQ2649" s="5">
        <v>219</v>
      </c>
      <c r="AR2649" s="5" t="s">
        <v>15864</v>
      </c>
      <c r="AS2649" s="5" t="s">
        <v>16</v>
      </c>
      <c r="AT2649" s="5" t="s">
        <v>16</v>
      </c>
      <c r="AU2649" s="5" t="s">
        <v>15862</v>
      </c>
      <c r="AV2649" s="5" t="s">
        <v>15865</v>
      </c>
    </row>
    <row r="2650" spans="1:48" ht="45" customHeight="1" x14ac:dyDescent="0.15">
      <c r="A2650" s="5" t="s">
        <v>15866</v>
      </c>
      <c r="B2650" s="5">
        <v>2003</v>
      </c>
      <c r="C2650" s="5" t="s">
        <v>15867</v>
      </c>
      <c r="D2650" s="5" t="s">
        <v>27</v>
      </c>
      <c r="E2650" s="5" t="s">
        <v>18453</v>
      </c>
      <c r="F2650" s="5" t="s">
        <v>15870</v>
      </c>
      <c r="G2650" s="5"/>
      <c r="H2650" s="5"/>
      <c r="I2650" s="5"/>
      <c r="J2650" s="5"/>
      <c r="K2650" s="5"/>
      <c r="L2650" s="5"/>
      <c r="M2650" s="5"/>
      <c r="N2650" s="5"/>
      <c r="O2650" s="5"/>
      <c r="P2650" s="5"/>
      <c r="Q2650" s="5"/>
      <c r="AL2650" s="7" t="str">
        <f>HYPERLINK("http://dx.doi.org/10.1890/0012-9658(2003)084[0969:MAASOC]2.0.CO;2","http://dx.doi.org/10.1890/0012-9658(2003)084[0969:MAASOC]2.0.CO;2")</f>
        <v>http://dx.doi.org/10.1890/0012-9658(2003)084[0969:MAASOC]2.0.CO;2</v>
      </c>
      <c r="AM2650" s="5">
        <v>160</v>
      </c>
      <c r="AN2650" s="5">
        <v>164</v>
      </c>
      <c r="AO2650" s="5">
        <v>84</v>
      </c>
      <c r="AP2650" s="5">
        <v>4</v>
      </c>
      <c r="AQ2650" s="5">
        <v>969</v>
      </c>
      <c r="AR2650" s="5">
        <v>981</v>
      </c>
      <c r="AS2650" s="5" t="s">
        <v>16</v>
      </c>
      <c r="AT2650" s="5" t="s">
        <v>15868</v>
      </c>
      <c r="AU2650" s="5" t="s">
        <v>15869</v>
      </c>
      <c r="AV2650" s="5" t="s">
        <v>15871</v>
      </c>
    </row>
    <row r="2651" spans="1:48" ht="45" customHeight="1" x14ac:dyDescent="0.15">
      <c r="A2651" s="5" t="s">
        <v>15872</v>
      </c>
      <c r="B2651" s="5">
        <v>2021</v>
      </c>
      <c r="C2651" s="5" t="s">
        <v>15873</v>
      </c>
      <c r="D2651" s="5" t="s">
        <v>15</v>
      </c>
      <c r="E2651" s="5" t="s">
        <v>18453</v>
      </c>
      <c r="F2651" s="5" t="s">
        <v>15876</v>
      </c>
      <c r="G2651" s="5"/>
      <c r="H2651" s="5"/>
      <c r="I2651" s="5"/>
      <c r="J2651" s="5"/>
      <c r="K2651" s="5"/>
      <c r="L2651" s="5"/>
      <c r="M2651" s="5"/>
      <c r="N2651" s="5"/>
      <c r="O2651" s="5"/>
      <c r="P2651" s="5"/>
      <c r="Q2651" s="5"/>
      <c r="AL2651" s="7" t="str">
        <f>HYPERLINK("http://dx.doi.org/10.1002/ece3.8293","http://dx.doi.org/10.1002/ece3.8293")</f>
        <v>http://dx.doi.org/10.1002/ece3.8293</v>
      </c>
      <c r="AM2651" s="5">
        <v>6</v>
      </c>
      <c r="AN2651" s="5">
        <v>6</v>
      </c>
      <c r="AO2651" s="5">
        <v>11</v>
      </c>
      <c r="AP2651" s="5">
        <v>22</v>
      </c>
      <c r="AQ2651" s="5">
        <v>16126</v>
      </c>
      <c r="AR2651" s="5">
        <v>16142</v>
      </c>
      <c r="AS2651" s="5" t="s">
        <v>16</v>
      </c>
      <c r="AT2651" s="5" t="s">
        <v>15874</v>
      </c>
      <c r="AU2651" s="5" t="s">
        <v>15875</v>
      </c>
      <c r="AV2651" s="5" t="s">
        <v>15877</v>
      </c>
    </row>
    <row r="2652" spans="1:48" ht="45" customHeight="1" x14ac:dyDescent="0.15">
      <c r="A2652" s="5" t="s">
        <v>15878</v>
      </c>
      <c r="B2652" s="5">
        <v>2020</v>
      </c>
      <c r="C2652" s="5" t="s">
        <v>15879</v>
      </c>
      <c r="D2652" s="5" t="s">
        <v>973</v>
      </c>
      <c r="E2652" s="5" t="s">
        <v>18453</v>
      </c>
      <c r="F2652" s="5" t="s">
        <v>15881</v>
      </c>
      <c r="G2652" s="5"/>
      <c r="H2652" s="5"/>
      <c r="I2652" s="5"/>
      <c r="J2652" s="5"/>
      <c r="K2652" s="5"/>
      <c r="L2652" s="5"/>
      <c r="M2652" s="5"/>
      <c r="N2652" s="5"/>
      <c r="O2652" s="5"/>
      <c r="P2652" s="5"/>
      <c r="Q2652" s="5"/>
      <c r="AL2652" s="7" t="str">
        <f>HYPERLINK("http://dx.doi.org/10.5194/bg-17-5639-2020","http://dx.doi.org/10.5194/bg-17-5639-2020")</f>
        <v>http://dx.doi.org/10.5194/bg-17-5639-2020</v>
      </c>
      <c r="AM2652" s="5">
        <v>4</v>
      </c>
      <c r="AN2652" s="5">
        <v>4</v>
      </c>
      <c r="AO2652" s="5">
        <v>17</v>
      </c>
      <c r="AP2652" s="5">
        <v>22</v>
      </c>
      <c r="AQ2652" s="5">
        <v>5639</v>
      </c>
      <c r="AR2652" s="5">
        <v>5653</v>
      </c>
      <c r="AS2652" s="5" t="s">
        <v>16</v>
      </c>
      <c r="AT2652" s="5" t="s">
        <v>16</v>
      </c>
      <c r="AU2652" s="5" t="s">
        <v>15880</v>
      </c>
      <c r="AV2652" s="5" t="s">
        <v>15882</v>
      </c>
    </row>
    <row r="2653" spans="1:48" ht="45" customHeight="1" x14ac:dyDescent="0.15">
      <c r="A2653" s="5" t="s">
        <v>15883</v>
      </c>
      <c r="B2653" s="5">
        <v>2011</v>
      </c>
      <c r="C2653" s="5" t="s">
        <v>15884</v>
      </c>
      <c r="D2653" s="5" t="s">
        <v>49</v>
      </c>
      <c r="E2653" s="5" t="s">
        <v>18453</v>
      </c>
      <c r="F2653" s="5" t="s">
        <v>15887</v>
      </c>
      <c r="G2653" s="5"/>
      <c r="H2653" s="5"/>
      <c r="I2653" s="5"/>
      <c r="J2653" s="5"/>
      <c r="K2653" s="5"/>
      <c r="L2653" s="5"/>
      <c r="M2653" s="5"/>
      <c r="N2653" s="5"/>
      <c r="O2653" s="5"/>
      <c r="P2653" s="5"/>
      <c r="Q2653" s="5"/>
      <c r="AL2653" s="7" t="str">
        <f>HYPERLINK("http://dx.doi.org/10.3354/meps09395","http://dx.doi.org/10.3354/meps09395")</f>
        <v>http://dx.doi.org/10.3354/meps09395</v>
      </c>
      <c r="AM2653" s="5">
        <v>41</v>
      </c>
      <c r="AN2653" s="5">
        <v>44</v>
      </c>
      <c r="AO2653" s="5">
        <v>442</v>
      </c>
      <c r="AP2653" s="5" t="s">
        <v>16</v>
      </c>
      <c r="AQ2653" s="5">
        <v>133</v>
      </c>
      <c r="AR2653" s="5">
        <v>148</v>
      </c>
      <c r="AS2653" s="5" t="s">
        <v>16</v>
      </c>
      <c r="AT2653" s="5" t="s">
        <v>15885</v>
      </c>
      <c r="AU2653" s="5" t="s">
        <v>15886</v>
      </c>
      <c r="AV2653" s="5" t="s">
        <v>15888</v>
      </c>
    </row>
    <row r="2654" spans="1:48" ht="45" customHeight="1" x14ac:dyDescent="0.15">
      <c r="A2654" s="5" t="s">
        <v>15889</v>
      </c>
      <c r="B2654" s="5">
        <v>2016</v>
      </c>
      <c r="C2654" s="5" t="s">
        <v>15890</v>
      </c>
      <c r="D2654" s="5" t="s">
        <v>1765</v>
      </c>
      <c r="E2654" s="5" t="s">
        <v>18453</v>
      </c>
      <c r="F2654" s="5" t="s">
        <v>15893</v>
      </c>
      <c r="G2654" s="5"/>
      <c r="H2654" s="5"/>
      <c r="I2654" s="5"/>
      <c r="J2654" s="5"/>
      <c r="K2654" s="5"/>
      <c r="L2654" s="5"/>
      <c r="M2654" s="5"/>
      <c r="N2654" s="5"/>
      <c r="O2654" s="5"/>
      <c r="P2654" s="5"/>
      <c r="Q2654" s="5"/>
      <c r="AL2654" s="7" t="str">
        <f>HYPERLINK("http://dx.doi.org/10.1016/j.agee.2015.12.033","http://dx.doi.org/10.1016/j.agee.2015.12.033")</f>
        <v>http://dx.doi.org/10.1016/j.agee.2015.12.033</v>
      </c>
      <c r="AM2654" s="5">
        <v>43</v>
      </c>
      <c r="AN2654" s="5">
        <v>49</v>
      </c>
      <c r="AO2654" s="5">
        <v>222</v>
      </c>
      <c r="AP2654" s="5" t="s">
        <v>16</v>
      </c>
      <c r="AQ2654" s="5">
        <v>48</v>
      </c>
      <c r="AR2654" s="5">
        <v>59</v>
      </c>
      <c r="AS2654" s="5" t="s">
        <v>16</v>
      </c>
      <c r="AT2654" s="5" t="s">
        <v>15891</v>
      </c>
      <c r="AU2654" s="5" t="s">
        <v>15892</v>
      </c>
      <c r="AV2654" s="5" t="s">
        <v>15894</v>
      </c>
    </row>
    <row r="2655" spans="1:48" ht="45" customHeight="1" x14ac:dyDescent="0.15">
      <c r="A2655" s="5" t="s">
        <v>15895</v>
      </c>
      <c r="B2655" s="5">
        <v>2018</v>
      </c>
      <c r="C2655" s="5" t="s">
        <v>15896</v>
      </c>
      <c r="D2655" s="5" t="s">
        <v>172</v>
      </c>
      <c r="E2655" s="5" t="s">
        <v>18453</v>
      </c>
      <c r="F2655" s="5" t="s">
        <v>15899</v>
      </c>
      <c r="G2655" s="5"/>
      <c r="H2655" s="5"/>
      <c r="I2655" s="5"/>
      <c r="J2655" s="5"/>
      <c r="K2655" s="5"/>
      <c r="L2655" s="5"/>
      <c r="M2655" s="5"/>
      <c r="N2655" s="5"/>
      <c r="O2655" s="5"/>
      <c r="P2655" s="5"/>
      <c r="Q2655" s="5"/>
      <c r="AL2655" s="7" t="str">
        <f>HYPERLINK("http://dx.doi.org/10.1007/s00442-018-4189-0","http://dx.doi.org/10.1007/s00442-018-4189-0")</f>
        <v>http://dx.doi.org/10.1007/s00442-018-4189-0</v>
      </c>
      <c r="AM2655" s="5">
        <v>17</v>
      </c>
      <c r="AN2655" s="5">
        <v>18</v>
      </c>
      <c r="AO2655" s="5">
        <v>187</v>
      </c>
      <c r="AP2655" s="5">
        <v>4</v>
      </c>
      <c r="AQ2655" s="5">
        <v>1053</v>
      </c>
      <c r="AR2655" s="5">
        <v>1075</v>
      </c>
      <c r="AS2655" s="5" t="s">
        <v>16</v>
      </c>
      <c r="AT2655" s="5" t="s">
        <v>15897</v>
      </c>
      <c r="AU2655" s="5" t="s">
        <v>15898</v>
      </c>
      <c r="AV2655" s="5" t="s">
        <v>15900</v>
      </c>
    </row>
    <row r="2656" spans="1:48" ht="45" customHeight="1" x14ac:dyDescent="0.15">
      <c r="A2656" s="5" t="s">
        <v>15901</v>
      </c>
      <c r="B2656" s="5">
        <v>2020</v>
      </c>
      <c r="C2656" s="5" t="s">
        <v>15902</v>
      </c>
      <c r="D2656" s="5" t="s">
        <v>2087</v>
      </c>
      <c r="E2656" s="5" t="s">
        <v>18453</v>
      </c>
      <c r="F2656" s="5" t="s">
        <v>15905</v>
      </c>
      <c r="G2656" s="5"/>
      <c r="H2656" s="5"/>
      <c r="I2656" s="5"/>
      <c r="J2656" s="5"/>
      <c r="K2656" s="5"/>
      <c r="L2656" s="5"/>
      <c r="M2656" s="5"/>
      <c r="N2656" s="5"/>
      <c r="O2656" s="5"/>
      <c r="P2656" s="5"/>
      <c r="Q2656" s="5"/>
      <c r="AL2656" s="7" t="str">
        <f>HYPERLINK("http://dx.doi.org/10.1002/eco.2171","http://dx.doi.org/10.1002/eco.2171")</f>
        <v>http://dx.doi.org/10.1002/eco.2171</v>
      </c>
      <c r="AM2656" s="5">
        <v>16</v>
      </c>
      <c r="AN2656" s="5">
        <v>16</v>
      </c>
      <c r="AO2656" s="5">
        <v>13</v>
      </c>
      <c r="AP2656" s="5">
        <v>1</v>
      </c>
      <c r="AQ2656" s="5" t="s">
        <v>16</v>
      </c>
      <c r="AR2656" s="5" t="s">
        <v>16</v>
      </c>
      <c r="AS2656" s="5" t="s">
        <v>15906</v>
      </c>
      <c r="AT2656" s="5" t="s">
        <v>15903</v>
      </c>
      <c r="AU2656" s="5" t="s">
        <v>15904</v>
      </c>
      <c r="AV2656" s="5" t="s">
        <v>15907</v>
      </c>
    </row>
    <row r="2657" spans="1:48" ht="45" customHeight="1" x14ac:dyDescent="0.15">
      <c r="A2657" s="5" t="s">
        <v>15908</v>
      </c>
      <c r="B2657" s="5">
        <v>2019</v>
      </c>
      <c r="C2657" s="5" t="s">
        <v>15909</v>
      </c>
      <c r="D2657" s="5" t="s">
        <v>49</v>
      </c>
      <c r="E2657" s="5" t="s">
        <v>18453</v>
      </c>
      <c r="F2657" s="5" t="s">
        <v>15912</v>
      </c>
      <c r="G2657" s="5"/>
      <c r="H2657" s="5"/>
      <c r="I2657" s="5"/>
      <c r="J2657" s="5"/>
      <c r="K2657" s="5"/>
      <c r="L2657" s="5"/>
      <c r="M2657" s="5"/>
      <c r="N2657" s="5"/>
      <c r="O2657" s="5"/>
      <c r="P2657" s="5"/>
      <c r="Q2657" s="5"/>
      <c r="AL2657" s="7" t="str">
        <f>HYPERLINK("http://dx.doi.org/10.3354/meps12839","http://dx.doi.org/10.3354/meps12839")</f>
        <v>http://dx.doi.org/10.3354/meps12839</v>
      </c>
      <c r="AM2657" s="5">
        <v>15</v>
      </c>
      <c r="AN2657" s="5">
        <v>15</v>
      </c>
      <c r="AO2657" s="5">
        <v>610</v>
      </c>
      <c r="AP2657" s="5" t="s">
        <v>16</v>
      </c>
      <c r="AQ2657" s="5">
        <v>1</v>
      </c>
      <c r="AR2657" s="5">
        <v>13</v>
      </c>
      <c r="AS2657" s="5" t="s">
        <v>16</v>
      </c>
      <c r="AT2657" s="5" t="s">
        <v>15910</v>
      </c>
      <c r="AU2657" s="5" t="s">
        <v>15911</v>
      </c>
      <c r="AV2657" s="5" t="s">
        <v>15913</v>
      </c>
    </row>
    <row r="2658" spans="1:48" ht="45" customHeight="1" x14ac:dyDescent="0.15">
      <c r="A2658" s="5" t="s">
        <v>15914</v>
      </c>
      <c r="B2658" s="5">
        <v>2013</v>
      </c>
      <c r="C2658" s="5" t="s">
        <v>15915</v>
      </c>
      <c r="D2658" s="5" t="s">
        <v>172</v>
      </c>
      <c r="E2658" s="5" t="s">
        <v>18453</v>
      </c>
      <c r="F2658" s="5" t="s">
        <v>15918</v>
      </c>
      <c r="G2658" s="5"/>
      <c r="H2658" s="5"/>
      <c r="I2658" s="5"/>
      <c r="J2658" s="5"/>
      <c r="K2658" s="5"/>
      <c r="L2658" s="5"/>
      <c r="M2658" s="5"/>
      <c r="N2658" s="5"/>
      <c r="O2658" s="5"/>
      <c r="P2658" s="5"/>
      <c r="Q2658" s="5"/>
      <c r="AL2658" s="7" t="str">
        <f>HYPERLINK("http://dx.doi.org/10.1007/s00442-012-2564-9","http://dx.doi.org/10.1007/s00442-012-2564-9")</f>
        <v>http://dx.doi.org/10.1007/s00442-012-2564-9</v>
      </c>
      <c r="AM2658" s="5">
        <v>29</v>
      </c>
      <c r="AN2658" s="5">
        <v>29</v>
      </c>
      <c r="AO2658" s="5">
        <v>172</v>
      </c>
      <c r="AP2658" s="5">
        <v>4</v>
      </c>
      <c r="AQ2658" s="5">
        <v>1017</v>
      </c>
      <c r="AR2658" s="5">
        <v>1029</v>
      </c>
      <c r="AS2658" s="5" t="s">
        <v>16</v>
      </c>
      <c r="AT2658" s="5" t="s">
        <v>15916</v>
      </c>
      <c r="AU2658" s="5" t="s">
        <v>15917</v>
      </c>
      <c r="AV2658" s="5" t="s">
        <v>15919</v>
      </c>
    </row>
    <row r="2659" spans="1:48" ht="45" customHeight="1" x14ac:dyDescent="0.15">
      <c r="A2659" s="5" t="s">
        <v>15920</v>
      </c>
      <c r="B2659" s="5">
        <v>2022</v>
      </c>
      <c r="C2659" s="5" t="s">
        <v>15921</v>
      </c>
      <c r="D2659" s="5" t="s">
        <v>1765</v>
      </c>
      <c r="E2659" s="5" t="s">
        <v>18453</v>
      </c>
      <c r="F2659" s="5" t="s">
        <v>15924</v>
      </c>
      <c r="G2659" s="5"/>
      <c r="H2659" s="5"/>
      <c r="I2659" s="5"/>
      <c r="J2659" s="5"/>
      <c r="K2659" s="5"/>
      <c r="L2659" s="5"/>
      <c r="M2659" s="5"/>
      <c r="N2659" s="5"/>
      <c r="O2659" s="5"/>
      <c r="P2659" s="5"/>
      <c r="Q2659" s="5"/>
      <c r="AL2659" s="7" t="str">
        <f>HYPERLINK("http://dx.doi.org/10.1016/j.agee.2022.107915","http://dx.doi.org/10.1016/j.agee.2022.107915")</f>
        <v>http://dx.doi.org/10.1016/j.agee.2022.107915</v>
      </c>
      <c r="AM2659" s="5">
        <v>4</v>
      </c>
      <c r="AN2659" s="5">
        <v>4</v>
      </c>
      <c r="AO2659" s="5">
        <v>332</v>
      </c>
      <c r="AP2659" s="5" t="s">
        <v>16</v>
      </c>
      <c r="AQ2659" s="5" t="s">
        <v>16</v>
      </c>
      <c r="AR2659" s="5" t="s">
        <v>16</v>
      </c>
      <c r="AS2659" s="5">
        <v>107915</v>
      </c>
      <c r="AT2659" s="5" t="s">
        <v>15922</v>
      </c>
      <c r="AU2659" s="5" t="s">
        <v>15923</v>
      </c>
      <c r="AV2659" s="5" t="s">
        <v>15925</v>
      </c>
    </row>
    <row r="2660" spans="1:48" ht="45" customHeight="1" x14ac:dyDescent="0.15">
      <c r="A2660" s="5" t="s">
        <v>15926</v>
      </c>
      <c r="B2660" s="5">
        <v>2020</v>
      </c>
      <c r="C2660" s="5" t="s">
        <v>15927</v>
      </c>
      <c r="D2660" s="5" t="s">
        <v>973</v>
      </c>
      <c r="E2660" s="5" t="s">
        <v>18453</v>
      </c>
      <c r="F2660" s="5" t="s">
        <v>15929</v>
      </c>
      <c r="G2660" s="5"/>
      <c r="H2660" s="5"/>
      <c r="I2660" s="5"/>
      <c r="J2660" s="5"/>
      <c r="K2660" s="5"/>
      <c r="L2660" s="5"/>
      <c r="M2660" s="5"/>
      <c r="N2660" s="5"/>
      <c r="O2660" s="5"/>
      <c r="P2660" s="5"/>
      <c r="Q2660" s="5"/>
      <c r="AL2660" s="7" t="str">
        <f>HYPERLINK("http://dx.doi.org/10.5194/bg-17-699-2020","http://dx.doi.org/10.5194/bg-17-699-2020")</f>
        <v>http://dx.doi.org/10.5194/bg-17-699-2020</v>
      </c>
      <c r="AM2660" s="5">
        <v>5</v>
      </c>
      <c r="AN2660" s="5">
        <v>5</v>
      </c>
      <c r="AO2660" s="5">
        <v>17</v>
      </c>
      <c r="AP2660" s="5">
        <v>3</v>
      </c>
      <c r="AQ2660" s="5">
        <v>699</v>
      </c>
      <c r="AR2660" s="5">
        <v>714</v>
      </c>
      <c r="AS2660" s="5" t="s">
        <v>16</v>
      </c>
      <c r="AT2660" s="5" t="s">
        <v>16</v>
      </c>
      <c r="AU2660" s="5" t="s">
        <v>15928</v>
      </c>
      <c r="AV2660" s="5" t="s">
        <v>15930</v>
      </c>
    </row>
    <row r="2661" spans="1:48" ht="45" customHeight="1" x14ac:dyDescent="0.15">
      <c r="A2661" s="5" t="s">
        <v>15931</v>
      </c>
      <c r="B2661" s="5">
        <v>2021</v>
      </c>
      <c r="C2661" s="5" t="s">
        <v>15932</v>
      </c>
      <c r="D2661" s="5" t="s">
        <v>251</v>
      </c>
      <c r="E2661" s="5" t="s">
        <v>18453</v>
      </c>
      <c r="F2661" s="5" t="s">
        <v>15935</v>
      </c>
      <c r="G2661" s="5"/>
      <c r="H2661" s="5"/>
      <c r="I2661" s="5"/>
      <c r="J2661" s="5"/>
      <c r="K2661" s="5"/>
      <c r="L2661" s="5"/>
      <c r="M2661" s="5"/>
      <c r="N2661" s="5"/>
      <c r="O2661" s="5"/>
      <c r="P2661" s="5"/>
      <c r="Q2661" s="5"/>
      <c r="AL2661" s="7" t="str">
        <f>HYPERLINK("http://dx.doi.org/10.1016/j.biocon.2021.109374","http://dx.doi.org/10.1016/j.biocon.2021.109374")</f>
        <v>http://dx.doi.org/10.1016/j.biocon.2021.109374</v>
      </c>
      <c r="AM2661" s="5">
        <v>0</v>
      </c>
      <c r="AN2661" s="5">
        <v>0</v>
      </c>
      <c r="AO2661" s="5">
        <v>264</v>
      </c>
      <c r="AP2661" s="5" t="s">
        <v>16</v>
      </c>
      <c r="AQ2661" s="5" t="s">
        <v>16</v>
      </c>
      <c r="AR2661" s="5" t="s">
        <v>16</v>
      </c>
      <c r="AS2661" s="5">
        <v>109374</v>
      </c>
      <c r="AT2661" s="5" t="s">
        <v>15933</v>
      </c>
      <c r="AU2661" s="5" t="s">
        <v>15934</v>
      </c>
      <c r="AV2661" s="5" t="s">
        <v>15936</v>
      </c>
    </row>
    <row r="2662" spans="1:48" ht="45" customHeight="1" x14ac:dyDescent="0.15">
      <c r="A2662" s="5" t="s">
        <v>15937</v>
      </c>
      <c r="B2662" s="5">
        <v>2015</v>
      </c>
      <c r="C2662" s="5" t="s">
        <v>15938</v>
      </c>
      <c r="D2662" s="5" t="s">
        <v>116</v>
      </c>
      <c r="E2662" s="5" t="s">
        <v>18453</v>
      </c>
      <c r="F2662" s="5" t="s">
        <v>15941</v>
      </c>
      <c r="G2662" s="5"/>
      <c r="H2662" s="5"/>
      <c r="I2662" s="5"/>
      <c r="J2662" s="5"/>
      <c r="K2662" s="5"/>
      <c r="L2662" s="5"/>
      <c r="M2662" s="5"/>
      <c r="N2662" s="5"/>
      <c r="O2662" s="5"/>
      <c r="P2662" s="5"/>
      <c r="Q2662" s="5"/>
      <c r="AL2662" s="7" t="str">
        <f>HYPERLINK("http://dx.doi.org/10.1007/s10641-014-0264-5","http://dx.doi.org/10.1007/s10641-014-0264-5")</f>
        <v>http://dx.doi.org/10.1007/s10641-014-0264-5</v>
      </c>
      <c r="AM2662" s="5">
        <v>6</v>
      </c>
      <c r="AN2662" s="5">
        <v>6</v>
      </c>
      <c r="AO2662" s="5">
        <v>98</v>
      </c>
      <c r="AP2662" s="5">
        <v>1</v>
      </c>
      <c r="AQ2662" s="5">
        <v>345</v>
      </c>
      <c r="AR2662" s="5">
        <v>355</v>
      </c>
      <c r="AS2662" s="5" t="s">
        <v>16</v>
      </c>
      <c r="AT2662" s="5" t="s">
        <v>15939</v>
      </c>
      <c r="AU2662" s="5" t="s">
        <v>15940</v>
      </c>
      <c r="AV2662" s="5" t="s">
        <v>15942</v>
      </c>
    </row>
    <row r="2663" spans="1:48" ht="45" customHeight="1" x14ac:dyDescent="0.15">
      <c r="A2663" s="5" t="s">
        <v>15943</v>
      </c>
      <c r="B2663" s="5">
        <v>2003</v>
      </c>
      <c r="C2663" s="5" t="s">
        <v>15944</v>
      </c>
      <c r="D2663" s="5" t="s">
        <v>17</v>
      </c>
      <c r="E2663" s="5" t="s">
        <v>18453</v>
      </c>
      <c r="F2663" s="5" t="s">
        <v>15947</v>
      </c>
      <c r="G2663" s="5"/>
      <c r="H2663" s="5"/>
      <c r="I2663" s="5"/>
      <c r="J2663" s="5"/>
      <c r="K2663" s="5"/>
      <c r="L2663" s="5"/>
      <c r="M2663" s="5"/>
      <c r="N2663" s="5"/>
      <c r="O2663" s="5"/>
      <c r="P2663" s="5"/>
      <c r="Q2663" s="5"/>
      <c r="AL2663" s="7" t="str">
        <f>HYPERLINK("http://dx.doi.org/10.1046/j.1365-2427.2003.01081.x","http://dx.doi.org/10.1046/j.1365-2427.2003.01081.x")</f>
        <v>http://dx.doi.org/10.1046/j.1365-2427.2003.01081.x</v>
      </c>
      <c r="AM2663" s="5">
        <v>53</v>
      </c>
      <c r="AN2663" s="5">
        <v>60</v>
      </c>
      <c r="AO2663" s="5">
        <v>48</v>
      </c>
      <c r="AP2663" s="5">
        <v>8</v>
      </c>
      <c r="AQ2663" s="5">
        <v>1353</v>
      </c>
      <c r="AR2663" s="5">
        <v>1362</v>
      </c>
      <c r="AS2663" s="5" t="s">
        <v>16</v>
      </c>
      <c r="AT2663" s="5" t="s">
        <v>15945</v>
      </c>
      <c r="AU2663" s="5" t="s">
        <v>15946</v>
      </c>
      <c r="AV2663" s="5" t="s">
        <v>15948</v>
      </c>
    </row>
    <row r="2664" spans="1:48" ht="45" customHeight="1" x14ac:dyDescent="0.15">
      <c r="A2664" s="5" t="s">
        <v>15949</v>
      </c>
      <c r="B2664" s="5">
        <v>2017</v>
      </c>
      <c r="C2664" s="5" t="s">
        <v>15950</v>
      </c>
      <c r="D2664" s="5" t="s">
        <v>18</v>
      </c>
      <c r="E2664" s="5" t="s">
        <v>18453</v>
      </c>
      <c r="F2664" s="5" t="s">
        <v>15953</v>
      </c>
      <c r="G2664" s="5"/>
      <c r="H2664" s="5"/>
      <c r="I2664" s="5"/>
      <c r="J2664" s="5"/>
      <c r="K2664" s="5"/>
      <c r="L2664" s="5"/>
      <c r="M2664" s="5"/>
      <c r="N2664" s="5"/>
      <c r="O2664" s="5"/>
      <c r="P2664" s="5"/>
      <c r="Q2664" s="5"/>
      <c r="AL2664" s="7" t="str">
        <f>HYPERLINK("http://dx.doi.org/10.1002/ecs2.1818","http://dx.doi.org/10.1002/ecs2.1818")</f>
        <v>http://dx.doi.org/10.1002/ecs2.1818</v>
      </c>
      <c r="AM2664" s="5">
        <v>6</v>
      </c>
      <c r="AN2664" s="5">
        <v>6</v>
      </c>
      <c r="AO2664" s="5">
        <v>8</v>
      </c>
      <c r="AP2664" s="5">
        <v>6</v>
      </c>
      <c r="AQ2664" s="5" t="s">
        <v>16</v>
      </c>
      <c r="AR2664" s="5" t="s">
        <v>16</v>
      </c>
      <c r="AS2664" s="5" t="s">
        <v>15954</v>
      </c>
      <c r="AT2664" s="5" t="s">
        <v>15951</v>
      </c>
      <c r="AU2664" s="5" t="s">
        <v>15952</v>
      </c>
      <c r="AV2664" s="5" t="s">
        <v>15955</v>
      </c>
    </row>
    <row r="2665" spans="1:48" ht="45" customHeight="1" x14ac:dyDescent="0.15">
      <c r="A2665" s="5" t="s">
        <v>15956</v>
      </c>
      <c r="B2665" s="5">
        <v>2015</v>
      </c>
      <c r="C2665" s="5" t="s">
        <v>15957</v>
      </c>
      <c r="D2665" s="5" t="s">
        <v>18</v>
      </c>
      <c r="E2665" s="5" t="s">
        <v>18453</v>
      </c>
      <c r="F2665" s="5" t="s">
        <v>15960</v>
      </c>
      <c r="G2665" s="5"/>
      <c r="H2665" s="5"/>
      <c r="I2665" s="5"/>
      <c r="J2665" s="5"/>
      <c r="K2665" s="5"/>
      <c r="L2665" s="5"/>
      <c r="M2665" s="5"/>
      <c r="N2665" s="5"/>
      <c r="O2665" s="5"/>
      <c r="P2665" s="5"/>
      <c r="Q2665" s="5"/>
      <c r="AL2665" s="7" t="str">
        <f>HYPERLINK("http://dx.doi.org/10.1890/ES14-00489.1","http://dx.doi.org/10.1890/ES14-00489.1")</f>
        <v>http://dx.doi.org/10.1890/ES14-00489.1</v>
      </c>
      <c r="AM2665" s="5">
        <v>25</v>
      </c>
      <c r="AN2665" s="5">
        <v>25</v>
      </c>
      <c r="AO2665" s="5">
        <v>6</v>
      </c>
      <c r="AP2665" s="5">
        <v>7</v>
      </c>
      <c r="AQ2665" s="5" t="s">
        <v>16</v>
      </c>
      <c r="AR2665" s="5" t="s">
        <v>16</v>
      </c>
      <c r="AS2665" s="5">
        <v>124</v>
      </c>
      <c r="AT2665" s="5" t="s">
        <v>15958</v>
      </c>
      <c r="AU2665" s="5" t="s">
        <v>15959</v>
      </c>
      <c r="AV2665" s="5" t="s">
        <v>15961</v>
      </c>
    </row>
    <row r="2666" spans="1:48" ht="45" customHeight="1" x14ac:dyDescent="0.15">
      <c r="A2666" s="5" t="s">
        <v>15962</v>
      </c>
      <c r="B2666" s="5">
        <v>2022</v>
      </c>
      <c r="C2666" s="5" t="s">
        <v>15963</v>
      </c>
      <c r="D2666" s="5" t="s">
        <v>6082</v>
      </c>
      <c r="E2666" s="5" t="s">
        <v>18453</v>
      </c>
      <c r="F2666" s="5" t="s">
        <v>15966</v>
      </c>
      <c r="G2666" s="5"/>
      <c r="H2666" s="5"/>
      <c r="I2666" s="5"/>
      <c r="J2666" s="5"/>
      <c r="K2666" s="5"/>
      <c r="L2666" s="5"/>
      <c r="M2666" s="5"/>
      <c r="N2666" s="5"/>
      <c r="O2666" s="5"/>
      <c r="P2666" s="5"/>
      <c r="Q2666" s="5"/>
      <c r="AL2666" s="7" t="str">
        <f>HYPERLINK("http://dx.doi.org/10.1007/s00248-022-02046-0","http://dx.doi.org/10.1007/s00248-022-02046-0")</f>
        <v>http://dx.doi.org/10.1007/s00248-022-02046-0</v>
      </c>
      <c r="AM2666" s="5">
        <v>1</v>
      </c>
      <c r="AN2666" s="5">
        <v>1</v>
      </c>
      <c r="AO2666" s="5" t="s">
        <v>16</v>
      </c>
      <c r="AP2666" s="5" t="s">
        <v>16</v>
      </c>
      <c r="AQ2666" s="5" t="s">
        <v>16</v>
      </c>
      <c r="AR2666" s="5" t="s">
        <v>16</v>
      </c>
      <c r="AS2666" s="5" t="s">
        <v>16</v>
      </c>
      <c r="AT2666" s="5" t="s">
        <v>15964</v>
      </c>
      <c r="AU2666" s="5" t="s">
        <v>15965</v>
      </c>
      <c r="AV2666" s="5" t="s">
        <v>15967</v>
      </c>
    </row>
    <row r="2667" spans="1:48" ht="45" customHeight="1" x14ac:dyDescent="0.15">
      <c r="A2667" s="5" t="s">
        <v>15968</v>
      </c>
      <c r="B2667" s="5">
        <v>2019</v>
      </c>
      <c r="C2667" s="5" t="s">
        <v>15969</v>
      </c>
      <c r="D2667" s="5" t="s">
        <v>123</v>
      </c>
      <c r="E2667" s="5" t="s">
        <v>18453</v>
      </c>
      <c r="F2667" s="5" t="s">
        <v>15972</v>
      </c>
      <c r="G2667" s="5"/>
      <c r="H2667" s="5"/>
      <c r="I2667" s="5"/>
      <c r="J2667" s="5"/>
      <c r="K2667" s="5"/>
      <c r="L2667" s="5"/>
      <c r="M2667" s="5"/>
      <c r="N2667" s="5"/>
      <c r="O2667" s="5"/>
      <c r="P2667" s="5"/>
      <c r="Q2667" s="5"/>
      <c r="AL2667" s="7" t="str">
        <f>HYPERLINK("http://dx.doi.org/10.1111/ddi.12987","http://dx.doi.org/10.1111/ddi.12987")</f>
        <v>http://dx.doi.org/10.1111/ddi.12987</v>
      </c>
      <c r="AM2667" s="5">
        <v>23</v>
      </c>
      <c r="AN2667" s="5">
        <v>25</v>
      </c>
      <c r="AO2667" s="5">
        <v>25</v>
      </c>
      <c r="AP2667" s="5">
        <v>12</v>
      </c>
      <c r="AQ2667" s="5">
        <v>1879</v>
      </c>
      <c r="AR2667" s="5">
        <v>1896</v>
      </c>
      <c r="AS2667" s="5" t="s">
        <v>16</v>
      </c>
      <c r="AT2667" s="5" t="s">
        <v>15970</v>
      </c>
      <c r="AU2667" s="5" t="s">
        <v>15971</v>
      </c>
      <c r="AV2667" s="5" t="s">
        <v>15973</v>
      </c>
    </row>
    <row r="2668" spans="1:48" ht="45" customHeight="1" x14ac:dyDescent="0.15">
      <c r="A2668" s="5" t="s">
        <v>15974</v>
      </c>
      <c r="B2668" s="5">
        <v>2015</v>
      </c>
      <c r="C2668" s="5" t="s">
        <v>15975</v>
      </c>
      <c r="D2668" s="5" t="s">
        <v>27</v>
      </c>
      <c r="E2668" s="5" t="s">
        <v>18453</v>
      </c>
      <c r="F2668" s="5" t="s">
        <v>15978</v>
      </c>
      <c r="G2668" s="5"/>
      <c r="H2668" s="5"/>
      <c r="I2668" s="5"/>
      <c r="J2668" s="5"/>
      <c r="K2668" s="5"/>
      <c r="L2668" s="5"/>
      <c r="M2668" s="5"/>
      <c r="N2668" s="5"/>
      <c r="O2668" s="5"/>
      <c r="P2668" s="5"/>
      <c r="Q2668" s="5"/>
      <c r="AL2668" s="7" t="str">
        <f>HYPERLINK("http://dx.doi.org/10.1890/15-0158.1","http://dx.doi.org/10.1890/15-0158.1")</f>
        <v>http://dx.doi.org/10.1890/15-0158.1</v>
      </c>
      <c r="AM2668" s="5">
        <v>14</v>
      </c>
      <c r="AN2668" s="5">
        <v>15</v>
      </c>
      <c r="AO2668" s="5">
        <v>96</v>
      </c>
      <c r="AP2668" s="5">
        <v>11</v>
      </c>
      <c r="AQ2668" s="5">
        <v>3102</v>
      </c>
      <c r="AR2668" s="5">
        <v>3108</v>
      </c>
      <c r="AS2668" s="5" t="s">
        <v>16</v>
      </c>
      <c r="AT2668" s="5" t="s">
        <v>15976</v>
      </c>
      <c r="AU2668" s="5" t="s">
        <v>15977</v>
      </c>
      <c r="AV2668" s="5" t="s">
        <v>15979</v>
      </c>
    </row>
    <row r="2669" spans="1:48" ht="45" customHeight="1" x14ac:dyDescent="0.15">
      <c r="A2669" s="5" t="s">
        <v>15980</v>
      </c>
      <c r="B2669" s="5">
        <v>2017</v>
      </c>
      <c r="C2669" s="5" t="s">
        <v>15981</v>
      </c>
      <c r="D2669" s="5" t="s">
        <v>295</v>
      </c>
      <c r="E2669" s="5" t="s">
        <v>18453</v>
      </c>
      <c r="F2669" s="5" t="s">
        <v>15984</v>
      </c>
      <c r="G2669" s="5"/>
      <c r="H2669" s="5"/>
      <c r="I2669" s="5"/>
      <c r="J2669" s="5"/>
      <c r="K2669" s="5"/>
      <c r="L2669" s="5"/>
      <c r="M2669" s="5"/>
      <c r="N2669" s="5"/>
      <c r="O2669" s="5"/>
      <c r="P2669" s="5"/>
      <c r="Q2669" s="5"/>
      <c r="AL2669" s="7" t="str">
        <f>HYPERLINK("http://dx.doi.org/10.1016/j.jembe.2016.10.017","http://dx.doi.org/10.1016/j.jembe.2016.10.017")</f>
        <v>http://dx.doi.org/10.1016/j.jembe.2016.10.017</v>
      </c>
      <c r="AM2669" s="5">
        <v>14</v>
      </c>
      <c r="AN2669" s="5">
        <v>14</v>
      </c>
      <c r="AO2669" s="5">
        <v>486</v>
      </c>
      <c r="AP2669" s="5" t="s">
        <v>16</v>
      </c>
      <c r="AQ2669" s="5">
        <v>230</v>
      </c>
      <c r="AR2669" s="5">
        <v>236</v>
      </c>
      <c r="AS2669" s="5" t="s">
        <v>16</v>
      </c>
      <c r="AT2669" s="5" t="s">
        <v>15982</v>
      </c>
      <c r="AU2669" s="5" t="s">
        <v>15983</v>
      </c>
      <c r="AV2669" s="5" t="s">
        <v>15985</v>
      </c>
    </row>
    <row r="2670" spans="1:48" ht="45" customHeight="1" x14ac:dyDescent="0.15">
      <c r="A2670" s="5" t="s">
        <v>40</v>
      </c>
      <c r="B2670" s="5">
        <v>2012</v>
      </c>
      <c r="C2670" s="5" t="s">
        <v>15986</v>
      </c>
      <c r="D2670" s="5" t="s">
        <v>10972</v>
      </c>
      <c r="E2670" s="5" t="s">
        <v>18453</v>
      </c>
      <c r="F2670" s="5" t="s">
        <v>15987</v>
      </c>
      <c r="G2670" s="5"/>
      <c r="H2670" s="5"/>
      <c r="I2670" s="5"/>
      <c r="J2670" s="5"/>
      <c r="K2670" s="5"/>
      <c r="L2670" s="5"/>
      <c r="M2670" s="5"/>
      <c r="N2670" s="5"/>
      <c r="O2670" s="5"/>
      <c r="P2670" s="5"/>
      <c r="Q2670" s="5"/>
      <c r="AL2670" s="5" t="s">
        <v>16</v>
      </c>
      <c r="AM2670" s="5">
        <v>5</v>
      </c>
      <c r="AN2670" s="5">
        <v>5</v>
      </c>
      <c r="AO2670" s="5">
        <v>64</v>
      </c>
      <c r="AP2670" s="5" t="s">
        <v>11032</v>
      </c>
      <c r="AQ2670" s="5">
        <v>3</v>
      </c>
      <c r="AR2670" s="5">
        <v>31</v>
      </c>
      <c r="AS2670" s="5" t="s">
        <v>16</v>
      </c>
      <c r="AT2670" s="5" t="s">
        <v>16</v>
      </c>
      <c r="AU2670" s="5" t="s">
        <v>16</v>
      </c>
      <c r="AV2670" s="5" t="s">
        <v>16</v>
      </c>
    </row>
    <row r="2671" spans="1:48" ht="45" customHeight="1" x14ac:dyDescent="0.15">
      <c r="A2671" s="5" t="s">
        <v>15988</v>
      </c>
      <c r="B2671" s="5">
        <v>2022</v>
      </c>
      <c r="C2671" s="5" t="s">
        <v>15989</v>
      </c>
      <c r="D2671" s="5" t="s">
        <v>27</v>
      </c>
      <c r="E2671" s="5" t="s">
        <v>18453</v>
      </c>
      <c r="F2671" s="5" t="s">
        <v>15992</v>
      </c>
      <c r="G2671" s="5"/>
      <c r="H2671" s="5"/>
      <c r="I2671" s="5"/>
      <c r="J2671" s="5"/>
      <c r="K2671" s="5"/>
      <c r="L2671" s="5"/>
      <c r="M2671" s="5"/>
      <c r="N2671" s="5"/>
      <c r="O2671" s="5"/>
      <c r="P2671" s="5"/>
      <c r="Q2671" s="5"/>
      <c r="AL2671" s="7" t="str">
        <f>HYPERLINK("http://dx.doi.org/10.1002/ecy.3656","http://dx.doi.org/10.1002/ecy.3656")</f>
        <v>http://dx.doi.org/10.1002/ecy.3656</v>
      </c>
      <c r="AM2671" s="5">
        <v>0</v>
      </c>
      <c r="AN2671" s="5">
        <v>0</v>
      </c>
      <c r="AO2671" s="5">
        <v>103</v>
      </c>
      <c r="AP2671" s="5">
        <v>4</v>
      </c>
      <c r="AQ2671" s="5" t="s">
        <v>16</v>
      </c>
      <c r="AR2671" s="5" t="s">
        <v>16</v>
      </c>
      <c r="AS2671" s="5" t="s">
        <v>15993</v>
      </c>
      <c r="AT2671" s="5" t="s">
        <v>15990</v>
      </c>
      <c r="AU2671" s="5" t="s">
        <v>15991</v>
      </c>
      <c r="AV2671" s="5" t="s">
        <v>15994</v>
      </c>
    </row>
    <row r="2672" spans="1:48" ht="45" customHeight="1" x14ac:dyDescent="0.15">
      <c r="A2672" s="5" t="s">
        <v>15995</v>
      </c>
      <c r="B2672" s="5">
        <v>2021</v>
      </c>
      <c r="C2672" s="5" t="s">
        <v>15996</v>
      </c>
      <c r="D2672" s="5" t="s">
        <v>383</v>
      </c>
      <c r="E2672" s="5" t="s">
        <v>18453</v>
      </c>
      <c r="F2672" s="5" t="s">
        <v>15999</v>
      </c>
      <c r="G2672" s="5"/>
      <c r="H2672" s="5"/>
      <c r="I2672" s="5"/>
      <c r="J2672" s="5"/>
      <c r="K2672" s="5"/>
      <c r="L2672" s="5"/>
      <c r="M2672" s="5"/>
      <c r="N2672" s="5"/>
      <c r="O2672" s="5"/>
      <c r="P2672" s="5"/>
      <c r="Q2672" s="5"/>
      <c r="AL2672" s="7" t="str">
        <f>HYPERLINK("http://dx.doi.org/10.1111/1440-1703.12180","http://dx.doi.org/10.1111/1440-1703.12180")</f>
        <v>http://dx.doi.org/10.1111/1440-1703.12180</v>
      </c>
      <c r="AM2672" s="5">
        <v>2</v>
      </c>
      <c r="AN2672" s="5">
        <v>2</v>
      </c>
      <c r="AO2672" s="5">
        <v>36</v>
      </c>
      <c r="AP2672" s="5">
        <v>1</v>
      </c>
      <c r="AQ2672" s="5">
        <v>45</v>
      </c>
      <c r="AR2672" s="5">
        <v>56</v>
      </c>
      <c r="AS2672" s="5" t="s">
        <v>16</v>
      </c>
      <c r="AT2672" s="5" t="s">
        <v>15997</v>
      </c>
      <c r="AU2672" s="5" t="s">
        <v>15998</v>
      </c>
      <c r="AV2672" s="5" t="s">
        <v>16000</v>
      </c>
    </row>
    <row r="2673" spans="1:48" ht="45" customHeight="1" x14ac:dyDescent="0.15">
      <c r="A2673" s="5" t="s">
        <v>16001</v>
      </c>
      <c r="B2673" s="5">
        <v>2015</v>
      </c>
      <c r="C2673" s="5" t="s">
        <v>16002</v>
      </c>
      <c r="D2673" s="5" t="s">
        <v>27</v>
      </c>
      <c r="E2673" s="5" t="s">
        <v>18453</v>
      </c>
      <c r="F2673" s="5" t="s">
        <v>16005</v>
      </c>
      <c r="G2673" s="5"/>
      <c r="H2673" s="5"/>
      <c r="I2673" s="5"/>
      <c r="J2673" s="5"/>
      <c r="K2673" s="5"/>
      <c r="L2673" s="5"/>
      <c r="M2673" s="5"/>
      <c r="N2673" s="5"/>
      <c r="O2673" s="5"/>
      <c r="P2673" s="5"/>
      <c r="Q2673" s="5"/>
      <c r="AL2673" s="7" t="str">
        <f>HYPERLINK("http://dx.doi.org/10.1890/14-1158.1","http://dx.doi.org/10.1890/14-1158.1")</f>
        <v>http://dx.doi.org/10.1890/14-1158.1</v>
      </c>
      <c r="AM2673" s="5">
        <v>75</v>
      </c>
      <c r="AN2673" s="5">
        <v>79</v>
      </c>
      <c r="AO2673" s="5">
        <v>96</v>
      </c>
      <c r="AP2673" s="5">
        <v>5</v>
      </c>
      <c r="AQ2673" s="5">
        <v>1275</v>
      </c>
      <c r="AR2673" s="5">
        <v>1285</v>
      </c>
      <c r="AS2673" s="5" t="s">
        <v>16</v>
      </c>
      <c r="AT2673" s="5" t="s">
        <v>16003</v>
      </c>
      <c r="AU2673" s="5" t="s">
        <v>16004</v>
      </c>
      <c r="AV2673" s="5" t="s">
        <v>16006</v>
      </c>
    </row>
    <row r="2674" spans="1:48" ht="45" customHeight="1" x14ac:dyDescent="0.15">
      <c r="A2674" s="5" t="s">
        <v>16007</v>
      </c>
      <c r="B2674" s="5">
        <v>2017</v>
      </c>
      <c r="C2674" s="5" t="s">
        <v>16008</v>
      </c>
      <c r="D2674" s="5" t="s">
        <v>383</v>
      </c>
      <c r="E2674" s="5" t="s">
        <v>18453</v>
      </c>
      <c r="F2674" s="5" t="s">
        <v>16011</v>
      </c>
      <c r="G2674" s="5"/>
      <c r="H2674" s="5"/>
      <c r="I2674" s="5"/>
      <c r="J2674" s="5"/>
      <c r="K2674" s="5"/>
      <c r="L2674" s="5"/>
      <c r="M2674" s="5"/>
      <c r="N2674" s="5"/>
      <c r="O2674" s="5"/>
      <c r="P2674" s="5"/>
      <c r="Q2674" s="5"/>
      <c r="AL2674" s="7" t="str">
        <f>HYPERLINK("http://dx.doi.org/10.1007/s11284-016-1413-4","http://dx.doi.org/10.1007/s11284-016-1413-4")</f>
        <v>http://dx.doi.org/10.1007/s11284-016-1413-4</v>
      </c>
      <c r="AM2674" s="5">
        <v>4</v>
      </c>
      <c r="AN2674" s="5">
        <v>4</v>
      </c>
      <c r="AO2674" s="5">
        <v>32</v>
      </c>
      <c r="AP2674" s="5">
        <v>1</v>
      </c>
      <c r="AQ2674" s="5">
        <v>27</v>
      </c>
      <c r="AR2674" s="5">
        <v>35</v>
      </c>
      <c r="AS2674" s="5" t="s">
        <v>16</v>
      </c>
      <c r="AT2674" s="5" t="s">
        <v>16009</v>
      </c>
      <c r="AU2674" s="5" t="s">
        <v>16010</v>
      </c>
      <c r="AV2674" s="5" t="s">
        <v>16012</v>
      </c>
    </row>
    <row r="2675" spans="1:48" ht="45" customHeight="1" x14ac:dyDescent="0.15">
      <c r="A2675" s="5" t="s">
        <v>16013</v>
      </c>
      <c r="B2675" s="5">
        <v>2022</v>
      </c>
      <c r="C2675" s="5" t="s">
        <v>16014</v>
      </c>
      <c r="D2675" s="5" t="s">
        <v>11042</v>
      </c>
      <c r="E2675" s="5" t="s">
        <v>18453</v>
      </c>
      <c r="F2675" s="5" t="s">
        <v>16017</v>
      </c>
      <c r="G2675" s="5"/>
      <c r="H2675" s="5"/>
      <c r="I2675" s="5"/>
      <c r="J2675" s="5"/>
      <c r="K2675" s="5"/>
      <c r="L2675" s="5"/>
      <c r="M2675" s="5"/>
      <c r="N2675" s="5"/>
      <c r="O2675" s="5"/>
      <c r="P2675" s="5"/>
      <c r="Q2675" s="5"/>
      <c r="AL2675" s="7" t="str">
        <f>HYPERLINK("http://dx.doi.org/10.1186/s12862-022-02007-8","http://dx.doi.org/10.1186/s12862-022-02007-8")</f>
        <v>http://dx.doi.org/10.1186/s12862-022-02007-8</v>
      </c>
      <c r="AM2675" s="5">
        <v>1</v>
      </c>
      <c r="AN2675" s="5">
        <v>1</v>
      </c>
      <c r="AO2675" s="5">
        <v>22</v>
      </c>
      <c r="AP2675" s="5">
        <v>1</v>
      </c>
      <c r="AQ2675" s="5" t="s">
        <v>16</v>
      </c>
      <c r="AR2675" s="5" t="s">
        <v>16</v>
      </c>
      <c r="AS2675" s="5">
        <v>67</v>
      </c>
      <c r="AT2675" s="5" t="s">
        <v>16015</v>
      </c>
      <c r="AU2675" s="5" t="s">
        <v>16016</v>
      </c>
      <c r="AV2675" s="5" t="s">
        <v>16018</v>
      </c>
    </row>
    <row r="2676" spans="1:48" ht="45" customHeight="1" x14ac:dyDescent="0.15">
      <c r="A2676" s="5" t="s">
        <v>16019</v>
      </c>
      <c r="B2676" s="5">
        <v>2018</v>
      </c>
      <c r="C2676" s="5" t="s">
        <v>16020</v>
      </c>
      <c r="D2676" s="5" t="s">
        <v>212</v>
      </c>
      <c r="E2676" s="5" t="s">
        <v>18453</v>
      </c>
      <c r="F2676" s="5" t="s">
        <v>16023</v>
      </c>
      <c r="G2676" s="5"/>
      <c r="H2676" s="5"/>
      <c r="I2676" s="5"/>
      <c r="J2676" s="5"/>
      <c r="K2676" s="5"/>
      <c r="L2676" s="5"/>
      <c r="M2676" s="5"/>
      <c r="N2676" s="5"/>
      <c r="O2676" s="5"/>
      <c r="P2676" s="5"/>
      <c r="Q2676" s="5"/>
      <c r="AL2676" s="7" t="str">
        <f>HYPERLINK("http://dx.doi.org/10.1007/s00300-017-2200-6","http://dx.doi.org/10.1007/s00300-017-2200-6")</f>
        <v>http://dx.doi.org/10.1007/s00300-017-2200-6</v>
      </c>
      <c r="AM2676" s="5">
        <v>6</v>
      </c>
      <c r="AN2676" s="5">
        <v>6</v>
      </c>
      <c r="AO2676" s="5">
        <v>41</v>
      </c>
      <c r="AP2676" s="5">
        <v>3</v>
      </c>
      <c r="AQ2676" s="5">
        <v>433</v>
      </c>
      <c r="AR2676" s="5">
        <v>449</v>
      </c>
      <c r="AS2676" s="5" t="s">
        <v>16</v>
      </c>
      <c r="AT2676" s="5" t="s">
        <v>16021</v>
      </c>
      <c r="AU2676" s="5" t="s">
        <v>16022</v>
      </c>
      <c r="AV2676" s="5" t="s">
        <v>16024</v>
      </c>
    </row>
    <row r="2677" spans="1:48" ht="45" customHeight="1" x14ac:dyDescent="0.15">
      <c r="A2677" s="5" t="s">
        <v>16025</v>
      </c>
      <c r="B2677" s="5">
        <v>2014</v>
      </c>
      <c r="C2677" s="5" t="s">
        <v>16026</v>
      </c>
      <c r="D2677" s="5" t="s">
        <v>2087</v>
      </c>
      <c r="E2677" s="5" t="s">
        <v>18453</v>
      </c>
      <c r="F2677" s="5" t="s">
        <v>16029</v>
      </c>
      <c r="G2677" s="5"/>
      <c r="H2677" s="5"/>
      <c r="I2677" s="5"/>
      <c r="J2677" s="5"/>
      <c r="K2677" s="5"/>
      <c r="L2677" s="5"/>
      <c r="M2677" s="5"/>
      <c r="N2677" s="5"/>
      <c r="O2677" s="5"/>
      <c r="P2677" s="5"/>
      <c r="Q2677" s="5"/>
      <c r="AL2677" s="7" t="str">
        <f>HYPERLINK("http://dx.doi.org/10.1002/eco.1403","http://dx.doi.org/10.1002/eco.1403")</f>
        <v>http://dx.doi.org/10.1002/eco.1403</v>
      </c>
      <c r="AM2677" s="5">
        <v>10</v>
      </c>
      <c r="AN2677" s="5">
        <v>10</v>
      </c>
      <c r="AO2677" s="5">
        <v>7</v>
      </c>
      <c r="AP2677" s="5">
        <v>2</v>
      </c>
      <c r="AQ2677" s="5">
        <v>197</v>
      </c>
      <c r="AR2677" s="5">
        <v>208</v>
      </c>
      <c r="AS2677" s="5" t="s">
        <v>16</v>
      </c>
      <c r="AT2677" s="5" t="s">
        <v>16027</v>
      </c>
      <c r="AU2677" s="5" t="s">
        <v>16028</v>
      </c>
      <c r="AV2677" s="5" t="s">
        <v>16030</v>
      </c>
    </row>
    <row r="2678" spans="1:48" ht="45" customHeight="1" x14ac:dyDescent="0.15">
      <c r="A2678" s="5" t="s">
        <v>16031</v>
      </c>
      <c r="B2678" s="5">
        <v>2020</v>
      </c>
      <c r="C2678" s="5" t="s">
        <v>16032</v>
      </c>
      <c r="D2678" s="5" t="s">
        <v>973</v>
      </c>
      <c r="E2678" s="5" t="s">
        <v>18453</v>
      </c>
      <c r="F2678" s="5" t="s">
        <v>16034</v>
      </c>
      <c r="G2678" s="5"/>
      <c r="H2678" s="5"/>
      <c r="I2678" s="5"/>
      <c r="J2678" s="5"/>
      <c r="K2678" s="5"/>
      <c r="L2678" s="5"/>
      <c r="M2678" s="5"/>
      <c r="N2678" s="5"/>
      <c r="O2678" s="5"/>
      <c r="P2678" s="5"/>
      <c r="Q2678" s="5"/>
      <c r="AL2678" s="7" t="str">
        <f>HYPERLINK("http://dx.doi.org/10.5194/bg-17-5513-2020","http://dx.doi.org/10.5194/bg-17-5513-2020")</f>
        <v>http://dx.doi.org/10.5194/bg-17-5513-2020</v>
      </c>
      <c r="AM2678" s="5">
        <v>18</v>
      </c>
      <c r="AN2678" s="5">
        <v>20</v>
      </c>
      <c r="AO2678" s="5">
        <v>17</v>
      </c>
      <c r="AP2678" s="5">
        <v>22</v>
      </c>
      <c r="AQ2678" s="5">
        <v>5513</v>
      </c>
      <c r="AR2678" s="5">
        <v>5537</v>
      </c>
      <c r="AS2678" s="5" t="s">
        <v>16</v>
      </c>
      <c r="AT2678" s="5" t="s">
        <v>16</v>
      </c>
      <c r="AU2678" s="5" t="s">
        <v>16033</v>
      </c>
      <c r="AV2678" s="5" t="s">
        <v>16035</v>
      </c>
    </row>
    <row r="2679" spans="1:48" ht="45" customHeight="1" x14ac:dyDescent="0.15">
      <c r="A2679" s="5" t="s">
        <v>16036</v>
      </c>
      <c r="B2679" s="5">
        <v>1995</v>
      </c>
      <c r="C2679" s="5" t="s">
        <v>16037</v>
      </c>
      <c r="D2679" s="5" t="s">
        <v>116</v>
      </c>
      <c r="E2679" s="5" t="s">
        <v>18453</v>
      </c>
      <c r="F2679" s="5" t="s">
        <v>16040</v>
      </c>
      <c r="G2679" s="5"/>
      <c r="H2679" s="5"/>
      <c r="I2679" s="5"/>
      <c r="J2679" s="5"/>
      <c r="K2679" s="5"/>
      <c r="L2679" s="5"/>
      <c r="M2679" s="5"/>
      <c r="N2679" s="5"/>
      <c r="O2679" s="5"/>
      <c r="P2679" s="5"/>
      <c r="Q2679" s="5"/>
      <c r="AL2679" s="7" t="str">
        <f>HYPERLINK("http://dx.doi.org/10.1007/BF00001998","http://dx.doi.org/10.1007/BF00001998")</f>
        <v>http://dx.doi.org/10.1007/BF00001998</v>
      </c>
      <c r="AM2679" s="5">
        <v>9</v>
      </c>
      <c r="AN2679" s="5">
        <v>9</v>
      </c>
      <c r="AO2679" s="5">
        <v>42</v>
      </c>
      <c r="AP2679" s="5">
        <v>2</v>
      </c>
      <c r="AQ2679" s="5">
        <v>201</v>
      </c>
      <c r="AR2679" s="5">
        <v>211</v>
      </c>
      <c r="AS2679" s="5" t="s">
        <v>16</v>
      </c>
      <c r="AT2679" s="5" t="s">
        <v>16038</v>
      </c>
      <c r="AU2679" s="5" t="s">
        <v>16039</v>
      </c>
      <c r="AV2679" s="5" t="s">
        <v>16041</v>
      </c>
    </row>
    <row r="2680" spans="1:48" ht="45" customHeight="1" x14ac:dyDescent="0.15">
      <c r="A2680" s="5" t="s">
        <v>16042</v>
      </c>
      <c r="B2680" s="5">
        <v>1995</v>
      </c>
      <c r="C2680" s="5" t="s">
        <v>16043</v>
      </c>
      <c r="D2680" s="5" t="s">
        <v>160</v>
      </c>
      <c r="E2680" s="5" t="s">
        <v>18453</v>
      </c>
      <c r="F2680" s="5" t="s">
        <v>16046</v>
      </c>
      <c r="G2680" s="5"/>
      <c r="H2680" s="5"/>
      <c r="I2680" s="5"/>
      <c r="J2680" s="5"/>
      <c r="K2680" s="5"/>
      <c r="L2680" s="5"/>
      <c r="M2680" s="5"/>
      <c r="N2680" s="5"/>
      <c r="O2680" s="5"/>
      <c r="P2680" s="5"/>
      <c r="Q2680" s="5"/>
      <c r="AL2680" s="7" t="str">
        <f>HYPERLINK("http://dx.doi.org/10.2307/2405101","http://dx.doi.org/10.2307/2405101")</f>
        <v>http://dx.doi.org/10.2307/2405101</v>
      </c>
      <c r="AM2680" s="5">
        <v>30</v>
      </c>
      <c r="AN2680" s="5">
        <v>30</v>
      </c>
      <c r="AO2680" s="5">
        <v>32</v>
      </c>
      <c r="AP2680" s="5">
        <v>2</v>
      </c>
      <c r="AQ2680" s="5">
        <v>352</v>
      </c>
      <c r="AR2680" s="5">
        <v>361</v>
      </c>
      <c r="AS2680" s="5" t="s">
        <v>16</v>
      </c>
      <c r="AT2680" s="5" t="s">
        <v>16044</v>
      </c>
      <c r="AU2680" s="5" t="s">
        <v>16045</v>
      </c>
      <c r="AV2680" s="5" t="s">
        <v>16047</v>
      </c>
    </row>
    <row r="2681" spans="1:48" ht="45" customHeight="1" x14ac:dyDescent="0.15">
      <c r="A2681" s="5" t="s">
        <v>16048</v>
      </c>
      <c r="B2681" s="5">
        <v>2011</v>
      </c>
      <c r="C2681" s="5" t="s">
        <v>16049</v>
      </c>
      <c r="D2681" s="5" t="s">
        <v>49</v>
      </c>
      <c r="E2681" s="5" t="s">
        <v>18453</v>
      </c>
      <c r="F2681" s="5" t="s">
        <v>16052</v>
      </c>
      <c r="G2681" s="5"/>
      <c r="H2681" s="5"/>
      <c r="I2681" s="5"/>
      <c r="J2681" s="5"/>
      <c r="K2681" s="5"/>
      <c r="L2681" s="5"/>
      <c r="M2681" s="5"/>
      <c r="N2681" s="5"/>
      <c r="O2681" s="5"/>
      <c r="P2681" s="5"/>
      <c r="Q2681" s="5"/>
      <c r="AL2681" s="7" t="str">
        <f>HYPERLINK("http://dx.doi.org/10.3354/meps08988","http://dx.doi.org/10.3354/meps08988")</f>
        <v>http://dx.doi.org/10.3354/meps08988</v>
      </c>
      <c r="AM2681" s="5">
        <v>108</v>
      </c>
      <c r="AN2681" s="5">
        <v>110</v>
      </c>
      <c r="AO2681" s="5">
        <v>425</v>
      </c>
      <c r="AP2681" s="5" t="s">
        <v>16</v>
      </c>
      <c r="AQ2681" s="5">
        <v>247</v>
      </c>
      <c r="AR2681" s="5">
        <v>260</v>
      </c>
      <c r="AS2681" s="5" t="s">
        <v>16</v>
      </c>
      <c r="AT2681" s="5" t="s">
        <v>16050</v>
      </c>
      <c r="AU2681" s="5" t="s">
        <v>16051</v>
      </c>
      <c r="AV2681" s="5" t="s">
        <v>16053</v>
      </c>
    </row>
    <row r="2682" spans="1:48" ht="45" customHeight="1" x14ac:dyDescent="0.15">
      <c r="A2682" s="5" t="s">
        <v>16054</v>
      </c>
      <c r="B2682" s="5">
        <v>2009</v>
      </c>
      <c r="C2682" s="5" t="s">
        <v>16055</v>
      </c>
      <c r="D2682" s="5" t="s">
        <v>189</v>
      </c>
      <c r="E2682" s="5" t="s">
        <v>18453</v>
      </c>
      <c r="F2682" s="5" t="s">
        <v>16057</v>
      </c>
      <c r="G2682" s="5"/>
      <c r="H2682" s="5"/>
      <c r="I2682" s="5"/>
      <c r="J2682" s="5"/>
      <c r="K2682" s="5"/>
      <c r="L2682" s="5"/>
      <c r="M2682" s="5"/>
      <c r="N2682" s="5"/>
      <c r="O2682" s="5"/>
      <c r="P2682" s="5"/>
      <c r="Q2682" s="5"/>
      <c r="AL2682" s="7" t="str">
        <f>HYPERLINK("http://dx.doi.org/10.1111/j.1600-0587.2008.05591.x","http://dx.doi.org/10.1111/j.1600-0587.2008.05591.x")</f>
        <v>http://dx.doi.org/10.1111/j.1600-0587.2008.05591.x</v>
      </c>
      <c r="AM2682" s="5">
        <v>90</v>
      </c>
      <c r="AN2682" s="5">
        <v>93</v>
      </c>
      <c r="AO2682" s="5">
        <v>32</v>
      </c>
      <c r="AP2682" s="5">
        <v>4</v>
      </c>
      <c r="AQ2682" s="5">
        <v>658</v>
      </c>
      <c r="AR2682" s="5">
        <v>670</v>
      </c>
      <c r="AS2682" s="5" t="s">
        <v>16</v>
      </c>
      <c r="AT2682" s="5" t="s">
        <v>16</v>
      </c>
      <c r="AU2682" s="5" t="s">
        <v>16056</v>
      </c>
      <c r="AV2682" s="5" t="s">
        <v>16058</v>
      </c>
    </row>
    <row r="2683" spans="1:48" ht="45" customHeight="1" x14ac:dyDescent="0.15">
      <c r="A2683" s="5" t="s">
        <v>16059</v>
      </c>
      <c r="B2683" s="5">
        <v>2016</v>
      </c>
      <c r="C2683" s="5" t="s">
        <v>16060</v>
      </c>
      <c r="D2683" s="5" t="s">
        <v>16061</v>
      </c>
      <c r="E2683" s="5" t="s">
        <v>18453</v>
      </c>
      <c r="F2683" s="5" t="s">
        <v>16064</v>
      </c>
      <c r="G2683" s="5"/>
      <c r="H2683" s="5"/>
      <c r="I2683" s="5"/>
      <c r="J2683" s="5"/>
      <c r="K2683" s="5"/>
      <c r="L2683" s="5"/>
      <c r="M2683" s="5"/>
      <c r="N2683" s="5"/>
      <c r="O2683" s="5"/>
      <c r="P2683" s="5"/>
      <c r="Q2683" s="5"/>
      <c r="AL2683" s="5" t="s">
        <v>16</v>
      </c>
      <c r="AM2683" s="5">
        <v>30</v>
      </c>
      <c r="AN2683" s="5">
        <v>32</v>
      </c>
      <c r="AO2683" s="5">
        <v>57</v>
      </c>
      <c r="AP2683" s="5">
        <v>3</v>
      </c>
      <c r="AQ2683" s="5">
        <v>545</v>
      </c>
      <c r="AR2683" s="5">
        <v>557</v>
      </c>
      <c r="AS2683" s="5" t="s">
        <v>16</v>
      </c>
      <c r="AT2683" s="5" t="s">
        <v>16062</v>
      </c>
      <c r="AU2683" s="5" t="s">
        <v>16063</v>
      </c>
      <c r="AV2683" s="5" t="s">
        <v>16</v>
      </c>
    </row>
    <row r="2684" spans="1:48" ht="45" customHeight="1" x14ac:dyDescent="0.15">
      <c r="A2684" s="5" t="s">
        <v>16065</v>
      </c>
      <c r="B2684" s="5">
        <v>2002</v>
      </c>
      <c r="C2684" s="5" t="s">
        <v>16066</v>
      </c>
      <c r="D2684" s="5" t="s">
        <v>49</v>
      </c>
      <c r="E2684" s="5" t="s">
        <v>18453</v>
      </c>
      <c r="F2684" s="5" t="s">
        <v>16069</v>
      </c>
      <c r="G2684" s="5"/>
      <c r="H2684" s="5"/>
      <c r="I2684" s="5"/>
      <c r="J2684" s="5"/>
      <c r="K2684" s="5"/>
      <c r="L2684" s="5"/>
      <c r="M2684" s="5"/>
      <c r="N2684" s="5"/>
      <c r="O2684" s="5"/>
      <c r="P2684" s="5"/>
      <c r="Q2684" s="5"/>
      <c r="AL2684" s="7" t="str">
        <f>HYPERLINK("http://dx.doi.org/10.3354/meps232001","http://dx.doi.org/10.3354/meps232001")</f>
        <v>http://dx.doi.org/10.3354/meps232001</v>
      </c>
      <c r="AM2684" s="5">
        <v>50</v>
      </c>
      <c r="AN2684" s="5">
        <v>52</v>
      </c>
      <c r="AO2684" s="5">
        <v>232</v>
      </c>
      <c r="AP2684" s="5" t="s">
        <v>16</v>
      </c>
      <c r="AQ2684" s="5">
        <v>1</v>
      </c>
      <c r="AR2684" s="5">
        <v>14</v>
      </c>
      <c r="AS2684" s="5" t="s">
        <v>16</v>
      </c>
      <c r="AT2684" s="5" t="s">
        <v>16067</v>
      </c>
      <c r="AU2684" s="5" t="s">
        <v>16068</v>
      </c>
      <c r="AV2684" s="5" t="s">
        <v>16070</v>
      </c>
    </row>
    <row r="2685" spans="1:48" ht="45" customHeight="1" x14ac:dyDescent="0.15">
      <c r="A2685" s="5" t="s">
        <v>16071</v>
      </c>
      <c r="B2685" s="5">
        <v>2008</v>
      </c>
      <c r="C2685" s="5" t="s">
        <v>16072</v>
      </c>
      <c r="D2685" s="5" t="s">
        <v>62</v>
      </c>
      <c r="E2685" s="5" t="s">
        <v>18453</v>
      </c>
      <c r="F2685" s="5" t="s">
        <v>16075</v>
      </c>
      <c r="G2685" s="5"/>
      <c r="H2685" s="5"/>
      <c r="I2685" s="5"/>
      <c r="J2685" s="5"/>
      <c r="K2685" s="5"/>
      <c r="L2685" s="5"/>
      <c r="M2685" s="5"/>
      <c r="N2685" s="5"/>
      <c r="O2685" s="5"/>
      <c r="P2685" s="5"/>
      <c r="Q2685" s="5"/>
      <c r="AL2685" s="7" t="str">
        <f>HYPERLINK("http://dx.doi.org/10.1007/s10021-008-9189-1","http://dx.doi.org/10.1007/s10021-008-9189-1")</f>
        <v>http://dx.doi.org/10.1007/s10021-008-9189-1</v>
      </c>
      <c r="AM2685" s="5">
        <v>60</v>
      </c>
      <c r="AN2685" s="5">
        <v>63</v>
      </c>
      <c r="AO2685" s="5">
        <v>11</v>
      </c>
      <c r="AP2685" s="5">
        <v>8</v>
      </c>
      <c r="AQ2685" s="5">
        <v>1234</v>
      </c>
      <c r="AR2685" s="5">
        <v>1246</v>
      </c>
      <c r="AS2685" s="5" t="s">
        <v>16</v>
      </c>
      <c r="AT2685" s="5" t="s">
        <v>16073</v>
      </c>
      <c r="AU2685" s="5" t="s">
        <v>16074</v>
      </c>
      <c r="AV2685" s="5" t="s">
        <v>16076</v>
      </c>
    </row>
    <row r="2686" spans="1:48" ht="45" customHeight="1" x14ac:dyDescent="0.15">
      <c r="A2686" s="5" t="s">
        <v>16077</v>
      </c>
      <c r="B2686" s="5">
        <v>2013</v>
      </c>
      <c r="C2686" s="5" t="s">
        <v>16078</v>
      </c>
      <c r="D2686" s="5" t="s">
        <v>973</v>
      </c>
      <c r="E2686" s="5" t="s">
        <v>18453</v>
      </c>
      <c r="F2686" s="5" t="s">
        <v>16080</v>
      </c>
      <c r="G2686" s="5"/>
      <c r="H2686" s="5"/>
      <c r="I2686" s="5"/>
      <c r="J2686" s="5"/>
      <c r="K2686" s="5"/>
      <c r="L2686" s="5"/>
      <c r="M2686" s="5"/>
      <c r="N2686" s="5"/>
      <c r="O2686" s="5"/>
      <c r="P2686" s="5"/>
      <c r="Q2686" s="5"/>
      <c r="AL2686" s="7" t="str">
        <f>HYPERLINK("http://dx.doi.org/10.5194/bg-10-4591-2013","http://dx.doi.org/10.5194/bg-10-4591-2013")</f>
        <v>http://dx.doi.org/10.5194/bg-10-4591-2013</v>
      </c>
      <c r="AM2686" s="5">
        <v>99</v>
      </c>
      <c r="AN2686" s="5">
        <v>101</v>
      </c>
      <c r="AO2686" s="5">
        <v>10</v>
      </c>
      <c r="AP2686" s="5">
        <v>7</v>
      </c>
      <c r="AQ2686" s="5">
        <v>4591</v>
      </c>
      <c r="AR2686" s="5">
        <v>4606</v>
      </c>
      <c r="AS2686" s="5" t="s">
        <v>16</v>
      </c>
      <c r="AT2686" s="5" t="s">
        <v>16</v>
      </c>
      <c r="AU2686" s="5" t="s">
        <v>16079</v>
      </c>
      <c r="AV2686" s="5" t="s">
        <v>16081</v>
      </c>
    </row>
    <row r="2687" spans="1:48" ht="45" customHeight="1" x14ac:dyDescent="0.15">
      <c r="A2687" s="5" t="s">
        <v>16082</v>
      </c>
      <c r="B2687" s="5">
        <v>2014</v>
      </c>
      <c r="C2687" s="5" t="s">
        <v>16083</v>
      </c>
      <c r="D2687" s="5" t="s">
        <v>212</v>
      </c>
      <c r="E2687" s="5" t="s">
        <v>18453</v>
      </c>
      <c r="F2687" s="5" t="s">
        <v>16086</v>
      </c>
      <c r="G2687" s="5"/>
      <c r="H2687" s="5"/>
      <c r="I2687" s="5"/>
      <c r="J2687" s="5"/>
      <c r="K2687" s="5"/>
      <c r="L2687" s="5"/>
      <c r="M2687" s="5"/>
      <c r="N2687" s="5"/>
      <c r="O2687" s="5"/>
      <c r="P2687" s="5"/>
      <c r="Q2687" s="5"/>
      <c r="AL2687" s="7" t="str">
        <f>HYPERLINK("http://dx.doi.org/10.1007/s00300-014-1560-4","http://dx.doi.org/10.1007/s00300-014-1560-4")</f>
        <v>http://dx.doi.org/10.1007/s00300-014-1560-4</v>
      </c>
      <c r="AM2687" s="5">
        <v>7</v>
      </c>
      <c r="AN2687" s="5">
        <v>7</v>
      </c>
      <c r="AO2687" s="5">
        <v>37</v>
      </c>
      <c r="AP2687" s="5">
        <v>12</v>
      </c>
      <c r="AQ2687" s="5">
        <v>1769</v>
      </c>
      <c r="AR2687" s="5">
        <v>1784</v>
      </c>
      <c r="AS2687" s="5" t="s">
        <v>16</v>
      </c>
      <c r="AT2687" s="5" t="s">
        <v>16084</v>
      </c>
      <c r="AU2687" s="5" t="s">
        <v>16085</v>
      </c>
      <c r="AV2687" s="5" t="s">
        <v>16087</v>
      </c>
    </row>
    <row r="2688" spans="1:48" ht="45" customHeight="1" x14ac:dyDescent="0.15">
      <c r="A2688" s="5" t="s">
        <v>16088</v>
      </c>
      <c r="B2688" s="5">
        <v>2014</v>
      </c>
      <c r="C2688" s="5" t="s">
        <v>16089</v>
      </c>
      <c r="D2688" s="5" t="s">
        <v>17</v>
      </c>
      <c r="E2688" s="5" t="s">
        <v>18453</v>
      </c>
      <c r="F2688" s="5" t="s">
        <v>16092</v>
      </c>
      <c r="G2688" s="5"/>
      <c r="H2688" s="5"/>
      <c r="I2688" s="5"/>
      <c r="J2688" s="5"/>
      <c r="K2688" s="5"/>
      <c r="L2688" s="5"/>
      <c r="M2688" s="5"/>
      <c r="N2688" s="5"/>
      <c r="O2688" s="5"/>
      <c r="P2688" s="5"/>
      <c r="Q2688" s="5"/>
      <c r="AL2688" s="7" t="str">
        <f>HYPERLINK("http://dx.doi.org/10.1111/fwb.12436","http://dx.doi.org/10.1111/fwb.12436")</f>
        <v>http://dx.doi.org/10.1111/fwb.12436</v>
      </c>
      <c r="AM2688" s="5">
        <v>12</v>
      </c>
      <c r="AN2688" s="5">
        <v>12</v>
      </c>
      <c r="AO2688" s="5">
        <v>59</v>
      </c>
      <c r="AP2688" s="5">
        <v>11</v>
      </c>
      <c r="AQ2688" s="5">
        <v>2328</v>
      </c>
      <c r="AR2688" s="5">
        <v>2341</v>
      </c>
      <c r="AS2688" s="5" t="s">
        <v>16</v>
      </c>
      <c r="AT2688" s="5" t="s">
        <v>16090</v>
      </c>
      <c r="AU2688" s="5" t="s">
        <v>16091</v>
      </c>
      <c r="AV2688" s="5" t="s">
        <v>16093</v>
      </c>
    </row>
    <row r="2689" spans="1:48" ht="45" customHeight="1" x14ac:dyDescent="0.15">
      <c r="A2689" s="5" t="s">
        <v>16094</v>
      </c>
      <c r="B2689" s="5">
        <v>2015</v>
      </c>
      <c r="C2689" s="5" t="s">
        <v>16095</v>
      </c>
      <c r="D2689" s="5" t="s">
        <v>16096</v>
      </c>
      <c r="E2689" s="5" t="s">
        <v>18453</v>
      </c>
      <c r="F2689" s="5" t="s">
        <v>16099</v>
      </c>
      <c r="G2689" s="5"/>
      <c r="H2689" s="5"/>
      <c r="I2689" s="5"/>
      <c r="J2689" s="5"/>
      <c r="K2689" s="5"/>
      <c r="L2689" s="5"/>
      <c r="M2689" s="5"/>
      <c r="N2689" s="5"/>
      <c r="O2689" s="5"/>
      <c r="P2689" s="5"/>
      <c r="Q2689" s="5"/>
      <c r="AL2689" s="7" t="str">
        <f>HYPERLINK("http://dx.doi.org/10.1111/1755-0998.12299","http://dx.doi.org/10.1111/1755-0998.12299")</f>
        <v>http://dx.doi.org/10.1111/1755-0998.12299</v>
      </c>
      <c r="AM2689" s="5">
        <v>21</v>
      </c>
      <c r="AN2689" s="5">
        <v>22</v>
      </c>
      <c r="AO2689" s="5">
        <v>15</v>
      </c>
      <c r="AP2689" s="5">
        <v>2</v>
      </c>
      <c r="AQ2689" s="5">
        <v>231</v>
      </c>
      <c r="AR2689" s="5">
        <v>241</v>
      </c>
      <c r="AS2689" s="5" t="s">
        <v>16</v>
      </c>
      <c r="AT2689" s="5" t="s">
        <v>16097</v>
      </c>
      <c r="AU2689" s="5" t="s">
        <v>16098</v>
      </c>
      <c r="AV2689" s="5" t="s">
        <v>16100</v>
      </c>
    </row>
    <row r="2690" spans="1:48" ht="45" customHeight="1" x14ac:dyDescent="0.15">
      <c r="A2690" s="5" t="s">
        <v>16101</v>
      </c>
      <c r="B2690" s="5">
        <v>2004</v>
      </c>
      <c r="C2690" s="5" t="s">
        <v>16102</v>
      </c>
      <c r="D2690" s="5" t="s">
        <v>49</v>
      </c>
      <c r="E2690" s="5" t="s">
        <v>18453</v>
      </c>
      <c r="F2690" s="5" t="s">
        <v>16105</v>
      </c>
      <c r="G2690" s="5"/>
      <c r="H2690" s="5"/>
      <c r="I2690" s="5"/>
      <c r="J2690" s="5"/>
      <c r="K2690" s="5"/>
      <c r="L2690" s="5"/>
      <c r="M2690" s="5"/>
      <c r="N2690" s="5"/>
      <c r="O2690" s="5"/>
      <c r="P2690" s="5"/>
      <c r="Q2690" s="5"/>
      <c r="AL2690" s="7" t="str">
        <f>HYPERLINK("http://dx.doi.org/10.3354/meps269265","http://dx.doi.org/10.3354/meps269265")</f>
        <v>http://dx.doi.org/10.3354/meps269265</v>
      </c>
      <c r="AM2690" s="5">
        <v>54</v>
      </c>
      <c r="AN2690" s="5">
        <v>57</v>
      </c>
      <c r="AO2690" s="5">
        <v>269</v>
      </c>
      <c r="AP2690" s="5" t="s">
        <v>16</v>
      </c>
      <c r="AQ2690" s="5">
        <v>265</v>
      </c>
      <c r="AR2690" s="5">
        <v>275</v>
      </c>
      <c r="AS2690" s="5" t="s">
        <v>16</v>
      </c>
      <c r="AT2690" s="5" t="s">
        <v>16103</v>
      </c>
      <c r="AU2690" s="5" t="s">
        <v>16104</v>
      </c>
      <c r="AV2690" s="5" t="s">
        <v>16106</v>
      </c>
    </row>
    <row r="2691" spans="1:48" ht="45" customHeight="1" x14ac:dyDescent="0.15">
      <c r="A2691" s="5" t="s">
        <v>16107</v>
      </c>
      <c r="B2691" s="5">
        <v>2014</v>
      </c>
      <c r="C2691" s="5" t="s">
        <v>16108</v>
      </c>
      <c r="D2691" s="5" t="s">
        <v>289</v>
      </c>
      <c r="E2691" s="5" t="s">
        <v>18453</v>
      </c>
      <c r="F2691" s="5" t="s">
        <v>16111</v>
      </c>
      <c r="G2691" s="5"/>
      <c r="H2691" s="5"/>
      <c r="I2691" s="5"/>
      <c r="J2691" s="5"/>
      <c r="K2691" s="5"/>
      <c r="L2691" s="5"/>
      <c r="M2691" s="5"/>
      <c r="N2691" s="5"/>
      <c r="O2691" s="5"/>
      <c r="P2691" s="5"/>
      <c r="Q2691" s="5"/>
      <c r="AL2691" s="7" t="str">
        <f>HYPERLINK("http://dx.doi.org/10.1111/1365-2745.12309","http://dx.doi.org/10.1111/1365-2745.12309")</f>
        <v>http://dx.doi.org/10.1111/1365-2745.12309</v>
      </c>
      <c r="AM2691" s="5">
        <v>18</v>
      </c>
      <c r="AN2691" s="5">
        <v>20</v>
      </c>
      <c r="AO2691" s="5">
        <v>102</v>
      </c>
      <c r="AP2691" s="5">
        <v>6</v>
      </c>
      <c r="AQ2691" s="5">
        <v>1606</v>
      </c>
      <c r="AR2691" s="5">
        <v>1611</v>
      </c>
      <c r="AS2691" s="5" t="s">
        <v>16</v>
      </c>
      <c r="AT2691" s="5" t="s">
        <v>16109</v>
      </c>
      <c r="AU2691" s="5" t="s">
        <v>16110</v>
      </c>
      <c r="AV2691" s="5" t="s">
        <v>16112</v>
      </c>
    </row>
    <row r="2692" spans="1:48" ht="45" customHeight="1" x14ac:dyDescent="0.15">
      <c r="A2692" s="5" t="s">
        <v>16113</v>
      </c>
      <c r="B2692" s="5">
        <v>2014</v>
      </c>
      <c r="C2692" s="5" t="s">
        <v>16114</v>
      </c>
      <c r="D2692" s="5" t="s">
        <v>3183</v>
      </c>
      <c r="E2692" s="5" t="s">
        <v>18453</v>
      </c>
      <c r="F2692" s="5" t="s">
        <v>16117</v>
      </c>
      <c r="G2692" s="5"/>
      <c r="H2692" s="5"/>
      <c r="I2692" s="5"/>
      <c r="J2692" s="5"/>
      <c r="K2692" s="5"/>
      <c r="L2692" s="5"/>
      <c r="M2692" s="5"/>
      <c r="N2692" s="5"/>
      <c r="O2692" s="5"/>
      <c r="P2692" s="5"/>
      <c r="Q2692" s="5"/>
      <c r="AL2692" s="7" t="str">
        <f>HYPERLINK("http://dx.doi.org/10.1016/j.pedobi.2014.03.002","http://dx.doi.org/10.1016/j.pedobi.2014.03.002")</f>
        <v>http://dx.doi.org/10.1016/j.pedobi.2014.03.002</v>
      </c>
      <c r="AM2692" s="5">
        <v>29</v>
      </c>
      <c r="AN2692" s="5">
        <v>31</v>
      </c>
      <c r="AO2692" s="5">
        <v>57</v>
      </c>
      <c r="AP2692" s="5">
        <v>3</v>
      </c>
      <c r="AQ2692" s="5">
        <v>171</v>
      </c>
      <c r="AR2692" s="5">
        <v>179</v>
      </c>
      <c r="AS2692" s="5" t="s">
        <v>16</v>
      </c>
      <c r="AT2692" s="5" t="s">
        <v>16115</v>
      </c>
      <c r="AU2692" s="5" t="s">
        <v>16116</v>
      </c>
      <c r="AV2692" s="5" t="s">
        <v>16118</v>
      </c>
    </row>
    <row r="2693" spans="1:48" ht="45" customHeight="1" x14ac:dyDescent="0.15">
      <c r="A2693" s="5" t="s">
        <v>16119</v>
      </c>
      <c r="B2693" s="5">
        <v>2019</v>
      </c>
      <c r="C2693" s="5" t="s">
        <v>16120</v>
      </c>
      <c r="D2693" s="5" t="s">
        <v>162</v>
      </c>
      <c r="E2693" s="5" t="s">
        <v>18453</v>
      </c>
      <c r="F2693" s="5" t="s">
        <v>16123</v>
      </c>
      <c r="G2693" s="5"/>
      <c r="H2693" s="5"/>
      <c r="I2693" s="5"/>
      <c r="J2693" s="5"/>
      <c r="K2693" s="5"/>
      <c r="L2693" s="5"/>
      <c r="M2693" s="5"/>
      <c r="N2693" s="5"/>
      <c r="O2693" s="5"/>
      <c r="P2693" s="5"/>
      <c r="Q2693" s="5"/>
      <c r="AL2693" s="7" t="str">
        <f>HYPERLINK("http://dx.doi.org/10.1111/1365-2435.13400","http://dx.doi.org/10.1111/1365-2435.13400")</f>
        <v>http://dx.doi.org/10.1111/1365-2435.13400</v>
      </c>
      <c r="AM2693" s="5">
        <v>6</v>
      </c>
      <c r="AN2693" s="5">
        <v>6</v>
      </c>
      <c r="AO2693" s="5">
        <v>33</v>
      </c>
      <c r="AP2693" s="5">
        <v>10</v>
      </c>
      <c r="AQ2693" s="5">
        <v>1962</v>
      </c>
      <c r="AR2693" s="5">
        <v>1972</v>
      </c>
      <c r="AS2693" s="5" t="s">
        <v>16</v>
      </c>
      <c r="AT2693" s="5" t="s">
        <v>16121</v>
      </c>
      <c r="AU2693" s="5" t="s">
        <v>16122</v>
      </c>
      <c r="AV2693" s="5" t="s">
        <v>16124</v>
      </c>
    </row>
    <row r="2694" spans="1:48" ht="45" customHeight="1" x14ac:dyDescent="0.15">
      <c r="A2694" s="5" t="s">
        <v>16125</v>
      </c>
      <c r="B2694" s="5">
        <v>2022</v>
      </c>
      <c r="C2694" s="5" t="s">
        <v>16126</v>
      </c>
      <c r="D2694" s="5" t="s">
        <v>154</v>
      </c>
      <c r="E2694" s="5" t="s">
        <v>18453</v>
      </c>
      <c r="F2694" s="5" t="s">
        <v>16129</v>
      </c>
      <c r="G2694" s="5"/>
      <c r="H2694" s="5"/>
      <c r="I2694" s="5"/>
      <c r="J2694" s="5"/>
      <c r="K2694" s="5"/>
      <c r="L2694" s="5"/>
      <c r="M2694" s="5"/>
      <c r="N2694" s="5"/>
      <c r="O2694" s="5"/>
      <c r="P2694" s="5"/>
      <c r="Q2694" s="5"/>
      <c r="AL2694" s="7" t="str">
        <f>HYPERLINK("http://dx.doi.org/10.1186/s13717-022-00382-0","http://dx.doi.org/10.1186/s13717-022-00382-0")</f>
        <v>http://dx.doi.org/10.1186/s13717-022-00382-0</v>
      </c>
      <c r="AM2694" s="5">
        <v>0</v>
      </c>
      <c r="AN2694" s="5">
        <v>0</v>
      </c>
      <c r="AO2694" s="5">
        <v>11</v>
      </c>
      <c r="AP2694" s="5">
        <v>1</v>
      </c>
      <c r="AQ2694" s="5" t="s">
        <v>16</v>
      </c>
      <c r="AR2694" s="5" t="s">
        <v>16</v>
      </c>
      <c r="AS2694" s="5">
        <v>37</v>
      </c>
      <c r="AT2694" s="5" t="s">
        <v>16127</v>
      </c>
      <c r="AU2694" s="5" t="s">
        <v>16128</v>
      </c>
      <c r="AV2694" s="5" t="s">
        <v>16130</v>
      </c>
    </row>
    <row r="2695" spans="1:48" ht="45" customHeight="1" x14ac:dyDescent="0.15">
      <c r="A2695" s="5" t="s">
        <v>16131</v>
      </c>
      <c r="B2695" s="5">
        <v>2011</v>
      </c>
      <c r="C2695" s="5" t="s">
        <v>16132</v>
      </c>
      <c r="D2695" s="5" t="s">
        <v>160</v>
      </c>
      <c r="E2695" s="5" t="s">
        <v>18453</v>
      </c>
      <c r="F2695" s="5" t="s">
        <v>16135</v>
      </c>
      <c r="G2695" s="5"/>
      <c r="H2695" s="5"/>
      <c r="I2695" s="5"/>
      <c r="J2695" s="5"/>
      <c r="K2695" s="5"/>
      <c r="L2695" s="5"/>
      <c r="M2695" s="5"/>
      <c r="N2695" s="5"/>
      <c r="O2695" s="5"/>
      <c r="P2695" s="5"/>
      <c r="Q2695" s="5"/>
      <c r="AL2695" s="7" t="str">
        <f>HYPERLINK("http://dx.doi.org/10.1111/j.1365-2664.2011.02038.x","http://dx.doi.org/10.1111/j.1365-2664.2011.02038.x")</f>
        <v>http://dx.doi.org/10.1111/j.1365-2664.2011.02038.x</v>
      </c>
      <c r="AM2695" s="5">
        <v>16</v>
      </c>
      <c r="AN2695" s="5">
        <v>18</v>
      </c>
      <c r="AO2695" s="5">
        <v>48</v>
      </c>
      <c r="AP2695" s="5">
        <v>6</v>
      </c>
      <c r="AQ2695" s="5">
        <v>1462</v>
      </c>
      <c r="AR2695" s="5">
        <v>1471</v>
      </c>
      <c r="AS2695" s="5" t="s">
        <v>16</v>
      </c>
      <c r="AT2695" s="5" t="s">
        <v>16133</v>
      </c>
      <c r="AU2695" s="5" t="s">
        <v>16134</v>
      </c>
      <c r="AV2695" s="5" t="s">
        <v>16136</v>
      </c>
    </row>
    <row r="2696" spans="1:48" ht="45" customHeight="1" x14ac:dyDescent="0.15">
      <c r="A2696" s="5" t="s">
        <v>16137</v>
      </c>
      <c r="B2696" s="5">
        <v>2009</v>
      </c>
      <c r="C2696" s="5" t="s">
        <v>16138</v>
      </c>
      <c r="D2696" s="5" t="s">
        <v>77</v>
      </c>
      <c r="E2696" s="5" t="s">
        <v>18453</v>
      </c>
      <c r="F2696" s="5" t="s">
        <v>16141</v>
      </c>
      <c r="G2696" s="5"/>
      <c r="H2696" s="5"/>
      <c r="I2696" s="5"/>
      <c r="J2696" s="5"/>
      <c r="K2696" s="5"/>
      <c r="L2696" s="5"/>
      <c r="M2696" s="5"/>
      <c r="N2696" s="5"/>
      <c r="O2696" s="5"/>
      <c r="P2696" s="5"/>
      <c r="Q2696" s="5"/>
      <c r="AL2696" s="7" t="str">
        <f>HYPERLINK("http://dx.doi.org/10.1111/j.1365-2656.2008.01466.x","http://dx.doi.org/10.1111/j.1365-2656.2008.01466.x")</f>
        <v>http://dx.doi.org/10.1111/j.1365-2656.2008.01466.x</v>
      </c>
      <c r="AM2696" s="5">
        <v>166</v>
      </c>
      <c r="AN2696" s="5">
        <v>169</v>
      </c>
      <c r="AO2696" s="5">
        <v>78</v>
      </c>
      <c r="AP2696" s="5">
        <v>1</v>
      </c>
      <c r="AQ2696" s="5">
        <v>270</v>
      </c>
      <c r="AR2696" s="5">
        <v>280</v>
      </c>
      <c r="AS2696" s="5" t="s">
        <v>16</v>
      </c>
      <c r="AT2696" s="5" t="s">
        <v>16139</v>
      </c>
      <c r="AU2696" s="5" t="s">
        <v>16140</v>
      </c>
      <c r="AV2696" s="5" t="s">
        <v>16142</v>
      </c>
    </row>
    <row r="2697" spans="1:48" ht="45" customHeight="1" x14ac:dyDescent="0.15">
      <c r="A2697" s="5" t="s">
        <v>16143</v>
      </c>
      <c r="B2697" s="5">
        <v>2017</v>
      </c>
      <c r="C2697" s="5" t="s">
        <v>16144</v>
      </c>
      <c r="D2697" s="5" t="s">
        <v>2087</v>
      </c>
      <c r="E2697" s="5" t="s">
        <v>18453</v>
      </c>
      <c r="F2697" s="5" t="s">
        <v>16147</v>
      </c>
      <c r="G2697" s="5"/>
      <c r="H2697" s="5"/>
      <c r="I2697" s="5"/>
      <c r="J2697" s="5"/>
      <c r="K2697" s="5"/>
      <c r="L2697" s="5"/>
      <c r="M2697" s="5"/>
      <c r="N2697" s="5"/>
      <c r="O2697" s="5"/>
      <c r="P2697" s="5"/>
      <c r="Q2697" s="5"/>
      <c r="AL2697" s="7" t="str">
        <f>HYPERLINK("http://dx.doi.org/10.1002/eco.1879","http://dx.doi.org/10.1002/eco.1879")</f>
        <v>http://dx.doi.org/10.1002/eco.1879</v>
      </c>
      <c r="AM2697" s="5">
        <v>27</v>
      </c>
      <c r="AN2697" s="5">
        <v>27</v>
      </c>
      <c r="AO2697" s="5">
        <v>10</v>
      </c>
      <c r="AP2697" s="5">
        <v>7</v>
      </c>
      <c r="AQ2697" s="5" t="s">
        <v>16</v>
      </c>
      <c r="AR2697" s="5" t="s">
        <v>16</v>
      </c>
      <c r="AS2697" s="5" t="s">
        <v>16148</v>
      </c>
      <c r="AT2697" s="5" t="s">
        <v>16145</v>
      </c>
      <c r="AU2697" s="5" t="s">
        <v>16146</v>
      </c>
      <c r="AV2697" s="5" t="s">
        <v>16149</v>
      </c>
    </row>
    <row r="2698" spans="1:48" ht="45" customHeight="1" x14ac:dyDescent="0.15">
      <c r="A2698" s="5" t="s">
        <v>16150</v>
      </c>
      <c r="B2698" s="5">
        <v>2015</v>
      </c>
      <c r="C2698" s="5" t="s">
        <v>16151</v>
      </c>
      <c r="D2698" s="5" t="s">
        <v>973</v>
      </c>
      <c r="E2698" s="5" t="s">
        <v>18453</v>
      </c>
      <c r="F2698" s="5" t="s">
        <v>16153</v>
      </c>
      <c r="G2698" s="5"/>
      <c r="H2698" s="5"/>
      <c r="I2698" s="5"/>
      <c r="J2698" s="5"/>
      <c r="K2698" s="5"/>
      <c r="L2698" s="5"/>
      <c r="M2698" s="5"/>
      <c r="N2698" s="5"/>
      <c r="O2698" s="5"/>
      <c r="P2698" s="5"/>
      <c r="Q2698" s="5"/>
      <c r="AL2698" s="7" t="str">
        <f>HYPERLINK("http://dx.doi.org/10.5194/bg-12-2861-2015","http://dx.doi.org/10.5194/bg-12-2861-2015")</f>
        <v>http://dx.doi.org/10.5194/bg-12-2861-2015</v>
      </c>
      <c r="AM2698" s="5">
        <v>87</v>
      </c>
      <c r="AN2698" s="5">
        <v>86</v>
      </c>
      <c r="AO2698" s="5">
        <v>12</v>
      </c>
      <c r="AP2698" s="5">
        <v>10</v>
      </c>
      <c r="AQ2698" s="5">
        <v>2861</v>
      </c>
      <c r="AR2698" s="5">
        <v>2871</v>
      </c>
      <c r="AS2698" s="5" t="s">
        <v>16</v>
      </c>
      <c r="AT2698" s="5" t="s">
        <v>16</v>
      </c>
      <c r="AU2698" s="5" t="s">
        <v>16152</v>
      </c>
      <c r="AV2698" s="5" t="s">
        <v>16154</v>
      </c>
    </row>
    <row r="2699" spans="1:48" ht="45" customHeight="1" x14ac:dyDescent="0.15">
      <c r="A2699" s="5" t="s">
        <v>16155</v>
      </c>
      <c r="B2699" s="5">
        <v>2010</v>
      </c>
      <c r="C2699" s="5" t="s">
        <v>16156</v>
      </c>
      <c r="D2699" s="5" t="s">
        <v>27</v>
      </c>
      <c r="E2699" s="5" t="s">
        <v>18453</v>
      </c>
      <c r="F2699" s="5" t="s">
        <v>16159</v>
      </c>
      <c r="G2699" s="5"/>
      <c r="H2699" s="5"/>
      <c r="I2699" s="5"/>
      <c r="J2699" s="5"/>
      <c r="K2699" s="5"/>
      <c r="L2699" s="5"/>
      <c r="M2699" s="5"/>
      <c r="N2699" s="5"/>
      <c r="O2699" s="5"/>
      <c r="P2699" s="5"/>
      <c r="Q2699" s="5"/>
      <c r="AL2699" s="7" t="str">
        <f>HYPERLINK("http://dx.doi.org/10.1890/09-2212.1","http://dx.doi.org/10.1890/09-2212.1")</f>
        <v>http://dx.doi.org/10.1890/09-2212.1</v>
      </c>
      <c r="AM2699" s="5">
        <v>69</v>
      </c>
      <c r="AN2699" s="5">
        <v>71</v>
      </c>
      <c r="AO2699" s="5">
        <v>91</v>
      </c>
      <c r="AP2699" s="5">
        <v>10</v>
      </c>
      <c r="AQ2699" s="5">
        <v>2874</v>
      </c>
      <c r="AR2699" s="5">
        <v>2882</v>
      </c>
      <c r="AS2699" s="5" t="s">
        <v>16</v>
      </c>
      <c r="AT2699" s="5" t="s">
        <v>16157</v>
      </c>
      <c r="AU2699" s="5" t="s">
        <v>16158</v>
      </c>
      <c r="AV2699" s="5" t="s">
        <v>16160</v>
      </c>
    </row>
    <row r="2700" spans="1:48" ht="45" customHeight="1" x14ac:dyDescent="0.15">
      <c r="A2700" s="5" t="s">
        <v>16161</v>
      </c>
      <c r="B2700" s="5">
        <v>2014</v>
      </c>
      <c r="C2700" s="5" t="s">
        <v>16162</v>
      </c>
      <c r="D2700" s="5" t="s">
        <v>27</v>
      </c>
      <c r="E2700" s="5" t="s">
        <v>18453</v>
      </c>
      <c r="F2700" s="5" t="s">
        <v>16165</v>
      </c>
      <c r="G2700" s="5"/>
      <c r="H2700" s="5"/>
      <c r="I2700" s="5"/>
      <c r="J2700" s="5"/>
      <c r="K2700" s="5"/>
      <c r="L2700" s="5"/>
      <c r="M2700" s="5"/>
      <c r="N2700" s="5"/>
      <c r="O2700" s="5"/>
      <c r="P2700" s="5"/>
      <c r="Q2700" s="5"/>
      <c r="AL2700" s="7" t="str">
        <f>HYPERLINK("http://dx.doi.org/10.1890/13-0263.1","http://dx.doi.org/10.1890/13-0263.1")</f>
        <v>http://dx.doi.org/10.1890/13-0263.1</v>
      </c>
      <c r="AM2700" s="5">
        <v>51</v>
      </c>
      <c r="AN2700" s="5">
        <v>52</v>
      </c>
      <c r="AO2700" s="5">
        <v>95</v>
      </c>
      <c r="AP2700" s="5">
        <v>5</v>
      </c>
      <c r="AQ2700" s="5">
        <v>1285</v>
      </c>
      <c r="AR2700" s="5">
        <v>1293</v>
      </c>
      <c r="AS2700" s="5" t="s">
        <v>16</v>
      </c>
      <c r="AT2700" s="5" t="s">
        <v>16163</v>
      </c>
      <c r="AU2700" s="5" t="s">
        <v>16164</v>
      </c>
      <c r="AV2700" s="5" t="s">
        <v>16166</v>
      </c>
    </row>
    <row r="2701" spans="1:48" ht="45" customHeight="1" x14ac:dyDescent="0.15">
      <c r="A2701" s="5" t="s">
        <v>16167</v>
      </c>
      <c r="B2701" s="5">
        <v>2010</v>
      </c>
      <c r="C2701" s="5" t="s">
        <v>16168</v>
      </c>
      <c r="D2701" s="5" t="s">
        <v>383</v>
      </c>
      <c r="E2701" s="5" t="s">
        <v>18453</v>
      </c>
      <c r="F2701" s="5" t="s">
        <v>16171</v>
      </c>
      <c r="G2701" s="5"/>
      <c r="H2701" s="5"/>
      <c r="I2701" s="5"/>
      <c r="J2701" s="5"/>
      <c r="K2701" s="5"/>
      <c r="L2701" s="5"/>
      <c r="M2701" s="5"/>
      <c r="N2701" s="5"/>
      <c r="O2701" s="5"/>
      <c r="P2701" s="5"/>
      <c r="Q2701" s="5"/>
      <c r="AL2701" s="7" t="str">
        <f>HYPERLINK("http://dx.doi.org/10.1007/s11284-010-0715-1","http://dx.doi.org/10.1007/s11284-010-0715-1")</f>
        <v>http://dx.doi.org/10.1007/s11284-010-0715-1</v>
      </c>
      <c r="AM2701" s="5">
        <v>26</v>
      </c>
      <c r="AN2701" s="5">
        <v>29</v>
      </c>
      <c r="AO2701" s="5">
        <v>25</v>
      </c>
      <c r="AP2701" s="5">
        <v>4</v>
      </c>
      <c r="AQ2701" s="5">
        <v>847</v>
      </c>
      <c r="AR2701" s="5">
        <v>855</v>
      </c>
      <c r="AS2701" s="5" t="s">
        <v>16</v>
      </c>
      <c r="AT2701" s="5" t="s">
        <v>16169</v>
      </c>
      <c r="AU2701" s="5" t="s">
        <v>16170</v>
      </c>
      <c r="AV2701" s="5" t="s">
        <v>16172</v>
      </c>
    </row>
    <row r="2702" spans="1:48" ht="45" customHeight="1" x14ac:dyDescent="0.15">
      <c r="A2702" s="5" t="s">
        <v>16173</v>
      </c>
      <c r="B2702" s="5">
        <v>2019</v>
      </c>
      <c r="C2702" s="5" t="s">
        <v>16174</v>
      </c>
      <c r="D2702" s="5" t="s">
        <v>295</v>
      </c>
      <c r="E2702" s="5" t="s">
        <v>18453</v>
      </c>
      <c r="F2702" s="5" t="s">
        <v>16177</v>
      </c>
      <c r="G2702" s="5"/>
      <c r="H2702" s="5"/>
      <c r="I2702" s="5"/>
      <c r="J2702" s="5"/>
      <c r="K2702" s="5"/>
      <c r="L2702" s="5"/>
      <c r="M2702" s="5"/>
      <c r="N2702" s="5"/>
      <c r="O2702" s="5"/>
      <c r="P2702" s="5"/>
      <c r="Q2702" s="5"/>
      <c r="AL2702" s="7" t="str">
        <f>HYPERLINK("http://dx.doi.org/10.1016/j.jembe.2018.12.007","http://dx.doi.org/10.1016/j.jembe.2018.12.007")</f>
        <v>http://dx.doi.org/10.1016/j.jembe.2018.12.007</v>
      </c>
      <c r="AM2702" s="5">
        <v>7</v>
      </c>
      <c r="AN2702" s="5">
        <v>7</v>
      </c>
      <c r="AO2702" s="5">
        <v>512</v>
      </c>
      <c r="AP2702" s="5" t="s">
        <v>16</v>
      </c>
      <c r="AQ2702" s="5">
        <v>12</v>
      </c>
      <c r="AR2702" s="5">
        <v>21</v>
      </c>
      <c r="AS2702" s="5" t="s">
        <v>16</v>
      </c>
      <c r="AT2702" s="5" t="s">
        <v>16175</v>
      </c>
      <c r="AU2702" s="5" t="s">
        <v>16176</v>
      </c>
      <c r="AV2702" s="5" t="s">
        <v>16178</v>
      </c>
    </row>
    <row r="2703" spans="1:48" ht="45" customHeight="1" x14ac:dyDescent="0.15">
      <c r="A2703" s="5" t="s">
        <v>16179</v>
      </c>
      <c r="B2703" s="5">
        <v>2013</v>
      </c>
      <c r="C2703" s="5" t="s">
        <v>16180</v>
      </c>
      <c r="D2703" s="5" t="s">
        <v>27</v>
      </c>
      <c r="E2703" s="5" t="s">
        <v>18453</v>
      </c>
      <c r="F2703" s="5" t="s">
        <v>16183</v>
      </c>
      <c r="G2703" s="5"/>
      <c r="H2703" s="5"/>
      <c r="I2703" s="5"/>
      <c r="J2703" s="5"/>
      <c r="K2703" s="5"/>
      <c r="L2703" s="5"/>
      <c r="M2703" s="5"/>
      <c r="N2703" s="5"/>
      <c r="O2703" s="5"/>
      <c r="P2703" s="5"/>
      <c r="Q2703" s="5"/>
      <c r="AL2703" s="7" t="str">
        <f>HYPERLINK("http://dx.doi.org/10.1890/13-0420.1","http://dx.doi.org/10.1890/13-0420.1")</f>
        <v>http://dx.doi.org/10.1890/13-0420.1</v>
      </c>
      <c r="AM2703" s="5">
        <v>40</v>
      </c>
      <c r="AN2703" s="5">
        <v>41</v>
      </c>
      <c r="AO2703" s="5">
        <v>94</v>
      </c>
      <c r="AP2703" s="5">
        <v>12</v>
      </c>
      <c r="AQ2703" s="5">
        <v>2754</v>
      </c>
      <c r="AR2703" s="5">
        <v>2766</v>
      </c>
      <c r="AS2703" s="5" t="s">
        <v>16</v>
      </c>
      <c r="AT2703" s="5" t="s">
        <v>16181</v>
      </c>
      <c r="AU2703" s="5" t="s">
        <v>16182</v>
      </c>
      <c r="AV2703" s="5" t="s">
        <v>16184</v>
      </c>
    </row>
    <row r="2704" spans="1:48" ht="45" customHeight="1" x14ac:dyDescent="0.15">
      <c r="A2704" s="5" t="s">
        <v>16185</v>
      </c>
      <c r="B2704" s="5">
        <v>2020</v>
      </c>
      <c r="C2704" s="5" t="s">
        <v>16186</v>
      </c>
      <c r="D2704" s="5" t="s">
        <v>16187</v>
      </c>
      <c r="E2704" s="5" t="s">
        <v>18453</v>
      </c>
      <c r="F2704" s="5" t="s">
        <v>16190</v>
      </c>
      <c r="G2704" s="5"/>
      <c r="H2704" s="5"/>
      <c r="I2704" s="5"/>
      <c r="J2704" s="5"/>
      <c r="K2704" s="5"/>
      <c r="L2704" s="5"/>
      <c r="M2704" s="5"/>
      <c r="N2704" s="5"/>
      <c r="O2704" s="5"/>
      <c r="P2704" s="5"/>
      <c r="Q2704" s="5"/>
      <c r="AL2704" s="7" t="str">
        <f>HYPERLINK("http://dx.doi.org/10.2989/10220119.2020.1749126","http://dx.doi.org/10.2989/10220119.2020.1749126")</f>
        <v>http://dx.doi.org/10.2989/10220119.2020.1749126</v>
      </c>
      <c r="AM2704" s="5">
        <v>2</v>
      </c>
      <c r="AN2704" s="5">
        <v>2</v>
      </c>
      <c r="AO2704" s="5">
        <v>37</v>
      </c>
      <c r="AP2704" s="5">
        <v>4</v>
      </c>
      <c r="AQ2704" s="5">
        <v>268</v>
      </c>
      <c r="AR2704" s="5">
        <v>277</v>
      </c>
      <c r="AS2704" s="5" t="s">
        <v>16</v>
      </c>
      <c r="AT2704" s="5" t="s">
        <v>16188</v>
      </c>
      <c r="AU2704" s="5" t="s">
        <v>16189</v>
      </c>
      <c r="AV2704" s="5" t="s">
        <v>16191</v>
      </c>
    </row>
    <row r="2705" spans="1:48" ht="45" customHeight="1" x14ac:dyDescent="0.15">
      <c r="A2705" s="5" t="s">
        <v>16192</v>
      </c>
      <c r="B2705" s="5">
        <v>2021</v>
      </c>
      <c r="C2705" s="5" t="s">
        <v>16193</v>
      </c>
      <c r="D2705" s="5" t="s">
        <v>116</v>
      </c>
      <c r="E2705" s="5" t="s">
        <v>18453</v>
      </c>
      <c r="F2705" s="5" t="s">
        <v>16196</v>
      </c>
      <c r="G2705" s="5"/>
      <c r="H2705" s="5"/>
      <c r="I2705" s="5"/>
      <c r="J2705" s="5"/>
      <c r="K2705" s="5"/>
      <c r="L2705" s="5"/>
      <c r="M2705" s="5"/>
      <c r="N2705" s="5"/>
      <c r="O2705" s="5"/>
      <c r="P2705" s="5"/>
      <c r="Q2705" s="5"/>
      <c r="AL2705" s="7" t="str">
        <f>HYPERLINK("http://dx.doi.org/10.1007/s10641-021-01135-2","http://dx.doi.org/10.1007/s10641-021-01135-2")</f>
        <v>http://dx.doi.org/10.1007/s10641-021-01135-2</v>
      </c>
      <c r="AM2705" s="5">
        <v>0</v>
      </c>
      <c r="AN2705" s="5">
        <v>0</v>
      </c>
      <c r="AO2705" s="5">
        <v>104</v>
      </c>
      <c r="AP2705" s="5">
        <v>8</v>
      </c>
      <c r="AQ2705" s="5">
        <v>1005</v>
      </c>
      <c r="AR2705" s="5">
        <v>1016</v>
      </c>
      <c r="AS2705" s="5" t="s">
        <v>16</v>
      </c>
      <c r="AT2705" s="5" t="s">
        <v>16194</v>
      </c>
      <c r="AU2705" s="5" t="s">
        <v>16195</v>
      </c>
      <c r="AV2705" s="5" t="s">
        <v>16197</v>
      </c>
    </row>
    <row r="2706" spans="1:48" ht="45" customHeight="1" x14ac:dyDescent="0.15">
      <c r="A2706" s="5" t="s">
        <v>16198</v>
      </c>
      <c r="B2706" s="5">
        <v>2016</v>
      </c>
      <c r="C2706" s="5" t="s">
        <v>16199</v>
      </c>
      <c r="D2706" s="5" t="s">
        <v>5517</v>
      </c>
      <c r="E2706" s="5" t="s">
        <v>18453</v>
      </c>
      <c r="F2706" s="5" t="s">
        <v>16201</v>
      </c>
      <c r="G2706" s="5"/>
      <c r="H2706" s="5"/>
      <c r="I2706" s="5"/>
      <c r="J2706" s="5"/>
      <c r="K2706" s="5"/>
      <c r="L2706" s="5"/>
      <c r="M2706" s="5"/>
      <c r="N2706" s="5"/>
      <c r="O2706" s="5"/>
      <c r="P2706" s="5"/>
      <c r="Q2706" s="5"/>
      <c r="AL2706" s="7" t="str">
        <f>HYPERLINK("http://dx.doi.org/10.1038/ismej.2015.88","http://dx.doi.org/10.1038/ismej.2015.88")</f>
        <v>http://dx.doi.org/10.1038/ismej.2015.88</v>
      </c>
      <c r="AM2706" s="5">
        <v>216</v>
      </c>
      <c r="AN2706" s="5">
        <v>226</v>
      </c>
      <c r="AO2706" s="5">
        <v>10</v>
      </c>
      <c r="AP2706" s="5">
        <v>1</v>
      </c>
      <c r="AQ2706" s="5">
        <v>170</v>
      </c>
      <c r="AR2706" s="5">
        <v>182</v>
      </c>
      <c r="AS2706" s="5" t="s">
        <v>16</v>
      </c>
      <c r="AT2706" s="5" t="s">
        <v>16</v>
      </c>
      <c r="AU2706" s="5" t="s">
        <v>16200</v>
      </c>
      <c r="AV2706" s="5" t="s">
        <v>16202</v>
      </c>
    </row>
    <row r="2707" spans="1:48" ht="45" customHeight="1" x14ac:dyDescent="0.15">
      <c r="A2707" s="5" t="s">
        <v>16203</v>
      </c>
      <c r="B2707" s="5">
        <v>2016</v>
      </c>
      <c r="C2707" s="5" t="s">
        <v>16204</v>
      </c>
      <c r="D2707" s="5" t="s">
        <v>973</v>
      </c>
      <c r="E2707" s="5" t="s">
        <v>18453</v>
      </c>
      <c r="F2707" s="5" t="s">
        <v>16206</v>
      </c>
      <c r="G2707" s="5"/>
      <c r="H2707" s="5"/>
      <c r="I2707" s="5"/>
      <c r="J2707" s="5"/>
      <c r="K2707" s="5"/>
      <c r="L2707" s="5"/>
      <c r="M2707" s="5"/>
      <c r="N2707" s="5"/>
      <c r="O2707" s="5"/>
      <c r="P2707" s="5"/>
      <c r="Q2707" s="5"/>
      <c r="AL2707" s="7" t="str">
        <f>HYPERLINK("http://dx.doi.org/10.5194/bg-13-5057-2016","http://dx.doi.org/10.5194/bg-13-5057-2016")</f>
        <v>http://dx.doi.org/10.5194/bg-13-5057-2016</v>
      </c>
      <c r="AM2707" s="5">
        <v>15</v>
      </c>
      <c r="AN2707" s="5">
        <v>18</v>
      </c>
      <c r="AO2707" s="5">
        <v>13</v>
      </c>
      <c r="AP2707" s="5">
        <v>17</v>
      </c>
      <c r="AQ2707" s="5">
        <v>5057</v>
      </c>
      <c r="AR2707" s="5">
        <v>5064</v>
      </c>
      <c r="AS2707" s="5" t="s">
        <v>16</v>
      </c>
      <c r="AT2707" s="5" t="s">
        <v>16</v>
      </c>
      <c r="AU2707" s="5" t="s">
        <v>16205</v>
      </c>
      <c r="AV2707" s="5" t="s">
        <v>16207</v>
      </c>
    </row>
    <row r="2708" spans="1:48" ht="45" customHeight="1" x14ac:dyDescent="0.15">
      <c r="A2708" s="5" t="s">
        <v>16208</v>
      </c>
      <c r="B2708" s="5">
        <v>2020</v>
      </c>
      <c r="C2708" s="5" t="s">
        <v>16209</v>
      </c>
      <c r="D2708" s="5" t="s">
        <v>49</v>
      </c>
      <c r="E2708" s="5" t="s">
        <v>18453</v>
      </c>
      <c r="F2708" s="5" t="s">
        <v>16212</v>
      </c>
      <c r="G2708" s="5"/>
      <c r="H2708" s="5"/>
      <c r="I2708" s="5"/>
      <c r="J2708" s="5"/>
      <c r="K2708" s="5"/>
      <c r="L2708" s="5"/>
      <c r="M2708" s="5"/>
      <c r="N2708" s="5"/>
      <c r="O2708" s="5"/>
      <c r="P2708" s="5"/>
      <c r="Q2708" s="5"/>
      <c r="AL2708" s="7" t="str">
        <f>HYPERLINK("http://dx.doi.org/10.3354/meps13176","http://dx.doi.org/10.3354/meps13176")</f>
        <v>http://dx.doi.org/10.3354/meps13176</v>
      </c>
      <c r="AM2708" s="5">
        <v>6</v>
      </c>
      <c r="AN2708" s="5">
        <v>7</v>
      </c>
      <c r="AO2708" s="5">
        <v>633</v>
      </c>
      <c r="AP2708" s="5" t="s">
        <v>16</v>
      </c>
      <c r="AQ2708" s="5">
        <v>55</v>
      </c>
      <c r="AR2708" s="5">
        <v>69</v>
      </c>
      <c r="AS2708" s="5" t="s">
        <v>16</v>
      </c>
      <c r="AT2708" s="5" t="s">
        <v>16210</v>
      </c>
      <c r="AU2708" s="5" t="s">
        <v>16211</v>
      </c>
      <c r="AV2708" s="5" t="s">
        <v>16213</v>
      </c>
    </row>
    <row r="2709" spans="1:48" ht="45" customHeight="1" x14ac:dyDescent="0.15">
      <c r="A2709" s="5" t="s">
        <v>16214</v>
      </c>
      <c r="B2709" s="5">
        <v>2019</v>
      </c>
      <c r="C2709" s="5" t="s">
        <v>16215</v>
      </c>
      <c r="D2709" s="5" t="s">
        <v>312</v>
      </c>
      <c r="E2709" s="5" t="s">
        <v>18453</v>
      </c>
      <c r="F2709" s="5" t="s">
        <v>16218</v>
      </c>
      <c r="G2709" s="5"/>
      <c r="H2709" s="5"/>
      <c r="I2709" s="5"/>
      <c r="J2709" s="5"/>
      <c r="K2709" s="5"/>
      <c r="L2709" s="5"/>
      <c r="M2709" s="5"/>
      <c r="N2709" s="5"/>
      <c r="O2709" s="5"/>
      <c r="P2709" s="5"/>
      <c r="Q2709" s="5"/>
      <c r="AL2709" s="7" t="str">
        <f>HYPERLINK("http://dx.doi.org/10.1016/j.ecolmodel.2019.108800","http://dx.doi.org/10.1016/j.ecolmodel.2019.108800")</f>
        <v>http://dx.doi.org/10.1016/j.ecolmodel.2019.108800</v>
      </c>
      <c r="AM2709" s="5">
        <v>11</v>
      </c>
      <c r="AN2709" s="5">
        <v>11</v>
      </c>
      <c r="AO2709" s="5">
        <v>410</v>
      </c>
      <c r="AP2709" s="5" t="s">
        <v>16</v>
      </c>
      <c r="AQ2709" s="5" t="s">
        <v>16</v>
      </c>
      <c r="AR2709" s="5" t="s">
        <v>16</v>
      </c>
      <c r="AS2709" s="5">
        <v>108800</v>
      </c>
      <c r="AT2709" s="5" t="s">
        <v>16216</v>
      </c>
      <c r="AU2709" s="5" t="s">
        <v>16217</v>
      </c>
      <c r="AV2709" s="5" t="s">
        <v>16219</v>
      </c>
    </row>
    <row r="2710" spans="1:48" ht="45" customHeight="1" x14ac:dyDescent="0.15">
      <c r="A2710" s="5" t="s">
        <v>16220</v>
      </c>
      <c r="B2710" s="5">
        <v>2022</v>
      </c>
      <c r="C2710" s="5" t="s">
        <v>16221</v>
      </c>
      <c r="D2710" s="5" t="s">
        <v>942</v>
      </c>
      <c r="E2710" s="5" t="s">
        <v>18453</v>
      </c>
      <c r="F2710" s="5" t="s">
        <v>16224</v>
      </c>
      <c r="G2710" s="5"/>
      <c r="H2710" s="5"/>
      <c r="I2710" s="5"/>
      <c r="J2710" s="5"/>
      <c r="K2710" s="5"/>
      <c r="L2710" s="5"/>
      <c r="M2710" s="5"/>
      <c r="N2710" s="5"/>
      <c r="O2710" s="5"/>
      <c r="P2710" s="5"/>
      <c r="Q2710" s="5"/>
      <c r="AL2710" s="7" t="str">
        <f>HYPERLINK("http://dx.doi.org/10.1016/j.rsma.2022.102568","http://dx.doi.org/10.1016/j.rsma.2022.102568")</f>
        <v>http://dx.doi.org/10.1016/j.rsma.2022.102568</v>
      </c>
      <c r="AM2710" s="5">
        <v>0</v>
      </c>
      <c r="AN2710" s="5">
        <v>0</v>
      </c>
      <c r="AO2710" s="5">
        <v>55</v>
      </c>
      <c r="AP2710" s="5" t="s">
        <v>16</v>
      </c>
      <c r="AQ2710" s="5" t="s">
        <v>16</v>
      </c>
      <c r="AR2710" s="5" t="s">
        <v>16</v>
      </c>
      <c r="AS2710" s="5">
        <v>102568</v>
      </c>
      <c r="AT2710" s="5" t="s">
        <v>16222</v>
      </c>
      <c r="AU2710" s="5" t="s">
        <v>16223</v>
      </c>
      <c r="AV2710" s="5" t="s">
        <v>16225</v>
      </c>
    </row>
    <row r="2711" spans="1:48" ht="45" customHeight="1" x14ac:dyDescent="0.15">
      <c r="A2711" s="5" t="s">
        <v>16226</v>
      </c>
      <c r="B2711" s="5">
        <v>2005</v>
      </c>
      <c r="C2711" s="5" t="s">
        <v>16227</v>
      </c>
      <c r="D2711" s="5" t="s">
        <v>49</v>
      </c>
      <c r="E2711" s="5" t="s">
        <v>18453</v>
      </c>
      <c r="F2711" s="5" t="s">
        <v>16230</v>
      </c>
      <c r="G2711" s="5"/>
      <c r="H2711" s="5"/>
      <c r="I2711" s="5"/>
      <c r="J2711" s="5"/>
      <c r="K2711" s="5"/>
      <c r="L2711" s="5"/>
      <c r="M2711" s="5"/>
      <c r="N2711" s="5"/>
      <c r="O2711" s="5"/>
      <c r="P2711" s="5"/>
      <c r="Q2711" s="5"/>
      <c r="AL2711" s="7" t="str">
        <f>HYPERLINK("http://dx.doi.org/10.3354/meps291263","http://dx.doi.org/10.3354/meps291263")</f>
        <v>http://dx.doi.org/10.3354/meps291263</v>
      </c>
      <c r="AM2711" s="5">
        <v>33</v>
      </c>
      <c r="AN2711" s="5">
        <v>36</v>
      </c>
      <c r="AO2711" s="5">
        <v>291</v>
      </c>
      <c r="AP2711" s="5" t="s">
        <v>16</v>
      </c>
      <c r="AQ2711" s="5">
        <v>263</v>
      </c>
      <c r="AR2711" s="5">
        <v>273</v>
      </c>
      <c r="AS2711" s="5" t="s">
        <v>16</v>
      </c>
      <c r="AT2711" s="5" t="s">
        <v>16228</v>
      </c>
      <c r="AU2711" s="5" t="s">
        <v>16229</v>
      </c>
      <c r="AV2711" s="5" t="s">
        <v>16231</v>
      </c>
    </row>
    <row r="2712" spans="1:48" ht="45" customHeight="1" x14ac:dyDescent="0.15">
      <c r="A2712" s="5" t="s">
        <v>16232</v>
      </c>
      <c r="B2712" s="5">
        <v>2011</v>
      </c>
      <c r="C2712" s="5" t="s">
        <v>16233</v>
      </c>
      <c r="D2712" s="5" t="s">
        <v>49</v>
      </c>
      <c r="E2712" s="5" t="s">
        <v>18453</v>
      </c>
      <c r="F2712" s="5" t="s">
        <v>16236</v>
      </c>
      <c r="G2712" s="5"/>
      <c r="H2712" s="5"/>
      <c r="I2712" s="5"/>
      <c r="J2712" s="5"/>
      <c r="K2712" s="5"/>
      <c r="L2712" s="5"/>
      <c r="M2712" s="5"/>
      <c r="N2712" s="5"/>
      <c r="O2712" s="5"/>
      <c r="P2712" s="5"/>
      <c r="Q2712" s="5"/>
      <c r="AL2712" s="7" t="str">
        <f>HYPERLINK("http://dx.doi.org/10.3354/meps09108","http://dx.doi.org/10.3354/meps09108")</f>
        <v>http://dx.doi.org/10.3354/meps09108</v>
      </c>
      <c r="AM2712" s="5">
        <v>22</v>
      </c>
      <c r="AN2712" s="5">
        <v>22</v>
      </c>
      <c r="AO2712" s="5">
        <v>431</v>
      </c>
      <c r="AP2712" s="5" t="s">
        <v>16</v>
      </c>
      <c r="AQ2712" s="5">
        <v>215</v>
      </c>
      <c r="AR2712" s="5">
        <v>222</v>
      </c>
      <c r="AS2712" s="5" t="s">
        <v>16</v>
      </c>
      <c r="AT2712" s="5" t="s">
        <v>16234</v>
      </c>
      <c r="AU2712" s="5" t="s">
        <v>16235</v>
      </c>
      <c r="AV2712" s="5" t="s">
        <v>16237</v>
      </c>
    </row>
    <row r="2713" spans="1:48" ht="45" customHeight="1" x14ac:dyDescent="0.15">
      <c r="A2713" s="5" t="s">
        <v>16238</v>
      </c>
      <c r="B2713" s="5">
        <v>2002</v>
      </c>
      <c r="C2713" s="5" t="s">
        <v>16239</v>
      </c>
      <c r="D2713" s="5" t="s">
        <v>6695</v>
      </c>
      <c r="E2713" s="5" t="s">
        <v>18453</v>
      </c>
      <c r="F2713" s="5" t="s">
        <v>16240</v>
      </c>
      <c r="G2713" s="5"/>
      <c r="H2713" s="5"/>
      <c r="I2713" s="5"/>
      <c r="J2713" s="5"/>
      <c r="K2713" s="5"/>
      <c r="L2713" s="5"/>
      <c r="M2713" s="5"/>
      <c r="N2713" s="5"/>
      <c r="O2713" s="5"/>
      <c r="P2713" s="5"/>
      <c r="Q2713" s="5"/>
      <c r="AL2713" s="5" t="s">
        <v>16</v>
      </c>
      <c r="AM2713" s="5">
        <v>0</v>
      </c>
      <c r="AN2713" s="5">
        <v>0</v>
      </c>
      <c r="AO2713" s="5">
        <v>76</v>
      </c>
      <c r="AP2713" s="5">
        <v>3</v>
      </c>
      <c r="AQ2713" s="5">
        <v>261</v>
      </c>
      <c r="AR2713" s="5">
        <v>265</v>
      </c>
      <c r="AS2713" s="5" t="s">
        <v>16</v>
      </c>
      <c r="AT2713" s="5" t="s">
        <v>16</v>
      </c>
      <c r="AU2713" s="5" t="s">
        <v>16</v>
      </c>
      <c r="AV2713" s="5" t="s">
        <v>16</v>
      </c>
    </row>
    <row r="2714" spans="1:48" ht="45" customHeight="1" x14ac:dyDescent="0.15">
      <c r="A2714" s="5" t="s">
        <v>16241</v>
      </c>
      <c r="B2714" s="5">
        <v>2018</v>
      </c>
      <c r="C2714" s="5" t="s">
        <v>16242</v>
      </c>
      <c r="D2714" s="5" t="s">
        <v>49</v>
      </c>
      <c r="E2714" s="5" t="s">
        <v>18453</v>
      </c>
      <c r="F2714" s="5" t="s">
        <v>16245</v>
      </c>
      <c r="G2714" s="5"/>
      <c r="H2714" s="5"/>
      <c r="I2714" s="5"/>
      <c r="J2714" s="5"/>
      <c r="K2714" s="5"/>
      <c r="L2714" s="5"/>
      <c r="M2714" s="5"/>
      <c r="N2714" s="5"/>
      <c r="O2714" s="5"/>
      <c r="P2714" s="5"/>
      <c r="Q2714" s="5"/>
      <c r="AL2714" s="7" t="str">
        <f>HYPERLINK("http://dx.doi.org/10.3354/meps12605","http://dx.doi.org/10.3354/meps12605")</f>
        <v>http://dx.doi.org/10.3354/meps12605</v>
      </c>
      <c r="AM2714" s="5">
        <v>6</v>
      </c>
      <c r="AN2714" s="5">
        <v>6</v>
      </c>
      <c r="AO2714" s="5">
        <v>598</v>
      </c>
      <c r="AP2714" s="5" t="s">
        <v>16</v>
      </c>
      <c r="AQ2714" s="5">
        <v>159</v>
      </c>
      <c r="AR2714" s="5">
        <v>166</v>
      </c>
      <c r="AS2714" s="5" t="s">
        <v>16</v>
      </c>
      <c r="AT2714" s="5" t="s">
        <v>16243</v>
      </c>
      <c r="AU2714" s="5" t="s">
        <v>16244</v>
      </c>
      <c r="AV2714" s="5" t="s">
        <v>16246</v>
      </c>
    </row>
    <row r="2715" spans="1:48" ht="45" customHeight="1" x14ac:dyDescent="0.15">
      <c r="A2715" s="5" t="s">
        <v>16247</v>
      </c>
      <c r="B2715" s="5">
        <v>2013</v>
      </c>
      <c r="C2715" s="5" t="s">
        <v>16248</v>
      </c>
      <c r="D2715" s="5" t="s">
        <v>49</v>
      </c>
      <c r="E2715" s="5" t="s">
        <v>18453</v>
      </c>
      <c r="F2715" s="5" t="s">
        <v>16251</v>
      </c>
      <c r="G2715" s="5"/>
      <c r="H2715" s="5"/>
      <c r="I2715" s="5"/>
      <c r="J2715" s="5"/>
      <c r="K2715" s="5"/>
      <c r="L2715" s="5"/>
      <c r="M2715" s="5"/>
      <c r="N2715" s="5"/>
      <c r="O2715" s="5"/>
      <c r="P2715" s="5"/>
      <c r="Q2715" s="5"/>
      <c r="AL2715" s="7" t="str">
        <f>HYPERLINK("http://dx.doi.org/10.3354/meps10235","http://dx.doi.org/10.3354/meps10235")</f>
        <v>http://dx.doi.org/10.3354/meps10235</v>
      </c>
      <c r="AM2715" s="5">
        <v>60</v>
      </c>
      <c r="AN2715" s="5">
        <v>63</v>
      </c>
      <c r="AO2715" s="5">
        <v>481</v>
      </c>
      <c r="AP2715" s="5" t="s">
        <v>16</v>
      </c>
      <c r="AQ2715" s="5">
        <v>225</v>
      </c>
      <c r="AR2715" s="5">
        <v>237</v>
      </c>
      <c r="AS2715" s="5" t="s">
        <v>16</v>
      </c>
      <c r="AT2715" s="5" t="s">
        <v>16249</v>
      </c>
      <c r="AU2715" s="5" t="s">
        <v>16250</v>
      </c>
      <c r="AV2715" s="5" t="s">
        <v>16252</v>
      </c>
    </row>
    <row r="2716" spans="1:48" ht="45" customHeight="1" x14ac:dyDescent="0.15">
      <c r="A2716" s="5" t="s">
        <v>16253</v>
      </c>
      <c r="B2716" s="5">
        <v>2015</v>
      </c>
      <c r="C2716" s="5" t="s">
        <v>16254</v>
      </c>
      <c r="D2716" s="5" t="s">
        <v>49</v>
      </c>
      <c r="E2716" s="5" t="s">
        <v>18453</v>
      </c>
      <c r="F2716" s="5" t="s">
        <v>16257</v>
      </c>
      <c r="G2716" s="5"/>
      <c r="H2716" s="5"/>
      <c r="I2716" s="5"/>
      <c r="J2716" s="5"/>
      <c r="K2716" s="5"/>
      <c r="L2716" s="5"/>
      <c r="M2716" s="5"/>
      <c r="N2716" s="5"/>
      <c r="O2716" s="5"/>
      <c r="P2716" s="5"/>
      <c r="Q2716" s="5"/>
      <c r="AL2716" s="7" t="str">
        <f>HYPERLINK("http://dx.doi.org/10.3354/meps11118","http://dx.doi.org/10.3354/meps11118")</f>
        <v>http://dx.doi.org/10.3354/meps11118</v>
      </c>
      <c r="AM2716" s="5">
        <v>58</v>
      </c>
      <c r="AN2716" s="5">
        <v>58</v>
      </c>
      <c r="AO2716" s="5">
        <v>522</v>
      </c>
      <c r="AP2716" s="5" t="s">
        <v>16</v>
      </c>
      <c r="AQ2716" s="5">
        <v>33</v>
      </c>
      <c r="AR2716" s="5">
        <v>48</v>
      </c>
      <c r="AS2716" s="5" t="s">
        <v>16</v>
      </c>
      <c r="AT2716" s="5" t="s">
        <v>16255</v>
      </c>
      <c r="AU2716" s="5" t="s">
        <v>16256</v>
      </c>
      <c r="AV2716" s="5" t="s">
        <v>16258</v>
      </c>
    </row>
    <row r="2717" spans="1:48" ht="45" customHeight="1" x14ac:dyDescent="0.15">
      <c r="A2717" s="5" t="s">
        <v>16259</v>
      </c>
      <c r="B2717" s="5">
        <v>2023</v>
      </c>
      <c r="C2717" s="5" t="s">
        <v>16260</v>
      </c>
      <c r="D2717" s="5" t="s">
        <v>3980</v>
      </c>
      <c r="E2717" s="5" t="s">
        <v>18453</v>
      </c>
      <c r="F2717" s="5" t="s">
        <v>16263</v>
      </c>
      <c r="G2717" s="5"/>
      <c r="H2717" s="5"/>
      <c r="I2717" s="5"/>
      <c r="J2717" s="5"/>
      <c r="K2717" s="5"/>
      <c r="L2717" s="5"/>
      <c r="M2717" s="5"/>
      <c r="N2717" s="5"/>
      <c r="O2717" s="5"/>
      <c r="P2717" s="5"/>
      <c r="Q2717" s="5"/>
      <c r="AL2717" s="7" t="str">
        <f>HYPERLINK("http://dx.doi.org/10.1111/btp.13216","http://dx.doi.org/10.1111/btp.13216")</f>
        <v>http://dx.doi.org/10.1111/btp.13216</v>
      </c>
      <c r="AM2717" s="5">
        <v>0</v>
      </c>
      <c r="AN2717" s="5">
        <v>0</v>
      </c>
      <c r="AO2717" s="5">
        <v>55</v>
      </c>
      <c r="AP2717" s="5">
        <v>3</v>
      </c>
      <c r="AQ2717" s="5">
        <v>650</v>
      </c>
      <c r="AR2717" s="5">
        <v>664</v>
      </c>
      <c r="AS2717" s="5" t="s">
        <v>16</v>
      </c>
      <c r="AT2717" s="5" t="s">
        <v>16261</v>
      </c>
      <c r="AU2717" s="5" t="s">
        <v>16262</v>
      </c>
      <c r="AV2717" s="5" t="s">
        <v>16264</v>
      </c>
    </row>
    <row r="2718" spans="1:48" ht="45" customHeight="1" x14ac:dyDescent="0.15">
      <c r="A2718" s="5" t="s">
        <v>16265</v>
      </c>
      <c r="B2718" s="5">
        <v>2014</v>
      </c>
      <c r="C2718" s="5" t="s">
        <v>16266</v>
      </c>
      <c r="D2718" s="5" t="s">
        <v>5517</v>
      </c>
      <c r="E2718" s="5" t="s">
        <v>18453</v>
      </c>
      <c r="F2718" s="5" t="s">
        <v>16269</v>
      </c>
      <c r="G2718" s="5"/>
      <c r="H2718" s="5"/>
      <c r="I2718" s="5"/>
      <c r="J2718" s="5"/>
      <c r="K2718" s="5"/>
      <c r="L2718" s="5"/>
      <c r="M2718" s="5"/>
      <c r="N2718" s="5"/>
      <c r="O2718" s="5"/>
      <c r="P2718" s="5"/>
      <c r="Q2718" s="5"/>
      <c r="AL2718" s="7" t="str">
        <f>HYPERLINK("http://dx.doi.org/10.1038/ismej.2013.158","http://dx.doi.org/10.1038/ismej.2013.158")</f>
        <v>http://dx.doi.org/10.1038/ismej.2013.158</v>
      </c>
      <c r="AM2718" s="5">
        <v>73</v>
      </c>
      <c r="AN2718" s="5">
        <v>74</v>
      </c>
      <c r="AO2718" s="5">
        <v>8</v>
      </c>
      <c r="AP2718" s="5">
        <v>2</v>
      </c>
      <c r="AQ2718" s="5">
        <v>321</v>
      </c>
      <c r="AR2718" s="5">
        <v>330</v>
      </c>
      <c r="AS2718" s="5" t="s">
        <v>16</v>
      </c>
      <c r="AT2718" s="5" t="s">
        <v>16267</v>
      </c>
      <c r="AU2718" s="5" t="s">
        <v>16268</v>
      </c>
      <c r="AV2718" s="5" t="s">
        <v>16270</v>
      </c>
    </row>
    <row r="2719" spans="1:48" ht="45" customHeight="1" x14ac:dyDescent="0.15">
      <c r="A2719" s="5" t="s">
        <v>16271</v>
      </c>
      <c r="B2719" s="5">
        <v>2019</v>
      </c>
      <c r="C2719" s="5" t="s">
        <v>16272</v>
      </c>
      <c r="D2719" s="5" t="s">
        <v>15</v>
      </c>
      <c r="E2719" s="5" t="s">
        <v>18453</v>
      </c>
      <c r="F2719" s="5" t="s">
        <v>16275</v>
      </c>
      <c r="G2719" s="5"/>
      <c r="H2719" s="5"/>
      <c r="I2719" s="5"/>
      <c r="J2719" s="5"/>
      <c r="K2719" s="5"/>
      <c r="L2719" s="5"/>
      <c r="M2719" s="5"/>
      <c r="N2719" s="5"/>
      <c r="O2719" s="5"/>
      <c r="P2719" s="5"/>
      <c r="Q2719" s="5"/>
      <c r="AL2719" s="7" t="str">
        <f>HYPERLINK("http://dx.doi.org/10.1002/ece3.4858","http://dx.doi.org/10.1002/ece3.4858")</f>
        <v>http://dx.doi.org/10.1002/ece3.4858</v>
      </c>
      <c r="AM2719" s="5">
        <v>14</v>
      </c>
      <c r="AN2719" s="5">
        <v>15</v>
      </c>
      <c r="AO2719" s="5">
        <v>9</v>
      </c>
      <c r="AP2719" s="5">
        <v>5</v>
      </c>
      <c r="AQ2719" s="5">
        <v>2459</v>
      </c>
      <c r="AR2719" s="5">
        <v>2474</v>
      </c>
      <c r="AS2719" s="5" t="s">
        <v>16</v>
      </c>
      <c r="AT2719" s="5" t="s">
        <v>16273</v>
      </c>
      <c r="AU2719" s="5" t="s">
        <v>16274</v>
      </c>
      <c r="AV2719" s="5" t="s">
        <v>16276</v>
      </c>
    </row>
    <row r="2720" spans="1:48" ht="45" customHeight="1" x14ac:dyDescent="0.15">
      <c r="A2720" s="5" t="s">
        <v>16277</v>
      </c>
      <c r="B2720" s="5">
        <v>2021</v>
      </c>
      <c r="C2720" s="5" t="s">
        <v>16278</v>
      </c>
      <c r="D2720" s="5" t="s">
        <v>77</v>
      </c>
      <c r="E2720" s="5" t="s">
        <v>18453</v>
      </c>
      <c r="F2720" s="5" t="s">
        <v>16281</v>
      </c>
      <c r="G2720" s="5"/>
      <c r="H2720" s="5"/>
      <c r="I2720" s="5"/>
      <c r="J2720" s="5"/>
      <c r="K2720" s="5"/>
      <c r="L2720" s="5"/>
      <c r="M2720" s="5"/>
      <c r="N2720" s="5"/>
      <c r="O2720" s="5"/>
      <c r="P2720" s="5"/>
      <c r="Q2720" s="5"/>
      <c r="AL2720" s="7" t="str">
        <f>HYPERLINK("http://dx.doi.org/10.1111/1365-2656.13491","http://dx.doi.org/10.1111/1365-2656.13491")</f>
        <v>http://dx.doi.org/10.1111/1365-2656.13491</v>
      </c>
      <c r="AM2720" s="5">
        <v>8</v>
      </c>
      <c r="AN2720" s="5">
        <v>8</v>
      </c>
      <c r="AO2720" s="5">
        <v>90</v>
      </c>
      <c r="AP2720" s="5">
        <v>7</v>
      </c>
      <c r="AQ2720" s="5">
        <v>1727</v>
      </c>
      <c r="AR2720" s="5">
        <v>1741</v>
      </c>
      <c r="AS2720" s="5" t="s">
        <v>16</v>
      </c>
      <c r="AT2720" s="5" t="s">
        <v>16279</v>
      </c>
      <c r="AU2720" s="5" t="s">
        <v>16280</v>
      </c>
      <c r="AV2720" s="5" t="s">
        <v>16282</v>
      </c>
    </row>
    <row r="2721" spans="1:48" ht="45" customHeight="1" x14ac:dyDescent="0.15">
      <c r="A2721" s="5" t="s">
        <v>16283</v>
      </c>
      <c r="B2721" s="5">
        <v>2022</v>
      </c>
      <c r="C2721" s="5" t="s">
        <v>16284</v>
      </c>
      <c r="D2721" s="5" t="s">
        <v>973</v>
      </c>
      <c r="E2721" s="5" t="s">
        <v>18453</v>
      </c>
      <c r="F2721" s="5" t="s">
        <v>16286</v>
      </c>
      <c r="G2721" s="5"/>
      <c r="H2721" s="5"/>
      <c r="I2721" s="5"/>
      <c r="J2721" s="5"/>
      <c r="K2721" s="5"/>
      <c r="L2721" s="5"/>
      <c r="M2721" s="5"/>
      <c r="N2721" s="5"/>
      <c r="O2721" s="5"/>
      <c r="P2721" s="5"/>
      <c r="Q2721" s="5"/>
      <c r="AL2721" s="7" t="str">
        <f>HYPERLINK("http://dx.doi.org/10.5194/bg-19-1833-2022","http://dx.doi.org/10.5194/bg-19-1833-2022")</f>
        <v>http://dx.doi.org/10.5194/bg-19-1833-2022</v>
      </c>
      <c r="AM2721" s="5">
        <v>0</v>
      </c>
      <c r="AN2721" s="5">
        <v>0</v>
      </c>
      <c r="AO2721" s="5">
        <v>19</v>
      </c>
      <c r="AP2721" s="5">
        <v>6</v>
      </c>
      <c r="AQ2721" s="5">
        <v>1833</v>
      </c>
      <c r="AR2721" s="5">
        <v>1851</v>
      </c>
      <c r="AS2721" s="5" t="s">
        <v>16</v>
      </c>
      <c r="AT2721" s="5" t="s">
        <v>16</v>
      </c>
      <c r="AU2721" s="5" t="s">
        <v>16285</v>
      </c>
      <c r="AV2721" s="5" t="s">
        <v>16287</v>
      </c>
    </row>
    <row r="2722" spans="1:48" ht="45" customHeight="1" x14ac:dyDescent="0.15">
      <c r="A2722" s="5" t="s">
        <v>16288</v>
      </c>
      <c r="B2722" s="5">
        <v>2007</v>
      </c>
      <c r="C2722" s="5" t="s">
        <v>16289</v>
      </c>
      <c r="D2722" s="5" t="s">
        <v>172</v>
      </c>
      <c r="E2722" s="5" t="s">
        <v>18453</v>
      </c>
      <c r="F2722" s="5" t="s">
        <v>16292</v>
      </c>
      <c r="G2722" s="5"/>
      <c r="H2722" s="5"/>
      <c r="I2722" s="5"/>
      <c r="J2722" s="5"/>
      <c r="K2722" s="5"/>
      <c r="L2722" s="5"/>
      <c r="M2722" s="5"/>
      <c r="N2722" s="5"/>
      <c r="O2722" s="5"/>
      <c r="P2722" s="5"/>
      <c r="Q2722" s="5"/>
      <c r="AL2722" s="7" t="str">
        <f>HYPERLINK("http://dx.doi.org/10.1007/s00442-007-0777-0","http://dx.doi.org/10.1007/s00442-007-0777-0")</f>
        <v>http://dx.doi.org/10.1007/s00442-007-0777-0</v>
      </c>
      <c r="AM2722" s="5">
        <v>130</v>
      </c>
      <c r="AN2722" s="5">
        <v>139</v>
      </c>
      <c r="AO2722" s="5">
        <v>153</v>
      </c>
      <c r="AP2722" s="5">
        <v>4</v>
      </c>
      <c r="AQ2722" s="5">
        <v>787</v>
      </c>
      <c r="AR2722" s="5">
        <v>798</v>
      </c>
      <c r="AS2722" s="5" t="s">
        <v>16</v>
      </c>
      <c r="AT2722" s="5" t="s">
        <v>16290</v>
      </c>
      <c r="AU2722" s="5" t="s">
        <v>16291</v>
      </c>
      <c r="AV2722" s="5" t="s">
        <v>16293</v>
      </c>
    </row>
    <row r="2723" spans="1:48" ht="45" customHeight="1" x14ac:dyDescent="0.15">
      <c r="A2723" s="5" t="s">
        <v>16294</v>
      </c>
      <c r="B2723" s="5">
        <v>2003</v>
      </c>
      <c r="C2723" s="5" t="s">
        <v>16295</v>
      </c>
      <c r="D2723" s="5" t="s">
        <v>33</v>
      </c>
      <c r="E2723" s="5" t="s">
        <v>18453</v>
      </c>
      <c r="F2723" s="5" t="s">
        <v>16298</v>
      </c>
      <c r="G2723" s="5"/>
      <c r="H2723" s="5"/>
      <c r="I2723" s="5"/>
      <c r="J2723" s="5"/>
      <c r="K2723" s="5"/>
      <c r="L2723" s="5"/>
      <c r="M2723" s="5"/>
      <c r="N2723" s="5"/>
      <c r="O2723" s="5"/>
      <c r="P2723" s="5"/>
      <c r="Q2723" s="5"/>
      <c r="AL2723" s="7" t="str">
        <f>HYPERLINK("http://dx.doi.org/10.1046/j.1365-2486.2003.00576.x","http://dx.doi.org/10.1046/j.1365-2486.2003.00576.x")</f>
        <v>http://dx.doi.org/10.1046/j.1365-2486.2003.00576.x</v>
      </c>
      <c r="AM2723" s="5">
        <v>123</v>
      </c>
      <c r="AN2723" s="5">
        <v>144</v>
      </c>
      <c r="AO2723" s="5">
        <v>9</v>
      </c>
      <c r="AP2723" s="5">
        <v>5</v>
      </c>
      <c r="AQ2723" s="5">
        <v>773</v>
      </c>
      <c r="AR2723" s="5">
        <v>784</v>
      </c>
      <c r="AS2723" s="5" t="s">
        <v>16</v>
      </c>
      <c r="AT2723" s="5" t="s">
        <v>16296</v>
      </c>
      <c r="AU2723" s="5" t="s">
        <v>16297</v>
      </c>
      <c r="AV2723" s="5" t="s">
        <v>16299</v>
      </c>
    </row>
    <row r="2724" spans="1:48" ht="45" customHeight="1" x14ac:dyDescent="0.15">
      <c r="A2724" s="5" t="s">
        <v>16300</v>
      </c>
      <c r="B2724" s="5">
        <v>2017</v>
      </c>
      <c r="C2724" s="5" t="s">
        <v>16301</v>
      </c>
      <c r="D2724" s="5" t="s">
        <v>5517</v>
      </c>
      <c r="E2724" s="5" t="s">
        <v>18453</v>
      </c>
      <c r="F2724" s="5" t="s">
        <v>16303</v>
      </c>
      <c r="G2724" s="5"/>
      <c r="H2724" s="5"/>
      <c r="I2724" s="5"/>
      <c r="J2724" s="5"/>
      <c r="K2724" s="5"/>
      <c r="L2724" s="5"/>
      <c r="M2724" s="5"/>
      <c r="N2724" s="5"/>
      <c r="O2724" s="5"/>
      <c r="P2724" s="5"/>
      <c r="Q2724" s="5"/>
      <c r="AL2724" s="7" t="str">
        <f>HYPERLINK("http://dx.doi.org/10.1038/ismej.2017.115","http://dx.doi.org/10.1038/ismej.2017.115")</f>
        <v>http://dx.doi.org/10.1038/ismej.2017.115</v>
      </c>
      <c r="AM2724" s="5">
        <v>71</v>
      </c>
      <c r="AN2724" s="5">
        <v>72</v>
      </c>
      <c r="AO2724" s="5">
        <v>11</v>
      </c>
      <c r="AP2724" s="5">
        <v>12</v>
      </c>
      <c r="AQ2724" s="5">
        <v>2652</v>
      </c>
      <c r="AR2724" s="5">
        <v>2665</v>
      </c>
      <c r="AS2724" s="5" t="s">
        <v>16</v>
      </c>
      <c r="AT2724" s="5" t="s">
        <v>16</v>
      </c>
      <c r="AU2724" s="5" t="s">
        <v>16302</v>
      </c>
      <c r="AV2724" s="5" t="s">
        <v>16304</v>
      </c>
    </row>
    <row r="2725" spans="1:48" ht="45" customHeight="1" x14ac:dyDescent="0.15">
      <c r="A2725" s="5" t="s">
        <v>16305</v>
      </c>
      <c r="B2725" s="5">
        <v>2013</v>
      </c>
      <c r="C2725" s="5" t="s">
        <v>16306</v>
      </c>
      <c r="D2725" s="5" t="s">
        <v>163</v>
      </c>
      <c r="E2725" s="5" t="s">
        <v>18453</v>
      </c>
      <c r="F2725" s="5" t="s">
        <v>16309</v>
      </c>
      <c r="G2725" s="5"/>
      <c r="H2725" s="5"/>
      <c r="I2725" s="5"/>
      <c r="J2725" s="5"/>
      <c r="K2725" s="5"/>
      <c r="L2725" s="5"/>
      <c r="M2725" s="5"/>
      <c r="N2725" s="5"/>
      <c r="O2725" s="5"/>
      <c r="P2725" s="5"/>
      <c r="Q2725" s="5"/>
      <c r="AL2725" s="7" t="str">
        <f>HYPERLINK("http://dx.doi.org/10.1080/02757540.2012.753062","http://dx.doi.org/10.1080/02757540.2012.753062")</f>
        <v>http://dx.doi.org/10.1080/02757540.2012.753062</v>
      </c>
      <c r="AM2725" s="5">
        <v>27</v>
      </c>
      <c r="AN2725" s="5">
        <v>29</v>
      </c>
      <c r="AO2725" s="5">
        <v>29</v>
      </c>
      <c r="AP2725" s="5">
        <v>3</v>
      </c>
      <c r="AQ2725" s="5">
        <v>197</v>
      </c>
      <c r="AR2725" s="5">
        <v>207</v>
      </c>
      <c r="AS2725" s="5" t="s">
        <v>16</v>
      </c>
      <c r="AT2725" s="5" t="s">
        <v>16307</v>
      </c>
      <c r="AU2725" s="5" t="s">
        <v>16308</v>
      </c>
      <c r="AV2725" s="5" t="s">
        <v>16310</v>
      </c>
    </row>
    <row r="2726" spans="1:48" ht="45" customHeight="1" x14ac:dyDescent="0.15">
      <c r="A2726" s="5" t="s">
        <v>16311</v>
      </c>
      <c r="B2726" s="5">
        <v>2019</v>
      </c>
      <c r="C2726" s="5" t="s">
        <v>16312</v>
      </c>
      <c r="D2726" s="5" t="s">
        <v>172</v>
      </c>
      <c r="E2726" s="5" t="s">
        <v>18453</v>
      </c>
      <c r="F2726" s="5" t="s">
        <v>16315</v>
      </c>
      <c r="G2726" s="5"/>
      <c r="H2726" s="5"/>
      <c r="I2726" s="5"/>
      <c r="J2726" s="5"/>
      <c r="K2726" s="5"/>
      <c r="L2726" s="5"/>
      <c r="M2726" s="5"/>
      <c r="N2726" s="5"/>
      <c r="O2726" s="5"/>
      <c r="P2726" s="5"/>
      <c r="Q2726" s="5"/>
      <c r="AL2726" s="7" t="str">
        <f>HYPERLINK("http://dx.doi.org/10.1007/s00442-019-04366-4","http://dx.doi.org/10.1007/s00442-019-04366-4")</f>
        <v>http://dx.doi.org/10.1007/s00442-019-04366-4</v>
      </c>
      <c r="AM2726" s="5">
        <v>9</v>
      </c>
      <c r="AN2726" s="5">
        <v>9</v>
      </c>
      <c r="AO2726" s="5">
        <v>189</v>
      </c>
      <c r="AP2726" s="5">
        <v>4</v>
      </c>
      <c r="AQ2726" s="5">
        <v>1005</v>
      </c>
      <c r="AR2726" s="5">
        <v>1015</v>
      </c>
      <c r="AS2726" s="5" t="s">
        <v>16</v>
      </c>
      <c r="AT2726" s="5" t="s">
        <v>16313</v>
      </c>
      <c r="AU2726" s="5" t="s">
        <v>16314</v>
      </c>
      <c r="AV2726" s="5" t="s">
        <v>16316</v>
      </c>
    </row>
    <row r="2727" spans="1:48" ht="45" customHeight="1" x14ac:dyDescent="0.15">
      <c r="A2727" s="5" t="s">
        <v>16317</v>
      </c>
      <c r="B2727" s="5">
        <v>2021</v>
      </c>
      <c r="C2727" s="5" t="s">
        <v>16318</v>
      </c>
      <c r="D2727" s="5" t="s">
        <v>15</v>
      </c>
      <c r="E2727" s="5" t="s">
        <v>18453</v>
      </c>
      <c r="F2727" s="5" t="s">
        <v>16320</v>
      </c>
      <c r="G2727" s="5"/>
      <c r="H2727" s="5"/>
      <c r="I2727" s="5"/>
      <c r="J2727" s="5"/>
      <c r="K2727" s="5"/>
      <c r="L2727" s="5"/>
      <c r="M2727" s="5"/>
      <c r="N2727" s="5"/>
      <c r="O2727" s="5"/>
      <c r="P2727" s="5"/>
      <c r="Q2727" s="5"/>
      <c r="AL2727" s="7" t="str">
        <f>HYPERLINK("http://dx.doi.org/10.1002/ece3.7407","http://dx.doi.org/10.1002/ece3.7407")</f>
        <v>http://dx.doi.org/10.1002/ece3.7407</v>
      </c>
      <c r="AM2727" s="5">
        <v>6</v>
      </c>
      <c r="AN2727" s="5">
        <v>7</v>
      </c>
      <c r="AO2727" s="5">
        <v>11</v>
      </c>
      <c r="AP2727" s="5">
        <v>10</v>
      </c>
      <c r="AQ2727" s="5">
        <v>5150</v>
      </c>
      <c r="AR2727" s="5">
        <v>5163</v>
      </c>
      <c r="AS2727" s="5" t="s">
        <v>16</v>
      </c>
      <c r="AT2727" s="5" t="s">
        <v>16319</v>
      </c>
      <c r="AU2727" s="5" t="s">
        <v>16</v>
      </c>
      <c r="AV2727" s="5" t="s">
        <v>16321</v>
      </c>
    </row>
    <row r="2728" spans="1:48" ht="45" customHeight="1" x14ac:dyDescent="0.15">
      <c r="A2728" s="5" t="s">
        <v>16322</v>
      </c>
      <c r="B2728" s="5">
        <v>2016</v>
      </c>
      <c r="C2728" s="5" t="s">
        <v>16323</v>
      </c>
      <c r="D2728" s="5" t="s">
        <v>27</v>
      </c>
      <c r="E2728" s="5" t="s">
        <v>18453</v>
      </c>
      <c r="F2728" s="5" t="s">
        <v>16326</v>
      </c>
      <c r="G2728" s="5"/>
      <c r="H2728" s="5"/>
      <c r="I2728" s="5"/>
      <c r="J2728" s="5"/>
      <c r="K2728" s="5"/>
      <c r="L2728" s="5"/>
      <c r="M2728" s="5"/>
      <c r="N2728" s="5"/>
      <c r="O2728" s="5"/>
      <c r="P2728" s="5"/>
      <c r="Q2728" s="5"/>
      <c r="AL2728" s="7" t="str">
        <f>HYPERLINK("http://dx.doi.org/10.1002/ecy.1451","http://dx.doi.org/10.1002/ecy.1451")</f>
        <v>http://dx.doi.org/10.1002/ecy.1451</v>
      </c>
      <c r="AM2728" s="5">
        <v>18</v>
      </c>
      <c r="AN2728" s="5">
        <v>19</v>
      </c>
      <c r="AO2728" s="5">
        <v>97</v>
      </c>
      <c r="AP2728" s="5">
        <v>8</v>
      </c>
      <c r="AQ2728" s="5">
        <v>1929</v>
      </c>
      <c r="AR2728" s="5">
        <v>1937</v>
      </c>
      <c r="AS2728" s="5" t="s">
        <v>16</v>
      </c>
      <c r="AT2728" s="5" t="s">
        <v>16324</v>
      </c>
      <c r="AU2728" s="5" t="s">
        <v>16325</v>
      </c>
      <c r="AV2728" s="5" t="s">
        <v>16327</v>
      </c>
    </row>
    <row r="2729" spans="1:48" ht="45" customHeight="1" x14ac:dyDescent="0.15">
      <c r="A2729" s="5" t="s">
        <v>16328</v>
      </c>
      <c r="B2729" s="5">
        <v>2002</v>
      </c>
      <c r="C2729" s="5" t="s">
        <v>16329</v>
      </c>
      <c r="D2729" s="5" t="s">
        <v>49</v>
      </c>
      <c r="E2729" s="5" t="s">
        <v>18453</v>
      </c>
      <c r="F2729" s="5" t="s">
        <v>16332</v>
      </c>
      <c r="G2729" s="5"/>
      <c r="H2729" s="5"/>
      <c r="I2729" s="5"/>
      <c r="J2729" s="5"/>
      <c r="K2729" s="5"/>
      <c r="L2729" s="5"/>
      <c r="M2729" s="5"/>
      <c r="N2729" s="5"/>
      <c r="O2729" s="5"/>
      <c r="P2729" s="5"/>
      <c r="Q2729" s="5"/>
      <c r="AL2729" s="7" t="str">
        <f>HYPERLINK("http://dx.doi.org/10.3354/meps227145","http://dx.doi.org/10.3354/meps227145")</f>
        <v>http://dx.doi.org/10.3354/meps227145</v>
      </c>
      <c r="AM2729" s="5">
        <v>77</v>
      </c>
      <c r="AN2729" s="5">
        <v>81</v>
      </c>
      <c r="AO2729" s="5">
        <v>227</v>
      </c>
      <c r="AP2729" s="5" t="s">
        <v>16</v>
      </c>
      <c r="AQ2729" s="5">
        <v>145</v>
      </c>
      <c r="AR2729" s="5">
        <v>155</v>
      </c>
      <c r="AS2729" s="5" t="s">
        <v>16</v>
      </c>
      <c r="AT2729" s="5" t="s">
        <v>16330</v>
      </c>
      <c r="AU2729" s="5" t="s">
        <v>16331</v>
      </c>
      <c r="AV2729" s="5" t="s">
        <v>16333</v>
      </c>
    </row>
    <row r="2730" spans="1:48" ht="45" customHeight="1" x14ac:dyDescent="0.15">
      <c r="A2730" s="5" t="s">
        <v>16334</v>
      </c>
      <c r="B2730" s="5">
        <v>2017</v>
      </c>
      <c r="C2730" s="5" t="s">
        <v>16335</v>
      </c>
      <c r="D2730" s="5" t="s">
        <v>2761</v>
      </c>
      <c r="E2730" s="5" t="s">
        <v>18453</v>
      </c>
      <c r="F2730" s="5" t="s">
        <v>16337</v>
      </c>
      <c r="G2730" s="5"/>
      <c r="H2730" s="5"/>
      <c r="I2730" s="5"/>
      <c r="J2730" s="5"/>
      <c r="K2730" s="5"/>
      <c r="L2730" s="5"/>
      <c r="M2730" s="5"/>
      <c r="N2730" s="5"/>
      <c r="O2730" s="5"/>
      <c r="P2730" s="5"/>
      <c r="Q2730" s="5"/>
      <c r="AL2730" s="7" t="str">
        <f>HYPERLINK("http://dx.doi.org/10.1186/s12898-017-0137-9","http://dx.doi.org/10.1186/s12898-017-0137-9")</f>
        <v>http://dx.doi.org/10.1186/s12898-017-0137-9</v>
      </c>
      <c r="AM2730" s="5">
        <v>7</v>
      </c>
      <c r="AN2730" s="5">
        <v>7</v>
      </c>
      <c r="AO2730" s="5">
        <v>17</v>
      </c>
      <c r="AP2730" s="5" t="s">
        <v>16</v>
      </c>
      <c r="AQ2730" s="5" t="s">
        <v>16</v>
      </c>
      <c r="AR2730" s="5" t="s">
        <v>16</v>
      </c>
      <c r="AS2730" s="5">
        <v>27</v>
      </c>
      <c r="AT2730" s="5" t="s">
        <v>16</v>
      </c>
      <c r="AU2730" s="5" t="s">
        <v>16336</v>
      </c>
      <c r="AV2730" s="5" t="s">
        <v>16338</v>
      </c>
    </row>
    <row r="2731" spans="1:48" ht="45" customHeight="1" x14ac:dyDescent="0.15">
      <c r="A2731" s="5" t="s">
        <v>16339</v>
      </c>
      <c r="B2731" s="5">
        <v>2015</v>
      </c>
      <c r="C2731" s="5" t="s">
        <v>16340</v>
      </c>
      <c r="D2731" s="5" t="s">
        <v>782</v>
      </c>
      <c r="E2731" s="5" t="s">
        <v>18453</v>
      </c>
      <c r="F2731" s="5" t="s">
        <v>16343</v>
      </c>
      <c r="G2731" s="5"/>
      <c r="H2731" s="5"/>
      <c r="I2731" s="5"/>
      <c r="J2731" s="5"/>
      <c r="K2731" s="5"/>
      <c r="L2731" s="5"/>
      <c r="M2731" s="5"/>
      <c r="N2731" s="5"/>
      <c r="O2731" s="5"/>
      <c r="P2731" s="5"/>
      <c r="Q2731" s="5"/>
      <c r="AL2731" s="7" t="str">
        <f>HYPERLINK("http://dx.doi.org/10.1093/jpe/rtu020","http://dx.doi.org/10.1093/jpe/rtu020")</f>
        <v>http://dx.doi.org/10.1093/jpe/rtu020</v>
      </c>
      <c r="AM2731" s="5">
        <v>16</v>
      </c>
      <c r="AN2731" s="5">
        <v>17</v>
      </c>
      <c r="AO2731" s="5">
        <v>8</v>
      </c>
      <c r="AP2731" s="5">
        <v>3</v>
      </c>
      <c r="AQ2731" s="5">
        <v>303</v>
      </c>
      <c r="AR2731" s="5">
        <v>312</v>
      </c>
      <c r="AS2731" s="5" t="s">
        <v>16</v>
      </c>
      <c r="AT2731" s="5" t="s">
        <v>16341</v>
      </c>
      <c r="AU2731" s="5" t="s">
        <v>16342</v>
      </c>
      <c r="AV2731" s="5" t="s">
        <v>16344</v>
      </c>
    </row>
    <row r="2732" spans="1:48" ht="45" customHeight="1" x14ac:dyDescent="0.15">
      <c r="A2732" s="5" t="s">
        <v>16345</v>
      </c>
      <c r="B2732" s="5">
        <v>2016</v>
      </c>
      <c r="C2732" s="5" t="s">
        <v>16346</v>
      </c>
      <c r="D2732" s="5" t="s">
        <v>2761</v>
      </c>
      <c r="E2732" s="5" t="s">
        <v>18453</v>
      </c>
      <c r="F2732" s="5" t="s">
        <v>16349</v>
      </c>
      <c r="G2732" s="5"/>
      <c r="H2732" s="5"/>
      <c r="I2732" s="5"/>
      <c r="J2732" s="5"/>
      <c r="K2732" s="5"/>
      <c r="L2732" s="5"/>
      <c r="M2732" s="5"/>
      <c r="N2732" s="5"/>
      <c r="O2732" s="5"/>
      <c r="P2732" s="5"/>
      <c r="Q2732" s="5"/>
      <c r="AL2732" s="7" t="str">
        <f>HYPERLINK("http://dx.doi.org/10.1186/s12898-016-0106-8","http://dx.doi.org/10.1186/s12898-016-0106-8")</f>
        <v>http://dx.doi.org/10.1186/s12898-016-0106-8</v>
      </c>
      <c r="AM2732" s="5">
        <v>20</v>
      </c>
      <c r="AN2732" s="5">
        <v>20</v>
      </c>
      <c r="AO2732" s="5">
        <v>16</v>
      </c>
      <c r="AP2732" s="5" t="s">
        <v>16</v>
      </c>
      <c r="AQ2732" s="5" t="s">
        <v>16</v>
      </c>
      <c r="AR2732" s="5" t="s">
        <v>16</v>
      </c>
      <c r="AS2732" s="5">
        <v>52</v>
      </c>
      <c r="AT2732" s="5" t="s">
        <v>16347</v>
      </c>
      <c r="AU2732" s="5" t="s">
        <v>16348</v>
      </c>
      <c r="AV2732" s="5" t="s">
        <v>16350</v>
      </c>
    </row>
    <row r="2733" spans="1:48" ht="45" customHeight="1" x14ac:dyDescent="0.15">
      <c r="A2733" s="5" t="s">
        <v>16351</v>
      </c>
      <c r="B2733" s="5">
        <v>2002</v>
      </c>
      <c r="C2733" s="5" t="s">
        <v>16352</v>
      </c>
      <c r="D2733" s="5" t="s">
        <v>67</v>
      </c>
      <c r="E2733" s="5" t="s">
        <v>18453</v>
      </c>
      <c r="F2733" s="5" t="s">
        <v>16355</v>
      </c>
      <c r="G2733" s="5"/>
      <c r="H2733" s="5"/>
      <c r="I2733" s="5"/>
      <c r="J2733" s="5"/>
      <c r="K2733" s="5"/>
      <c r="L2733" s="5"/>
      <c r="M2733" s="5"/>
      <c r="N2733" s="5"/>
      <c r="O2733" s="5"/>
      <c r="P2733" s="5"/>
      <c r="Q2733" s="5"/>
      <c r="AL2733" s="7" t="str">
        <f>HYPERLINK("http://dx.doi.org/10.1046/j.1365-2699.2002.00674.x","http://dx.doi.org/10.1046/j.1365-2699.2002.00674.x")</f>
        <v>http://dx.doi.org/10.1046/j.1365-2699.2002.00674.x</v>
      </c>
      <c r="AM2733" s="5">
        <v>16</v>
      </c>
      <c r="AN2733" s="5">
        <v>17</v>
      </c>
      <c r="AO2733" s="5">
        <v>29</v>
      </c>
      <c r="AP2733" s="5">
        <v>7</v>
      </c>
      <c r="AQ2733" s="5">
        <v>857</v>
      </c>
      <c r="AR2733" s="5">
        <v>863</v>
      </c>
      <c r="AS2733" s="5" t="s">
        <v>16</v>
      </c>
      <c r="AT2733" s="5" t="s">
        <v>16353</v>
      </c>
      <c r="AU2733" s="5" t="s">
        <v>16354</v>
      </c>
      <c r="AV2733" s="5" t="s">
        <v>16356</v>
      </c>
    </row>
    <row r="2734" spans="1:48" ht="45" customHeight="1" x14ac:dyDescent="0.15">
      <c r="A2734" s="5" t="s">
        <v>16357</v>
      </c>
      <c r="B2734" s="5">
        <v>2023</v>
      </c>
      <c r="C2734" s="5" t="s">
        <v>16358</v>
      </c>
      <c r="D2734" s="5" t="s">
        <v>124</v>
      </c>
      <c r="E2734" s="5" t="s">
        <v>18453</v>
      </c>
      <c r="F2734" s="5" t="s">
        <v>16361</v>
      </c>
      <c r="G2734" s="5"/>
      <c r="H2734" s="5"/>
      <c r="I2734" s="5"/>
      <c r="J2734" s="5"/>
      <c r="K2734" s="5"/>
      <c r="L2734" s="5"/>
      <c r="M2734" s="5"/>
      <c r="N2734" s="5"/>
      <c r="O2734" s="5"/>
      <c r="P2734" s="5"/>
      <c r="Q2734" s="5"/>
      <c r="AL2734" s="7" t="str">
        <f>HYPERLINK("http://dx.doi.org/10.1086/723405","http://dx.doi.org/10.1086/723405")</f>
        <v>http://dx.doi.org/10.1086/723405</v>
      </c>
      <c r="AM2734" s="5">
        <v>0</v>
      </c>
      <c r="AN2734" s="5">
        <v>0</v>
      </c>
      <c r="AO2734" s="5" t="s">
        <v>16</v>
      </c>
      <c r="AP2734" s="5" t="s">
        <v>16</v>
      </c>
      <c r="AQ2734" s="5" t="s">
        <v>16</v>
      </c>
      <c r="AR2734" s="5" t="s">
        <v>16</v>
      </c>
      <c r="AS2734" s="5" t="s">
        <v>16</v>
      </c>
      <c r="AT2734" s="5" t="s">
        <v>16359</v>
      </c>
      <c r="AU2734" s="5" t="s">
        <v>16360</v>
      </c>
      <c r="AV2734" s="5" t="s">
        <v>16362</v>
      </c>
    </row>
    <row r="2735" spans="1:48" ht="45" customHeight="1" x14ac:dyDescent="0.15">
      <c r="A2735" s="5" t="s">
        <v>16363</v>
      </c>
      <c r="B2735" s="5">
        <v>2000</v>
      </c>
      <c r="C2735" s="5" t="s">
        <v>16364</v>
      </c>
      <c r="D2735" s="5" t="s">
        <v>49</v>
      </c>
      <c r="E2735" s="5" t="s">
        <v>18453</v>
      </c>
      <c r="F2735" s="5" t="s">
        <v>16367</v>
      </c>
      <c r="G2735" s="5"/>
      <c r="H2735" s="5"/>
      <c r="I2735" s="5"/>
      <c r="J2735" s="5"/>
      <c r="K2735" s="5"/>
      <c r="L2735" s="5"/>
      <c r="M2735" s="5"/>
      <c r="N2735" s="5"/>
      <c r="O2735" s="5"/>
      <c r="P2735" s="5"/>
      <c r="Q2735" s="5"/>
      <c r="AL2735" s="7" t="str">
        <f>HYPERLINK("http://dx.doi.org/10.3354/meps197139","http://dx.doi.org/10.3354/meps197139")</f>
        <v>http://dx.doi.org/10.3354/meps197139</v>
      </c>
      <c r="AM2735" s="5">
        <v>151</v>
      </c>
      <c r="AN2735" s="5">
        <v>153</v>
      </c>
      <c r="AO2735" s="5">
        <v>197</v>
      </c>
      <c r="AP2735" s="5" t="s">
        <v>16</v>
      </c>
      <c r="AQ2735" s="5">
        <v>139</v>
      </c>
      <c r="AR2735" s="5">
        <v>149</v>
      </c>
      <c r="AS2735" s="5" t="s">
        <v>16</v>
      </c>
      <c r="AT2735" s="5" t="s">
        <v>16365</v>
      </c>
      <c r="AU2735" s="5" t="s">
        <v>16366</v>
      </c>
      <c r="AV2735" s="5" t="s">
        <v>16368</v>
      </c>
    </row>
    <row r="2736" spans="1:48" ht="45" customHeight="1" x14ac:dyDescent="0.15">
      <c r="A2736" s="5" t="s">
        <v>16369</v>
      </c>
      <c r="B2736" s="5">
        <v>2018</v>
      </c>
      <c r="C2736" s="5" t="s">
        <v>16370</v>
      </c>
      <c r="D2736" s="5" t="s">
        <v>49</v>
      </c>
      <c r="E2736" s="5" t="s">
        <v>18453</v>
      </c>
      <c r="F2736" s="5" t="s">
        <v>16373</v>
      </c>
      <c r="G2736" s="5"/>
      <c r="H2736" s="5"/>
      <c r="I2736" s="5"/>
      <c r="J2736" s="5"/>
      <c r="K2736" s="5"/>
      <c r="L2736" s="5"/>
      <c r="M2736" s="5"/>
      <c r="N2736" s="5"/>
      <c r="O2736" s="5"/>
      <c r="P2736" s="5"/>
      <c r="Q2736" s="5"/>
      <c r="AL2736" s="7" t="str">
        <f>HYPERLINK("http://dx.doi.org/10.3354/meps12569","http://dx.doi.org/10.3354/meps12569")</f>
        <v>http://dx.doi.org/10.3354/meps12569</v>
      </c>
      <c r="AM2736" s="5">
        <v>9</v>
      </c>
      <c r="AN2736" s="5">
        <v>9</v>
      </c>
      <c r="AO2736" s="5">
        <v>597</v>
      </c>
      <c r="AP2736" s="5" t="s">
        <v>16</v>
      </c>
      <c r="AQ2736" s="5">
        <v>99</v>
      </c>
      <c r="AR2736" s="5">
        <v>113</v>
      </c>
      <c r="AS2736" s="5" t="s">
        <v>16</v>
      </c>
      <c r="AT2736" s="5" t="s">
        <v>16371</v>
      </c>
      <c r="AU2736" s="5" t="s">
        <v>16372</v>
      </c>
      <c r="AV2736" s="5" t="s">
        <v>16374</v>
      </c>
    </row>
    <row r="2737" spans="1:48" ht="45" customHeight="1" x14ac:dyDescent="0.15">
      <c r="A2737" s="5" t="s">
        <v>16375</v>
      </c>
      <c r="B2737" s="5">
        <v>2011</v>
      </c>
      <c r="C2737" s="5" t="s">
        <v>16376</v>
      </c>
      <c r="D2737" s="5" t="s">
        <v>1765</v>
      </c>
      <c r="E2737" s="5" t="s">
        <v>18453</v>
      </c>
      <c r="F2737" s="5" t="s">
        <v>16379</v>
      </c>
      <c r="G2737" s="5"/>
      <c r="H2737" s="5"/>
      <c r="I2737" s="5"/>
      <c r="J2737" s="5"/>
      <c r="K2737" s="5"/>
      <c r="L2737" s="5"/>
      <c r="M2737" s="5"/>
      <c r="N2737" s="5"/>
      <c r="O2737" s="5"/>
      <c r="P2737" s="5"/>
      <c r="Q2737" s="5"/>
      <c r="AL2737" s="7" t="str">
        <f>HYPERLINK("http://dx.doi.org/10.1016/j.agee.2011.06.011","http://dx.doi.org/10.1016/j.agee.2011.06.011")</f>
        <v>http://dx.doi.org/10.1016/j.agee.2011.06.011</v>
      </c>
      <c r="AM2737" s="5">
        <v>36</v>
      </c>
      <c r="AN2737" s="5">
        <v>49</v>
      </c>
      <c r="AO2737" s="5">
        <v>142</v>
      </c>
      <c r="AP2737" s="5" t="s">
        <v>639</v>
      </c>
      <c r="AQ2737" s="5">
        <v>393</v>
      </c>
      <c r="AR2737" s="5">
        <v>402</v>
      </c>
      <c r="AS2737" s="5" t="s">
        <v>16</v>
      </c>
      <c r="AT2737" s="5" t="s">
        <v>16377</v>
      </c>
      <c r="AU2737" s="5" t="s">
        <v>16378</v>
      </c>
      <c r="AV2737" s="5" t="s">
        <v>16380</v>
      </c>
    </row>
    <row r="2738" spans="1:48" ht="45" customHeight="1" x14ac:dyDescent="0.15">
      <c r="A2738" s="5" t="s">
        <v>16381</v>
      </c>
      <c r="B2738" s="5">
        <v>2021</v>
      </c>
      <c r="C2738" s="5" t="s">
        <v>16382</v>
      </c>
      <c r="D2738" s="5" t="s">
        <v>262</v>
      </c>
      <c r="E2738" s="5" t="s">
        <v>18453</v>
      </c>
      <c r="F2738" s="5" t="s">
        <v>16385</v>
      </c>
      <c r="G2738" s="5"/>
      <c r="H2738" s="5"/>
      <c r="I2738" s="5"/>
      <c r="J2738" s="5"/>
      <c r="K2738" s="5"/>
      <c r="L2738" s="5"/>
      <c r="M2738" s="5"/>
      <c r="N2738" s="5"/>
      <c r="O2738" s="5"/>
      <c r="P2738" s="5"/>
      <c r="Q2738" s="5"/>
      <c r="AL2738" s="7" t="str">
        <f>HYPERLINK("http://dx.doi.org/10.1111/oik.08375","http://dx.doi.org/10.1111/oik.08375")</f>
        <v>http://dx.doi.org/10.1111/oik.08375</v>
      </c>
      <c r="AM2738" s="5">
        <v>7</v>
      </c>
      <c r="AN2738" s="5">
        <v>7</v>
      </c>
      <c r="AO2738" s="5">
        <v>130</v>
      </c>
      <c r="AP2738" s="5">
        <v>10</v>
      </c>
      <c r="AQ2738" s="5">
        <v>1679</v>
      </c>
      <c r="AR2738" s="5">
        <v>1691</v>
      </c>
      <c r="AS2738" s="5" t="s">
        <v>16</v>
      </c>
      <c r="AT2738" s="5" t="s">
        <v>16383</v>
      </c>
      <c r="AU2738" s="5" t="s">
        <v>16384</v>
      </c>
      <c r="AV2738" s="5" t="s">
        <v>16386</v>
      </c>
    </row>
    <row r="2739" spans="1:48" ht="45" customHeight="1" x14ac:dyDescent="0.15">
      <c r="A2739" s="5" t="s">
        <v>16387</v>
      </c>
      <c r="B2739" s="5">
        <v>2018</v>
      </c>
      <c r="C2739" s="5" t="s">
        <v>16388</v>
      </c>
      <c r="D2739" s="5" t="s">
        <v>289</v>
      </c>
      <c r="E2739" s="5" t="s">
        <v>18453</v>
      </c>
      <c r="F2739" s="5" t="s">
        <v>16391</v>
      </c>
      <c r="G2739" s="5"/>
      <c r="H2739" s="5"/>
      <c r="I2739" s="5"/>
      <c r="J2739" s="5"/>
      <c r="K2739" s="5"/>
      <c r="L2739" s="5"/>
      <c r="M2739" s="5"/>
      <c r="N2739" s="5"/>
      <c r="O2739" s="5"/>
      <c r="P2739" s="5"/>
      <c r="Q2739" s="5"/>
      <c r="AL2739" s="7" t="str">
        <f>HYPERLINK("http://dx.doi.org/10.1111/1365-2745.12947","http://dx.doi.org/10.1111/1365-2745.12947")</f>
        <v>http://dx.doi.org/10.1111/1365-2745.12947</v>
      </c>
      <c r="AM2739" s="5">
        <v>43</v>
      </c>
      <c r="AN2739" s="5">
        <v>43</v>
      </c>
      <c r="AO2739" s="5">
        <v>106</v>
      </c>
      <c r="AP2739" s="5">
        <v>5</v>
      </c>
      <c r="AQ2739" s="5">
        <v>2002</v>
      </c>
      <c r="AR2739" s="5">
        <v>2018</v>
      </c>
      <c r="AS2739" s="5" t="s">
        <v>16</v>
      </c>
      <c r="AT2739" s="5" t="s">
        <v>16389</v>
      </c>
      <c r="AU2739" s="5" t="s">
        <v>16390</v>
      </c>
      <c r="AV2739" s="5" t="s">
        <v>16392</v>
      </c>
    </row>
    <row r="2740" spans="1:48" ht="45" customHeight="1" x14ac:dyDescent="0.15">
      <c r="A2740" s="5" t="s">
        <v>16393</v>
      </c>
      <c r="B2740" s="5">
        <v>2006</v>
      </c>
      <c r="C2740" s="5" t="s">
        <v>16394</v>
      </c>
      <c r="D2740" s="5" t="s">
        <v>296</v>
      </c>
      <c r="E2740" s="5" t="s">
        <v>18453</v>
      </c>
      <c r="F2740" s="5" t="s">
        <v>16397</v>
      </c>
      <c r="G2740" s="5"/>
      <c r="H2740" s="5"/>
      <c r="I2740" s="5"/>
      <c r="J2740" s="5"/>
      <c r="K2740" s="5"/>
      <c r="L2740" s="5"/>
      <c r="M2740" s="5"/>
      <c r="N2740" s="5"/>
      <c r="O2740" s="5"/>
      <c r="P2740" s="5"/>
      <c r="Q2740" s="5"/>
      <c r="AL2740" s="7" t="str">
        <f>HYPERLINK("http://dx.doi.org/10.1098/rspb.2006.3582","http://dx.doi.org/10.1098/rspb.2006.3582")</f>
        <v>http://dx.doi.org/10.1098/rspb.2006.3582</v>
      </c>
      <c r="AM2740" s="5">
        <v>95</v>
      </c>
      <c r="AN2740" s="5">
        <v>98</v>
      </c>
      <c r="AO2740" s="5">
        <v>273</v>
      </c>
      <c r="AP2740" s="5">
        <v>1599</v>
      </c>
      <c r="AQ2740" s="5">
        <v>2291</v>
      </c>
      <c r="AR2740" s="5">
        <v>2298</v>
      </c>
      <c r="AS2740" s="5" t="s">
        <v>16</v>
      </c>
      <c r="AT2740" s="5" t="s">
        <v>16395</v>
      </c>
      <c r="AU2740" s="5" t="s">
        <v>16396</v>
      </c>
      <c r="AV2740" s="5" t="s">
        <v>16398</v>
      </c>
    </row>
    <row r="2741" spans="1:48" ht="45" customHeight="1" x14ac:dyDescent="0.15">
      <c r="A2741" s="5" t="s">
        <v>16399</v>
      </c>
      <c r="B2741" s="5">
        <v>2017</v>
      </c>
      <c r="C2741" s="5" t="s">
        <v>16400</v>
      </c>
      <c r="D2741" s="5" t="s">
        <v>289</v>
      </c>
      <c r="E2741" s="5" t="s">
        <v>18453</v>
      </c>
      <c r="F2741" s="5" t="s">
        <v>16403</v>
      </c>
      <c r="G2741" s="5"/>
      <c r="H2741" s="5"/>
      <c r="I2741" s="5"/>
      <c r="J2741" s="5"/>
      <c r="K2741" s="5"/>
      <c r="L2741" s="5"/>
      <c r="M2741" s="5"/>
      <c r="N2741" s="5"/>
      <c r="O2741" s="5"/>
      <c r="P2741" s="5"/>
      <c r="Q2741" s="5"/>
      <c r="AL2741" s="7" t="str">
        <f>HYPERLINK("http://dx.doi.org/10.1111/1365-2745.12770","http://dx.doi.org/10.1111/1365-2745.12770")</f>
        <v>http://dx.doi.org/10.1111/1365-2745.12770</v>
      </c>
      <c r="AM2741" s="5">
        <v>35</v>
      </c>
      <c r="AN2741" s="5">
        <v>38</v>
      </c>
      <c r="AO2741" s="5">
        <v>105</v>
      </c>
      <c r="AP2741" s="5">
        <v>6</v>
      </c>
      <c r="AQ2741" s="5">
        <v>1738</v>
      </c>
      <c r="AR2741" s="5">
        <v>1749</v>
      </c>
      <c r="AS2741" s="5" t="s">
        <v>16</v>
      </c>
      <c r="AT2741" s="5" t="s">
        <v>16401</v>
      </c>
      <c r="AU2741" s="5" t="s">
        <v>16402</v>
      </c>
      <c r="AV2741" s="5" t="s">
        <v>16404</v>
      </c>
    </row>
    <row r="2742" spans="1:48" ht="45" customHeight="1" x14ac:dyDescent="0.15">
      <c r="A2742" s="5" t="s">
        <v>16405</v>
      </c>
      <c r="B2742" s="5">
        <v>2018</v>
      </c>
      <c r="C2742" s="5" t="s">
        <v>16406</v>
      </c>
      <c r="D2742" s="5" t="s">
        <v>6683</v>
      </c>
      <c r="E2742" s="5" t="s">
        <v>18453</v>
      </c>
      <c r="F2742" s="5" t="s">
        <v>16408</v>
      </c>
      <c r="G2742" s="5"/>
      <c r="H2742" s="5"/>
      <c r="I2742" s="5"/>
      <c r="J2742" s="5"/>
      <c r="K2742" s="5"/>
      <c r="L2742" s="5"/>
      <c r="M2742" s="5"/>
      <c r="N2742" s="5"/>
      <c r="O2742" s="5"/>
      <c r="P2742" s="5"/>
      <c r="Q2742" s="5"/>
      <c r="AL2742" s="7" t="str">
        <f>HYPERLINK("http://dx.doi.org/10.1038/s41559-017-0386-1","http://dx.doi.org/10.1038/s41559-017-0386-1")</f>
        <v>http://dx.doi.org/10.1038/s41559-017-0386-1</v>
      </c>
      <c r="AM2742" s="5">
        <v>17</v>
      </c>
      <c r="AN2742" s="5">
        <v>17</v>
      </c>
      <c r="AO2742" s="5">
        <v>2</v>
      </c>
      <c r="AP2742" s="5">
        <v>2</v>
      </c>
      <c r="AQ2742" s="5">
        <v>247</v>
      </c>
      <c r="AR2742" s="5" t="s">
        <v>260</v>
      </c>
      <c r="AS2742" s="5" t="s">
        <v>16</v>
      </c>
      <c r="AT2742" s="5" t="s">
        <v>16</v>
      </c>
      <c r="AU2742" s="5" t="s">
        <v>16407</v>
      </c>
      <c r="AV2742" s="5" t="s">
        <v>16409</v>
      </c>
    </row>
    <row r="2743" spans="1:48" ht="45" customHeight="1" x14ac:dyDescent="0.15">
      <c r="A2743" s="5" t="s">
        <v>16410</v>
      </c>
      <c r="B2743" s="5">
        <v>2022</v>
      </c>
      <c r="C2743" s="5" t="s">
        <v>16411</v>
      </c>
      <c r="D2743" s="5" t="s">
        <v>27</v>
      </c>
      <c r="E2743" s="5" t="s">
        <v>18453</v>
      </c>
      <c r="F2743" s="5" t="s">
        <v>16414</v>
      </c>
      <c r="G2743" s="5"/>
      <c r="H2743" s="5"/>
      <c r="I2743" s="5"/>
      <c r="J2743" s="5"/>
      <c r="K2743" s="5"/>
      <c r="L2743" s="5"/>
      <c r="M2743" s="5"/>
      <c r="N2743" s="5"/>
      <c r="O2743" s="5"/>
      <c r="P2743" s="5"/>
      <c r="Q2743" s="5"/>
      <c r="AL2743" s="7" t="str">
        <f>HYPERLINK("http://dx.doi.org/10.1002/ecy.3545","http://dx.doi.org/10.1002/ecy.3545")</f>
        <v>http://dx.doi.org/10.1002/ecy.3545</v>
      </c>
      <c r="AM2743" s="5">
        <v>4</v>
      </c>
      <c r="AN2743" s="5">
        <v>4</v>
      </c>
      <c r="AO2743" s="5">
        <v>103</v>
      </c>
      <c r="AP2743" s="5">
        <v>1</v>
      </c>
      <c r="AQ2743" s="5" t="s">
        <v>16</v>
      </c>
      <c r="AR2743" s="5" t="s">
        <v>16</v>
      </c>
      <c r="AS2743" s="5" t="s">
        <v>16415</v>
      </c>
      <c r="AT2743" s="5" t="s">
        <v>16412</v>
      </c>
      <c r="AU2743" s="5" t="s">
        <v>16413</v>
      </c>
      <c r="AV2743" s="5" t="s">
        <v>16416</v>
      </c>
    </row>
    <row r="2744" spans="1:48" ht="45" customHeight="1" x14ac:dyDescent="0.15">
      <c r="A2744" s="5" t="s">
        <v>16417</v>
      </c>
      <c r="B2744" s="5">
        <v>2015</v>
      </c>
      <c r="C2744" s="5" t="s">
        <v>16418</v>
      </c>
      <c r="D2744" s="5" t="s">
        <v>17</v>
      </c>
      <c r="E2744" s="5" t="s">
        <v>18453</v>
      </c>
      <c r="F2744" s="5" t="s">
        <v>16421</v>
      </c>
      <c r="G2744" s="5"/>
      <c r="H2744" s="5"/>
      <c r="I2744" s="5"/>
      <c r="J2744" s="5"/>
      <c r="K2744" s="5"/>
      <c r="L2744" s="5"/>
      <c r="M2744" s="5"/>
      <c r="N2744" s="5"/>
      <c r="O2744" s="5"/>
      <c r="P2744" s="5"/>
      <c r="Q2744" s="5"/>
      <c r="AL2744" s="7" t="str">
        <f>HYPERLINK("http://dx.doi.org/10.1111/fwb.12523","http://dx.doi.org/10.1111/fwb.12523")</f>
        <v>http://dx.doi.org/10.1111/fwb.12523</v>
      </c>
      <c r="AM2744" s="5">
        <v>40</v>
      </c>
      <c r="AN2744" s="5">
        <v>41</v>
      </c>
      <c r="AO2744" s="5">
        <v>60</v>
      </c>
      <c r="AP2744" s="5">
        <v>12</v>
      </c>
      <c r="AQ2744" s="5">
        <v>2600</v>
      </c>
      <c r="AR2744" s="5">
        <v>2619</v>
      </c>
      <c r="AS2744" s="5" t="s">
        <v>16</v>
      </c>
      <c r="AT2744" s="5" t="s">
        <v>16419</v>
      </c>
      <c r="AU2744" s="5" t="s">
        <v>16420</v>
      </c>
      <c r="AV2744" s="5" t="s">
        <v>16422</v>
      </c>
    </row>
    <row r="2745" spans="1:48" ht="45" customHeight="1" x14ac:dyDescent="0.15">
      <c r="A2745" s="5" t="s">
        <v>16423</v>
      </c>
      <c r="B2745" s="5">
        <v>2023</v>
      </c>
      <c r="C2745" s="5" t="s">
        <v>16424</v>
      </c>
      <c r="D2745" s="5" t="s">
        <v>190</v>
      </c>
      <c r="E2745" s="5" t="s">
        <v>18453</v>
      </c>
      <c r="F2745" s="5" t="s">
        <v>16427</v>
      </c>
      <c r="G2745" s="5"/>
      <c r="H2745" s="5"/>
      <c r="I2745" s="5"/>
      <c r="J2745" s="5"/>
      <c r="K2745" s="5"/>
      <c r="L2745" s="5"/>
      <c r="M2745" s="5"/>
      <c r="N2745" s="5"/>
      <c r="O2745" s="5"/>
      <c r="P2745" s="5"/>
      <c r="Q2745" s="5"/>
      <c r="AL2745" s="7" t="str">
        <f>HYPERLINK("http://dx.doi.org/10.1007/s10530-022-02992-3","http://dx.doi.org/10.1007/s10530-022-02992-3")</f>
        <v>http://dx.doi.org/10.1007/s10530-022-02992-3</v>
      </c>
      <c r="AM2745" s="5">
        <v>0</v>
      </c>
      <c r="AN2745" s="5">
        <v>0</v>
      </c>
      <c r="AO2745" s="5">
        <v>25</v>
      </c>
      <c r="AP2745" s="5">
        <v>5</v>
      </c>
      <c r="AQ2745" s="5">
        <v>1509</v>
      </c>
      <c r="AR2745" s="5">
        <v>1525</v>
      </c>
      <c r="AS2745" s="5" t="s">
        <v>16</v>
      </c>
      <c r="AT2745" s="5" t="s">
        <v>16425</v>
      </c>
      <c r="AU2745" s="5" t="s">
        <v>16426</v>
      </c>
      <c r="AV2745" s="5" t="s">
        <v>16428</v>
      </c>
    </row>
    <row r="2746" spans="1:48" ht="45" customHeight="1" x14ac:dyDescent="0.15">
      <c r="A2746" s="5" t="s">
        <v>16429</v>
      </c>
      <c r="B2746" s="5">
        <v>2012</v>
      </c>
      <c r="C2746" s="5" t="s">
        <v>16430</v>
      </c>
      <c r="D2746" s="5" t="s">
        <v>82</v>
      </c>
      <c r="E2746" s="5" t="s">
        <v>18453</v>
      </c>
      <c r="F2746" s="5" t="s">
        <v>16433</v>
      </c>
      <c r="G2746" s="5"/>
      <c r="H2746" s="5"/>
      <c r="I2746" s="5"/>
      <c r="J2746" s="5"/>
      <c r="K2746" s="5"/>
      <c r="L2746" s="5"/>
      <c r="M2746" s="5"/>
      <c r="N2746" s="5"/>
      <c r="O2746" s="5"/>
      <c r="P2746" s="5"/>
      <c r="Q2746" s="5"/>
      <c r="AL2746" s="7" t="str">
        <f>HYPERLINK("http://dx.doi.org/10.1890/11-0921.1","http://dx.doi.org/10.1890/11-0921.1")</f>
        <v>http://dx.doi.org/10.1890/11-0921.1</v>
      </c>
      <c r="AM2746" s="5">
        <v>38</v>
      </c>
      <c r="AN2746" s="5">
        <v>40</v>
      </c>
      <c r="AO2746" s="5">
        <v>22</v>
      </c>
      <c r="AP2746" s="5">
        <v>2</v>
      </c>
      <c r="AQ2746" s="5">
        <v>606</v>
      </c>
      <c r="AR2746" s="5">
        <v>623</v>
      </c>
      <c r="AS2746" s="5" t="s">
        <v>16</v>
      </c>
      <c r="AT2746" s="5" t="s">
        <v>16431</v>
      </c>
      <c r="AU2746" s="5" t="s">
        <v>16432</v>
      </c>
      <c r="AV2746" s="5" t="s">
        <v>16434</v>
      </c>
    </row>
    <row r="2747" spans="1:48" ht="45" customHeight="1" x14ac:dyDescent="0.15">
      <c r="A2747" s="5" t="s">
        <v>16435</v>
      </c>
      <c r="B2747" s="5">
        <v>2016</v>
      </c>
      <c r="C2747" s="5" t="s">
        <v>16436</v>
      </c>
      <c r="D2747" s="5" t="s">
        <v>27</v>
      </c>
      <c r="E2747" s="5" t="s">
        <v>18453</v>
      </c>
      <c r="F2747" s="5" t="s">
        <v>16439</v>
      </c>
      <c r="G2747" s="5"/>
      <c r="H2747" s="5"/>
      <c r="I2747" s="5"/>
      <c r="J2747" s="5"/>
      <c r="K2747" s="5"/>
      <c r="L2747" s="5"/>
      <c r="M2747" s="5"/>
      <c r="N2747" s="5"/>
      <c r="O2747" s="5"/>
      <c r="P2747" s="5"/>
      <c r="Q2747" s="5"/>
      <c r="AL2747" s="7" t="str">
        <f>HYPERLINK("http://dx.doi.org/10.1002/ecy.1524","http://dx.doi.org/10.1002/ecy.1524")</f>
        <v>http://dx.doi.org/10.1002/ecy.1524</v>
      </c>
      <c r="AM2747" s="5">
        <v>44</v>
      </c>
      <c r="AN2747" s="5">
        <v>45</v>
      </c>
      <c r="AO2747" s="5">
        <v>97</v>
      </c>
      <c r="AP2747" s="5">
        <v>11</v>
      </c>
      <c r="AQ2747" s="5">
        <v>3119</v>
      </c>
      <c r="AR2747" s="5">
        <v>3130</v>
      </c>
      <c r="AS2747" s="5" t="s">
        <v>16</v>
      </c>
      <c r="AT2747" s="5" t="s">
        <v>16437</v>
      </c>
      <c r="AU2747" s="5" t="s">
        <v>16438</v>
      </c>
      <c r="AV2747" s="5" t="s">
        <v>16440</v>
      </c>
    </row>
    <row r="2748" spans="1:48" ht="45" customHeight="1" x14ac:dyDescent="0.15">
      <c r="A2748" s="5" t="s">
        <v>16441</v>
      </c>
      <c r="B2748" s="5">
        <v>2013</v>
      </c>
      <c r="C2748" s="5" t="s">
        <v>16442</v>
      </c>
      <c r="D2748" s="5" t="s">
        <v>18</v>
      </c>
      <c r="E2748" s="5" t="s">
        <v>18453</v>
      </c>
      <c r="F2748" s="5" t="s">
        <v>16445</v>
      </c>
      <c r="G2748" s="5"/>
      <c r="H2748" s="5"/>
      <c r="I2748" s="5"/>
      <c r="J2748" s="5"/>
      <c r="K2748" s="5"/>
      <c r="L2748" s="5"/>
      <c r="M2748" s="5"/>
      <c r="N2748" s="5"/>
      <c r="O2748" s="5"/>
      <c r="P2748" s="5"/>
      <c r="Q2748" s="5"/>
      <c r="AL2748" s="7" t="str">
        <f>HYPERLINK("http://dx.doi.org/10.1890/ES13-00112.1","http://dx.doi.org/10.1890/ES13-00112.1")</f>
        <v>http://dx.doi.org/10.1890/ES13-00112.1</v>
      </c>
      <c r="AM2748" s="5">
        <v>26</v>
      </c>
      <c r="AN2748" s="5">
        <v>26</v>
      </c>
      <c r="AO2748" s="5">
        <v>4</v>
      </c>
      <c r="AP2748" s="5">
        <v>10</v>
      </c>
      <c r="AQ2748" s="5" t="s">
        <v>16</v>
      </c>
      <c r="AR2748" s="5" t="s">
        <v>16</v>
      </c>
      <c r="AS2748" s="5">
        <v>122</v>
      </c>
      <c r="AT2748" s="5" t="s">
        <v>16443</v>
      </c>
      <c r="AU2748" s="5" t="s">
        <v>16444</v>
      </c>
      <c r="AV2748" s="5" t="s">
        <v>16446</v>
      </c>
    </row>
    <row r="2749" spans="1:48" ht="45" customHeight="1" x14ac:dyDescent="0.15">
      <c r="A2749" s="5" t="s">
        <v>16447</v>
      </c>
      <c r="B2749" s="5">
        <v>2022</v>
      </c>
      <c r="C2749" s="5" t="s">
        <v>16448</v>
      </c>
      <c r="D2749" s="5" t="s">
        <v>973</v>
      </c>
      <c r="E2749" s="5" t="s">
        <v>18453</v>
      </c>
      <c r="F2749" s="5" t="s">
        <v>16450</v>
      </c>
      <c r="G2749" s="5"/>
      <c r="H2749" s="5"/>
      <c r="I2749" s="5"/>
      <c r="J2749" s="5"/>
      <c r="K2749" s="5"/>
      <c r="L2749" s="5"/>
      <c r="M2749" s="5"/>
      <c r="N2749" s="5"/>
      <c r="O2749" s="5"/>
      <c r="P2749" s="5"/>
      <c r="Q2749" s="5"/>
      <c r="AL2749" s="7" t="str">
        <f>HYPERLINK("http://dx.doi.org/10.5194/bg-19-2397-2022","http://dx.doi.org/10.5194/bg-19-2397-2022")</f>
        <v>http://dx.doi.org/10.5194/bg-19-2397-2022</v>
      </c>
      <c r="AM2749" s="5">
        <v>1</v>
      </c>
      <c r="AN2749" s="5">
        <v>1</v>
      </c>
      <c r="AO2749" s="5">
        <v>19</v>
      </c>
      <c r="AP2749" s="5">
        <v>9</v>
      </c>
      <c r="AQ2749" s="5">
        <v>2397</v>
      </c>
      <c r="AR2749" s="5">
        <v>2415</v>
      </c>
      <c r="AS2749" s="5" t="s">
        <v>16</v>
      </c>
      <c r="AT2749" s="5" t="s">
        <v>16</v>
      </c>
      <c r="AU2749" s="5" t="s">
        <v>16449</v>
      </c>
      <c r="AV2749" s="5" t="s">
        <v>16451</v>
      </c>
    </row>
    <row r="2750" spans="1:48" ht="45" customHeight="1" x14ac:dyDescent="0.15">
      <c r="A2750" s="5" t="s">
        <v>16452</v>
      </c>
      <c r="B2750" s="5">
        <v>2002</v>
      </c>
      <c r="C2750" s="5" t="s">
        <v>16453</v>
      </c>
      <c r="D2750" s="5" t="s">
        <v>49</v>
      </c>
      <c r="E2750" s="5" t="s">
        <v>18453</v>
      </c>
      <c r="F2750" s="5" t="s">
        <v>16456</v>
      </c>
      <c r="G2750" s="5"/>
      <c r="H2750" s="5"/>
      <c r="I2750" s="5"/>
      <c r="J2750" s="5"/>
      <c r="K2750" s="5"/>
      <c r="L2750" s="5"/>
      <c r="M2750" s="5"/>
      <c r="N2750" s="5"/>
      <c r="O2750" s="5"/>
      <c r="P2750" s="5"/>
      <c r="Q2750" s="5"/>
      <c r="AL2750" s="7" t="str">
        <f>HYPERLINK("http://dx.doi.org/10.3354/meps240085","http://dx.doi.org/10.3354/meps240085")</f>
        <v>http://dx.doi.org/10.3354/meps240085</v>
      </c>
      <c r="AM2750" s="5">
        <v>85</v>
      </c>
      <c r="AN2750" s="5">
        <v>89</v>
      </c>
      <c r="AO2750" s="5">
        <v>240</v>
      </c>
      <c r="AP2750" s="5" t="s">
        <v>16</v>
      </c>
      <c r="AQ2750" s="5">
        <v>85</v>
      </c>
      <c r="AR2750" s="5">
        <v>92</v>
      </c>
      <c r="AS2750" s="5" t="s">
        <v>16</v>
      </c>
      <c r="AT2750" s="5" t="s">
        <v>16454</v>
      </c>
      <c r="AU2750" s="5" t="s">
        <v>16455</v>
      </c>
      <c r="AV2750" s="5" t="s">
        <v>16457</v>
      </c>
    </row>
    <row r="2751" spans="1:48" ht="45" customHeight="1" x14ac:dyDescent="0.15">
      <c r="A2751" s="5" t="s">
        <v>16458</v>
      </c>
      <c r="B2751" s="5">
        <v>2016</v>
      </c>
      <c r="C2751" s="5" t="s">
        <v>16459</v>
      </c>
      <c r="D2751" s="5" t="s">
        <v>49</v>
      </c>
      <c r="E2751" s="5" t="s">
        <v>18453</v>
      </c>
      <c r="F2751" s="5" t="s">
        <v>16462</v>
      </c>
      <c r="G2751" s="5"/>
      <c r="H2751" s="5"/>
      <c r="I2751" s="5"/>
      <c r="J2751" s="5"/>
      <c r="K2751" s="5"/>
      <c r="L2751" s="5"/>
      <c r="M2751" s="5"/>
      <c r="N2751" s="5"/>
      <c r="O2751" s="5"/>
      <c r="P2751" s="5"/>
      <c r="Q2751" s="5"/>
      <c r="AL2751" s="7" t="str">
        <f>HYPERLINK("http://dx.doi.org/10.3354/meps11910","http://dx.doi.org/10.3354/meps11910")</f>
        <v>http://dx.doi.org/10.3354/meps11910</v>
      </c>
      <c r="AM2751" s="5">
        <v>15</v>
      </c>
      <c r="AN2751" s="5">
        <v>15</v>
      </c>
      <c r="AO2751" s="5">
        <v>560</v>
      </c>
      <c r="AP2751" s="5" t="s">
        <v>16</v>
      </c>
      <c r="AQ2751" s="5">
        <v>57</v>
      </c>
      <c r="AR2751" s="5">
        <v>72</v>
      </c>
      <c r="AS2751" s="5" t="s">
        <v>16</v>
      </c>
      <c r="AT2751" s="5" t="s">
        <v>16460</v>
      </c>
      <c r="AU2751" s="5" t="s">
        <v>16461</v>
      </c>
      <c r="AV2751" s="5" t="s">
        <v>16463</v>
      </c>
    </row>
    <row r="2752" spans="1:48" ht="45" customHeight="1" x14ac:dyDescent="0.15">
      <c r="A2752" s="5" t="s">
        <v>16464</v>
      </c>
      <c r="B2752" s="5">
        <v>2014</v>
      </c>
      <c r="C2752" s="5" t="s">
        <v>16465</v>
      </c>
      <c r="D2752" s="5" t="s">
        <v>18</v>
      </c>
      <c r="E2752" s="5" t="s">
        <v>18453</v>
      </c>
      <c r="F2752" s="5" t="s">
        <v>16468</v>
      </c>
      <c r="G2752" s="5"/>
      <c r="H2752" s="5"/>
      <c r="I2752" s="5"/>
      <c r="J2752" s="5"/>
      <c r="K2752" s="5"/>
      <c r="L2752" s="5"/>
      <c r="M2752" s="5"/>
      <c r="N2752" s="5"/>
      <c r="O2752" s="5"/>
      <c r="P2752" s="5"/>
      <c r="Q2752" s="5"/>
      <c r="AL2752" s="7" t="str">
        <f>HYPERLINK("http://dx.doi.org/10.1890/ES14-00207.1","http://dx.doi.org/10.1890/ES14-00207.1")</f>
        <v>http://dx.doi.org/10.1890/ES14-00207.1</v>
      </c>
      <c r="AM2752" s="5">
        <v>16</v>
      </c>
      <c r="AN2752" s="5">
        <v>16</v>
      </c>
      <c r="AO2752" s="5">
        <v>5</v>
      </c>
      <c r="AP2752" s="5">
        <v>12</v>
      </c>
      <c r="AQ2752" s="5" t="s">
        <v>16</v>
      </c>
      <c r="AR2752" s="5" t="s">
        <v>16</v>
      </c>
      <c r="AS2752" s="5">
        <v>157</v>
      </c>
      <c r="AT2752" s="5" t="s">
        <v>16466</v>
      </c>
      <c r="AU2752" s="5" t="s">
        <v>16467</v>
      </c>
      <c r="AV2752" s="5" t="s">
        <v>16469</v>
      </c>
    </row>
    <row r="2753" spans="1:48" ht="45" customHeight="1" x14ac:dyDescent="0.15">
      <c r="A2753" s="5" t="s">
        <v>16470</v>
      </c>
      <c r="B2753" s="5">
        <v>2001</v>
      </c>
      <c r="C2753" s="5" t="s">
        <v>16471</v>
      </c>
      <c r="D2753" s="5" t="s">
        <v>82</v>
      </c>
      <c r="E2753" s="5" t="s">
        <v>18453</v>
      </c>
      <c r="F2753" s="5" t="s">
        <v>16474</v>
      </c>
      <c r="G2753" s="5"/>
      <c r="H2753" s="5"/>
      <c r="I2753" s="5"/>
      <c r="J2753" s="5"/>
      <c r="K2753" s="5"/>
      <c r="L2753" s="5"/>
      <c r="M2753" s="5"/>
      <c r="N2753" s="5"/>
      <c r="O2753" s="5"/>
      <c r="P2753" s="5"/>
      <c r="Q2753" s="5"/>
      <c r="AL2753" s="7" t="str">
        <f>HYPERLINK("http://dx.doi.org/10.2307/3061067","http://dx.doi.org/10.2307/3061067")</f>
        <v>http://dx.doi.org/10.2307/3061067</v>
      </c>
      <c r="AM2753" s="5">
        <v>66</v>
      </c>
      <c r="AN2753" s="5">
        <v>76</v>
      </c>
      <c r="AO2753" s="5">
        <v>11</v>
      </c>
      <c r="AP2753" s="5">
        <v>1</v>
      </c>
      <c r="AQ2753" s="5">
        <v>203</v>
      </c>
      <c r="AR2753" s="5">
        <v>214</v>
      </c>
      <c r="AS2753" s="5" t="s">
        <v>16</v>
      </c>
      <c r="AT2753" s="5" t="s">
        <v>16472</v>
      </c>
      <c r="AU2753" s="5" t="s">
        <v>16473</v>
      </c>
      <c r="AV2753" s="5" t="s">
        <v>16475</v>
      </c>
    </row>
    <row r="2754" spans="1:48" ht="45" customHeight="1" x14ac:dyDescent="0.15">
      <c r="A2754" s="5" t="s">
        <v>16476</v>
      </c>
      <c r="B2754" s="5">
        <v>2017</v>
      </c>
      <c r="C2754" s="5" t="s">
        <v>16477</v>
      </c>
      <c r="D2754" s="5" t="s">
        <v>18</v>
      </c>
      <c r="E2754" s="5" t="s">
        <v>18453</v>
      </c>
      <c r="F2754" s="5" t="s">
        <v>16480</v>
      </c>
      <c r="G2754" s="5"/>
      <c r="H2754" s="5"/>
      <c r="I2754" s="5"/>
      <c r="J2754" s="5"/>
      <c r="K2754" s="5"/>
      <c r="L2754" s="5"/>
      <c r="M2754" s="5"/>
      <c r="N2754" s="5"/>
      <c r="O2754" s="5"/>
      <c r="P2754" s="5"/>
      <c r="Q2754" s="5"/>
      <c r="AL2754" s="7" t="str">
        <f>HYPERLINK("http://dx.doi.org/10.1002/ecs2.1843","http://dx.doi.org/10.1002/ecs2.1843")</f>
        <v>http://dx.doi.org/10.1002/ecs2.1843</v>
      </c>
      <c r="AM2754" s="5">
        <v>31</v>
      </c>
      <c r="AN2754" s="5">
        <v>31</v>
      </c>
      <c r="AO2754" s="5">
        <v>8</v>
      </c>
      <c r="AP2754" s="5">
        <v>6</v>
      </c>
      <c r="AQ2754" s="5" t="s">
        <v>16</v>
      </c>
      <c r="AR2754" s="5" t="s">
        <v>16</v>
      </c>
      <c r="AS2754" s="5" t="s">
        <v>16481</v>
      </c>
      <c r="AT2754" s="5" t="s">
        <v>16478</v>
      </c>
      <c r="AU2754" s="5" t="s">
        <v>16479</v>
      </c>
      <c r="AV2754" s="5" t="s">
        <v>16482</v>
      </c>
    </row>
    <row r="2755" spans="1:48" ht="45" customHeight="1" x14ac:dyDescent="0.15">
      <c r="A2755" s="5" t="s">
        <v>16483</v>
      </c>
      <c r="B2755" s="5">
        <v>2018</v>
      </c>
      <c r="C2755" s="5" t="s">
        <v>16484</v>
      </c>
      <c r="D2755" s="5" t="s">
        <v>262</v>
      </c>
      <c r="E2755" s="5" t="s">
        <v>18453</v>
      </c>
      <c r="F2755" s="5" t="s">
        <v>16487</v>
      </c>
      <c r="G2755" s="5"/>
      <c r="H2755" s="5"/>
      <c r="I2755" s="5"/>
      <c r="J2755" s="5"/>
      <c r="K2755" s="5"/>
      <c r="L2755" s="5"/>
      <c r="M2755" s="5"/>
      <c r="N2755" s="5"/>
      <c r="O2755" s="5"/>
      <c r="P2755" s="5"/>
      <c r="Q2755" s="5"/>
      <c r="AL2755" s="7" t="str">
        <f>HYPERLINK("http://dx.doi.org/10.1111/oik.04815","http://dx.doi.org/10.1111/oik.04815")</f>
        <v>http://dx.doi.org/10.1111/oik.04815</v>
      </c>
      <c r="AM2755" s="5">
        <v>22</v>
      </c>
      <c r="AN2755" s="5">
        <v>22</v>
      </c>
      <c r="AO2755" s="5">
        <v>127</v>
      </c>
      <c r="AP2755" s="5">
        <v>6</v>
      </c>
      <c r="AQ2755" s="5">
        <v>855</v>
      </c>
      <c r="AR2755" s="5">
        <v>865</v>
      </c>
      <c r="AS2755" s="5" t="s">
        <v>16</v>
      </c>
      <c r="AT2755" s="5" t="s">
        <v>16485</v>
      </c>
      <c r="AU2755" s="5" t="s">
        <v>16486</v>
      </c>
      <c r="AV2755" s="5" t="s">
        <v>16488</v>
      </c>
    </row>
    <row r="2756" spans="1:48" ht="45" customHeight="1" x14ac:dyDescent="0.15">
      <c r="A2756" s="5" t="s">
        <v>16489</v>
      </c>
      <c r="B2756" s="5">
        <v>2018</v>
      </c>
      <c r="C2756" s="5" t="s">
        <v>16490</v>
      </c>
      <c r="D2756" s="5" t="s">
        <v>18</v>
      </c>
      <c r="E2756" s="5" t="s">
        <v>18453</v>
      </c>
      <c r="F2756" s="5" t="s">
        <v>16493</v>
      </c>
      <c r="G2756" s="5"/>
      <c r="H2756" s="5"/>
      <c r="I2756" s="5"/>
      <c r="J2756" s="5"/>
      <c r="K2756" s="5"/>
      <c r="L2756" s="5"/>
      <c r="M2756" s="5"/>
      <c r="N2756" s="5"/>
      <c r="O2756" s="5"/>
      <c r="P2756" s="5"/>
      <c r="Q2756" s="5"/>
      <c r="AL2756" s="7" t="str">
        <f>HYPERLINK("http://dx.doi.org/10.1002/ecs2.2364","http://dx.doi.org/10.1002/ecs2.2364")</f>
        <v>http://dx.doi.org/10.1002/ecs2.2364</v>
      </c>
      <c r="AM2756" s="5">
        <v>5</v>
      </c>
      <c r="AN2756" s="5">
        <v>5</v>
      </c>
      <c r="AO2756" s="5">
        <v>9</v>
      </c>
      <c r="AP2756" s="5">
        <v>7</v>
      </c>
      <c r="AQ2756" s="5" t="s">
        <v>16</v>
      </c>
      <c r="AR2756" s="5" t="s">
        <v>16</v>
      </c>
      <c r="AS2756" s="5" t="s">
        <v>16494</v>
      </c>
      <c r="AT2756" s="5" t="s">
        <v>16491</v>
      </c>
      <c r="AU2756" s="5" t="s">
        <v>16492</v>
      </c>
      <c r="AV2756" s="5" t="s">
        <v>16495</v>
      </c>
    </row>
    <row r="2757" spans="1:48" ht="45" customHeight="1" x14ac:dyDescent="0.15">
      <c r="A2757" s="5" t="s">
        <v>16496</v>
      </c>
      <c r="B2757" s="5">
        <v>2017</v>
      </c>
      <c r="C2757" s="5" t="s">
        <v>16497</v>
      </c>
      <c r="D2757" s="5" t="s">
        <v>212</v>
      </c>
      <c r="E2757" s="5" t="s">
        <v>18453</v>
      </c>
      <c r="F2757" s="5" t="s">
        <v>16500</v>
      </c>
      <c r="G2757" s="5"/>
      <c r="H2757" s="5"/>
      <c r="I2757" s="5"/>
      <c r="J2757" s="5"/>
      <c r="K2757" s="5"/>
      <c r="L2757" s="5"/>
      <c r="M2757" s="5"/>
      <c r="N2757" s="5"/>
      <c r="O2757" s="5"/>
      <c r="P2757" s="5"/>
      <c r="Q2757" s="5"/>
      <c r="AL2757" s="7" t="str">
        <f>HYPERLINK("http://dx.doi.org/10.1007/s00300-016-1996-9","http://dx.doi.org/10.1007/s00300-016-1996-9")</f>
        <v>http://dx.doi.org/10.1007/s00300-016-1996-9</v>
      </c>
      <c r="AM2757" s="5">
        <v>16</v>
      </c>
      <c r="AN2757" s="5">
        <v>16</v>
      </c>
      <c r="AO2757" s="5">
        <v>40</v>
      </c>
      <c r="AP2757" s="5">
        <v>4</v>
      </c>
      <c r="AQ2757" s="5">
        <v>735</v>
      </c>
      <c r="AR2757" s="5">
        <v>751</v>
      </c>
      <c r="AS2757" s="5" t="s">
        <v>16</v>
      </c>
      <c r="AT2757" s="5" t="s">
        <v>16498</v>
      </c>
      <c r="AU2757" s="5" t="s">
        <v>16499</v>
      </c>
      <c r="AV2757" s="5" t="s">
        <v>16501</v>
      </c>
    </row>
    <row r="2758" spans="1:48" ht="45" customHeight="1" x14ac:dyDescent="0.15">
      <c r="A2758" s="5" t="s">
        <v>16502</v>
      </c>
      <c r="B2758" s="5">
        <v>2013</v>
      </c>
      <c r="C2758" s="5" t="s">
        <v>16503</v>
      </c>
      <c r="D2758" s="5" t="s">
        <v>49</v>
      </c>
      <c r="E2758" s="5" t="s">
        <v>18453</v>
      </c>
      <c r="F2758" s="5" t="s">
        <v>16506</v>
      </c>
      <c r="G2758" s="5"/>
      <c r="H2758" s="5"/>
      <c r="I2758" s="5"/>
      <c r="J2758" s="5"/>
      <c r="K2758" s="5"/>
      <c r="L2758" s="5"/>
      <c r="M2758" s="5"/>
      <c r="N2758" s="5"/>
      <c r="O2758" s="5"/>
      <c r="P2758" s="5"/>
      <c r="Q2758" s="5"/>
      <c r="AL2758" s="7" t="str">
        <f>HYPERLINK("http://dx.doi.org/10.3354/meps10139","http://dx.doi.org/10.3354/meps10139")</f>
        <v>http://dx.doi.org/10.3354/meps10139</v>
      </c>
      <c r="AM2758" s="5">
        <v>18</v>
      </c>
      <c r="AN2758" s="5">
        <v>18</v>
      </c>
      <c r="AO2758" s="5">
        <v>476</v>
      </c>
      <c r="AP2758" s="5" t="s">
        <v>16</v>
      </c>
      <c r="AQ2758" s="5">
        <v>71</v>
      </c>
      <c r="AR2758" s="5" t="s">
        <v>260</v>
      </c>
      <c r="AS2758" s="5" t="s">
        <v>16</v>
      </c>
      <c r="AT2758" s="5" t="s">
        <v>16504</v>
      </c>
      <c r="AU2758" s="5" t="s">
        <v>16505</v>
      </c>
      <c r="AV2758" s="5" t="s">
        <v>16507</v>
      </c>
    </row>
    <row r="2759" spans="1:48" ht="45" customHeight="1" x14ac:dyDescent="0.15">
      <c r="A2759" s="5" t="s">
        <v>16508</v>
      </c>
      <c r="B2759" s="5">
        <v>2014</v>
      </c>
      <c r="C2759" s="5" t="s">
        <v>16509</v>
      </c>
      <c r="D2759" s="5" t="s">
        <v>77</v>
      </c>
      <c r="E2759" s="5" t="s">
        <v>18453</v>
      </c>
      <c r="F2759" s="5" t="s">
        <v>16512</v>
      </c>
      <c r="G2759" s="5"/>
      <c r="H2759" s="5"/>
      <c r="I2759" s="5"/>
      <c r="J2759" s="5"/>
      <c r="K2759" s="5"/>
      <c r="L2759" s="5"/>
      <c r="M2759" s="5"/>
      <c r="N2759" s="5"/>
      <c r="O2759" s="5"/>
      <c r="P2759" s="5"/>
      <c r="Q2759" s="5"/>
      <c r="AL2759" s="7" t="str">
        <f>HYPERLINK("http://dx.doi.org/10.1111/1365-2656.12156","http://dx.doi.org/10.1111/1365-2656.12156")</f>
        <v>http://dx.doi.org/10.1111/1365-2656.12156</v>
      </c>
      <c r="AM2759" s="5">
        <v>15</v>
      </c>
      <c r="AN2759" s="5">
        <v>15</v>
      </c>
      <c r="AO2759" s="5">
        <v>83</v>
      </c>
      <c r="AP2759" s="5">
        <v>2</v>
      </c>
      <c r="AQ2759" s="5">
        <v>470</v>
      </c>
      <c r="AR2759" s="5">
        <v>478</v>
      </c>
      <c r="AS2759" s="5" t="s">
        <v>16</v>
      </c>
      <c r="AT2759" s="5" t="s">
        <v>16510</v>
      </c>
      <c r="AU2759" s="5" t="s">
        <v>16511</v>
      </c>
      <c r="AV2759" s="5" t="s">
        <v>16513</v>
      </c>
    </row>
    <row r="2760" spans="1:48" ht="45" customHeight="1" x14ac:dyDescent="0.15">
      <c r="A2760" s="5" t="s">
        <v>16514</v>
      </c>
      <c r="B2760" s="5">
        <v>2023</v>
      </c>
      <c r="C2760" s="5" t="s">
        <v>16515</v>
      </c>
      <c r="D2760" s="5" t="s">
        <v>162</v>
      </c>
      <c r="E2760" s="5" t="s">
        <v>18453</v>
      </c>
      <c r="F2760" s="5" t="s">
        <v>16518</v>
      </c>
      <c r="G2760" s="5"/>
      <c r="H2760" s="5"/>
      <c r="I2760" s="5"/>
      <c r="J2760" s="5"/>
      <c r="K2760" s="5"/>
      <c r="L2760" s="5"/>
      <c r="M2760" s="5"/>
      <c r="N2760" s="5"/>
      <c r="O2760" s="5"/>
      <c r="P2760" s="5"/>
      <c r="Q2760" s="5"/>
      <c r="AL2760" s="7" t="str">
        <f>HYPERLINK("http://dx.doi.org/10.1111/1365-2435.14253","http://dx.doi.org/10.1111/1365-2435.14253")</f>
        <v>http://dx.doi.org/10.1111/1365-2435.14253</v>
      </c>
      <c r="AM2760" s="5">
        <v>1</v>
      </c>
      <c r="AN2760" s="5">
        <v>1</v>
      </c>
      <c r="AO2760" s="5">
        <v>37</v>
      </c>
      <c r="AP2760" s="5">
        <v>3</v>
      </c>
      <c r="AQ2760" s="5">
        <v>748</v>
      </c>
      <c r="AR2760" s="5">
        <v>762</v>
      </c>
      <c r="AS2760" s="5" t="s">
        <v>16</v>
      </c>
      <c r="AT2760" s="5" t="s">
        <v>16516</v>
      </c>
      <c r="AU2760" s="5" t="s">
        <v>16517</v>
      </c>
      <c r="AV2760" s="5" t="s">
        <v>16519</v>
      </c>
    </row>
    <row r="2761" spans="1:48" ht="45" customHeight="1" x14ac:dyDescent="0.15">
      <c r="A2761" s="5" t="s">
        <v>16520</v>
      </c>
      <c r="B2761" s="5">
        <v>2022</v>
      </c>
      <c r="C2761" s="5" t="s">
        <v>16521</v>
      </c>
      <c r="D2761" s="5" t="s">
        <v>15</v>
      </c>
      <c r="E2761" s="5" t="s">
        <v>18453</v>
      </c>
      <c r="F2761" s="5" t="s">
        <v>16524</v>
      </c>
      <c r="G2761" s="5"/>
      <c r="H2761" s="5"/>
      <c r="I2761" s="5"/>
      <c r="J2761" s="5"/>
      <c r="K2761" s="5"/>
      <c r="L2761" s="5"/>
      <c r="M2761" s="5"/>
      <c r="N2761" s="5"/>
      <c r="O2761" s="5"/>
      <c r="P2761" s="5"/>
      <c r="Q2761" s="5"/>
      <c r="AL2761" s="7" t="str">
        <f>HYPERLINK("http://dx.doi.org/10.1002/ece3.8929","http://dx.doi.org/10.1002/ece3.8929")</f>
        <v>http://dx.doi.org/10.1002/ece3.8929</v>
      </c>
      <c r="AM2761" s="5">
        <v>3</v>
      </c>
      <c r="AN2761" s="5">
        <v>3</v>
      </c>
      <c r="AO2761" s="5">
        <v>12</v>
      </c>
      <c r="AP2761" s="5">
        <v>6</v>
      </c>
      <c r="AQ2761" s="5" t="s">
        <v>16</v>
      </c>
      <c r="AR2761" s="5" t="s">
        <v>16</v>
      </c>
      <c r="AS2761" s="5" t="s">
        <v>16525</v>
      </c>
      <c r="AT2761" s="5" t="s">
        <v>16522</v>
      </c>
      <c r="AU2761" s="5" t="s">
        <v>16523</v>
      </c>
      <c r="AV2761" s="5" t="s">
        <v>16526</v>
      </c>
    </row>
    <row r="2762" spans="1:48" ht="45" customHeight="1" x14ac:dyDescent="0.15">
      <c r="A2762" s="5" t="s">
        <v>4843</v>
      </c>
      <c r="B2762" s="5">
        <v>2023</v>
      </c>
      <c r="C2762" s="5" t="s">
        <v>16527</v>
      </c>
      <c r="D2762" s="5" t="s">
        <v>18</v>
      </c>
      <c r="E2762" s="5" t="s">
        <v>18453</v>
      </c>
      <c r="F2762" s="5" t="s">
        <v>16530</v>
      </c>
      <c r="G2762" s="5"/>
      <c r="H2762" s="5"/>
      <c r="I2762" s="5"/>
      <c r="J2762" s="5"/>
      <c r="K2762" s="5"/>
      <c r="L2762" s="5"/>
      <c r="M2762" s="5"/>
      <c r="N2762" s="5"/>
      <c r="O2762" s="5"/>
      <c r="P2762" s="5"/>
      <c r="Q2762" s="5"/>
      <c r="AL2762" s="7" t="str">
        <f>HYPERLINK("http://dx.doi.org/10.1002/ecs2.4430","http://dx.doi.org/10.1002/ecs2.4430")</f>
        <v>http://dx.doi.org/10.1002/ecs2.4430</v>
      </c>
      <c r="AM2762" s="5">
        <v>0</v>
      </c>
      <c r="AN2762" s="5">
        <v>0</v>
      </c>
      <c r="AO2762" s="5">
        <v>14</v>
      </c>
      <c r="AP2762" s="5">
        <v>3</v>
      </c>
      <c r="AQ2762" s="5" t="s">
        <v>16</v>
      </c>
      <c r="AR2762" s="5" t="s">
        <v>16</v>
      </c>
      <c r="AS2762" s="5" t="s">
        <v>16531</v>
      </c>
      <c r="AT2762" s="5" t="s">
        <v>16528</v>
      </c>
      <c r="AU2762" s="5" t="s">
        <v>16529</v>
      </c>
      <c r="AV2762" s="5" t="s">
        <v>16532</v>
      </c>
    </row>
    <row r="2763" spans="1:48" ht="45" customHeight="1" x14ac:dyDescent="0.15">
      <c r="A2763" s="5" t="s">
        <v>16533</v>
      </c>
      <c r="B2763" s="5">
        <v>2004</v>
      </c>
      <c r="C2763" s="5" t="s">
        <v>16534</v>
      </c>
      <c r="D2763" s="5" t="s">
        <v>162</v>
      </c>
      <c r="E2763" s="5" t="s">
        <v>18453</v>
      </c>
      <c r="F2763" s="5" t="s">
        <v>16537</v>
      </c>
      <c r="G2763" s="5"/>
      <c r="H2763" s="5"/>
      <c r="I2763" s="5"/>
      <c r="J2763" s="5"/>
      <c r="K2763" s="5"/>
      <c r="L2763" s="5"/>
      <c r="M2763" s="5"/>
      <c r="N2763" s="5"/>
      <c r="O2763" s="5"/>
      <c r="P2763" s="5"/>
      <c r="Q2763" s="5"/>
      <c r="AL2763" s="7" t="str">
        <f>HYPERLINK("http://dx.doi.org/10.1111/j.0269-8463.2004.00838.x","http://dx.doi.org/10.1111/j.0269-8463.2004.00838.x")</f>
        <v>http://dx.doi.org/10.1111/j.0269-8463.2004.00838.x</v>
      </c>
      <c r="AM2763" s="5">
        <v>52</v>
      </c>
      <c r="AN2763" s="5">
        <v>53</v>
      </c>
      <c r="AO2763" s="5">
        <v>18</v>
      </c>
      <c r="AP2763" s="5">
        <v>2</v>
      </c>
      <c r="AQ2763" s="5">
        <v>212</v>
      </c>
      <c r="AR2763" s="5">
        <v>222</v>
      </c>
      <c r="AS2763" s="5" t="s">
        <v>16</v>
      </c>
      <c r="AT2763" s="5" t="s">
        <v>16535</v>
      </c>
      <c r="AU2763" s="5" t="s">
        <v>16536</v>
      </c>
      <c r="AV2763" s="5" t="s">
        <v>16538</v>
      </c>
    </row>
    <row r="2764" spans="1:48" ht="45" customHeight="1" x14ac:dyDescent="0.15">
      <c r="A2764" s="5" t="s">
        <v>16539</v>
      </c>
      <c r="B2764" s="5">
        <v>2017</v>
      </c>
      <c r="C2764" s="5" t="s">
        <v>16540</v>
      </c>
      <c r="D2764" s="5" t="s">
        <v>17</v>
      </c>
      <c r="E2764" s="5" t="s">
        <v>18453</v>
      </c>
      <c r="F2764" s="5" t="s">
        <v>16543</v>
      </c>
      <c r="G2764" s="5"/>
      <c r="H2764" s="5"/>
      <c r="I2764" s="5"/>
      <c r="J2764" s="5"/>
      <c r="K2764" s="5"/>
      <c r="L2764" s="5"/>
      <c r="M2764" s="5"/>
      <c r="N2764" s="5"/>
      <c r="O2764" s="5"/>
      <c r="P2764" s="5"/>
      <c r="Q2764" s="5"/>
      <c r="AL2764" s="7" t="str">
        <f>HYPERLINK("http://dx.doi.org/10.1111/fwb.12940","http://dx.doi.org/10.1111/fwb.12940")</f>
        <v>http://dx.doi.org/10.1111/fwb.12940</v>
      </c>
      <c r="AM2764" s="5">
        <v>10</v>
      </c>
      <c r="AN2764" s="5">
        <v>10</v>
      </c>
      <c r="AO2764" s="5">
        <v>62</v>
      </c>
      <c r="AP2764" s="5">
        <v>7</v>
      </c>
      <c r="AQ2764" s="5">
        <v>1232</v>
      </c>
      <c r="AR2764" s="5">
        <v>1243</v>
      </c>
      <c r="AS2764" s="5" t="s">
        <v>16</v>
      </c>
      <c r="AT2764" s="5" t="s">
        <v>16541</v>
      </c>
      <c r="AU2764" s="5" t="s">
        <v>16542</v>
      </c>
      <c r="AV2764" s="5" t="s">
        <v>16544</v>
      </c>
    </row>
    <row r="2765" spans="1:48" ht="45" customHeight="1" x14ac:dyDescent="0.15">
      <c r="A2765" s="5" t="s">
        <v>16545</v>
      </c>
      <c r="B2765" s="5">
        <v>2010</v>
      </c>
      <c r="C2765" s="5" t="s">
        <v>16546</v>
      </c>
      <c r="D2765" s="5" t="s">
        <v>49</v>
      </c>
      <c r="E2765" s="5" t="s">
        <v>18453</v>
      </c>
      <c r="F2765" s="5" t="s">
        <v>16549</v>
      </c>
      <c r="G2765" s="5"/>
      <c r="H2765" s="5"/>
      <c r="I2765" s="5"/>
      <c r="J2765" s="5"/>
      <c r="K2765" s="5"/>
      <c r="L2765" s="5"/>
      <c r="M2765" s="5"/>
      <c r="N2765" s="5"/>
      <c r="O2765" s="5"/>
      <c r="P2765" s="5"/>
      <c r="Q2765" s="5"/>
      <c r="AL2765" s="7" t="str">
        <f>HYPERLINK("http://dx.doi.org/10.3354/meps08479","http://dx.doi.org/10.3354/meps08479")</f>
        <v>http://dx.doi.org/10.3354/meps08479</v>
      </c>
      <c r="AM2765" s="5">
        <v>42</v>
      </c>
      <c r="AN2765" s="5">
        <v>42</v>
      </c>
      <c r="AO2765" s="5">
        <v>405</v>
      </c>
      <c r="AP2765" s="5" t="s">
        <v>16</v>
      </c>
      <c r="AQ2765" s="5">
        <v>71</v>
      </c>
      <c r="AR2765" s="5">
        <v>85</v>
      </c>
      <c r="AS2765" s="5" t="s">
        <v>16</v>
      </c>
      <c r="AT2765" s="5" t="s">
        <v>16547</v>
      </c>
      <c r="AU2765" s="5" t="s">
        <v>16548</v>
      </c>
      <c r="AV2765" s="5" t="s">
        <v>16550</v>
      </c>
    </row>
    <row r="2766" spans="1:48" ht="45" customHeight="1" x14ac:dyDescent="0.15">
      <c r="A2766" s="5" t="s">
        <v>16551</v>
      </c>
      <c r="B2766" s="5">
        <v>2009</v>
      </c>
      <c r="C2766" s="5" t="s">
        <v>16552</v>
      </c>
      <c r="D2766" s="5" t="s">
        <v>49</v>
      </c>
      <c r="E2766" s="5" t="s">
        <v>18453</v>
      </c>
      <c r="F2766" s="5" t="s">
        <v>16555</v>
      </c>
      <c r="G2766" s="5"/>
      <c r="H2766" s="5"/>
      <c r="I2766" s="5"/>
      <c r="J2766" s="5"/>
      <c r="K2766" s="5"/>
      <c r="L2766" s="5"/>
      <c r="M2766" s="5"/>
      <c r="N2766" s="5"/>
      <c r="O2766" s="5"/>
      <c r="P2766" s="5"/>
      <c r="Q2766" s="5"/>
      <c r="AL2766" s="7" t="str">
        <f>HYPERLINK("http://dx.doi.org/10.3354/meps07966","http://dx.doi.org/10.3354/meps07966")</f>
        <v>http://dx.doi.org/10.3354/meps07966</v>
      </c>
      <c r="AM2766" s="5">
        <v>2</v>
      </c>
      <c r="AN2766" s="5">
        <v>2</v>
      </c>
      <c r="AO2766" s="5">
        <v>383</v>
      </c>
      <c r="AP2766" s="5" t="s">
        <v>16</v>
      </c>
      <c r="AQ2766" s="5">
        <v>27</v>
      </c>
      <c r="AR2766" s="5">
        <v>36</v>
      </c>
      <c r="AS2766" s="5" t="s">
        <v>16</v>
      </c>
      <c r="AT2766" s="5" t="s">
        <v>16553</v>
      </c>
      <c r="AU2766" s="5" t="s">
        <v>16554</v>
      </c>
      <c r="AV2766" s="5" t="s">
        <v>16556</v>
      </c>
    </row>
    <row r="2767" spans="1:48" ht="45" customHeight="1" x14ac:dyDescent="0.15">
      <c r="A2767" s="5" t="s">
        <v>16557</v>
      </c>
      <c r="B2767" s="5">
        <v>2019</v>
      </c>
      <c r="C2767" s="5" t="s">
        <v>16558</v>
      </c>
      <c r="D2767" s="5" t="s">
        <v>16559</v>
      </c>
      <c r="E2767" s="5" t="s">
        <v>18453</v>
      </c>
      <c r="F2767" s="5" t="s">
        <v>16561</v>
      </c>
      <c r="G2767" s="5"/>
      <c r="H2767" s="5"/>
      <c r="I2767" s="5"/>
      <c r="J2767" s="5"/>
      <c r="K2767" s="5"/>
      <c r="L2767" s="5"/>
      <c r="M2767" s="5"/>
      <c r="N2767" s="5"/>
      <c r="O2767" s="5"/>
      <c r="P2767" s="5"/>
      <c r="Q2767" s="5"/>
      <c r="AL2767" s="7" t="str">
        <f>HYPERLINK("http://dx.doi.org/10.1007/s42832-019-0007-9","http://dx.doi.org/10.1007/s42832-019-0007-9")</f>
        <v>http://dx.doi.org/10.1007/s42832-019-0007-9</v>
      </c>
      <c r="AM2767" s="5">
        <v>4</v>
      </c>
      <c r="AN2767" s="5">
        <v>4</v>
      </c>
      <c r="AO2767" s="5">
        <v>1</v>
      </c>
      <c r="AP2767" s="5" t="s">
        <v>639</v>
      </c>
      <c r="AQ2767" s="5">
        <v>157</v>
      </c>
      <c r="AR2767" s="5">
        <v>173</v>
      </c>
      <c r="AS2767" s="5" t="s">
        <v>16</v>
      </c>
      <c r="AT2767" s="5" t="s">
        <v>16560</v>
      </c>
      <c r="AU2767" s="5" t="s">
        <v>16</v>
      </c>
      <c r="AV2767" s="5" t="s">
        <v>16562</v>
      </c>
    </row>
    <row r="2768" spans="1:48" ht="45" customHeight="1" x14ac:dyDescent="0.15">
      <c r="A2768" s="5" t="s">
        <v>16563</v>
      </c>
      <c r="B2768" s="5">
        <v>2023</v>
      </c>
      <c r="C2768" s="5" t="s">
        <v>16564</v>
      </c>
      <c r="D2768" s="5" t="s">
        <v>15</v>
      </c>
      <c r="E2768" s="5" t="s">
        <v>18453</v>
      </c>
      <c r="F2768" s="5" t="s">
        <v>16567</v>
      </c>
      <c r="G2768" s="5"/>
      <c r="H2768" s="5"/>
      <c r="I2768" s="5"/>
      <c r="J2768" s="5"/>
      <c r="K2768" s="5"/>
      <c r="L2768" s="5"/>
      <c r="M2768" s="5"/>
      <c r="N2768" s="5"/>
      <c r="O2768" s="5"/>
      <c r="P2768" s="5"/>
      <c r="Q2768" s="5"/>
      <c r="AL2768" s="7" t="str">
        <f>HYPERLINK("http://dx.doi.org/10.1002/ece3.10027","http://dx.doi.org/10.1002/ece3.10027")</f>
        <v>http://dx.doi.org/10.1002/ece3.10027</v>
      </c>
      <c r="AM2768" s="5">
        <v>0</v>
      </c>
      <c r="AN2768" s="5">
        <v>0</v>
      </c>
      <c r="AO2768" s="5">
        <v>13</v>
      </c>
      <c r="AP2768" s="5">
        <v>4</v>
      </c>
      <c r="AQ2768" s="5" t="s">
        <v>16</v>
      </c>
      <c r="AR2768" s="5" t="s">
        <v>16</v>
      </c>
      <c r="AS2768" s="5" t="s">
        <v>16568</v>
      </c>
      <c r="AT2768" s="5" t="s">
        <v>16565</v>
      </c>
      <c r="AU2768" s="5" t="s">
        <v>16566</v>
      </c>
      <c r="AV2768" s="5" t="s">
        <v>16569</v>
      </c>
    </row>
    <row r="2769" spans="1:48" ht="45" customHeight="1" x14ac:dyDescent="0.15">
      <c r="A2769" s="5" t="s">
        <v>16570</v>
      </c>
      <c r="B2769" s="5">
        <v>2000</v>
      </c>
      <c r="C2769" s="5" t="s">
        <v>16571</v>
      </c>
      <c r="D2769" s="5" t="s">
        <v>262</v>
      </c>
      <c r="E2769" s="5" t="s">
        <v>18453</v>
      </c>
      <c r="F2769" s="5" t="s">
        <v>16573</v>
      </c>
      <c r="G2769" s="5"/>
      <c r="H2769" s="5"/>
      <c r="I2769" s="5"/>
      <c r="J2769" s="5"/>
      <c r="K2769" s="5"/>
      <c r="L2769" s="5"/>
      <c r="M2769" s="5"/>
      <c r="N2769" s="5"/>
      <c r="O2769" s="5"/>
      <c r="P2769" s="5"/>
      <c r="Q2769" s="5"/>
      <c r="AL2769" s="7" t="str">
        <f>HYPERLINK("http://dx.doi.org/10.1034/j.1600-0706.2000.900221.x","http://dx.doi.org/10.1034/j.1600-0706.2000.900221.x")</f>
        <v>http://dx.doi.org/10.1034/j.1600-0706.2000.900221.x</v>
      </c>
      <c r="AM2769" s="5">
        <v>10</v>
      </c>
      <c r="AN2769" s="5">
        <v>14</v>
      </c>
      <c r="AO2769" s="5">
        <v>90</v>
      </c>
      <c r="AP2769" s="5">
        <v>2</v>
      </c>
      <c r="AQ2769" s="5">
        <v>399</v>
      </c>
      <c r="AR2769" s="5">
        <v>407</v>
      </c>
      <c r="AS2769" s="5" t="s">
        <v>16</v>
      </c>
      <c r="AT2769" s="5" t="s">
        <v>16</v>
      </c>
      <c r="AU2769" s="5" t="s">
        <v>16572</v>
      </c>
      <c r="AV2769" s="5" t="s">
        <v>16574</v>
      </c>
    </row>
    <row r="2770" spans="1:48" ht="45" customHeight="1" x14ac:dyDescent="0.15">
      <c r="A2770" s="5" t="s">
        <v>16575</v>
      </c>
      <c r="B2770" s="5">
        <v>2002</v>
      </c>
      <c r="C2770" s="5" t="s">
        <v>16576</v>
      </c>
      <c r="D2770" s="5" t="s">
        <v>17</v>
      </c>
      <c r="E2770" s="5" t="s">
        <v>18453</v>
      </c>
      <c r="F2770" s="5" t="s">
        <v>16579</v>
      </c>
      <c r="G2770" s="5"/>
      <c r="H2770" s="5"/>
      <c r="I2770" s="5"/>
      <c r="J2770" s="5"/>
      <c r="K2770" s="5"/>
      <c r="L2770" s="5"/>
      <c r="M2770" s="5"/>
      <c r="N2770" s="5"/>
      <c r="O2770" s="5"/>
      <c r="P2770" s="5"/>
      <c r="Q2770" s="5"/>
      <c r="AL2770" s="7" t="str">
        <f>HYPERLINK("http://dx.doi.org/10.1046/j.1365-2427.2002.01005.x","http://dx.doi.org/10.1046/j.1365-2427.2002.01005.x")</f>
        <v>http://dx.doi.org/10.1046/j.1365-2427.2002.01005.x</v>
      </c>
      <c r="AM2770" s="5">
        <v>46</v>
      </c>
      <c r="AN2770" s="5">
        <v>49</v>
      </c>
      <c r="AO2770" s="5">
        <v>47</v>
      </c>
      <c r="AP2770" s="5">
        <v>12</v>
      </c>
      <c r="AQ2770" s="5">
        <v>2370</v>
      </c>
      <c r="AR2770" s="5">
        <v>2379</v>
      </c>
      <c r="AS2770" s="5" t="s">
        <v>16</v>
      </c>
      <c r="AT2770" s="5" t="s">
        <v>16577</v>
      </c>
      <c r="AU2770" s="5" t="s">
        <v>16578</v>
      </c>
      <c r="AV2770" s="5" t="s">
        <v>16580</v>
      </c>
    </row>
    <row r="2771" spans="1:48" ht="45" customHeight="1" x14ac:dyDescent="0.15">
      <c r="A2771" s="5" t="s">
        <v>16581</v>
      </c>
      <c r="B2771" s="5">
        <v>2015</v>
      </c>
      <c r="C2771" s="5" t="s">
        <v>16582</v>
      </c>
      <c r="D2771" s="5" t="s">
        <v>973</v>
      </c>
      <c r="E2771" s="5" t="s">
        <v>18453</v>
      </c>
      <c r="F2771" s="5" t="s">
        <v>16584</v>
      </c>
      <c r="G2771" s="5"/>
      <c r="H2771" s="5"/>
      <c r="I2771" s="5"/>
      <c r="J2771" s="5"/>
      <c r="K2771" s="5"/>
      <c r="L2771" s="5"/>
      <c r="M2771" s="5"/>
      <c r="N2771" s="5"/>
      <c r="O2771" s="5"/>
      <c r="P2771" s="5"/>
      <c r="Q2771" s="5"/>
      <c r="AL2771" s="7" t="str">
        <f>HYPERLINK("http://dx.doi.org/10.5194/bg-12-7535-2015","http://dx.doi.org/10.5194/bg-12-7535-2015")</f>
        <v>http://dx.doi.org/10.5194/bg-12-7535-2015</v>
      </c>
      <c r="AM2771" s="5">
        <v>13</v>
      </c>
      <c r="AN2771" s="5">
        <v>14</v>
      </c>
      <c r="AO2771" s="5">
        <v>12</v>
      </c>
      <c r="AP2771" s="5">
        <v>24</v>
      </c>
      <c r="AQ2771" s="5">
        <v>7535</v>
      </c>
      <c r="AR2771" s="5">
        <v>7547</v>
      </c>
      <c r="AS2771" s="5" t="s">
        <v>16</v>
      </c>
      <c r="AT2771" s="5" t="s">
        <v>16</v>
      </c>
      <c r="AU2771" s="5" t="s">
        <v>16583</v>
      </c>
      <c r="AV2771" s="5" t="s">
        <v>16585</v>
      </c>
    </row>
    <row r="2772" spans="1:48" ht="45" customHeight="1" x14ac:dyDescent="0.15">
      <c r="A2772" s="5" t="s">
        <v>16586</v>
      </c>
      <c r="B2772" s="5">
        <v>2015</v>
      </c>
      <c r="C2772" s="5" t="s">
        <v>16587</v>
      </c>
      <c r="D2772" s="5" t="s">
        <v>172</v>
      </c>
      <c r="E2772" s="5" t="s">
        <v>18453</v>
      </c>
      <c r="F2772" s="5" t="s">
        <v>16590</v>
      </c>
      <c r="G2772" s="5"/>
      <c r="H2772" s="5"/>
      <c r="I2772" s="5"/>
      <c r="J2772" s="5"/>
      <c r="K2772" s="5"/>
      <c r="L2772" s="5"/>
      <c r="M2772" s="5"/>
      <c r="N2772" s="5"/>
      <c r="O2772" s="5"/>
      <c r="P2772" s="5"/>
      <c r="Q2772" s="5"/>
      <c r="AL2772" s="7" t="str">
        <f>HYPERLINK("http://dx.doi.org/10.1007/s00442-014-3121-5","http://dx.doi.org/10.1007/s00442-014-3121-5")</f>
        <v>http://dx.doi.org/10.1007/s00442-014-3121-5</v>
      </c>
      <c r="AM2772" s="5">
        <v>14</v>
      </c>
      <c r="AN2772" s="5">
        <v>15</v>
      </c>
      <c r="AO2772" s="5">
        <v>177</v>
      </c>
      <c r="AP2772" s="5">
        <v>1</v>
      </c>
      <c r="AQ2772" s="5">
        <v>5</v>
      </c>
      <c r="AR2772" s="5">
        <v>15</v>
      </c>
      <c r="AS2772" s="5" t="s">
        <v>16</v>
      </c>
      <c r="AT2772" s="5" t="s">
        <v>16588</v>
      </c>
      <c r="AU2772" s="5" t="s">
        <v>16589</v>
      </c>
      <c r="AV2772" s="5" t="s">
        <v>16591</v>
      </c>
    </row>
    <row r="2773" spans="1:48" ht="45" customHeight="1" x14ac:dyDescent="0.15">
      <c r="A2773" s="5" t="s">
        <v>16592</v>
      </c>
      <c r="B2773" s="5">
        <v>2013</v>
      </c>
      <c r="C2773" s="5" t="s">
        <v>16593</v>
      </c>
      <c r="D2773" s="5" t="s">
        <v>17</v>
      </c>
      <c r="E2773" s="5" t="s">
        <v>18453</v>
      </c>
      <c r="F2773" s="5" t="s">
        <v>16596</v>
      </c>
      <c r="G2773" s="5"/>
      <c r="H2773" s="5"/>
      <c r="I2773" s="5"/>
      <c r="J2773" s="5"/>
      <c r="K2773" s="5"/>
      <c r="L2773" s="5"/>
      <c r="M2773" s="5"/>
      <c r="N2773" s="5"/>
      <c r="O2773" s="5"/>
      <c r="P2773" s="5"/>
      <c r="Q2773" s="5"/>
      <c r="AL2773" s="7" t="str">
        <f>HYPERLINK("http://dx.doi.org/10.1111/fwb.12222","http://dx.doi.org/10.1111/fwb.12222")</f>
        <v>http://dx.doi.org/10.1111/fwb.12222</v>
      </c>
      <c r="AM2773" s="5">
        <v>12</v>
      </c>
      <c r="AN2773" s="5">
        <v>12</v>
      </c>
      <c r="AO2773" s="5">
        <v>58</v>
      </c>
      <c r="AP2773" s="5">
        <v>12</v>
      </c>
      <c r="AQ2773" s="5">
        <v>2452</v>
      </c>
      <c r="AR2773" s="5">
        <v>2463</v>
      </c>
      <c r="AS2773" s="5" t="s">
        <v>16</v>
      </c>
      <c r="AT2773" s="5" t="s">
        <v>16594</v>
      </c>
      <c r="AU2773" s="5" t="s">
        <v>16595</v>
      </c>
      <c r="AV2773" s="5" t="s">
        <v>16597</v>
      </c>
    </row>
    <row r="2774" spans="1:48" ht="45" customHeight="1" x14ac:dyDescent="0.15">
      <c r="A2774" s="5" t="s">
        <v>16598</v>
      </c>
      <c r="B2774" s="5">
        <v>2008</v>
      </c>
      <c r="C2774" s="5" t="s">
        <v>16599</v>
      </c>
      <c r="D2774" s="5" t="s">
        <v>1445</v>
      </c>
      <c r="E2774" s="5" t="s">
        <v>18453</v>
      </c>
      <c r="F2774" s="5" t="s">
        <v>16601</v>
      </c>
      <c r="G2774" s="5"/>
      <c r="H2774" s="5"/>
      <c r="I2774" s="5"/>
      <c r="J2774" s="5"/>
      <c r="K2774" s="5"/>
      <c r="L2774" s="5"/>
      <c r="M2774" s="5"/>
      <c r="N2774" s="5"/>
      <c r="O2774" s="5"/>
      <c r="P2774" s="5"/>
      <c r="Q2774" s="5"/>
      <c r="AL2774" s="7" t="str">
        <f>HYPERLINK("http://dx.doi.org/10.1080/02705060.2008.9664206","http://dx.doi.org/10.1080/02705060.2008.9664206")</f>
        <v>http://dx.doi.org/10.1080/02705060.2008.9664206</v>
      </c>
      <c r="AM2774" s="5">
        <v>21</v>
      </c>
      <c r="AN2774" s="5">
        <v>22</v>
      </c>
      <c r="AO2774" s="5">
        <v>23</v>
      </c>
      <c r="AP2774" s="5">
        <v>2</v>
      </c>
      <c r="AQ2774" s="5">
        <v>333</v>
      </c>
      <c r="AR2774" s="5">
        <v>336</v>
      </c>
      <c r="AS2774" s="5" t="s">
        <v>16</v>
      </c>
      <c r="AT2774" s="5" t="s">
        <v>16</v>
      </c>
      <c r="AU2774" s="5" t="s">
        <v>16600</v>
      </c>
      <c r="AV2774" s="5" t="s">
        <v>16602</v>
      </c>
    </row>
    <row r="2775" spans="1:48" ht="45" customHeight="1" x14ac:dyDescent="0.15">
      <c r="A2775" s="5" t="s">
        <v>16603</v>
      </c>
      <c r="B2775" s="5">
        <v>2017</v>
      </c>
      <c r="C2775" s="5" t="s">
        <v>16604</v>
      </c>
      <c r="D2775" s="5" t="s">
        <v>312</v>
      </c>
      <c r="E2775" s="5" t="s">
        <v>18453</v>
      </c>
      <c r="F2775" s="5" t="s">
        <v>16607</v>
      </c>
      <c r="G2775" s="5"/>
      <c r="H2775" s="5"/>
      <c r="I2775" s="5"/>
      <c r="J2775" s="5"/>
      <c r="K2775" s="5"/>
      <c r="L2775" s="5"/>
      <c r="M2775" s="5"/>
      <c r="N2775" s="5"/>
      <c r="O2775" s="5"/>
      <c r="P2775" s="5"/>
      <c r="Q2775" s="5"/>
      <c r="AL2775" s="7" t="str">
        <f>HYPERLINK("http://dx.doi.org/10.1016/j.ecolmodel.2017.07.028","http://dx.doi.org/10.1016/j.ecolmodel.2017.07.028")</f>
        <v>http://dx.doi.org/10.1016/j.ecolmodel.2017.07.028</v>
      </c>
      <c r="AM2775" s="5">
        <v>18</v>
      </c>
      <c r="AN2775" s="5">
        <v>18</v>
      </c>
      <c r="AO2775" s="5">
        <v>363</v>
      </c>
      <c r="AP2775" s="5" t="s">
        <v>16</v>
      </c>
      <c r="AQ2775" s="5">
        <v>137</v>
      </c>
      <c r="AR2775" s="5">
        <v>156</v>
      </c>
      <c r="AS2775" s="5" t="s">
        <v>16</v>
      </c>
      <c r="AT2775" s="5" t="s">
        <v>16605</v>
      </c>
      <c r="AU2775" s="5" t="s">
        <v>16606</v>
      </c>
      <c r="AV2775" s="5" t="s">
        <v>16608</v>
      </c>
    </row>
    <row r="2776" spans="1:48" ht="45" customHeight="1" x14ac:dyDescent="0.15">
      <c r="A2776" s="5" t="s">
        <v>16609</v>
      </c>
      <c r="B2776" s="5">
        <v>2018</v>
      </c>
      <c r="C2776" s="5" t="s">
        <v>16610</v>
      </c>
      <c r="D2776" s="5" t="s">
        <v>58</v>
      </c>
      <c r="E2776" s="5" t="s">
        <v>18453</v>
      </c>
      <c r="F2776" s="5" t="s">
        <v>16613</v>
      </c>
      <c r="G2776" s="5"/>
      <c r="H2776" s="5"/>
      <c r="I2776" s="5"/>
      <c r="J2776" s="5"/>
      <c r="K2776" s="5"/>
      <c r="L2776" s="5"/>
      <c r="M2776" s="5"/>
      <c r="N2776" s="5"/>
      <c r="O2776" s="5"/>
      <c r="P2776" s="5"/>
      <c r="Q2776" s="5"/>
      <c r="AL2776" s="7" t="str">
        <f>HYPERLINK("http://dx.doi.org/10.1016/j.rama.2018.04.011","http://dx.doi.org/10.1016/j.rama.2018.04.011")</f>
        <v>http://dx.doi.org/10.1016/j.rama.2018.04.011</v>
      </c>
      <c r="AM2776" s="5">
        <v>14</v>
      </c>
      <c r="AN2776" s="5">
        <v>14</v>
      </c>
      <c r="AO2776" s="5">
        <v>71</v>
      </c>
      <c r="AP2776" s="5">
        <v>5</v>
      </c>
      <c r="AQ2776" s="5">
        <v>592</v>
      </c>
      <c r="AR2776" s="5">
        <v>602</v>
      </c>
      <c r="AS2776" s="5" t="s">
        <v>16</v>
      </c>
      <c r="AT2776" s="5" t="s">
        <v>16611</v>
      </c>
      <c r="AU2776" s="5" t="s">
        <v>16612</v>
      </c>
      <c r="AV2776" s="5" t="s">
        <v>16614</v>
      </c>
    </row>
    <row r="2777" spans="1:48" ht="45" customHeight="1" x14ac:dyDescent="0.15">
      <c r="A2777" s="5" t="s">
        <v>16615</v>
      </c>
      <c r="B2777" s="5">
        <v>2019</v>
      </c>
      <c r="C2777" s="5" t="s">
        <v>16616</v>
      </c>
      <c r="D2777" s="5" t="s">
        <v>82</v>
      </c>
      <c r="E2777" s="5" t="s">
        <v>18453</v>
      </c>
      <c r="F2777" s="5" t="s">
        <v>16619</v>
      </c>
      <c r="G2777" s="5"/>
      <c r="H2777" s="5"/>
      <c r="I2777" s="5"/>
      <c r="J2777" s="5"/>
      <c r="K2777" s="5"/>
      <c r="L2777" s="5"/>
      <c r="M2777" s="5"/>
      <c r="N2777" s="5"/>
      <c r="O2777" s="5"/>
      <c r="P2777" s="5"/>
      <c r="Q2777" s="5"/>
      <c r="AL2777" s="7" t="str">
        <f>HYPERLINK("http://dx.doi.org/10.1002/eap.1897","http://dx.doi.org/10.1002/eap.1897")</f>
        <v>http://dx.doi.org/10.1002/eap.1897</v>
      </c>
      <c r="AM2777" s="5">
        <v>27</v>
      </c>
      <c r="AN2777" s="5">
        <v>28</v>
      </c>
      <c r="AO2777" s="5">
        <v>29</v>
      </c>
      <c r="AP2777" s="5">
        <v>5</v>
      </c>
      <c r="AQ2777" s="5" t="s">
        <v>16</v>
      </c>
      <c r="AR2777" s="5" t="s">
        <v>16</v>
      </c>
      <c r="AS2777" s="5" t="s">
        <v>16620</v>
      </c>
      <c r="AT2777" s="5" t="s">
        <v>16617</v>
      </c>
      <c r="AU2777" s="5" t="s">
        <v>16618</v>
      </c>
      <c r="AV2777" s="5" t="s">
        <v>16621</v>
      </c>
    </row>
    <row r="2778" spans="1:48" ht="45" customHeight="1" x14ac:dyDescent="0.15">
      <c r="A2778" s="5" t="s">
        <v>16622</v>
      </c>
      <c r="B2778" s="5">
        <v>2021</v>
      </c>
      <c r="C2778" s="5" t="s">
        <v>16623</v>
      </c>
      <c r="D2778" s="5" t="s">
        <v>59</v>
      </c>
      <c r="E2778" s="5" t="s">
        <v>18453</v>
      </c>
      <c r="F2778" s="5" t="s">
        <v>16626</v>
      </c>
      <c r="G2778" s="5"/>
      <c r="H2778" s="5"/>
      <c r="I2778" s="5"/>
      <c r="J2778" s="5"/>
      <c r="K2778" s="5"/>
      <c r="L2778" s="5"/>
      <c r="M2778" s="5"/>
      <c r="N2778" s="5"/>
      <c r="O2778" s="5"/>
      <c r="P2778" s="5"/>
      <c r="Q2778" s="5"/>
      <c r="AL2778" s="7" t="str">
        <f>HYPERLINK("http://dx.doi.org/10.1111/ele.13735","http://dx.doi.org/10.1111/ele.13735")</f>
        <v>http://dx.doi.org/10.1111/ele.13735</v>
      </c>
      <c r="AM2778" s="5">
        <v>45</v>
      </c>
      <c r="AN2778" s="5">
        <v>46</v>
      </c>
      <c r="AO2778" s="5">
        <v>24</v>
      </c>
      <c r="AP2778" s="5">
        <v>6</v>
      </c>
      <c r="AQ2778" s="5">
        <v>1193</v>
      </c>
      <c r="AR2778" s="5">
        <v>1204</v>
      </c>
      <c r="AS2778" s="5" t="s">
        <v>16</v>
      </c>
      <c r="AT2778" s="5" t="s">
        <v>16624</v>
      </c>
      <c r="AU2778" s="5" t="s">
        <v>16625</v>
      </c>
      <c r="AV2778" s="5" t="s">
        <v>16627</v>
      </c>
    </row>
    <row r="2779" spans="1:48" ht="45" customHeight="1" x14ac:dyDescent="0.15">
      <c r="A2779" s="5" t="s">
        <v>16628</v>
      </c>
      <c r="B2779" s="5">
        <v>2012</v>
      </c>
      <c r="C2779" s="5" t="s">
        <v>16629</v>
      </c>
      <c r="D2779" s="5" t="s">
        <v>33</v>
      </c>
      <c r="E2779" s="5" t="s">
        <v>18453</v>
      </c>
      <c r="F2779" s="5" t="s">
        <v>16632</v>
      </c>
      <c r="G2779" s="5"/>
      <c r="H2779" s="5"/>
      <c r="I2779" s="5"/>
      <c r="J2779" s="5"/>
      <c r="K2779" s="5"/>
      <c r="L2779" s="5"/>
      <c r="M2779" s="5"/>
      <c r="N2779" s="5"/>
      <c r="O2779" s="5"/>
      <c r="P2779" s="5"/>
      <c r="Q2779" s="5"/>
      <c r="AL2779" s="7" t="str">
        <f>HYPERLINK("http://dx.doi.org/10.1111/j.1365-2486.2011.02603.x","http://dx.doi.org/10.1111/j.1365-2486.2011.02603.x")</f>
        <v>http://dx.doi.org/10.1111/j.1365-2486.2011.02603.x</v>
      </c>
      <c r="AM2779" s="5">
        <v>57</v>
      </c>
      <c r="AN2779" s="5">
        <v>62</v>
      </c>
      <c r="AO2779" s="5">
        <v>18</v>
      </c>
      <c r="AP2779" s="5">
        <v>4</v>
      </c>
      <c r="AQ2779" s="5">
        <v>1412</v>
      </c>
      <c r="AR2779" s="5">
        <v>1427</v>
      </c>
      <c r="AS2779" s="5" t="s">
        <v>16</v>
      </c>
      <c r="AT2779" s="5" t="s">
        <v>16630</v>
      </c>
      <c r="AU2779" s="5" t="s">
        <v>16631</v>
      </c>
      <c r="AV2779" s="5" t="s">
        <v>16633</v>
      </c>
    </row>
    <row r="2780" spans="1:48" ht="45" customHeight="1" x14ac:dyDescent="0.15">
      <c r="A2780" s="5" t="s">
        <v>16634</v>
      </c>
      <c r="B2780" s="5">
        <v>2009</v>
      </c>
      <c r="C2780" s="5" t="s">
        <v>16635</v>
      </c>
      <c r="D2780" s="5" t="s">
        <v>973</v>
      </c>
      <c r="E2780" s="5" t="s">
        <v>18453</v>
      </c>
      <c r="F2780" s="5" t="s">
        <v>16637</v>
      </c>
      <c r="G2780" s="5"/>
      <c r="H2780" s="5"/>
      <c r="I2780" s="5"/>
      <c r="J2780" s="5"/>
      <c r="K2780" s="5"/>
      <c r="L2780" s="5"/>
      <c r="M2780" s="5"/>
      <c r="N2780" s="5"/>
      <c r="O2780" s="5"/>
      <c r="P2780" s="5"/>
      <c r="Q2780" s="5"/>
      <c r="AL2780" s="7" t="str">
        <f>HYPERLINK("http://dx.doi.org/10.5194/bg-6-2541-2009","http://dx.doi.org/10.5194/bg-6-2541-2009")</f>
        <v>http://dx.doi.org/10.5194/bg-6-2541-2009</v>
      </c>
      <c r="AM2780" s="5">
        <v>31</v>
      </c>
      <c r="AN2780" s="5">
        <v>31</v>
      </c>
      <c r="AO2780" s="5">
        <v>6</v>
      </c>
      <c r="AP2780" s="5">
        <v>11</v>
      </c>
      <c r="AQ2780" s="5">
        <v>2541</v>
      </c>
      <c r="AR2780" s="5">
        <v>2547</v>
      </c>
      <c r="AS2780" s="5" t="s">
        <v>16</v>
      </c>
      <c r="AT2780" s="5" t="s">
        <v>16</v>
      </c>
      <c r="AU2780" s="5" t="s">
        <v>16636</v>
      </c>
      <c r="AV2780" s="5" t="s">
        <v>16638</v>
      </c>
    </row>
    <row r="2781" spans="1:48" ht="45" customHeight="1" x14ac:dyDescent="0.15">
      <c r="A2781" s="5" t="s">
        <v>16639</v>
      </c>
      <c r="B2781" s="5">
        <v>2008</v>
      </c>
      <c r="C2781" s="5" t="s">
        <v>16640</v>
      </c>
      <c r="D2781" s="5" t="s">
        <v>83</v>
      </c>
      <c r="E2781" s="5" t="s">
        <v>18453</v>
      </c>
      <c r="F2781" s="5" t="s">
        <v>16643</v>
      </c>
      <c r="G2781" s="5"/>
      <c r="H2781" s="5"/>
      <c r="I2781" s="5"/>
      <c r="J2781" s="5"/>
      <c r="K2781" s="5"/>
      <c r="L2781" s="5"/>
      <c r="M2781" s="5"/>
      <c r="N2781" s="5"/>
      <c r="O2781" s="5"/>
      <c r="P2781" s="5"/>
      <c r="Q2781" s="5"/>
      <c r="AL2781" s="7" t="str">
        <f>HYPERLINK("http://dx.doi.org/10.1007/s10646-008-0201-5","http://dx.doi.org/10.1007/s10646-008-0201-5")</f>
        <v>http://dx.doi.org/10.1007/s10646-008-0201-5</v>
      </c>
      <c r="AM2781" s="5">
        <v>6</v>
      </c>
      <c r="AN2781" s="5">
        <v>7</v>
      </c>
      <c r="AO2781" s="5">
        <v>17</v>
      </c>
      <c r="AP2781" s="5">
        <v>6</v>
      </c>
      <c r="AQ2781" s="5">
        <v>480</v>
      </c>
      <c r="AR2781" s="5">
        <v>484</v>
      </c>
      <c r="AS2781" s="5" t="s">
        <v>16</v>
      </c>
      <c r="AT2781" s="5" t="s">
        <v>16641</v>
      </c>
      <c r="AU2781" s="5" t="s">
        <v>16642</v>
      </c>
      <c r="AV2781" s="5" t="s">
        <v>16644</v>
      </c>
    </row>
    <row r="2782" spans="1:48" ht="45" customHeight="1" x14ac:dyDescent="0.15">
      <c r="A2782" s="5" t="s">
        <v>16645</v>
      </c>
      <c r="B2782" s="5">
        <v>2005</v>
      </c>
      <c r="C2782" s="5" t="s">
        <v>16646</v>
      </c>
      <c r="D2782" s="5" t="s">
        <v>2768</v>
      </c>
      <c r="E2782" s="5" t="s">
        <v>18453</v>
      </c>
      <c r="F2782" s="5" t="s">
        <v>16649</v>
      </c>
      <c r="G2782" s="5"/>
      <c r="H2782" s="5"/>
      <c r="I2782" s="5"/>
      <c r="J2782" s="5"/>
      <c r="K2782" s="5"/>
      <c r="L2782" s="5"/>
      <c r="M2782" s="5"/>
      <c r="N2782" s="5"/>
      <c r="O2782" s="5"/>
      <c r="P2782" s="5"/>
      <c r="Q2782" s="5"/>
      <c r="AL2782" s="7" t="str">
        <f>HYPERLINK("http://dx.doi.org/10.1007/s10531-004-0386-8","http://dx.doi.org/10.1007/s10531-004-0386-8")</f>
        <v>http://dx.doi.org/10.1007/s10531-004-0386-8</v>
      </c>
      <c r="AM2782" s="5">
        <v>18</v>
      </c>
      <c r="AN2782" s="5">
        <v>21</v>
      </c>
      <c r="AO2782" s="5">
        <v>14</v>
      </c>
      <c r="AP2782" s="5">
        <v>13</v>
      </c>
      <c r="AQ2782" s="5">
        <v>3187</v>
      </c>
      <c r="AR2782" s="5">
        <v>3200</v>
      </c>
      <c r="AS2782" s="5" t="s">
        <v>16</v>
      </c>
      <c r="AT2782" s="5" t="s">
        <v>16647</v>
      </c>
      <c r="AU2782" s="5" t="s">
        <v>16648</v>
      </c>
      <c r="AV2782" s="5" t="s">
        <v>16650</v>
      </c>
    </row>
    <row r="2783" spans="1:48" ht="45" customHeight="1" x14ac:dyDescent="0.15">
      <c r="A2783" s="5" t="s">
        <v>16651</v>
      </c>
      <c r="B2783" s="5">
        <v>2023</v>
      </c>
      <c r="C2783" s="5" t="s">
        <v>16652</v>
      </c>
      <c r="D2783" s="5" t="s">
        <v>2087</v>
      </c>
      <c r="E2783" s="5" t="s">
        <v>18453</v>
      </c>
      <c r="F2783" s="5" t="s">
        <v>16655</v>
      </c>
      <c r="G2783" s="5"/>
      <c r="H2783" s="5"/>
      <c r="I2783" s="5"/>
      <c r="J2783" s="5"/>
      <c r="K2783" s="5"/>
      <c r="L2783" s="5"/>
      <c r="M2783" s="5"/>
      <c r="N2783" s="5"/>
      <c r="O2783" s="5"/>
      <c r="P2783" s="5"/>
      <c r="Q2783" s="5"/>
      <c r="AL2783" s="7" t="str">
        <f>HYPERLINK("http://dx.doi.org/10.1002/eco.2547","http://dx.doi.org/10.1002/eco.2547")</f>
        <v>http://dx.doi.org/10.1002/eco.2547</v>
      </c>
      <c r="AM2783" s="5">
        <v>0</v>
      </c>
      <c r="AN2783" s="5">
        <v>0</v>
      </c>
      <c r="AO2783" s="5" t="s">
        <v>16</v>
      </c>
      <c r="AP2783" s="5" t="s">
        <v>16</v>
      </c>
      <c r="AQ2783" s="5" t="s">
        <v>16</v>
      </c>
      <c r="AR2783" s="5" t="s">
        <v>16</v>
      </c>
      <c r="AS2783" s="5" t="s">
        <v>16</v>
      </c>
      <c r="AT2783" s="5" t="s">
        <v>16653</v>
      </c>
      <c r="AU2783" s="5" t="s">
        <v>16654</v>
      </c>
      <c r="AV2783" s="5" t="s">
        <v>16656</v>
      </c>
    </row>
    <row r="2784" spans="1:48" ht="45" customHeight="1" x14ac:dyDescent="0.15">
      <c r="A2784" s="5" t="s">
        <v>16657</v>
      </c>
      <c r="B2784" s="5">
        <v>2020</v>
      </c>
      <c r="C2784" s="5" t="s">
        <v>16658</v>
      </c>
      <c r="D2784" s="5" t="s">
        <v>62</v>
      </c>
      <c r="E2784" s="5" t="s">
        <v>18453</v>
      </c>
      <c r="F2784" s="5" t="s">
        <v>16661</v>
      </c>
      <c r="G2784" s="5"/>
      <c r="H2784" s="5"/>
      <c r="I2784" s="5"/>
      <c r="J2784" s="5"/>
      <c r="K2784" s="5"/>
      <c r="L2784" s="5"/>
      <c r="M2784" s="5"/>
      <c r="N2784" s="5"/>
      <c r="O2784" s="5"/>
      <c r="P2784" s="5"/>
      <c r="Q2784" s="5"/>
      <c r="AL2784" s="7" t="str">
        <f>HYPERLINK("http://dx.doi.org/10.1007/s10021-019-00406-5","http://dx.doi.org/10.1007/s10021-019-00406-5")</f>
        <v>http://dx.doi.org/10.1007/s10021-019-00406-5</v>
      </c>
      <c r="AM2784" s="5">
        <v>5</v>
      </c>
      <c r="AN2784" s="5">
        <v>5</v>
      </c>
      <c r="AO2784" s="5">
        <v>23</v>
      </c>
      <c r="AP2784" s="5">
        <v>2</v>
      </c>
      <c r="AQ2784" s="5">
        <v>338</v>
      </c>
      <c r="AR2784" s="5">
        <v>358</v>
      </c>
      <c r="AS2784" s="5" t="s">
        <v>16</v>
      </c>
      <c r="AT2784" s="5" t="s">
        <v>16659</v>
      </c>
      <c r="AU2784" s="5" t="s">
        <v>16660</v>
      </c>
      <c r="AV2784" s="5" t="s">
        <v>16662</v>
      </c>
    </row>
    <row r="2785" spans="1:48" ht="45" customHeight="1" x14ac:dyDescent="0.15">
      <c r="A2785" s="5" t="s">
        <v>16663</v>
      </c>
      <c r="B2785" s="5">
        <v>2022</v>
      </c>
      <c r="C2785" s="5" t="s">
        <v>16664</v>
      </c>
      <c r="D2785" s="5" t="s">
        <v>159</v>
      </c>
      <c r="E2785" s="5" t="s">
        <v>18453</v>
      </c>
      <c r="F2785" s="5" t="s">
        <v>16667</v>
      </c>
      <c r="G2785" s="5"/>
      <c r="H2785" s="5"/>
      <c r="I2785" s="5"/>
      <c r="J2785" s="5"/>
      <c r="K2785" s="5"/>
      <c r="L2785" s="5"/>
      <c r="M2785" s="5"/>
      <c r="N2785" s="5"/>
      <c r="O2785" s="5"/>
      <c r="P2785" s="5"/>
      <c r="Q2785" s="5"/>
      <c r="AL2785" s="7" t="str">
        <f>HYPERLINK("http://dx.doi.org/10.3390/d14110989","http://dx.doi.org/10.3390/d14110989")</f>
        <v>http://dx.doi.org/10.3390/d14110989</v>
      </c>
      <c r="AM2785" s="5">
        <v>0</v>
      </c>
      <c r="AN2785" s="5">
        <v>0</v>
      </c>
      <c r="AO2785" s="5">
        <v>14</v>
      </c>
      <c r="AP2785" s="5">
        <v>11</v>
      </c>
      <c r="AQ2785" s="5" t="s">
        <v>16</v>
      </c>
      <c r="AR2785" s="5" t="s">
        <v>16</v>
      </c>
      <c r="AS2785" s="5">
        <v>989</v>
      </c>
      <c r="AT2785" s="5" t="s">
        <v>16665</v>
      </c>
      <c r="AU2785" s="5" t="s">
        <v>16666</v>
      </c>
      <c r="AV2785" s="5" t="s">
        <v>16668</v>
      </c>
    </row>
    <row r="2786" spans="1:48" ht="45" customHeight="1" x14ac:dyDescent="0.15">
      <c r="A2786" s="5" t="s">
        <v>303</v>
      </c>
      <c r="B2786" s="5">
        <v>2016</v>
      </c>
      <c r="C2786" s="5" t="s">
        <v>16669</v>
      </c>
      <c r="D2786" s="5" t="s">
        <v>27</v>
      </c>
      <c r="E2786" s="5" t="s">
        <v>18453</v>
      </c>
      <c r="F2786" s="5" t="s">
        <v>16672</v>
      </c>
      <c r="G2786" s="5"/>
      <c r="H2786" s="5"/>
      <c r="I2786" s="5"/>
      <c r="J2786" s="5"/>
      <c r="K2786" s="5"/>
      <c r="L2786" s="5"/>
      <c r="M2786" s="5"/>
      <c r="N2786" s="5"/>
      <c r="O2786" s="5"/>
      <c r="P2786" s="5"/>
      <c r="Q2786" s="5"/>
      <c r="AL2786" s="7" t="str">
        <f>HYPERLINK("http://dx.doi.org/10.1890/15-1095.1","http://dx.doi.org/10.1890/15-1095.1")</f>
        <v>http://dx.doi.org/10.1890/15-1095.1</v>
      </c>
      <c r="AM2786" s="5">
        <v>39</v>
      </c>
      <c r="AN2786" s="5">
        <v>40</v>
      </c>
      <c r="AO2786" s="5">
        <v>97</v>
      </c>
      <c r="AP2786" s="5">
        <v>3</v>
      </c>
      <c r="AQ2786" s="5">
        <v>694</v>
      </c>
      <c r="AR2786" s="5">
        <v>705</v>
      </c>
      <c r="AS2786" s="5" t="s">
        <v>16</v>
      </c>
      <c r="AT2786" s="5" t="s">
        <v>16670</v>
      </c>
      <c r="AU2786" s="5" t="s">
        <v>16671</v>
      </c>
      <c r="AV2786" s="5" t="s">
        <v>16673</v>
      </c>
    </row>
    <row r="2787" spans="1:48" ht="45" customHeight="1" x14ac:dyDescent="0.15">
      <c r="A2787" s="5" t="s">
        <v>16674</v>
      </c>
      <c r="B2787" s="5">
        <v>2017</v>
      </c>
      <c r="C2787" s="5" t="s">
        <v>16675</v>
      </c>
      <c r="D2787" s="5" t="s">
        <v>6328</v>
      </c>
      <c r="E2787" s="5" t="s">
        <v>18453</v>
      </c>
      <c r="F2787" s="5" t="s">
        <v>16678</v>
      </c>
      <c r="G2787" s="5"/>
      <c r="H2787" s="5"/>
      <c r="I2787" s="5"/>
      <c r="J2787" s="5"/>
      <c r="K2787" s="5"/>
      <c r="L2787" s="5"/>
      <c r="M2787" s="5"/>
      <c r="N2787" s="5"/>
      <c r="O2787" s="5"/>
      <c r="P2787" s="5"/>
      <c r="Q2787" s="5"/>
      <c r="AL2787" s="7" t="str">
        <f>HYPERLINK("http://dx.doi.org/10.15666/aeer/1503_091103","http://dx.doi.org/10.15666/aeer/1503_091103")</f>
        <v>http://dx.doi.org/10.15666/aeer/1503_091103</v>
      </c>
      <c r="AM2787" s="5">
        <v>4</v>
      </c>
      <c r="AN2787" s="5">
        <v>4</v>
      </c>
      <c r="AO2787" s="5">
        <v>15</v>
      </c>
      <c r="AP2787" s="5">
        <v>3</v>
      </c>
      <c r="AQ2787" s="5">
        <v>91</v>
      </c>
      <c r="AR2787" s="5">
        <v>103</v>
      </c>
      <c r="AS2787" s="5" t="s">
        <v>16</v>
      </c>
      <c r="AT2787" s="5" t="s">
        <v>16676</v>
      </c>
      <c r="AU2787" s="5" t="s">
        <v>16677</v>
      </c>
      <c r="AV2787" s="5" t="s">
        <v>16679</v>
      </c>
    </row>
    <row r="2788" spans="1:48" ht="45" customHeight="1" x14ac:dyDescent="0.15">
      <c r="A2788" s="5" t="s">
        <v>16680</v>
      </c>
      <c r="B2788" s="5">
        <v>2021</v>
      </c>
      <c r="C2788" s="5" t="s">
        <v>16681</v>
      </c>
      <c r="D2788" s="5" t="s">
        <v>212</v>
      </c>
      <c r="E2788" s="5" t="s">
        <v>18453</v>
      </c>
      <c r="F2788" s="5" t="s">
        <v>16684</v>
      </c>
      <c r="G2788" s="5"/>
      <c r="H2788" s="5"/>
      <c r="I2788" s="5"/>
      <c r="J2788" s="5"/>
      <c r="K2788" s="5"/>
      <c r="L2788" s="5"/>
      <c r="M2788" s="5"/>
      <c r="N2788" s="5"/>
      <c r="O2788" s="5"/>
      <c r="P2788" s="5"/>
      <c r="Q2788" s="5"/>
      <c r="AL2788" s="7" t="str">
        <f>HYPERLINK("http://dx.doi.org/10.1007/s00300-021-02827-2","http://dx.doi.org/10.1007/s00300-021-02827-2")</f>
        <v>http://dx.doi.org/10.1007/s00300-021-02827-2</v>
      </c>
      <c r="AM2788" s="5">
        <v>2</v>
      </c>
      <c r="AN2788" s="5">
        <v>2</v>
      </c>
      <c r="AO2788" s="5">
        <v>44</v>
      </c>
      <c r="AP2788" s="5">
        <v>3</v>
      </c>
      <c r="AQ2788" s="5">
        <v>613</v>
      </c>
      <c r="AR2788" s="5">
        <v>619</v>
      </c>
      <c r="AS2788" s="5" t="s">
        <v>16</v>
      </c>
      <c r="AT2788" s="5" t="s">
        <v>16682</v>
      </c>
      <c r="AU2788" s="5" t="s">
        <v>16683</v>
      </c>
      <c r="AV2788" s="5" t="s">
        <v>16685</v>
      </c>
    </row>
    <row r="2789" spans="1:48" ht="45" customHeight="1" x14ac:dyDescent="0.15">
      <c r="A2789" s="5" t="s">
        <v>16686</v>
      </c>
      <c r="B2789" s="5">
        <v>2019</v>
      </c>
      <c r="C2789" s="5" t="s">
        <v>16687</v>
      </c>
      <c r="D2789" s="5" t="s">
        <v>973</v>
      </c>
      <c r="E2789" s="5" t="s">
        <v>18453</v>
      </c>
      <c r="F2789" s="5" t="s">
        <v>16689</v>
      </c>
      <c r="G2789" s="5"/>
      <c r="H2789" s="5"/>
      <c r="I2789" s="5"/>
      <c r="J2789" s="5"/>
      <c r="K2789" s="5"/>
      <c r="L2789" s="5"/>
      <c r="M2789" s="5"/>
      <c r="N2789" s="5"/>
      <c r="O2789" s="5"/>
      <c r="P2789" s="5"/>
      <c r="Q2789" s="5"/>
      <c r="AL2789" s="7" t="str">
        <f>HYPERLINK("http://dx.doi.org/10.5194/bg-16-617-2019","http://dx.doi.org/10.5194/bg-16-617-2019")</f>
        <v>http://dx.doi.org/10.5194/bg-16-617-2019</v>
      </c>
      <c r="AM2789" s="5">
        <v>15</v>
      </c>
      <c r="AN2789" s="5">
        <v>15</v>
      </c>
      <c r="AO2789" s="5">
        <v>16</v>
      </c>
      <c r="AP2789" s="5">
        <v>2</v>
      </c>
      <c r="AQ2789" s="5">
        <v>617</v>
      </c>
      <c r="AR2789" s="5">
        <v>642</v>
      </c>
      <c r="AS2789" s="5" t="s">
        <v>16</v>
      </c>
      <c r="AT2789" s="5" t="s">
        <v>16</v>
      </c>
      <c r="AU2789" s="5" t="s">
        <v>16688</v>
      </c>
      <c r="AV2789" s="5" t="s">
        <v>16690</v>
      </c>
    </row>
    <row r="2790" spans="1:48" ht="45" customHeight="1" x14ac:dyDescent="0.15">
      <c r="A2790" s="5" t="s">
        <v>16691</v>
      </c>
      <c r="B2790" s="5">
        <v>2005</v>
      </c>
      <c r="C2790" s="5" t="s">
        <v>16692</v>
      </c>
      <c r="D2790" s="5" t="s">
        <v>1765</v>
      </c>
      <c r="E2790" s="5" t="s">
        <v>18453</v>
      </c>
      <c r="F2790" s="5" t="s">
        <v>16695</v>
      </c>
      <c r="G2790" s="5"/>
      <c r="H2790" s="5"/>
      <c r="I2790" s="5"/>
      <c r="J2790" s="5"/>
      <c r="K2790" s="5"/>
      <c r="L2790" s="5"/>
      <c r="M2790" s="5"/>
      <c r="N2790" s="5"/>
      <c r="O2790" s="5"/>
      <c r="P2790" s="5"/>
      <c r="Q2790" s="5"/>
      <c r="AL2790" s="7" t="str">
        <f>HYPERLINK("http://dx.doi.org/10.1016/j.agee.2005.01.015","http://dx.doi.org/10.1016/j.agee.2005.01.015")</f>
        <v>http://dx.doi.org/10.1016/j.agee.2005.01.015</v>
      </c>
      <c r="AM2790" s="5">
        <v>82</v>
      </c>
      <c r="AN2790" s="5">
        <v>89</v>
      </c>
      <c r="AO2790" s="5">
        <v>109</v>
      </c>
      <c r="AP2790" s="5" t="s">
        <v>778</v>
      </c>
      <c r="AQ2790" s="5">
        <v>153</v>
      </c>
      <c r="AR2790" s="5">
        <v>165</v>
      </c>
      <c r="AS2790" s="5" t="s">
        <v>16</v>
      </c>
      <c r="AT2790" s="5" t="s">
        <v>16693</v>
      </c>
      <c r="AU2790" s="5" t="s">
        <v>16694</v>
      </c>
      <c r="AV2790" s="5" t="s">
        <v>16696</v>
      </c>
    </row>
    <row r="2791" spans="1:48" ht="45" customHeight="1" x14ac:dyDescent="0.15">
      <c r="A2791" s="5" t="s">
        <v>16697</v>
      </c>
      <c r="B2791" s="5">
        <v>2016</v>
      </c>
      <c r="C2791" s="5" t="s">
        <v>16698</v>
      </c>
      <c r="D2791" s="5" t="s">
        <v>33</v>
      </c>
      <c r="E2791" s="5" t="s">
        <v>18453</v>
      </c>
      <c r="F2791" s="5" t="s">
        <v>16701</v>
      </c>
      <c r="G2791" s="5"/>
      <c r="H2791" s="5"/>
      <c r="I2791" s="5"/>
      <c r="J2791" s="5"/>
      <c r="K2791" s="5"/>
      <c r="L2791" s="5"/>
      <c r="M2791" s="5"/>
      <c r="N2791" s="5"/>
      <c r="O2791" s="5"/>
      <c r="P2791" s="5"/>
      <c r="Q2791" s="5"/>
      <c r="AL2791" s="7" t="str">
        <f>HYPERLINK("http://dx.doi.org/10.1111/gcb.13102","http://dx.doi.org/10.1111/gcb.13102")</f>
        <v>http://dx.doi.org/10.1111/gcb.13102</v>
      </c>
      <c r="AM2791" s="5">
        <v>91</v>
      </c>
      <c r="AN2791" s="5">
        <v>92</v>
      </c>
      <c r="AO2791" s="5">
        <v>22</v>
      </c>
      <c r="AP2791" s="5">
        <v>2</v>
      </c>
      <c r="AQ2791" s="5">
        <v>889</v>
      </c>
      <c r="AR2791" s="5">
        <v>902</v>
      </c>
      <c r="AS2791" s="5" t="s">
        <v>16</v>
      </c>
      <c r="AT2791" s="5" t="s">
        <v>16699</v>
      </c>
      <c r="AU2791" s="5" t="s">
        <v>16700</v>
      </c>
      <c r="AV2791" s="5" t="s">
        <v>16702</v>
      </c>
    </row>
    <row r="2792" spans="1:48" ht="45" customHeight="1" x14ac:dyDescent="0.15">
      <c r="A2792" s="5" t="s">
        <v>16703</v>
      </c>
      <c r="B2792" s="5">
        <v>2018</v>
      </c>
      <c r="C2792" s="5" t="s">
        <v>16704</v>
      </c>
      <c r="D2792" s="5" t="s">
        <v>2755</v>
      </c>
      <c r="E2792" s="5" t="s">
        <v>18453</v>
      </c>
      <c r="F2792" s="5" t="s">
        <v>16706</v>
      </c>
      <c r="G2792" s="5"/>
      <c r="H2792" s="5"/>
      <c r="I2792" s="5"/>
      <c r="J2792" s="5"/>
      <c r="K2792" s="5"/>
      <c r="L2792" s="5"/>
      <c r="M2792" s="5"/>
      <c r="N2792" s="5"/>
      <c r="O2792" s="5"/>
      <c r="P2792" s="5"/>
      <c r="Q2792" s="5"/>
      <c r="AL2792" s="7" t="str">
        <f>HYPERLINK("http://dx.doi.org/10.1038/s41437-017-0020-7","http://dx.doi.org/10.1038/s41437-017-0020-7")</f>
        <v>http://dx.doi.org/10.1038/s41437-017-0020-7</v>
      </c>
      <c r="AM2792" s="5">
        <v>5</v>
      </c>
      <c r="AN2792" s="5">
        <v>6</v>
      </c>
      <c r="AO2792" s="5">
        <v>120</v>
      </c>
      <c r="AP2792" s="5">
        <v>4</v>
      </c>
      <c r="AQ2792" s="5">
        <v>296</v>
      </c>
      <c r="AR2792" s="5">
        <v>309</v>
      </c>
      <c r="AS2792" s="5" t="s">
        <v>16</v>
      </c>
      <c r="AT2792" s="5" t="s">
        <v>16</v>
      </c>
      <c r="AU2792" s="5" t="s">
        <v>16705</v>
      </c>
      <c r="AV2792" s="5" t="s">
        <v>16707</v>
      </c>
    </row>
    <row r="2793" spans="1:48" ht="45" customHeight="1" x14ac:dyDescent="0.15">
      <c r="A2793" s="5" t="s">
        <v>16708</v>
      </c>
      <c r="B2793" s="5">
        <v>2004</v>
      </c>
      <c r="C2793" s="5" t="s">
        <v>16709</v>
      </c>
      <c r="D2793" s="5" t="s">
        <v>116</v>
      </c>
      <c r="E2793" s="5" t="s">
        <v>18453</v>
      </c>
      <c r="F2793" s="5" t="s">
        <v>16712</v>
      </c>
      <c r="G2793" s="5"/>
      <c r="H2793" s="5"/>
      <c r="I2793" s="5"/>
      <c r="J2793" s="5"/>
      <c r="K2793" s="5"/>
      <c r="L2793" s="5"/>
      <c r="M2793" s="5"/>
      <c r="N2793" s="5"/>
      <c r="O2793" s="5"/>
      <c r="P2793" s="5"/>
      <c r="Q2793" s="5"/>
      <c r="AL2793" s="7" t="str">
        <f>HYPERLINK("http://dx.doi.org/10.1023/B:EBFI.0000022896.77922.22","http://dx.doi.org/10.1023/B:EBFI.0000022896.77922.22")</f>
        <v>http://dx.doi.org/10.1023/B:EBFI.0000022896.77922.22</v>
      </c>
      <c r="AM2793" s="5">
        <v>12</v>
      </c>
      <c r="AN2793" s="5">
        <v>15</v>
      </c>
      <c r="AO2793" s="5">
        <v>69</v>
      </c>
      <c r="AP2793" s="5" t="s">
        <v>11032</v>
      </c>
      <c r="AQ2793" s="5">
        <v>153</v>
      </c>
      <c r="AR2793" s="5">
        <v>166</v>
      </c>
      <c r="AS2793" s="5" t="s">
        <v>16</v>
      </c>
      <c r="AT2793" s="5" t="s">
        <v>16710</v>
      </c>
      <c r="AU2793" s="5" t="s">
        <v>16711</v>
      </c>
      <c r="AV2793" s="5" t="s">
        <v>16713</v>
      </c>
    </row>
    <row r="2794" spans="1:48" ht="45" customHeight="1" x14ac:dyDescent="0.15">
      <c r="A2794" s="5" t="s">
        <v>16714</v>
      </c>
      <c r="B2794" s="5">
        <v>1996</v>
      </c>
      <c r="C2794" s="5" t="s">
        <v>16715</v>
      </c>
      <c r="D2794" s="5" t="s">
        <v>11761</v>
      </c>
      <c r="E2794" s="5" t="s">
        <v>18453</v>
      </c>
      <c r="F2794" s="5" t="s">
        <v>16717</v>
      </c>
      <c r="G2794" s="5"/>
      <c r="H2794" s="5"/>
      <c r="I2794" s="5"/>
      <c r="J2794" s="5"/>
      <c r="K2794" s="5"/>
      <c r="L2794" s="5"/>
      <c r="M2794" s="5"/>
      <c r="N2794" s="5"/>
      <c r="O2794" s="5"/>
      <c r="P2794" s="5"/>
      <c r="Q2794" s="5"/>
      <c r="AL2794" s="5" t="s">
        <v>16</v>
      </c>
      <c r="AM2794" s="5">
        <v>49</v>
      </c>
      <c r="AN2794" s="5">
        <v>51</v>
      </c>
      <c r="AO2794" s="5">
        <v>33</v>
      </c>
      <c r="AP2794" s="5" t="s">
        <v>639</v>
      </c>
      <c r="AQ2794" s="5">
        <v>353</v>
      </c>
      <c r="AR2794" s="5">
        <v>361</v>
      </c>
      <c r="AS2794" s="5" t="s">
        <v>16</v>
      </c>
      <c r="AT2794" s="5" t="s">
        <v>16</v>
      </c>
      <c r="AU2794" s="5" t="s">
        <v>16716</v>
      </c>
      <c r="AV2794" s="5" t="s">
        <v>16</v>
      </c>
    </row>
    <row r="2795" spans="1:48" ht="45" customHeight="1" x14ac:dyDescent="0.15">
      <c r="A2795" s="5" t="s">
        <v>16718</v>
      </c>
      <c r="B2795" s="5">
        <v>2017</v>
      </c>
      <c r="C2795" s="5" t="s">
        <v>16719</v>
      </c>
      <c r="D2795" s="5" t="s">
        <v>6328</v>
      </c>
      <c r="E2795" s="5" t="s">
        <v>18453</v>
      </c>
      <c r="F2795" s="5" t="s">
        <v>16721</v>
      </c>
      <c r="G2795" s="5"/>
      <c r="H2795" s="5"/>
      <c r="I2795" s="5"/>
      <c r="J2795" s="5"/>
      <c r="K2795" s="5"/>
      <c r="L2795" s="5"/>
      <c r="M2795" s="5"/>
      <c r="N2795" s="5"/>
      <c r="O2795" s="5"/>
      <c r="P2795" s="5"/>
      <c r="Q2795" s="5"/>
      <c r="AL2795" s="7" t="str">
        <f>HYPERLINK("http://dx.doi.org/10.15666/aeer/1503_985998","http://dx.doi.org/10.15666/aeer/1503_985998")</f>
        <v>http://dx.doi.org/10.15666/aeer/1503_985998</v>
      </c>
      <c r="AM2795" s="5">
        <v>1</v>
      </c>
      <c r="AN2795" s="5">
        <v>1</v>
      </c>
      <c r="AO2795" s="5">
        <v>15</v>
      </c>
      <c r="AP2795" s="5">
        <v>3</v>
      </c>
      <c r="AQ2795" s="5">
        <v>985</v>
      </c>
      <c r="AR2795" s="5">
        <v>998</v>
      </c>
      <c r="AS2795" s="5" t="s">
        <v>16</v>
      </c>
      <c r="AT2795" s="5" t="s">
        <v>16720</v>
      </c>
      <c r="AU2795" s="5" t="s">
        <v>16</v>
      </c>
      <c r="AV2795" s="5" t="s">
        <v>16722</v>
      </c>
    </row>
    <row r="2796" spans="1:48" ht="45" customHeight="1" x14ac:dyDescent="0.15">
      <c r="A2796" s="5" t="s">
        <v>16723</v>
      </c>
      <c r="B2796" s="5">
        <v>2021</v>
      </c>
      <c r="C2796" s="5" t="s">
        <v>16724</v>
      </c>
      <c r="D2796" s="5" t="s">
        <v>17</v>
      </c>
      <c r="E2796" s="5" t="s">
        <v>18453</v>
      </c>
      <c r="F2796" s="5" t="s">
        <v>16727</v>
      </c>
      <c r="G2796" s="5"/>
      <c r="H2796" s="5"/>
      <c r="I2796" s="5"/>
      <c r="J2796" s="5"/>
      <c r="K2796" s="5"/>
      <c r="L2796" s="5"/>
      <c r="M2796" s="5"/>
      <c r="N2796" s="5"/>
      <c r="O2796" s="5"/>
      <c r="P2796" s="5"/>
      <c r="Q2796" s="5"/>
      <c r="AL2796" s="7" t="str">
        <f>HYPERLINK("http://dx.doi.org/10.1111/fwb.13621","http://dx.doi.org/10.1111/fwb.13621")</f>
        <v>http://dx.doi.org/10.1111/fwb.13621</v>
      </c>
      <c r="AM2796" s="5">
        <v>6</v>
      </c>
      <c r="AN2796" s="5">
        <v>6</v>
      </c>
      <c r="AO2796" s="5">
        <v>66</v>
      </c>
      <c r="AP2796" s="5">
        <v>1</v>
      </c>
      <c r="AQ2796" s="5">
        <v>114</v>
      </c>
      <c r="AR2796" s="5">
        <v>129</v>
      </c>
      <c r="AS2796" s="5" t="s">
        <v>16</v>
      </c>
      <c r="AT2796" s="5" t="s">
        <v>16725</v>
      </c>
      <c r="AU2796" s="5" t="s">
        <v>16726</v>
      </c>
      <c r="AV2796" s="5" t="s">
        <v>16728</v>
      </c>
    </row>
    <row r="2797" spans="1:48" ht="45" customHeight="1" x14ac:dyDescent="0.15">
      <c r="A2797" s="5" t="s">
        <v>16729</v>
      </c>
      <c r="B2797" s="5">
        <v>2009</v>
      </c>
      <c r="C2797" s="5" t="s">
        <v>16730</v>
      </c>
      <c r="D2797" s="5" t="s">
        <v>83</v>
      </c>
      <c r="E2797" s="5" t="s">
        <v>18453</v>
      </c>
      <c r="F2797" s="5" t="s">
        <v>16732</v>
      </c>
      <c r="G2797" s="5"/>
      <c r="H2797" s="5"/>
      <c r="I2797" s="5"/>
      <c r="J2797" s="5"/>
      <c r="K2797" s="5"/>
      <c r="L2797" s="5"/>
      <c r="M2797" s="5"/>
      <c r="N2797" s="5"/>
      <c r="O2797" s="5"/>
      <c r="P2797" s="5"/>
      <c r="Q2797" s="5"/>
      <c r="AL2797" s="7" t="str">
        <f>HYPERLINK("http://dx.doi.org/10.1007/s10646-009-0336-z","http://dx.doi.org/10.1007/s10646-009-0336-z")</f>
        <v>http://dx.doi.org/10.1007/s10646-009-0336-z</v>
      </c>
      <c r="AM2797" s="5">
        <v>1</v>
      </c>
      <c r="AN2797" s="5">
        <v>3</v>
      </c>
      <c r="AO2797" s="5">
        <v>18</v>
      </c>
      <c r="AP2797" s="5">
        <v>6</v>
      </c>
      <c r="AQ2797" s="5">
        <v>768</v>
      </c>
      <c r="AR2797" s="5">
        <v>771</v>
      </c>
      <c r="AS2797" s="5" t="s">
        <v>16</v>
      </c>
      <c r="AT2797" s="5" t="s">
        <v>16731</v>
      </c>
      <c r="AU2797" s="5" t="s">
        <v>16</v>
      </c>
      <c r="AV2797" s="5" t="s">
        <v>16733</v>
      </c>
    </row>
    <row r="2798" spans="1:48" ht="45" customHeight="1" x14ac:dyDescent="0.15">
      <c r="A2798" s="5" t="s">
        <v>16734</v>
      </c>
      <c r="B2798" s="5">
        <v>2018</v>
      </c>
      <c r="C2798" s="5" t="s">
        <v>16735</v>
      </c>
      <c r="D2798" s="5" t="s">
        <v>296</v>
      </c>
      <c r="E2798" s="5" t="s">
        <v>18453</v>
      </c>
      <c r="F2798" s="5" t="s">
        <v>16738</v>
      </c>
      <c r="G2798" s="5"/>
      <c r="H2798" s="5"/>
      <c r="I2798" s="5"/>
      <c r="J2798" s="5"/>
      <c r="K2798" s="5"/>
      <c r="L2798" s="5"/>
      <c r="M2798" s="5"/>
      <c r="N2798" s="5"/>
      <c r="O2798" s="5"/>
      <c r="P2798" s="5"/>
      <c r="Q2798" s="5"/>
      <c r="AL2798" s="7" t="str">
        <f>HYPERLINK("http://dx.doi.org/10.1098/rspb.2018.1230","http://dx.doi.org/10.1098/rspb.2018.1230")</f>
        <v>http://dx.doi.org/10.1098/rspb.2018.1230</v>
      </c>
      <c r="AM2798" s="5">
        <v>2</v>
      </c>
      <c r="AN2798" s="5">
        <v>2</v>
      </c>
      <c r="AO2798" s="5">
        <v>285</v>
      </c>
      <c r="AP2798" s="5">
        <v>1884</v>
      </c>
      <c r="AQ2798" s="5" t="s">
        <v>16</v>
      </c>
      <c r="AR2798" s="5" t="s">
        <v>16</v>
      </c>
      <c r="AS2798" s="5">
        <v>20181230</v>
      </c>
      <c r="AT2798" s="5" t="s">
        <v>16736</v>
      </c>
      <c r="AU2798" s="5" t="s">
        <v>16737</v>
      </c>
      <c r="AV2798" s="5" t="s">
        <v>16739</v>
      </c>
    </row>
    <row r="2799" spans="1:48" ht="45" customHeight="1" x14ac:dyDescent="0.15">
      <c r="A2799" s="5" t="s">
        <v>16740</v>
      </c>
      <c r="B2799" s="5">
        <v>2020</v>
      </c>
      <c r="C2799" s="5" t="s">
        <v>16741</v>
      </c>
      <c r="D2799" s="5" t="s">
        <v>973</v>
      </c>
      <c r="E2799" s="5" t="s">
        <v>18453</v>
      </c>
      <c r="F2799" s="5" t="s">
        <v>16743</v>
      </c>
      <c r="G2799" s="5"/>
      <c r="H2799" s="5"/>
      <c r="I2799" s="5"/>
      <c r="J2799" s="5"/>
      <c r="K2799" s="5"/>
      <c r="L2799" s="5"/>
      <c r="M2799" s="5"/>
      <c r="N2799" s="5"/>
      <c r="O2799" s="5"/>
      <c r="P2799" s="5"/>
      <c r="Q2799" s="5"/>
      <c r="AL2799" s="7" t="str">
        <f>HYPERLINK("http://dx.doi.org/10.5194/bg-17-741-2020","http://dx.doi.org/10.5194/bg-17-741-2020")</f>
        <v>http://dx.doi.org/10.5194/bg-17-741-2020</v>
      </c>
      <c r="AM2799" s="5">
        <v>11</v>
      </c>
      <c r="AN2799" s="5">
        <v>11</v>
      </c>
      <c r="AO2799" s="5">
        <v>17</v>
      </c>
      <c r="AP2799" s="5">
        <v>3</v>
      </c>
      <c r="AQ2799" s="5">
        <v>741</v>
      </c>
      <c r="AR2799" s="5">
        <v>756</v>
      </c>
      <c r="AS2799" s="5" t="s">
        <v>16</v>
      </c>
      <c r="AT2799" s="5" t="s">
        <v>16</v>
      </c>
      <c r="AU2799" s="5" t="s">
        <v>16742</v>
      </c>
      <c r="AV2799" s="5" t="s">
        <v>16744</v>
      </c>
    </row>
    <row r="2800" spans="1:48" ht="45" customHeight="1" x14ac:dyDescent="0.15">
      <c r="A2800" s="5" t="s">
        <v>16745</v>
      </c>
      <c r="B2800" s="5">
        <v>2020</v>
      </c>
      <c r="C2800" s="5" t="s">
        <v>16746</v>
      </c>
      <c r="D2800" s="5" t="s">
        <v>3939</v>
      </c>
      <c r="E2800" s="5" t="s">
        <v>18453</v>
      </c>
      <c r="F2800" s="5" t="s">
        <v>16749</v>
      </c>
      <c r="G2800" s="5"/>
      <c r="H2800" s="5"/>
      <c r="I2800" s="5"/>
      <c r="J2800" s="5"/>
      <c r="K2800" s="5"/>
      <c r="L2800" s="5"/>
      <c r="M2800" s="5"/>
      <c r="N2800" s="5"/>
      <c r="O2800" s="5"/>
      <c r="P2800" s="5"/>
      <c r="Q2800" s="5"/>
      <c r="AL2800" s="7" t="str">
        <f>HYPERLINK("http://dx.doi.org/10.1016/j.landurbplan.2020.103953","http://dx.doi.org/10.1016/j.landurbplan.2020.103953")</f>
        <v>http://dx.doi.org/10.1016/j.landurbplan.2020.103953</v>
      </c>
      <c r="AM2800" s="5">
        <v>11</v>
      </c>
      <c r="AN2800" s="5">
        <v>11</v>
      </c>
      <c r="AO2800" s="5">
        <v>204</v>
      </c>
      <c r="AP2800" s="5" t="s">
        <v>16</v>
      </c>
      <c r="AQ2800" s="5" t="s">
        <v>16</v>
      </c>
      <c r="AR2800" s="5" t="s">
        <v>16</v>
      </c>
      <c r="AS2800" s="5">
        <v>103953</v>
      </c>
      <c r="AT2800" s="5" t="s">
        <v>16747</v>
      </c>
      <c r="AU2800" s="5" t="s">
        <v>16748</v>
      </c>
      <c r="AV2800" s="5" t="s">
        <v>16750</v>
      </c>
    </row>
    <row r="2801" spans="1:48" ht="45" customHeight="1" x14ac:dyDescent="0.15">
      <c r="A2801" s="5" t="s">
        <v>16751</v>
      </c>
      <c r="B2801" s="5">
        <v>2020</v>
      </c>
      <c r="C2801" s="5" t="s">
        <v>16752</v>
      </c>
      <c r="D2801" s="5" t="s">
        <v>59</v>
      </c>
      <c r="E2801" s="5" t="s">
        <v>18453</v>
      </c>
      <c r="F2801" s="5" t="s">
        <v>16755</v>
      </c>
      <c r="G2801" s="5"/>
      <c r="H2801" s="5"/>
      <c r="I2801" s="5"/>
      <c r="J2801" s="5"/>
      <c r="K2801" s="5"/>
      <c r="L2801" s="5"/>
      <c r="M2801" s="5"/>
      <c r="N2801" s="5"/>
      <c r="O2801" s="5"/>
      <c r="P2801" s="5"/>
      <c r="Q2801" s="5"/>
      <c r="AL2801" s="7" t="str">
        <f>HYPERLINK("http://dx.doi.org/10.1111/ele.13496","http://dx.doi.org/10.1111/ele.13496")</f>
        <v>http://dx.doi.org/10.1111/ele.13496</v>
      </c>
      <c r="AM2801" s="5">
        <v>25</v>
      </c>
      <c r="AN2801" s="5">
        <v>25</v>
      </c>
      <c r="AO2801" s="5">
        <v>23</v>
      </c>
      <c r="AP2801" s="5">
        <v>5</v>
      </c>
      <c r="AQ2801" s="5">
        <v>881</v>
      </c>
      <c r="AR2801" s="5">
        <v>890</v>
      </c>
      <c r="AS2801" s="5" t="s">
        <v>16</v>
      </c>
      <c r="AT2801" s="5" t="s">
        <v>16753</v>
      </c>
      <c r="AU2801" s="5" t="s">
        <v>16754</v>
      </c>
      <c r="AV2801" s="5" t="s">
        <v>16756</v>
      </c>
    </row>
    <row r="2802" spans="1:48" ht="45" customHeight="1" x14ac:dyDescent="0.15">
      <c r="A2802" s="5" t="s">
        <v>16757</v>
      </c>
      <c r="B2802" s="5">
        <v>2022</v>
      </c>
      <c r="C2802" s="5" t="s">
        <v>16758</v>
      </c>
      <c r="D2802" s="5" t="s">
        <v>973</v>
      </c>
      <c r="E2802" s="5" t="s">
        <v>18453</v>
      </c>
      <c r="F2802" s="5" t="s">
        <v>16760</v>
      </c>
      <c r="G2802" s="5"/>
      <c r="H2802" s="5"/>
      <c r="I2802" s="5"/>
      <c r="J2802" s="5"/>
      <c r="K2802" s="5"/>
      <c r="L2802" s="5"/>
      <c r="M2802" s="5"/>
      <c r="N2802" s="5"/>
      <c r="O2802" s="5"/>
      <c r="P2802" s="5"/>
      <c r="Q2802" s="5"/>
      <c r="AL2802" s="7" t="str">
        <f>HYPERLINK("http://dx.doi.org/10.5194/bg-19-4107-2022","http://dx.doi.org/10.5194/bg-19-4107-2022")</f>
        <v>http://dx.doi.org/10.5194/bg-19-4107-2022</v>
      </c>
      <c r="AM2802" s="5">
        <v>0</v>
      </c>
      <c r="AN2802" s="5">
        <v>0</v>
      </c>
      <c r="AO2802" s="5">
        <v>19</v>
      </c>
      <c r="AP2802" s="5">
        <v>17</v>
      </c>
      <c r="AQ2802" s="5">
        <v>4107</v>
      </c>
      <c r="AR2802" s="5">
        <v>4127</v>
      </c>
      <c r="AS2802" s="5" t="s">
        <v>16</v>
      </c>
      <c r="AT2802" s="5" t="s">
        <v>16</v>
      </c>
      <c r="AU2802" s="5" t="s">
        <v>16759</v>
      </c>
      <c r="AV2802" s="5" t="s">
        <v>16761</v>
      </c>
    </row>
    <row r="2803" spans="1:48" ht="45" customHeight="1" x14ac:dyDescent="0.15">
      <c r="A2803" s="5" t="s">
        <v>16762</v>
      </c>
      <c r="B2803" s="5">
        <v>2020</v>
      </c>
      <c r="C2803" s="5" t="s">
        <v>16763</v>
      </c>
      <c r="D2803" s="5" t="s">
        <v>58</v>
      </c>
      <c r="E2803" s="5" t="s">
        <v>18453</v>
      </c>
      <c r="F2803" s="5" t="s">
        <v>16766</v>
      </c>
      <c r="G2803" s="5"/>
      <c r="H2803" s="5"/>
      <c r="I2803" s="5"/>
      <c r="J2803" s="5"/>
      <c r="K2803" s="5"/>
      <c r="L2803" s="5"/>
      <c r="M2803" s="5"/>
      <c r="N2803" s="5"/>
      <c r="O2803" s="5"/>
      <c r="P2803" s="5"/>
      <c r="Q2803" s="5"/>
      <c r="AL2803" s="7" t="str">
        <f>HYPERLINK("http://dx.doi.org/10.1016/j.rama.2020.01.005","http://dx.doi.org/10.1016/j.rama.2020.01.005")</f>
        <v>http://dx.doi.org/10.1016/j.rama.2020.01.005</v>
      </c>
      <c r="AM2803" s="5">
        <v>0</v>
      </c>
      <c r="AN2803" s="5">
        <v>0</v>
      </c>
      <c r="AO2803" s="5">
        <v>73</v>
      </c>
      <c r="AP2803" s="5">
        <v>3</v>
      </c>
      <c r="AQ2803" s="5">
        <v>403</v>
      </c>
      <c r="AR2803" s="5">
        <v>410</v>
      </c>
      <c r="AS2803" s="5" t="s">
        <v>16</v>
      </c>
      <c r="AT2803" s="5" t="s">
        <v>16764</v>
      </c>
      <c r="AU2803" s="5" t="s">
        <v>16765</v>
      </c>
      <c r="AV2803" s="5" t="s">
        <v>16767</v>
      </c>
    </row>
    <row r="2804" spans="1:48" ht="45" customHeight="1" x14ac:dyDescent="0.15">
      <c r="A2804" s="5" t="s">
        <v>16768</v>
      </c>
      <c r="B2804" s="5">
        <v>2019</v>
      </c>
      <c r="C2804" s="5" t="s">
        <v>16769</v>
      </c>
      <c r="D2804" s="5" t="s">
        <v>82</v>
      </c>
      <c r="E2804" s="5" t="s">
        <v>18453</v>
      </c>
      <c r="F2804" s="5" t="s">
        <v>16772</v>
      </c>
      <c r="G2804" s="5"/>
      <c r="H2804" s="5"/>
      <c r="I2804" s="5"/>
      <c r="J2804" s="5"/>
      <c r="K2804" s="5"/>
      <c r="L2804" s="5"/>
      <c r="M2804" s="5"/>
      <c r="N2804" s="5"/>
      <c r="O2804" s="5"/>
      <c r="P2804" s="5"/>
      <c r="Q2804" s="5"/>
      <c r="AL2804" s="7" t="str">
        <f>HYPERLINK("http://dx.doi.org/10.1002/eap.1813","http://dx.doi.org/10.1002/eap.1813")</f>
        <v>http://dx.doi.org/10.1002/eap.1813</v>
      </c>
      <c r="AM2804" s="5">
        <v>6</v>
      </c>
      <c r="AN2804" s="5">
        <v>6</v>
      </c>
      <c r="AO2804" s="5">
        <v>29</v>
      </c>
      <c r="AP2804" s="5">
        <v>1</v>
      </c>
      <c r="AQ2804" s="5" t="s">
        <v>16</v>
      </c>
      <c r="AR2804" s="5" t="s">
        <v>16</v>
      </c>
      <c r="AS2804" s="5" t="s">
        <v>16773</v>
      </c>
      <c r="AT2804" s="5" t="s">
        <v>16770</v>
      </c>
      <c r="AU2804" s="5" t="s">
        <v>16771</v>
      </c>
      <c r="AV2804" s="5" t="s">
        <v>16774</v>
      </c>
    </row>
    <row r="2805" spans="1:48" ht="45" customHeight="1" x14ac:dyDescent="0.15">
      <c r="A2805" s="5" t="s">
        <v>16775</v>
      </c>
      <c r="B2805" s="5">
        <v>2016</v>
      </c>
      <c r="C2805" s="5" t="s">
        <v>16776</v>
      </c>
      <c r="D2805" s="5" t="s">
        <v>5517</v>
      </c>
      <c r="E2805" s="5" t="s">
        <v>18453</v>
      </c>
      <c r="F2805" s="5" t="s">
        <v>16778</v>
      </c>
      <c r="G2805" s="5"/>
      <c r="H2805" s="5"/>
      <c r="I2805" s="5"/>
      <c r="J2805" s="5"/>
      <c r="K2805" s="5"/>
      <c r="L2805" s="5"/>
      <c r="M2805" s="5"/>
      <c r="N2805" s="5"/>
      <c r="O2805" s="5"/>
      <c r="P2805" s="5"/>
      <c r="Q2805" s="5"/>
      <c r="AL2805" s="7" t="str">
        <f>HYPERLINK("http://dx.doi.org/10.1038/ismej.2015.236","http://dx.doi.org/10.1038/ismej.2015.236")</f>
        <v>http://dx.doi.org/10.1038/ismej.2015.236</v>
      </c>
      <c r="AM2805" s="5">
        <v>116</v>
      </c>
      <c r="AN2805" s="5">
        <v>121</v>
      </c>
      <c r="AO2805" s="5">
        <v>10</v>
      </c>
      <c r="AP2805" s="5">
        <v>7</v>
      </c>
      <c r="AQ2805" s="5">
        <v>1656</v>
      </c>
      <c r="AR2805" s="5">
        <v>1668</v>
      </c>
      <c r="AS2805" s="5" t="s">
        <v>16</v>
      </c>
      <c r="AT2805" s="5" t="s">
        <v>16</v>
      </c>
      <c r="AU2805" s="5" t="s">
        <v>16777</v>
      </c>
      <c r="AV2805" s="5" t="s">
        <v>16779</v>
      </c>
    </row>
    <row r="2806" spans="1:48" ht="45" customHeight="1" x14ac:dyDescent="0.15">
      <c r="A2806" s="5" t="s">
        <v>16780</v>
      </c>
      <c r="B2806" s="5">
        <v>2013</v>
      </c>
      <c r="C2806" s="5" t="s">
        <v>16781</v>
      </c>
      <c r="D2806" s="5" t="s">
        <v>16782</v>
      </c>
      <c r="E2806" s="5" t="s">
        <v>18453</v>
      </c>
      <c r="F2806" s="5" t="s">
        <v>16785</v>
      </c>
      <c r="G2806" s="5"/>
      <c r="H2806" s="5"/>
      <c r="I2806" s="5"/>
      <c r="J2806" s="5"/>
      <c r="K2806" s="5"/>
      <c r="L2806" s="5"/>
      <c r="M2806" s="5"/>
      <c r="N2806" s="5"/>
      <c r="O2806" s="5"/>
      <c r="P2806" s="5"/>
      <c r="Q2806" s="5"/>
      <c r="AL2806" s="7" t="str">
        <f>HYPERLINK("http://dx.doi.org/10.1016/j.tpb.2013.09.008","http://dx.doi.org/10.1016/j.tpb.2013.09.008")</f>
        <v>http://dx.doi.org/10.1016/j.tpb.2013.09.008</v>
      </c>
      <c r="AM2806" s="5">
        <v>7</v>
      </c>
      <c r="AN2806" s="5">
        <v>7</v>
      </c>
      <c r="AO2806" s="5">
        <v>90</v>
      </c>
      <c r="AP2806" s="5" t="s">
        <v>16</v>
      </c>
      <c r="AQ2806" s="5">
        <v>36</v>
      </c>
      <c r="AR2806" s="5">
        <v>48</v>
      </c>
      <c r="AS2806" s="5" t="s">
        <v>16</v>
      </c>
      <c r="AT2806" s="5" t="s">
        <v>16783</v>
      </c>
      <c r="AU2806" s="5" t="s">
        <v>16784</v>
      </c>
      <c r="AV2806" s="5" t="s">
        <v>16786</v>
      </c>
    </row>
    <row r="2807" spans="1:48" ht="45" customHeight="1" x14ac:dyDescent="0.15">
      <c r="A2807" s="5" t="s">
        <v>16787</v>
      </c>
      <c r="B2807" s="5">
        <v>2022</v>
      </c>
      <c r="C2807" s="5" t="s">
        <v>16788</v>
      </c>
      <c r="D2807" s="5" t="s">
        <v>199</v>
      </c>
      <c r="E2807" s="5" t="s">
        <v>18453</v>
      </c>
      <c r="F2807" s="5" t="s">
        <v>16791</v>
      </c>
      <c r="G2807" s="5"/>
      <c r="H2807" s="5"/>
      <c r="I2807" s="5"/>
      <c r="J2807" s="5"/>
      <c r="K2807" s="5"/>
      <c r="L2807" s="5"/>
      <c r="M2807" s="5"/>
      <c r="N2807" s="5"/>
      <c r="O2807" s="5"/>
      <c r="P2807" s="5"/>
      <c r="Q2807" s="5"/>
      <c r="AL2807" s="7" t="str">
        <f>HYPERLINK("http://dx.doi.org/10.1016/j.ejsobi.2022.103408","http://dx.doi.org/10.1016/j.ejsobi.2022.103408")</f>
        <v>http://dx.doi.org/10.1016/j.ejsobi.2022.103408</v>
      </c>
      <c r="AM2807" s="5">
        <v>0</v>
      </c>
      <c r="AN2807" s="5">
        <v>0</v>
      </c>
      <c r="AO2807" s="5">
        <v>110</v>
      </c>
      <c r="AP2807" s="5" t="s">
        <v>16</v>
      </c>
      <c r="AQ2807" s="5" t="s">
        <v>16</v>
      </c>
      <c r="AR2807" s="5" t="s">
        <v>16</v>
      </c>
      <c r="AS2807" s="5">
        <v>103408</v>
      </c>
      <c r="AT2807" s="5" t="s">
        <v>16789</v>
      </c>
      <c r="AU2807" s="5" t="s">
        <v>16790</v>
      </c>
      <c r="AV2807" s="5" t="s">
        <v>16792</v>
      </c>
    </row>
    <row r="2808" spans="1:48" ht="45" customHeight="1" x14ac:dyDescent="0.15">
      <c r="A2808" s="5" t="s">
        <v>16793</v>
      </c>
      <c r="B2808" s="5">
        <v>2023</v>
      </c>
      <c r="C2808" s="5" t="s">
        <v>16794</v>
      </c>
      <c r="D2808" s="5" t="s">
        <v>161</v>
      </c>
      <c r="E2808" s="5" t="s">
        <v>18453</v>
      </c>
      <c r="F2808" s="5" t="s">
        <v>16797</v>
      </c>
      <c r="G2808" s="5"/>
      <c r="H2808" s="5"/>
      <c r="I2808" s="5"/>
      <c r="J2808" s="5"/>
      <c r="K2808" s="5"/>
      <c r="L2808" s="5"/>
      <c r="M2808" s="5"/>
      <c r="N2808" s="5"/>
      <c r="O2808" s="5"/>
      <c r="P2808" s="5"/>
      <c r="Q2808" s="5"/>
      <c r="AL2808" s="7" t="str">
        <f>HYPERLINK("http://dx.doi.org/10.1111/geb.13647","http://dx.doi.org/10.1111/geb.13647")</f>
        <v>http://dx.doi.org/10.1111/geb.13647</v>
      </c>
      <c r="AM2808" s="5">
        <v>1</v>
      </c>
      <c r="AN2808" s="5">
        <v>1</v>
      </c>
      <c r="AO2808" s="5">
        <v>32</v>
      </c>
      <c r="AP2808" s="5">
        <v>4</v>
      </c>
      <c r="AQ2808" s="5">
        <v>603</v>
      </c>
      <c r="AR2808" s="5">
        <v>617</v>
      </c>
      <c r="AS2808" s="5" t="s">
        <v>16</v>
      </c>
      <c r="AT2808" s="5" t="s">
        <v>16795</v>
      </c>
      <c r="AU2808" s="5" t="s">
        <v>16796</v>
      </c>
      <c r="AV2808" s="5" t="s">
        <v>16798</v>
      </c>
    </row>
    <row r="2809" spans="1:48" ht="45" customHeight="1" x14ac:dyDescent="0.15">
      <c r="A2809" s="5" t="s">
        <v>16799</v>
      </c>
      <c r="B2809" s="5">
        <v>2017</v>
      </c>
      <c r="C2809" s="5" t="s">
        <v>16800</v>
      </c>
      <c r="D2809" s="5" t="s">
        <v>1765</v>
      </c>
      <c r="E2809" s="5" t="s">
        <v>18453</v>
      </c>
      <c r="F2809" s="5" t="s">
        <v>16803</v>
      </c>
      <c r="G2809" s="5"/>
      <c r="H2809" s="5"/>
      <c r="I2809" s="5"/>
      <c r="J2809" s="5"/>
      <c r="K2809" s="5"/>
      <c r="L2809" s="5"/>
      <c r="M2809" s="5"/>
      <c r="N2809" s="5"/>
      <c r="O2809" s="5"/>
      <c r="P2809" s="5"/>
      <c r="Q2809" s="5"/>
      <c r="AL2809" s="7" t="str">
        <f>HYPERLINK("http://dx.doi.org/10.1016/j.agee.2017.06.005","http://dx.doi.org/10.1016/j.agee.2017.06.005")</f>
        <v>http://dx.doi.org/10.1016/j.agee.2017.06.005</v>
      </c>
      <c r="AM2809" s="5">
        <v>12</v>
      </c>
      <c r="AN2809" s="5">
        <v>12</v>
      </c>
      <c r="AO2809" s="5">
        <v>247</v>
      </c>
      <c r="AP2809" s="5" t="s">
        <v>16</v>
      </c>
      <c r="AQ2809" s="5">
        <v>63</v>
      </c>
      <c r="AR2809" s="5">
        <v>74</v>
      </c>
      <c r="AS2809" s="5" t="s">
        <v>16</v>
      </c>
      <c r="AT2809" s="5" t="s">
        <v>16801</v>
      </c>
      <c r="AU2809" s="5" t="s">
        <v>16802</v>
      </c>
      <c r="AV2809" s="5" t="s">
        <v>16804</v>
      </c>
    </row>
    <row r="2810" spans="1:48" ht="45" customHeight="1" x14ac:dyDescent="0.15">
      <c r="A2810" s="5" t="s">
        <v>16805</v>
      </c>
      <c r="B2810" s="5">
        <v>2017</v>
      </c>
      <c r="C2810" s="5" t="s">
        <v>16806</v>
      </c>
      <c r="D2810" s="5" t="s">
        <v>27</v>
      </c>
      <c r="E2810" s="5" t="s">
        <v>18453</v>
      </c>
      <c r="F2810" s="5" t="s">
        <v>16809</v>
      </c>
      <c r="G2810" s="5"/>
      <c r="H2810" s="5"/>
      <c r="I2810" s="5"/>
      <c r="J2810" s="5"/>
      <c r="K2810" s="5"/>
      <c r="L2810" s="5"/>
      <c r="M2810" s="5"/>
      <c r="N2810" s="5"/>
      <c r="O2810" s="5"/>
      <c r="P2810" s="5"/>
      <c r="Q2810" s="5"/>
      <c r="AL2810" s="7" t="str">
        <f>HYPERLINK("http://dx.doi.org/10.1002/ecy.1951","http://dx.doi.org/10.1002/ecy.1951")</f>
        <v>http://dx.doi.org/10.1002/ecy.1951</v>
      </c>
      <c r="AM2810" s="5">
        <v>56</v>
      </c>
      <c r="AN2810" s="5">
        <v>58</v>
      </c>
      <c r="AO2810" s="5">
        <v>98</v>
      </c>
      <c r="AP2810" s="5">
        <v>10</v>
      </c>
      <c r="AQ2810" s="5">
        <v>2615</v>
      </c>
      <c r="AR2810" s="5">
        <v>2625</v>
      </c>
      <c r="AS2810" s="5" t="s">
        <v>16</v>
      </c>
      <c r="AT2810" s="5" t="s">
        <v>16807</v>
      </c>
      <c r="AU2810" s="5" t="s">
        <v>16808</v>
      </c>
      <c r="AV2810" s="5" t="s">
        <v>16810</v>
      </c>
    </row>
    <row r="2811" spans="1:48" ht="45" customHeight="1" x14ac:dyDescent="0.15">
      <c r="A2811" s="5" t="s">
        <v>16811</v>
      </c>
      <c r="B2811" s="5">
        <v>2019</v>
      </c>
      <c r="C2811" s="5" t="s">
        <v>16812</v>
      </c>
      <c r="D2811" s="5" t="s">
        <v>92</v>
      </c>
      <c r="E2811" s="5" t="s">
        <v>18453</v>
      </c>
      <c r="F2811" s="5" t="s">
        <v>16815</v>
      </c>
      <c r="G2811" s="5"/>
      <c r="H2811" s="5"/>
      <c r="I2811" s="5"/>
      <c r="J2811" s="5"/>
      <c r="K2811" s="5"/>
      <c r="L2811" s="5"/>
      <c r="M2811" s="5"/>
      <c r="N2811" s="5"/>
      <c r="O2811" s="5"/>
      <c r="P2811" s="5"/>
      <c r="Q2811" s="5"/>
      <c r="AL2811" s="7" t="str">
        <f>HYPERLINK("http://dx.doi.org/10.1086/701378","http://dx.doi.org/10.1086/701378")</f>
        <v>http://dx.doi.org/10.1086/701378</v>
      </c>
      <c r="AM2811" s="5">
        <v>3</v>
      </c>
      <c r="AN2811" s="5">
        <v>3</v>
      </c>
      <c r="AO2811" s="5">
        <v>38</v>
      </c>
      <c r="AP2811" s="5">
        <v>1</v>
      </c>
      <c r="AQ2811" s="5">
        <v>40</v>
      </c>
      <c r="AR2811" s="5">
        <v>52</v>
      </c>
      <c r="AS2811" s="5" t="s">
        <v>16</v>
      </c>
      <c r="AT2811" s="5" t="s">
        <v>16813</v>
      </c>
      <c r="AU2811" s="5" t="s">
        <v>16814</v>
      </c>
      <c r="AV2811" s="5" t="s">
        <v>16816</v>
      </c>
    </row>
    <row r="2812" spans="1:48" ht="45" customHeight="1" x14ac:dyDescent="0.15">
      <c r="A2812" s="5" t="s">
        <v>16817</v>
      </c>
      <c r="B2812" s="5">
        <v>2009</v>
      </c>
      <c r="C2812" s="5" t="s">
        <v>16818</v>
      </c>
      <c r="D2812" s="5" t="s">
        <v>6695</v>
      </c>
      <c r="E2812" s="5" t="s">
        <v>18453</v>
      </c>
      <c r="F2812" s="5" t="s">
        <v>16820</v>
      </c>
      <c r="G2812" s="5"/>
      <c r="H2812" s="5"/>
      <c r="I2812" s="5"/>
      <c r="J2812" s="5"/>
      <c r="K2812" s="5"/>
      <c r="L2812" s="5"/>
      <c r="M2812" s="5"/>
      <c r="N2812" s="5"/>
      <c r="O2812" s="5"/>
      <c r="P2812" s="5"/>
      <c r="Q2812" s="5"/>
      <c r="AL2812" s="7" t="str">
        <f>HYPERLINK("http://dx.doi.org/10.3955/046.083.0207","http://dx.doi.org/10.3955/046.083.0207")</f>
        <v>http://dx.doi.org/10.3955/046.083.0207</v>
      </c>
      <c r="AM2812" s="5">
        <v>29</v>
      </c>
      <c r="AN2812" s="5">
        <v>30</v>
      </c>
      <c r="AO2812" s="5">
        <v>83</v>
      </c>
      <c r="AP2812" s="5">
        <v>2</v>
      </c>
      <c r="AQ2812" s="5">
        <v>154</v>
      </c>
      <c r="AR2812" s="5">
        <v>162</v>
      </c>
      <c r="AS2812" s="5" t="s">
        <v>16</v>
      </c>
      <c r="AT2812" s="5" t="s">
        <v>16</v>
      </c>
      <c r="AU2812" s="5" t="s">
        <v>16819</v>
      </c>
      <c r="AV2812" s="5" t="s">
        <v>16821</v>
      </c>
    </row>
    <row r="2813" spans="1:48" ht="45" customHeight="1" x14ac:dyDescent="0.15">
      <c r="A2813" s="5" t="s">
        <v>16822</v>
      </c>
      <c r="B2813" s="5">
        <v>2021</v>
      </c>
      <c r="C2813" s="5" t="s">
        <v>16823</v>
      </c>
      <c r="D2813" s="5" t="s">
        <v>289</v>
      </c>
      <c r="E2813" s="5" t="s">
        <v>18453</v>
      </c>
      <c r="F2813" s="5" t="s">
        <v>16826</v>
      </c>
      <c r="G2813" s="5"/>
      <c r="H2813" s="5"/>
      <c r="I2813" s="5"/>
      <c r="J2813" s="5"/>
      <c r="K2813" s="5"/>
      <c r="L2813" s="5"/>
      <c r="M2813" s="5"/>
      <c r="N2813" s="5"/>
      <c r="O2813" s="5"/>
      <c r="P2813" s="5"/>
      <c r="Q2813" s="5"/>
      <c r="AL2813" s="7" t="str">
        <f>HYPERLINK("http://dx.doi.org/10.1111/1365-2745.13621","http://dx.doi.org/10.1111/1365-2745.13621")</f>
        <v>http://dx.doi.org/10.1111/1365-2745.13621</v>
      </c>
      <c r="AM2813" s="5">
        <v>8</v>
      </c>
      <c r="AN2813" s="5">
        <v>8</v>
      </c>
      <c r="AO2813" s="5">
        <v>109</v>
      </c>
      <c r="AP2813" s="5">
        <v>5</v>
      </c>
      <c r="AQ2813" s="5">
        <v>2081</v>
      </c>
      <c r="AR2813" s="5">
        <v>2094</v>
      </c>
      <c r="AS2813" s="5" t="s">
        <v>16</v>
      </c>
      <c r="AT2813" s="5" t="s">
        <v>16824</v>
      </c>
      <c r="AU2813" s="5" t="s">
        <v>16825</v>
      </c>
      <c r="AV2813" s="5" t="s">
        <v>16827</v>
      </c>
    </row>
    <row r="2814" spans="1:48" ht="45" customHeight="1" x14ac:dyDescent="0.15">
      <c r="A2814" s="5" t="s">
        <v>16828</v>
      </c>
      <c r="B2814" s="5">
        <v>2013</v>
      </c>
      <c r="C2814" s="5" t="s">
        <v>16829</v>
      </c>
      <c r="D2814" s="5" t="s">
        <v>10366</v>
      </c>
      <c r="E2814" s="5" t="s">
        <v>18453</v>
      </c>
      <c r="F2814" s="5" t="s">
        <v>16831</v>
      </c>
      <c r="G2814" s="5"/>
      <c r="H2814" s="5"/>
      <c r="I2814" s="5"/>
      <c r="J2814" s="5"/>
      <c r="K2814" s="5"/>
      <c r="L2814" s="5"/>
      <c r="M2814" s="5"/>
      <c r="N2814" s="5"/>
      <c r="O2814" s="5"/>
      <c r="P2814" s="5"/>
      <c r="Q2814" s="5"/>
      <c r="AL2814" s="7" t="str">
        <f>HYPERLINK("http://dx.doi.org/10.1674/0003-0031-170.2.248","http://dx.doi.org/10.1674/0003-0031-170.2.248")</f>
        <v>http://dx.doi.org/10.1674/0003-0031-170.2.248</v>
      </c>
      <c r="AM2814" s="5">
        <v>5</v>
      </c>
      <c r="AN2814" s="5">
        <v>6</v>
      </c>
      <c r="AO2814" s="5">
        <v>170</v>
      </c>
      <c r="AP2814" s="5">
        <v>2</v>
      </c>
      <c r="AQ2814" s="5">
        <v>248</v>
      </c>
      <c r="AR2814" s="5">
        <v>259</v>
      </c>
      <c r="AS2814" s="5" t="s">
        <v>16</v>
      </c>
      <c r="AT2814" s="5" t="s">
        <v>16</v>
      </c>
      <c r="AU2814" s="5" t="s">
        <v>16830</v>
      </c>
      <c r="AV2814" s="5" t="s">
        <v>16832</v>
      </c>
    </row>
    <row r="2815" spans="1:48" ht="45" customHeight="1" x14ac:dyDescent="0.15">
      <c r="A2815" s="5" t="s">
        <v>16833</v>
      </c>
      <c r="B2815" s="5">
        <v>2014</v>
      </c>
      <c r="C2815" s="5" t="s">
        <v>16834</v>
      </c>
      <c r="D2815" s="5" t="s">
        <v>2768</v>
      </c>
      <c r="E2815" s="5" t="s">
        <v>18453</v>
      </c>
      <c r="F2815" s="5" t="s">
        <v>16837</v>
      </c>
      <c r="G2815" s="5"/>
      <c r="H2815" s="5"/>
      <c r="I2815" s="5"/>
      <c r="J2815" s="5"/>
      <c r="K2815" s="5"/>
      <c r="L2815" s="5"/>
      <c r="M2815" s="5"/>
      <c r="N2815" s="5"/>
      <c r="O2815" s="5"/>
      <c r="P2815" s="5"/>
      <c r="Q2815" s="5"/>
      <c r="AL2815" s="7" t="str">
        <f>HYPERLINK("http://dx.doi.org/10.1007/s10531-014-0620-y","http://dx.doi.org/10.1007/s10531-014-0620-y")</f>
        <v>http://dx.doi.org/10.1007/s10531-014-0620-y</v>
      </c>
      <c r="AM2815" s="5">
        <v>19</v>
      </c>
      <c r="AN2815" s="5">
        <v>19</v>
      </c>
      <c r="AO2815" s="5">
        <v>23</v>
      </c>
      <c r="AP2815" s="5">
        <v>3</v>
      </c>
      <c r="AQ2815" s="5">
        <v>617</v>
      </c>
      <c r="AR2815" s="5">
        <v>631</v>
      </c>
      <c r="AS2815" s="5" t="s">
        <v>16</v>
      </c>
      <c r="AT2815" s="5" t="s">
        <v>16835</v>
      </c>
      <c r="AU2815" s="5" t="s">
        <v>16836</v>
      </c>
      <c r="AV2815" s="5" t="s">
        <v>16838</v>
      </c>
    </row>
    <row r="2816" spans="1:48" ht="45" customHeight="1" x14ac:dyDescent="0.15">
      <c r="A2816" s="5" t="s">
        <v>16839</v>
      </c>
      <c r="B2816" s="5">
        <v>2021</v>
      </c>
      <c r="C2816" s="5" t="s">
        <v>16840</v>
      </c>
      <c r="D2816" s="5" t="s">
        <v>62</v>
      </c>
      <c r="E2816" s="5" t="s">
        <v>18453</v>
      </c>
      <c r="F2816" s="5" t="s">
        <v>16843</v>
      </c>
      <c r="G2816" s="5"/>
      <c r="H2816" s="5"/>
      <c r="I2816" s="5"/>
      <c r="J2816" s="5"/>
      <c r="K2816" s="5"/>
      <c r="L2816" s="5"/>
      <c r="M2816" s="5"/>
      <c r="N2816" s="5"/>
      <c r="O2816" s="5"/>
      <c r="P2816" s="5"/>
      <c r="Q2816" s="5"/>
      <c r="AL2816" s="7" t="str">
        <f>HYPERLINK("http://dx.doi.org/10.1007/s10021-021-00626-8","http://dx.doi.org/10.1007/s10021-021-00626-8")</f>
        <v>http://dx.doi.org/10.1007/s10021-021-00626-8</v>
      </c>
      <c r="AM2816" s="5">
        <v>5</v>
      </c>
      <c r="AN2816" s="5">
        <v>5</v>
      </c>
      <c r="AO2816" s="5">
        <v>24</v>
      </c>
      <c r="AP2816" s="5">
        <v>8</v>
      </c>
      <c r="AQ2816" s="5">
        <v>1944</v>
      </c>
      <c r="AR2816" s="5">
        <v>1961</v>
      </c>
      <c r="AS2816" s="5" t="s">
        <v>16</v>
      </c>
      <c r="AT2816" s="5" t="s">
        <v>16841</v>
      </c>
      <c r="AU2816" s="5" t="s">
        <v>16842</v>
      </c>
      <c r="AV2816" s="5" t="s">
        <v>16844</v>
      </c>
    </row>
    <row r="2817" spans="1:48" ht="45" customHeight="1" x14ac:dyDescent="0.15">
      <c r="A2817" s="5" t="s">
        <v>16845</v>
      </c>
      <c r="B2817" s="5">
        <v>2002</v>
      </c>
      <c r="C2817" s="5" t="s">
        <v>16846</v>
      </c>
      <c r="D2817" s="5" t="s">
        <v>49</v>
      </c>
      <c r="E2817" s="5" t="s">
        <v>18453</v>
      </c>
      <c r="F2817" s="5" t="s">
        <v>16849</v>
      </c>
      <c r="G2817" s="5"/>
      <c r="H2817" s="5"/>
      <c r="I2817" s="5"/>
      <c r="J2817" s="5"/>
      <c r="K2817" s="5"/>
      <c r="L2817" s="5"/>
      <c r="M2817" s="5"/>
      <c r="N2817" s="5"/>
      <c r="O2817" s="5"/>
      <c r="P2817" s="5"/>
      <c r="Q2817" s="5"/>
      <c r="AL2817" s="7" t="str">
        <f>HYPERLINK("http://dx.doi.org/10.3354/meps238187","http://dx.doi.org/10.3354/meps238187")</f>
        <v>http://dx.doi.org/10.3354/meps238187</v>
      </c>
      <c r="AM2817" s="5">
        <v>68</v>
      </c>
      <c r="AN2817" s="5">
        <v>79</v>
      </c>
      <c r="AO2817" s="5">
        <v>238</v>
      </c>
      <c r="AP2817" s="5" t="s">
        <v>16</v>
      </c>
      <c r="AQ2817" s="5">
        <v>187</v>
      </c>
      <c r="AR2817" s="5">
        <v>198</v>
      </c>
      <c r="AS2817" s="5" t="s">
        <v>16</v>
      </c>
      <c r="AT2817" s="5" t="s">
        <v>16847</v>
      </c>
      <c r="AU2817" s="5" t="s">
        <v>16848</v>
      </c>
      <c r="AV2817" s="5" t="s">
        <v>16850</v>
      </c>
    </row>
    <row r="2818" spans="1:48" ht="45" customHeight="1" x14ac:dyDescent="0.15">
      <c r="A2818" s="5" t="s">
        <v>16851</v>
      </c>
      <c r="B2818" s="5">
        <v>2020</v>
      </c>
      <c r="C2818" s="5" t="s">
        <v>16852</v>
      </c>
      <c r="D2818" s="5" t="s">
        <v>49</v>
      </c>
      <c r="E2818" s="5" t="s">
        <v>18453</v>
      </c>
      <c r="F2818" s="5" t="s">
        <v>16855</v>
      </c>
      <c r="G2818" s="5"/>
      <c r="H2818" s="5"/>
      <c r="I2818" s="5"/>
      <c r="J2818" s="5"/>
      <c r="K2818" s="5"/>
      <c r="L2818" s="5"/>
      <c r="M2818" s="5"/>
      <c r="N2818" s="5"/>
      <c r="O2818" s="5"/>
      <c r="P2818" s="5"/>
      <c r="Q2818" s="5"/>
      <c r="AL2818" s="7" t="str">
        <f>HYPERLINK("http://dx.doi.org/10.3354/meps13325","http://dx.doi.org/10.3354/meps13325")</f>
        <v>http://dx.doi.org/10.3354/meps13325</v>
      </c>
      <c r="AM2818" s="5">
        <v>19</v>
      </c>
      <c r="AN2818" s="5">
        <v>19</v>
      </c>
      <c r="AO2818" s="5">
        <v>642</v>
      </c>
      <c r="AP2818" s="5" t="s">
        <v>16</v>
      </c>
      <c r="AQ2818" s="5">
        <v>1</v>
      </c>
      <c r="AR2818" s="5">
        <v>19</v>
      </c>
      <c r="AS2818" s="5" t="s">
        <v>16</v>
      </c>
      <c r="AT2818" s="5" t="s">
        <v>16853</v>
      </c>
      <c r="AU2818" s="5" t="s">
        <v>16854</v>
      </c>
      <c r="AV2818" s="5" t="s">
        <v>16856</v>
      </c>
    </row>
    <row r="2819" spans="1:48" ht="45" customHeight="1" x14ac:dyDescent="0.15">
      <c r="A2819" s="5" t="s">
        <v>16857</v>
      </c>
      <c r="B2819" s="5">
        <v>2017</v>
      </c>
      <c r="C2819" s="5" t="s">
        <v>16858</v>
      </c>
      <c r="D2819" s="5" t="s">
        <v>1059</v>
      </c>
      <c r="E2819" s="5" t="s">
        <v>18453</v>
      </c>
      <c r="F2819" s="5" t="s">
        <v>16861</v>
      </c>
      <c r="G2819" s="5"/>
      <c r="H2819" s="5"/>
      <c r="I2819" s="5"/>
      <c r="J2819" s="5"/>
      <c r="K2819" s="5"/>
      <c r="L2819" s="5"/>
      <c r="M2819" s="5"/>
      <c r="N2819" s="5"/>
      <c r="O2819" s="5"/>
      <c r="P2819" s="5"/>
      <c r="Q2819" s="5"/>
      <c r="AL2819" s="7" t="str">
        <f>HYPERLINK("http://dx.doi.org/10.1080/17518369.2017.1324652","http://dx.doi.org/10.1080/17518369.2017.1324652")</f>
        <v>http://dx.doi.org/10.1080/17518369.2017.1324652</v>
      </c>
      <c r="AM2819" s="5">
        <v>14</v>
      </c>
      <c r="AN2819" s="5">
        <v>14</v>
      </c>
      <c r="AO2819" s="5">
        <v>36</v>
      </c>
      <c r="AP2819" s="5" t="s">
        <v>16</v>
      </c>
      <c r="AQ2819" s="5" t="s">
        <v>16</v>
      </c>
      <c r="AR2819" s="5" t="s">
        <v>16</v>
      </c>
      <c r="AS2819" s="5">
        <v>5</v>
      </c>
      <c r="AT2819" s="5" t="s">
        <v>16859</v>
      </c>
      <c r="AU2819" s="5" t="s">
        <v>16860</v>
      </c>
      <c r="AV2819" s="5" t="s">
        <v>16862</v>
      </c>
    </row>
    <row r="2820" spans="1:48" ht="45" customHeight="1" x14ac:dyDescent="0.15">
      <c r="A2820" s="5" t="s">
        <v>16863</v>
      </c>
      <c r="B2820" s="5">
        <v>2022</v>
      </c>
      <c r="C2820" s="5" t="s">
        <v>16864</v>
      </c>
      <c r="D2820" s="5" t="s">
        <v>17</v>
      </c>
      <c r="E2820" s="5" t="s">
        <v>18453</v>
      </c>
      <c r="F2820" s="5" t="s">
        <v>16867</v>
      </c>
      <c r="G2820" s="5"/>
      <c r="H2820" s="5"/>
      <c r="I2820" s="5"/>
      <c r="J2820" s="5"/>
      <c r="K2820" s="5"/>
      <c r="L2820" s="5"/>
      <c r="M2820" s="5"/>
      <c r="N2820" s="5"/>
      <c r="O2820" s="5"/>
      <c r="P2820" s="5"/>
      <c r="Q2820" s="5"/>
      <c r="AL2820" s="7" t="str">
        <f>HYPERLINK("http://dx.doi.org/10.1111/fwb.13921","http://dx.doi.org/10.1111/fwb.13921")</f>
        <v>http://dx.doi.org/10.1111/fwb.13921</v>
      </c>
      <c r="AM2820" s="5">
        <v>7</v>
      </c>
      <c r="AN2820" s="5">
        <v>7</v>
      </c>
      <c r="AO2820" s="5">
        <v>67</v>
      </c>
      <c r="AP2820" s="5">
        <v>8</v>
      </c>
      <c r="AQ2820" s="5">
        <v>1344</v>
      </c>
      <c r="AR2820" s="5">
        <v>1356</v>
      </c>
      <c r="AS2820" s="5" t="s">
        <v>16</v>
      </c>
      <c r="AT2820" s="5" t="s">
        <v>16865</v>
      </c>
      <c r="AU2820" s="5" t="s">
        <v>16866</v>
      </c>
      <c r="AV2820" s="5" t="s">
        <v>16868</v>
      </c>
    </row>
    <row r="2821" spans="1:48" ht="45" customHeight="1" x14ac:dyDescent="0.15">
      <c r="A2821" s="5" t="s">
        <v>16869</v>
      </c>
      <c r="B2821" s="5">
        <v>2016</v>
      </c>
      <c r="C2821" s="5" t="s">
        <v>16870</v>
      </c>
      <c r="D2821" s="5" t="s">
        <v>27</v>
      </c>
      <c r="E2821" s="5" t="s">
        <v>18453</v>
      </c>
      <c r="F2821" s="5" t="s">
        <v>16873</v>
      </c>
      <c r="G2821" s="5"/>
      <c r="H2821" s="5"/>
      <c r="I2821" s="5"/>
      <c r="J2821" s="5"/>
      <c r="K2821" s="5"/>
      <c r="L2821" s="5"/>
      <c r="M2821" s="5"/>
      <c r="N2821" s="5"/>
      <c r="O2821" s="5"/>
      <c r="P2821" s="5"/>
      <c r="Q2821" s="5"/>
      <c r="AL2821" s="7" t="str">
        <f>HYPERLINK("http://dx.doi.org/10.1890/15-1259.1","http://dx.doi.org/10.1890/15-1259.1")</f>
        <v>http://dx.doi.org/10.1890/15-1259.1</v>
      </c>
      <c r="AM2821" s="5">
        <v>27</v>
      </c>
      <c r="AN2821" s="5">
        <v>28</v>
      </c>
      <c r="AO2821" s="5">
        <v>97</v>
      </c>
      <c r="AP2821" s="5">
        <v>5</v>
      </c>
      <c r="AQ2821" s="5">
        <v>1218</v>
      </c>
      <c r="AR2821" s="5">
        <v>1227</v>
      </c>
      <c r="AS2821" s="5" t="s">
        <v>16</v>
      </c>
      <c r="AT2821" s="5" t="s">
        <v>16871</v>
      </c>
      <c r="AU2821" s="5" t="s">
        <v>16872</v>
      </c>
      <c r="AV2821" s="5" t="s">
        <v>16874</v>
      </c>
    </row>
    <row r="2822" spans="1:48" ht="45" customHeight="1" x14ac:dyDescent="0.15">
      <c r="A2822" s="5" t="s">
        <v>16875</v>
      </c>
      <c r="B2822" s="5">
        <v>2020</v>
      </c>
      <c r="C2822" s="5" t="s">
        <v>16876</v>
      </c>
      <c r="D2822" s="5" t="s">
        <v>1238</v>
      </c>
      <c r="E2822" s="5" t="s">
        <v>18453</v>
      </c>
      <c r="F2822" s="5" t="s">
        <v>16879</v>
      </c>
      <c r="G2822" s="5"/>
      <c r="H2822" s="5"/>
      <c r="I2822" s="5"/>
      <c r="J2822" s="5"/>
      <c r="K2822" s="5"/>
      <c r="L2822" s="5"/>
      <c r="M2822" s="5"/>
      <c r="N2822" s="5"/>
      <c r="O2822" s="5"/>
      <c r="P2822" s="5"/>
      <c r="Q2822" s="5"/>
      <c r="AL2822" s="7" t="str">
        <f>HYPERLINK("http://dx.doi.org/10.1186/s40462-020-00208-8","http://dx.doi.org/10.1186/s40462-020-00208-8")</f>
        <v>http://dx.doi.org/10.1186/s40462-020-00208-8</v>
      </c>
      <c r="AM2822" s="5">
        <v>10</v>
      </c>
      <c r="AN2822" s="5">
        <v>10</v>
      </c>
      <c r="AO2822" s="5">
        <v>8</v>
      </c>
      <c r="AP2822" s="5">
        <v>1</v>
      </c>
      <c r="AQ2822" s="5" t="s">
        <v>16</v>
      </c>
      <c r="AR2822" s="5" t="s">
        <v>16</v>
      </c>
      <c r="AS2822" s="5">
        <v>29</v>
      </c>
      <c r="AT2822" s="5" t="s">
        <v>16877</v>
      </c>
      <c r="AU2822" s="5" t="s">
        <v>16878</v>
      </c>
      <c r="AV2822" s="5" t="s">
        <v>16880</v>
      </c>
    </row>
    <row r="2823" spans="1:48" ht="45" customHeight="1" x14ac:dyDescent="0.15">
      <c r="A2823" s="5" t="s">
        <v>16881</v>
      </c>
      <c r="B2823" s="5">
        <v>2006</v>
      </c>
      <c r="C2823" s="5" t="s">
        <v>16882</v>
      </c>
      <c r="D2823" s="5" t="s">
        <v>82</v>
      </c>
      <c r="E2823" s="5" t="s">
        <v>18453</v>
      </c>
      <c r="F2823" s="5" t="s">
        <v>16884</v>
      </c>
      <c r="G2823" s="5"/>
      <c r="H2823" s="5"/>
      <c r="I2823" s="5"/>
      <c r="J2823" s="5"/>
      <c r="K2823" s="5"/>
      <c r="L2823" s="5"/>
      <c r="M2823" s="5"/>
      <c r="N2823" s="5"/>
      <c r="O2823" s="5"/>
      <c r="P2823" s="5"/>
      <c r="Q2823" s="5"/>
      <c r="AL2823" s="7" t="str">
        <f>HYPERLINK("http://dx.doi.org/10.1890/1051-0761(2006)016[0678:ASDRDI]2.0.CO;2","http://dx.doi.org/10.1890/1051-0761(2006)016[0678:ASDRDI]2.0.CO;2")</f>
        <v>http://dx.doi.org/10.1890/1051-0761(2006)016[0678:ASDRDI]2.0.CO;2</v>
      </c>
      <c r="AM2823" s="5">
        <v>45</v>
      </c>
      <c r="AN2823" s="5">
        <v>46</v>
      </c>
      <c r="AO2823" s="5">
        <v>16</v>
      </c>
      <c r="AP2823" s="5">
        <v>2</v>
      </c>
      <c r="AQ2823" s="5">
        <v>678</v>
      </c>
      <c r="AR2823" s="5">
        <v>686</v>
      </c>
      <c r="AS2823" s="5" t="s">
        <v>16</v>
      </c>
      <c r="AT2823" s="5" t="s">
        <v>16</v>
      </c>
      <c r="AU2823" s="5" t="s">
        <v>16883</v>
      </c>
      <c r="AV2823" s="5" t="s">
        <v>16885</v>
      </c>
    </row>
    <row r="2824" spans="1:48" ht="45" customHeight="1" x14ac:dyDescent="0.15">
      <c r="A2824" s="5" t="s">
        <v>16886</v>
      </c>
      <c r="B2824" s="5">
        <v>2019</v>
      </c>
      <c r="C2824" s="5" t="s">
        <v>16887</v>
      </c>
      <c r="D2824" s="5" t="s">
        <v>8897</v>
      </c>
      <c r="E2824" s="5" t="s">
        <v>18453</v>
      </c>
      <c r="F2824" s="5" t="s">
        <v>16890</v>
      </c>
      <c r="G2824" s="5"/>
      <c r="H2824" s="5"/>
      <c r="I2824" s="5"/>
      <c r="J2824" s="5"/>
      <c r="K2824" s="5"/>
      <c r="L2824" s="5"/>
      <c r="M2824" s="5"/>
      <c r="N2824" s="5"/>
      <c r="O2824" s="5"/>
      <c r="P2824" s="5"/>
      <c r="Q2824" s="5"/>
      <c r="AL2824" s="7" t="str">
        <f>HYPERLINK("http://dx.doi.org/10.1007/s00265-019-2703-y","http://dx.doi.org/10.1007/s00265-019-2703-y")</f>
        <v>http://dx.doi.org/10.1007/s00265-019-2703-y</v>
      </c>
      <c r="AM2824" s="5">
        <v>6</v>
      </c>
      <c r="AN2824" s="5">
        <v>6</v>
      </c>
      <c r="AO2824" s="5">
        <v>73</v>
      </c>
      <c r="AP2824" s="5">
        <v>7</v>
      </c>
      <c r="AQ2824" s="5" t="s">
        <v>16</v>
      </c>
      <c r="AR2824" s="5" t="s">
        <v>16</v>
      </c>
      <c r="AS2824" s="5">
        <v>95</v>
      </c>
      <c r="AT2824" s="5" t="s">
        <v>16888</v>
      </c>
      <c r="AU2824" s="5" t="s">
        <v>16889</v>
      </c>
      <c r="AV2824" s="5" t="s">
        <v>16891</v>
      </c>
    </row>
    <row r="2825" spans="1:48" ht="45" customHeight="1" x14ac:dyDescent="0.15">
      <c r="A2825" s="5" t="s">
        <v>8785</v>
      </c>
      <c r="B2825" s="5">
        <v>2004</v>
      </c>
      <c r="C2825" s="5" t="s">
        <v>16892</v>
      </c>
      <c r="D2825" s="5" t="s">
        <v>17</v>
      </c>
      <c r="E2825" s="5" t="s">
        <v>18453</v>
      </c>
      <c r="F2825" s="5" t="s">
        <v>16895</v>
      </c>
      <c r="G2825" s="5"/>
      <c r="H2825" s="5"/>
      <c r="I2825" s="5"/>
      <c r="J2825" s="5"/>
      <c r="K2825" s="5"/>
      <c r="L2825" s="5"/>
      <c r="M2825" s="5"/>
      <c r="N2825" s="5"/>
      <c r="O2825" s="5"/>
      <c r="P2825" s="5"/>
      <c r="Q2825" s="5"/>
      <c r="AL2825" s="7" t="str">
        <f>HYPERLINK("http://dx.doi.org/10.1111/j.1365-2427.2004.01266.x","http://dx.doi.org/10.1111/j.1365-2427.2004.01266.x")</f>
        <v>http://dx.doi.org/10.1111/j.1365-2427.2004.01266.x</v>
      </c>
      <c r="AM2825" s="5">
        <v>35</v>
      </c>
      <c r="AN2825" s="5">
        <v>35</v>
      </c>
      <c r="AO2825" s="5">
        <v>49</v>
      </c>
      <c r="AP2825" s="5">
        <v>10</v>
      </c>
      <c r="AQ2825" s="5">
        <v>1260</v>
      </c>
      <c r="AR2825" s="5">
        <v>1268</v>
      </c>
      <c r="AS2825" s="5" t="s">
        <v>16</v>
      </c>
      <c r="AT2825" s="5" t="s">
        <v>16893</v>
      </c>
      <c r="AU2825" s="5" t="s">
        <v>16894</v>
      </c>
      <c r="AV2825" s="5" t="s">
        <v>16896</v>
      </c>
    </row>
    <row r="2826" spans="1:48" ht="45" customHeight="1" x14ac:dyDescent="0.15">
      <c r="A2826" s="5" t="s">
        <v>16897</v>
      </c>
      <c r="B2826" s="5">
        <v>2015</v>
      </c>
      <c r="C2826" s="5" t="s">
        <v>16898</v>
      </c>
      <c r="D2826" s="5" t="s">
        <v>973</v>
      </c>
      <c r="E2826" s="5" t="s">
        <v>18453</v>
      </c>
      <c r="F2826" s="5" t="s">
        <v>16900</v>
      </c>
      <c r="G2826" s="5"/>
      <c r="H2826" s="5"/>
      <c r="I2826" s="5"/>
      <c r="J2826" s="5"/>
      <c r="K2826" s="5"/>
      <c r="L2826" s="5"/>
      <c r="M2826" s="5"/>
      <c r="N2826" s="5"/>
      <c r="O2826" s="5"/>
      <c r="P2826" s="5"/>
      <c r="Q2826" s="5"/>
      <c r="AL2826" s="7" t="str">
        <f>HYPERLINK("http://dx.doi.org/10.5194/bg-12-2227-2015","http://dx.doi.org/10.5194/bg-12-2227-2015")</f>
        <v>http://dx.doi.org/10.5194/bg-12-2227-2015</v>
      </c>
      <c r="AM2826" s="5">
        <v>71</v>
      </c>
      <c r="AN2826" s="5">
        <v>71</v>
      </c>
      <c r="AO2826" s="5">
        <v>12</v>
      </c>
      <c r="AP2826" s="5">
        <v>7</v>
      </c>
      <c r="AQ2826" s="5">
        <v>2227</v>
      </c>
      <c r="AR2826" s="5">
        <v>2245</v>
      </c>
      <c r="AS2826" s="5" t="s">
        <v>16</v>
      </c>
      <c r="AT2826" s="5" t="s">
        <v>16</v>
      </c>
      <c r="AU2826" s="5" t="s">
        <v>16899</v>
      </c>
      <c r="AV2826" s="5" t="s">
        <v>16901</v>
      </c>
    </row>
    <row r="2827" spans="1:48" ht="45" customHeight="1" x14ac:dyDescent="0.15">
      <c r="A2827" s="5" t="s">
        <v>16902</v>
      </c>
      <c r="B2827" s="5">
        <v>2007</v>
      </c>
      <c r="C2827" s="5" t="s">
        <v>16903</v>
      </c>
      <c r="D2827" s="5" t="s">
        <v>77</v>
      </c>
      <c r="E2827" s="5" t="s">
        <v>18453</v>
      </c>
      <c r="F2827" s="5" t="s">
        <v>16906</v>
      </c>
      <c r="G2827" s="5"/>
      <c r="H2827" s="5"/>
      <c r="I2827" s="5"/>
      <c r="J2827" s="5"/>
      <c r="K2827" s="5"/>
      <c r="L2827" s="5"/>
      <c r="M2827" s="5"/>
      <c r="N2827" s="5"/>
      <c r="O2827" s="5"/>
      <c r="P2827" s="5"/>
      <c r="Q2827" s="5"/>
      <c r="AL2827" s="7" t="str">
        <f>HYPERLINK("http://dx.doi.org/10.1111/j.1365-2656.2007.01222.x","http://dx.doi.org/10.1111/j.1365-2656.2007.01222.x")</f>
        <v>http://dx.doi.org/10.1111/j.1365-2656.2007.01222.x</v>
      </c>
      <c r="AM2827" s="5">
        <v>77</v>
      </c>
      <c r="AN2827" s="5">
        <v>80</v>
      </c>
      <c r="AO2827" s="5">
        <v>76</v>
      </c>
      <c r="AP2827" s="5">
        <v>3</v>
      </c>
      <c r="AQ2827" s="5">
        <v>526</v>
      </c>
      <c r="AR2827" s="5">
        <v>537</v>
      </c>
      <c r="AS2827" s="5" t="s">
        <v>16</v>
      </c>
      <c r="AT2827" s="5" t="s">
        <v>16904</v>
      </c>
      <c r="AU2827" s="5" t="s">
        <v>16905</v>
      </c>
      <c r="AV2827" s="5" t="s">
        <v>16907</v>
      </c>
    </row>
    <row r="2828" spans="1:48" ht="45" customHeight="1" x14ac:dyDescent="0.15">
      <c r="A2828" s="5" t="s">
        <v>16908</v>
      </c>
      <c r="B2828" s="5">
        <v>2021</v>
      </c>
      <c r="C2828" s="5" t="s">
        <v>16909</v>
      </c>
      <c r="D2828" s="5" t="s">
        <v>1621</v>
      </c>
      <c r="E2828" s="5" t="s">
        <v>18453</v>
      </c>
      <c r="F2828" s="5" t="s">
        <v>16911</v>
      </c>
      <c r="G2828" s="5"/>
      <c r="H2828" s="5"/>
      <c r="I2828" s="5"/>
      <c r="J2828" s="5"/>
      <c r="K2828" s="5"/>
      <c r="L2828" s="5"/>
      <c r="M2828" s="5"/>
      <c r="N2828" s="5"/>
      <c r="O2828" s="5"/>
      <c r="P2828" s="5"/>
      <c r="Q2828" s="5"/>
      <c r="AL2828" s="7" t="str">
        <f>HYPERLINK("http://dx.doi.org/10.1093/conphys/coaa134","http://dx.doi.org/10.1093/conphys/coaa134")</f>
        <v>http://dx.doi.org/10.1093/conphys/coaa134</v>
      </c>
      <c r="AM2828" s="5">
        <v>3</v>
      </c>
      <c r="AN2828" s="5">
        <v>3</v>
      </c>
      <c r="AO2828" s="5">
        <v>9</v>
      </c>
      <c r="AP2828" s="5" t="s">
        <v>16</v>
      </c>
      <c r="AQ2828" s="5" t="s">
        <v>16</v>
      </c>
      <c r="AR2828" s="5" t="s">
        <v>16</v>
      </c>
      <c r="AS2828" s="5" t="s">
        <v>16912</v>
      </c>
      <c r="AT2828" s="5" t="s">
        <v>16</v>
      </c>
      <c r="AU2828" s="5" t="s">
        <v>16910</v>
      </c>
      <c r="AV2828" s="5" t="s">
        <v>16913</v>
      </c>
    </row>
    <row r="2829" spans="1:48" ht="45" customHeight="1" x14ac:dyDescent="0.15">
      <c r="A2829" s="5" t="s">
        <v>16914</v>
      </c>
      <c r="B2829" s="5">
        <v>2009</v>
      </c>
      <c r="C2829" s="5" t="s">
        <v>16915</v>
      </c>
      <c r="D2829" s="5" t="s">
        <v>249</v>
      </c>
      <c r="E2829" s="5" t="s">
        <v>18453</v>
      </c>
      <c r="F2829" s="5" t="s">
        <v>16918</v>
      </c>
      <c r="G2829" s="5"/>
      <c r="H2829" s="5"/>
      <c r="I2829" s="5"/>
      <c r="J2829" s="5"/>
      <c r="K2829" s="5"/>
      <c r="L2829" s="5"/>
      <c r="M2829" s="5"/>
      <c r="N2829" s="5"/>
      <c r="O2829" s="5"/>
      <c r="P2829" s="5"/>
      <c r="Q2829" s="5"/>
      <c r="AL2829" s="7" t="str">
        <f>HYPERLINK("http://dx.doi.org/10.1016/j.jaridenv.2008.11.010","http://dx.doi.org/10.1016/j.jaridenv.2008.11.010")</f>
        <v>http://dx.doi.org/10.1016/j.jaridenv.2008.11.010</v>
      </c>
      <c r="AM2829" s="5">
        <v>20</v>
      </c>
      <c r="AN2829" s="5">
        <v>21</v>
      </c>
      <c r="AO2829" s="5">
        <v>73</v>
      </c>
      <c r="AP2829" s="5" t="s">
        <v>1775</v>
      </c>
      <c r="AQ2829" s="5">
        <v>480</v>
      </c>
      <c r="AR2829" s="5">
        <v>486</v>
      </c>
      <c r="AS2829" s="5" t="s">
        <v>16</v>
      </c>
      <c r="AT2829" s="5" t="s">
        <v>16916</v>
      </c>
      <c r="AU2829" s="5" t="s">
        <v>16917</v>
      </c>
      <c r="AV2829" s="5" t="s">
        <v>16919</v>
      </c>
    </row>
    <row r="2830" spans="1:48" ht="45" customHeight="1" x14ac:dyDescent="0.15">
      <c r="A2830" s="5" t="s">
        <v>16920</v>
      </c>
      <c r="B2830" s="5">
        <v>2018</v>
      </c>
      <c r="C2830" s="5" t="s">
        <v>16921</v>
      </c>
      <c r="D2830" s="5" t="s">
        <v>1109</v>
      </c>
      <c r="E2830" s="5" t="s">
        <v>18453</v>
      </c>
      <c r="F2830" s="5" t="s">
        <v>16924</v>
      </c>
      <c r="G2830" s="5"/>
      <c r="H2830" s="5"/>
      <c r="I2830" s="5"/>
      <c r="J2830" s="5"/>
      <c r="K2830" s="5"/>
      <c r="L2830" s="5"/>
      <c r="M2830" s="5"/>
      <c r="N2830" s="5"/>
      <c r="O2830" s="5"/>
      <c r="P2830" s="5"/>
      <c r="Q2830" s="5"/>
      <c r="AL2830" s="7" t="str">
        <f>HYPERLINK("http://dx.doi.org/10.1017/S0266467418000093","http://dx.doi.org/10.1017/S0266467418000093")</f>
        <v>http://dx.doi.org/10.1017/S0266467418000093</v>
      </c>
      <c r="AM2830" s="5">
        <v>21</v>
      </c>
      <c r="AN2830" s="5">
        <v>22</v>
      </c>
      <c r="AO2830" s="5">
        <v>34</v>
      </c>
      <c r="AP2830" s="5" t="s">
        <v>16</v>
      </c>
      <c r="AQ2830" s="5">
        <v>145</v>
      </c>
      <c r="AR2830" s="5">
        <v>156</v>
      </c>
      <c r="AS2830" s="5" t="s">
        <v>16</v>
      </c>
      <c r="AT2830" s="5" t="s">
        <v>16922</v>
      </c>
      <c r="AU2830" s="5" t="s">
        <v>16923</v>
      </c>
      <c r="AV2830" s="5" t="s">
        <v>16925</v>
      </c>
    </row>
    <row r="2831" spans="1:48" ht="45" customHeight="1" x14ac:dyDescent="0.15">
      <c r="A2831" s="5" t="s">
        <v>16926</v>
      </c>
      <c r="B2831" s="5">
        <v>2017</v>
      </c>
      <c r="C2831" s="5" t="s">
        <v>16927</v>
      </c>
      <c r="D2831" s="5" t="s">
        <v>270</v>
      </c>
      <c r="E2831" s="5" t="s">
        <v>18453</v>
      </c>
      <c r="F2831" s="5" t="s">
        <v>16930</v>
      </c>
      <c r="G2831" s="5"/>
      <c r="H2831" s="5"/>
      <c r="I2831" s="5"/>
      <c r="J2831" s="5"/>
      <c r="K2831" s="5"/>
      <c r="L2831" s="5"/>
      <c r="M2831" s="5"/>
      <c r="N2831" s="5"/>
      <c r="O2831" s="5"/>
      <c r="P2831" s="5"/>
      <c r="Q2831" s="5"/>
      <c r="AL2831" s="7" t="str">
        <f>HYPERLINK("http://dx.doi.org/10.3391/ai.2017.12.4.09","http://dx.doi.org/10.3391/ai.2017.12.4.09")</f>
        <v>http://dx.doi.org/10.3391/ai.2017.12.4.09</v>
      </c>
      <c r="AM2831" s="5">
        <v>3</v>
      </c>
      <c r="AN2831" s="5">
        <v>3</v>
      </c>
      <c r="AO2831" s="5">
        <v>12</v>
      </c>
      <c r="AP2831" s="5">
        <v>4</v>
      </c>
      <c r="AQ2831" s="5">
        <v>523</v>
      </c>
      <c r="AR2831" s="5">
        <v>540</v>
      </c>
      <c r="AS2831" s="5" t="s">
        <v>16</v>
      </c>
      <c r="AT2831" s="5" t="s">
        <v>16928</v>
      </c>
      <c r="AU2831" s="5" t="s">
        <v>16929</v>
      </c>
      <c r="AV2831" s="5" t="s">
        <v>16931</v>
      </c>
    </row>
    <row r="2832" spans="1:48" ht="45" customHeight="1" x14ac:dyDescent="0.15">
      <c r="A2832" s="5" t="s">
        <v>16932</v>
      </c>
      <c r="B2832" s="5">
        <v>2018</v>
      </c>
      <c r="C2832" s="5" t="s">
        <v>16933</v>
      </c>
      <c r="D2832" s="5" t="s">
        <v>973</v>
      </c>
      <c r="E2832" s="5" t="s">
        <v>18453</v>
      </c>
      <c r="F2832" s="5" t="s">
        <v>16935</v>
      </c>
      <c r="G2832" s="5"/>
      <c r="H2832" s="5"/>
      <c r="I2832" s="5"/>
      <c r="J2832" s="5"/>
      <c r="K2832" s="5"/>
      <c r="L2832" s="5"/>
      <c r="M2832" s="5"/>
      <c r="N2832" s="5"/>
      <c r="O2832" s="5"/>
      <c r="P2832" s="5"/>
      <c r="Q2832" s="5"/>
      <c r="AL2832" s="7" t="str">
        <f>HYPERLINK("http://dx.doi.org/10.5194/bg-15-7025-2018","http://dx.doi.org/10.5194/bg-15-7025-2018")</f>
        <v>http://dx.doi.org/10.5194/bg-15-7025-2018</v>
      </c>
      <c r="AM2832" s="5">
        <v>13</v>
      </c>
      <c r="AN2832" s="5">
        <v>13</v>
      </c>
      <c r="AO2832" s="5">
        <v>15</v>
      </c>
      <c r="AP2832" s="5">
        <v>22</v>
      </c>
      <c r="AQ2832" s="5">
        <v>7025</v>
      </c>
      <c r="AR2832" s="5">
        <v>7042</v>
      </c>
      <c r="AS2832" s="5" t="s">
        <v>16</v>
      </c>
      <c r="AT2832" s="5" t="s">
        <v>16</v>
      </c>
      <c r="AU2832" s="5" t="s">
        <v>16934</v>
      </c>
      <c r="AV2832" s="5" t="s">
        <v>16936</v>
      </c>
    </row>
    <row r="2833" spans="1:48" ht="45" customHeight="1" x14ac:dyDescent="0.15">
      <c r="A2833" s="5" t="s">
        <v>16937</v>
      </c>
      <c r="B2833" s="5">
        <v>1992</v>
      </c>
      <c r="C2833" s="5" t="s">
        <v>16938</v>
      </c>
      <c r="D2833" s="5" t="s">
        <v>1765</v>
      </c>
      <c r="E2833" s="5" t="s">
        <v>18453</v>
      </c>
      <c r="F2833" s="5" t="s">
        <v>16940</v>
      </c>
      <c r="G2833" s="5"/>
      <c r="H2833" s="5"/>
      <c r="I2833" s="5"/>
      <c r="J2833" s="5"/>
      <c r="K2833" s="5"/>
      <c r="L2833" s="5"/>
      <c r="M2833" s="5"/>
      <c r="N2833" s="5"/>
      <c r="O2833" s="5"/>
      <c r="P2833" s="5"/>
      <c r="Q2833" s="5"/>
      <c r="AL2833" s="7" t="str">
        <f>HYPERLINK("http://dx.doi.org/10.1016/0167-8809(92)90008-Y","http://dx.doi.org/10.1016/0167-8809(92)90008-Y")</f>
        <v>http://dx.doi.org/10.1016/0167-8809(92)90008-Y</v>
      </c>
      <c r="AM2833" s="5">
        <v>16</v>
      </c>
      <c r="AN2833" s="5">
        <v>17</v>
      </c>
      <c r="AO2833" s="5">
        <v>42</v>
      </c>
      <c r="AP2833" s="5" t="s">
        <v>639</v>
      </c>
      <c r="AQ2833" s="5">
        <v>333</v>
      </c>
      <c r="AR2833" s="5">
        <v>364</v>
      </c>
      <c r="AS2833" s="5" t="s">
        <v>16</v>
      </c>
      <c r="AT2833" s="5" t="s">
        <v>16</v>
      </c>
      <c r="AU2833" s="5" t="s">
        <v>16939</v>
      </c>
      <c r="AV2833" s="5" t="s">
        <v>16941</v>
      </c>
    </row>
    <row r="2834" spans="1:48" ht="45" customHeight="1" x14ac:dyDescent="0.15">
      <c r="A2834" s="5" t="s">
        <v>16942</v>
      </c>
      <c r="B2834" s="5">
        <v>2017</v>
      </c>
      <c r="C2834" s="5" t="s">
        <v>16943</v>
      </c>
      <c r="D2834" s="5" t="s">
        <v>312</v>
      </c>
      <c r="E2834" s="5" t="s">
        <v>18453</v>
      </c>
      <c r="F2834" s="5" t="s">
        <v>16946</v>
      </c>
      <c r="G2834" s="5"/>
      <c r="H2834" s="5"/>
      <c r="I2834" s="5"/>
      <c r="J2834" s="5"/>
      <c r="K2834" s="5"/>
      <c r="L2834" s="5"/>
      <c r="M2834" s="5"/>
      <c r="N2834" s="5"/>
      <c r="O2834" s="5"/>
      <c r="P2834" s="5"/>
      <c r="Q2834" s="5"/>
      <c r="AL2834" s="7" t="str">
        <f>HYPERLINK("http://dx.doi.org/10.1016/j.ecolmodel.2017.06.015","http://dx.doi.org/10.1016/j.ecolmodel.2017.06.015")</f>
        <v>http://dx.doi.org/10.1016/j.ecolmodel.2017.06.015</v>
      </c>
      <c r="AM2834" s="5">
        <v>16</v>
      </c>
      <c r="AN2834" s="5">
        <v>16</v>
      </c>
      <c r="AO2834" s="5">
        <v>360</v>
      </c>
      <c r="AP2834" s="5" t="s">
        <v>16</v>
      </c>
      <c r="AQ2834" s="5">
        <v>194</v>
      </c>
      <c r="AR2834" s="5">
        <v>203</v>
      </c>
      <c r="AS2834" s="5" t="s">
        <v>16</v>
      </c>
      <c r="AT2834" s="5" t="s">
        <v>16944</v>
      </c>
      <c r="AU2834" s="5" t="s">
        <v>16945</v>
      </c>
      <c r="AV2834" s="5" t="s">
        <v>16947</v>
      </c>
    </row>
    <row r="2835" spans="1:48" ht="45" customHeight="1" x14ac:dyDescent="0.15">
      <c r="A2835" s="5" t="s">
        <v>16948</v>
      </c>
      <c r="B2835" s="5">
        <v>2000</v>
      </c>
      <c r="C2835" s="5" t="s">
        <v>16949</v>
      </c>
      <c r="D2835" s="5" t="s">
        <v>27</v>
      </c>
      <c r="E2835" s="5" t="s">
        <v>18453</v>
      </c>
      <c r="F2835" s="5" t="s">
        <v>16952</v>
      </c>
      <c r="G2835" s="5"/>
      <c r="H2835" s="5"/>
      <c r="I2835" s="5"/>
      <c r="J2835" s="5"/>
      <c r="K2835" s="5"/>
      <c r="L2835" s="5"/>
      <c r="M2835" s="5"/>
      <c r="N2835" s="5"/>
      <c r="O2835" s="5"/>
      <c r="P2835" s="5"/>
      <c r="Q2835" s="5"/>
      <c r="AL2835" s="7" t="str">
        <f>HYPERLINK("http://dx.doi.org/10.1890/0012-9658(2000)081[1155:UOONIT]2.0.CO;2","http://dx.doi.org/10.1890/0012-9658(2000)081[1155:UOONIT]2.0.CO;2")</f>
        <v>http://dx.doi.org/10.1890/0012-9658(2000)081[1155:UOONIT]2.0.CO;2</v>
      </c>
      <c r="AM2835" s="5">
        <v>194</v>
      </c>
      <c r="AN2835" s="5">
        <v>219</v>
      </c>
      <c r="AO2835" s="5">
        <v>81</v>
      </c>
      <c r="AP2835" s="5">
        <v>4</v>
      </c>
      <c r="AQ2835" s="5">
        <v>1155</v>
      </c>
      <c r="AR2835" s="5">
        <v>1161</v>
      </c>
      <c r="AS2835" s="5" t="s">
        <v>16</v>
      </c>
      <c r="AT2835" s="5" t="s">
        <v>16950</v>
      </c>
      <c r="AU2835" s="5" t="s">
        <v>16951</v>
      </c>
      <c r="AV2835" s="5" t="s">
        <v>16953</v>
      </c>
    </row>
    <row r="2836" spans="1:48" ht="45" customHeight="1" x14ac:dyDescent="0.15">
      <c r="A2836" s="5" t="s">
        <v>16954</v>
      </c>
      <c r="B2836" s="5">
        <v>2014</v>
      </c>
      <c r="C2836" s="5" t="s">
        <v>16955</v>
      </c>
      <c r="D2836" s="5" t="s">
        <v>217</v>
      </c>
      <c r="E2836" s="5" t="s">
        <v>18453</v>
      </c>
      <c r="F2836" s="5" t="s">
        <v>16958</v>
      </c>
      <c r="G2836" s="5"/>
      <c r="H2836" s="5"/>
      <c r="I2836" s="5"/>
      <c r="J2836" s="5"/>
      <c r="K2836" s="5"/>
      <c r="L2836" s="5"/>
      <c r="M2836" s="5"/>
      <c r="N2836" s="5"/>
      <c r="O2836" s="5"/>
      <c r="P2836" s="5"/>
      <c r="Q2836" s="5"/>
      <c r="AL2836" s="7" t="str">
        <f>HYPERLINK("http://dx.doi.org/10.1111/2041-210X.12258","http://dx.doi.org/10.1111/2041-210X.12258")</f>
        <v>http://dx.doi.org/10.1111/2041-210X.12258</v>
      </c>
      <c r="AM2836" s="5">
        <v>46</v>
      </c>
      <c r="AN2836" s="5">
        <v>53</v>
      </c>
      <c r="AO2836" s="5">
        <v>5</v>
      </c>
      <c r="AP2836" s="5">
        <v>12</v>
      </c>
      <c r="AQ2836" s="5">
        <v>1337</v>
      </c>
      <c r="AR2836" s="5">
        <v>1350</v>
      </c>
      <c r="AS2836" s="5" t="s">
        <v>16</v>
      </c>
      <c r="AT2836" s="5" t="s">
        <v>16956</v>
      </c>
      <c r="AU2836" s="5" t="s">
        <v>16957</v>
      </c>
      <c r="AV2836" s="5" t="s">
        <v>16959</v>
      </c>
    </row>
    <row r="2837" spans="1:48" ht="45" customHeight="1" x14ac:dyDescent="0.15">
      <c r="A2837" s="5" t="s">
        <v>16960</v>
      </c>
      <c r="B2837" s="5">
        <v>2021</v>
      </c>
      <c r="C2837" s="5" t="s">
        <v>16961</v>
      </c>
      <c r="D2837" s="5" t="s">
        <v>212</v>
      </c>
      <c r="E2837" s="5" t="s">
        <v>18453</v>
      </c>
      <c r="F2837" s="5" t="s">
        <v>16964</v>
      </c>
      <c r="G2837" s="5"/>
      <c r="H2837" s="5"/>
      <c r="I2837" s="5"/>
      <c r="J2837" s="5"/>
      <c r="K2837" s="5"/>
      <c r="L2837" s="5"/>
      <c r="M2837" s="5"/>
      <c r="N2837" s="5"/>
      <c r="O2837" s="5"/>
      <c r="P2837" s="5"/>
      <c r="Q2837" s="5"/>
      <c r="AL2837" s="7" t="str">
        <f>HYPERLINK("http://dx.doi.org/10.1007/s00300-021-02841-4","http://dx.doi.org/10.1007/s00300-021-02841-4")</f>
        <v>http://dx.doi.org/10.1007/s00300-021-02841-4</v>
      </c>
      <c r="AM2837" s="5">
        <v>2</v>
      </c>
      <c r="AN2837" s="5">
        <v>2</v>
      </c>
      <c r="AO2837" s="5">
        <v>44</v>
      </c>
      <c r="AP2837" s="5">
        <v>4</v>
      </c>
      <c r="AQ2837" s="5">
        <v>795</v>
      </c>
      <c r="AR2837" s="5">
        <v>808</v>
      </c>
      <c r="AS2837" s="5" t="s">
        <v>16</v>
      </c>
      <c r="AT2837" s="5" t="s">
        <v>16962</v>
      </c>
      <c r="AU2837" s="5" t="s">
        <v>16963</v>
      </c>
      <c r="AV2837" s="5" t="s">
        <v>16965</v>
      </c>
    </row>
    <row r="2838" spans="1:48" ht="45" customHeight="1" x14ac:dyDescent="0.15">
      <c r="A2838" s="5" t="s">
        <v>16966</v>
      </c>
      <c r="B2838" s="5">
        <v>2002</v>
      </c>
      <c r="C2838" s="5" t="s">
        <v>16967</v>
      </c>
      <c r="D2838" s="5" t="s">
        <v>172</v>
      </c>
      <c r="E2838" s="5" t="s">
        <v>18453</v>
      </c>
      <c r="F2838" s="5" t="s">
        <v>16970</v>
      </c>
      <c r="G2838" s="5"/>
      <c r="H2838" s="5"/>
      <c r="I2838" s="5"/>
      <c r="J2838" s="5"/>
      <c r="K2838" s="5"/>
      <c r="L2838" s="5"/>
      <c r="M2838" s="5"/>
      <c r="N2838" s="5"/>
      <c r="O2838" s="5"/>
      <c r="P2838" s="5"/>
      <c r="Q2838" s="5"/>
      <c r="AL2838" s="7" t="str">
        <f>HYPERLINK("http://dx.doi.org/10.1007/s00442-002-0879-7","http://dx.doi.org/10.1007/s00442-002-0879-7")</f>
        <v>http://dx.doi.org/10.1007/s00442-002-0879-7</v>
      </c>
      <c r="AM2838" s="5">
        <v>70</v>
      </c>
      <c r="AN2838" s="5">
        <v>75</v>
      </c>
      <c r="AO2838" s="5">
        <v>131</v>
      </c>
      <c r="AP2838" s="5">
        <v>2</v>
      </c>
      <c r="AQ2838" s="5">
        <v>261</v>
      </c>
      <c r="AR2838" s="5">
        <v>268</v>
      </c>
      <c r="AS2838" s="5" t="s">
        <v>16</v>
      </c>
      <c r="AT2838" s="5" t="s">
        <v>16968</v>
      </c>
      <c r="AU2838" s="5" t="s">
        <v>16969</v>
      </c>
      <c r="AV2838" s="5" t="s">
        <v>16971</v>
      </c>
    </row>
    <row r="2839" spans="1:48" ht="45" customHeight="1" x14ac:dyDescent="0.15">
      <c r="A2839" s="5" t="s">
        <v>16972</v>
      </c>
      <c r="B2839" s="5">
        <v>2023</v>
      </c>
      <c r="C2839" s="5" t="s">
        <v>16973</v>
      </c>
      <c r="D2839" s="5" t="s">
        <v>162</v>
      </c>
      <c r="E2839" s="5" t="s">
        <v>18453</v>
      </c>
      <c r="F2839" s="5" t="s">
        <v>16976</v>
      </c>
      <c r="G2839" s="5"/>
      <c r="H2839" s="5"/>
      <c r="I2839" s="5"/>
      <c r="J2839" s="5"/>
      <c r="K2839" s="5"/>
      <c r="L2839" s="5"/>
      <c r="M2839" s="5"/>
      <c r="N2839" s="5"/>
      <c r="O2839" s="5"/>
      <c r="P2839" s="5"/>
      <c r="Q2839" s="5"/>
      <c r="AL2839" s="7" t="str">
        <f>HYPERLINK("http://dx.doi.org/10.1111/1365-2435.14286","http://dx.doi.org/10.1111/1365-2435.14286")</f>
        <v>http://dx.doi.org/10.1111/1365-2435.14286</v>
      </c>
      <c r="AM2839" s="5">
        <v>0</v>
      </c>
      <c r="AN2839" s="5">
        <v>0</v>
      </c>
      <c r="AO2839" s="5">
        <v>37</v>
      </c>
      <c r="AP2839" s="5">
        <v>4</v>
      </c>
      <c r="AQ2839" s="5">
        <v>929</v>
      </c>
      <c r="AR2839" s="5">
        <v>946</v>
      </c>
      <c r="AS2839" s="5" t="s">
        <v>16</v>
      </c>
      <c r="AT2839" s="5" t="s">
        <v>16974</v>
      </c>
      <c r="AU2839" s="5" t="s">
        <v>16975</v>
      </c>
      <c r="AV2839" s="5" t="s">
        <v>16977</v>
      </c>
    </row>
    <row r="2840" spans="1:48" ht="45" customHeight="1" x14ac:dyDescent="0.15">
      <c r="A2840" s="5" t="s">
        <v>16978</v>
      </c>
      <c r="B2840" s="5">
        <v>2019</v>
      </c>
      <c r="C2840" s="5" t="s">
        <v>16979</v>
      </c>
      <c r="D2840" s="5" t="s">
        <v>251</v>
      </c>
      <c r="E2840" s="5" t="s">
        <v>18453</v>
      </c>
      <c r="F2840" s="5" t="s">
        <v>16982</v>
      </c>
      <c r="G2840" s="5"/>
      <c r="H2840" s="5"/>
      <c r="I2840" s="5"/>
      <c r="J2840" s="5"/>
      <c r="K2840" s="5"/>
      <c r="L2840" s="5"/>
      <c r="M2840" s="5"/>
      <c r="N2840" s="5"/>
      <c r="O2840" s="5"/>
      <c r="P2840" s="5"/>
      <c r="Q2840" s="5"/>
      <c r="AL2840" s="7" t="str">
        <f>HYPERLINK("http://dx.doi.org/10.1016/j.biocon.2019.108220","http://dx.doi.org/10.1016/j.biocon.2019.108220")</f>
        <v>http://dx.doi.org/10.1016/j.biocon.2019.108220</v>
      </c>
      <c r="AM2840" s="5">
        <v>2</v>
      </c>
      <c r="AN2840" s="5">
        <v>2</v>
      </c>
      <c r="AO2840" s="5">
        <v>238</v>
      </c>
      <c r="AP2840" s="5" t="s">
        <v>16</v>
      </c>
      <c r="AQ2840" s="5" t="s">
        <v>16</v>
      </c>
      <c r="AR2840" s="5" t="s">
        <v>16</v>
      </c>
      <c r="AS2840" s="5">
        <v>108220</v>
      </c>
      <c r="AT2840" s="5" t="s">
        <v>16980</v>
      </c>
      <c r="AU2840" s="5" t="s">
        <v>16981</v>
      </c>
      <c r="AV2840" s="5" t="s">
        <v>16983</v>
      </c>
    </row>
    <row r="2841" spans="1:48" ht="45" customHeight="1" x14ac:dyDescent="0.15">
      <c r="A2841" s="5" t="s">
        <v>16984</v>
      </c>
      <c r="B2841" s="5">
        <v>2016</v>
      </c>
      <c r="C2841" s="5" t="s">
        <v>16985</v>
      </c>
      <c r="D2841" s="5" t="s">
        <v>16986</v>
      </c>
      <c r="E2841" s="5" t="s">
        <v>18453</v>
      </c>
      <c r="F2841" s="5" t="s">
        <v>16989</v>
      </c>
      <c r="G2841" s="5"/>
      <c r="H2841" s="5"/>
      <c r="I2841" s="5"/>
      <c r="J2841" s="5"/>
      <c r="K2841" s="5"/>
      <c r="L2841" s="5"/>
      <c r="M2841" s="5"/>
      <c r="N2841" s="5"/>
      <c r="O2841" s="5"/>
      <c r="P2841" s="5"/>
      <c r="Q2841" s="5"/>
      <c r="AL2841" s="5" t="s">
        <v>16</v>
      </c>
      <c r="AM2841" s="5">
        <v>15</v>
      </c>
      <c r="AN2841" s="5">
        <v>15</v>
      </c>
      <c r="AO2841" s="5">
        <v>40</v>
      </c>
      <c r="AP2841" s="5">
        <v>2</v>
      </c>
      <c r="AQ2841" s="5">
        <v>235</v>
      </c>
      <c r="AR2841" s="5">
        <v>249</v>
      </c>
      <c r="AS2841" s="5" t="s">
        <v>16</v>
      </c>
      <c r="AT2841" s="5" t="s">
        <v>16987</v>
      </c>
      <c r="AU2841" s="5" t="s">
        <v>16988</v>
      </c>
      <c r="AV2841" s="5" t="s">
        <v>16</v>
      </c>
    </row>
    <row r="2842" spans="1:48" ht="45" customHeight="1" x14ac:dyDescent="0.15">
      <c r="A2842" s="5" t="s">
        <v>16990</v>
      </c>
      <c r="B2842" s="5">
        <v>1999</v>
      </c>
      <c r="C2842" s="5" t="s">
        <v>16991</v>
      </c>
      <c r="D2842" s="5" t="s">
        <v>172</v>
      </c>
      <c r="E2842" s="5" t="s">
        <v>18453</v>
      </c>
      <c r="F2842" s="5" t="s">
        <v>16994</v>
      </c>
      <c r="G2842" s="5"/>
      <c r="H2842" s="5"/>
      <c r="I2842" s="5"/>
      <c r="J2842" s="5"/>
      <c r="K2842" s="5"/>
      <c r="L2842" s="5"/>
      <c r="M2842" s="5"/>
      <c r="N2842" s="5"/>
      <c r="O2842" s="5"/>
      <c r="P2842" s="5"/>
      <c r="Q2842" s="5"/>
      <c r="AL2842" s="7" t="str">
        <f>HYPERLINK("http://dx.doi.org/10.1007/s004420050807","http://dx.doi.org/10.1007/s004420050807")</f>
        <v>http://dx.doi.org/10.1007/s004420050807</v>
      </c>
      <c r="AM2842" s="5">
        <v>53</v>
      </c>
      <c r="AN2842" s="5">
        <v>56</v>
      </c>
      <c r="AO2842" s="5">
        <v>119</v>
      </c>
      <c r="AP2842" s="5">
        <v>3</v>
      </c>
      <c r="AQ2842" s="5">
        <v>452</v>
      </c>
      <c r="AR2842" s="5">
        <v>460</v>
      </c>
      <c r="AS2842" s="5" t="s">
        <v>16</v>
      </c>
      <c r="AT2842" s="5" t="s">
        <v>16992</v>
      </c>
      <c r="AU2842" s="5" t="s">
        <v>16993</v>
      </c>
      <c r="AV2842" s="5" t="s">
        <v>16995</v>
      </c>
    </row>
    <row r="2843" spans="1:48" ht="45" customHeight="1" x14ac:dyDescent="0.15">
      <c r="A2843" s="5" t="s">
        <v>16996</v>
      </c>
      <c r="B2843" s="5">
        <v>1996</v>
      </c>
      <c r="C2843" s="5" t="s">
        <v>16997</v>
      </c>
      <c r="D2843" s="5" t="s">
        <v>13092</v>
      </c>
      <c r="E2843" s="5" t="s">
        <v>18453</v>
      </c>
      <c r="F2843" s="5" t="s">
        <v>17000</v>
      </c>
      <c r="G2843" s="5"/>
      <c r="H2843" s="5"/>
      <c r="I2843" s="5"/>
      <c r="J2843" s="5"/>
      <c r="K2843" s="5"/>
      <c r="L2843" s="5"/>
      <c r="M2843" s="5"/>
      <c r="N2843" s="5"/>
      <c r="O2843" s="5"/>
      <c r="P2843" s="5"/>
      <c r="Q2843" s="5"/>
      <c r="AL2843" s="7" t="str">
        <f>HYPERLINK("http://dx.doi.org/10.1007/BF01239346","http://dx.doi.org/10.1007/BF01239346")</f>
        <v>http://dx.doi.org/10.1007/BF01239346</v>
      </c>
      <c r="AM2843" s="5">
        <v>40</v>
      </c>
      <c r="AN2843" s="5">
        <v>42</v>
      </c>
      <c r="AO2843" s="5">
        <v>10</v>
      </c>
      <c r="AP2843" s="5">
        <v>1</v>
      </c>
      <c r="AQ2843" s="5">
        <v>51</v>
      </c>
      <c r="AR2843" s="5">
        <v>62</v>
      </c>
      <c r="AS2843" s="5" t="s">
        <v>16</v>
      </c>
      <c r="AT2843" s="5" t="s">
        <v>16998</v>
      </c>
      <c r="AU2843" s="5" t="s">
        <v>16999</v>
      </c>
      <c r="AV2843" s="5" t="s">
        <v>17001</v>
      </c>
    </row>
    <row r="2844" spans="1:48" ht="45" customHeight="1" x14ac:dyDescent="0.15">
      <c r="A2844" s="5" t="s">
        <v>17002</v>
      </c>
      <c r="B2844" s="5">
        <v>2022</v>
      </c>
      <c r="C2844" s="5" t="s">
        <v>17003</v>
      </c>
      <c r="D2844" s="5" t="s">
        <v>262</v>
      </c>
      <c r="E2844" s="5" t="s">
        <v>18453</v>
      </c>
      <c r="F2844" s="5" t="s">
        <v>17006</v>
      </c>
      <c r="G2844" s="5"/>
      <c r="H2844" s="5"/>
      <c r="I2844" s="5"/>
      <c r="J2844" s="5"/>
      <c r="K2844" s="5"/>
      <c r="L2844" s="5"/>
      <c r="M2844" s="5"/>
      <c r="N2844" s="5"/>
      <c r="O2844" s="5"/>
      <c r="P2844" s="5"/>
      <c r="Q2844" s="5"/>
      <c r="AL2844" s="7" t="str">
        <f>HYPERLINK("http://dx.doi.org/10.1111/oik.09096","http://dx.doi.org/10.1111/oik.09096")</f>
        <v>http://dx.doi.org/10.1111/oik.09096</v>
      </c>
      <c r="AM2844" s="5">
        <v>2</v>
      </c>
      <c r="AN2844" s="5">
        <v>2</v>
      </c>
      <c r="AO2844" s="5">
        <v>2022</v>
      </c>
      <c r="AP2844" s="5">
        <v>7</v>
      </c>
      <c r="AQ2844" s="5" t="s">
        <v>16</v>
      </c>
      <c r="AR2844" s="5" t="s">
        <v>16</v>
      </c>
      <c r="AS2844" s="5" t="s">
        <v>17007</v>
      </c>
      <c r="AT2844" s="5" t="s">
        <v>17004</v>
      </c>
      <c r="AU2844" s="5" t="s">
        <v>17005</v>
      </c>
      <c r="AV2844" s="5" t="s">
        <v>17008</v>
      </c>
    </row>
    <row r="2845" spans="1:48" ht="45" customHeight="1" x14ac:dyDescent="0.15">
      <c r="A2845" s="5" t="s">
        <v>17009</v>
      </c>
      <c r="B2845" s="5">
        <v>1994</v>
      </c>
      <c r="C2845" s="5" t="s">
        <v>17010</v>
      </c>
      <c r="D2845" s="5" t="s">
        <v>295</v>
      </c>
      <c r="E2845" s="5" t="s">
        <v>18453</v>
      </c>
      <c r="F2845" s="5" t="s">
        <v>17013</v>
      </c>
      <c r="G2845" s="5"/>
      <c r="H2845" s="5"/>
      <c r="I2845" s="5"/>
      <c r="J2845" s="5"/>
      <c r="K2845" s="5"/>
      <c r="L2845" s="5"/>
      <c r="M2845" s="5"/>
      <c r="N2845" s="5"/>
      <c r="O2845" s="5"/>
      <c r="P2845" s="5"/>
      <c r="Q2845" s="5"/>
      <c r="AL2845" s="7" t="str">
        <f>HYPERLINK("http://dx.doi.org/10.1016/0022-0981(94)90228-3","http://dx.doi.org/10.1016/0022-0981(94)90228-3")</f>
        <v>http://dx.doi.org/10.1016/0022-0981(94)90228-3</v>
      </c>
      <c r="AM2845" s="5">
        <v>179</v>
      </c>
      <c r="AN2845" s="5">
        <v>181</v>
      </c>
      <c r="AO2845" s="5">
        <v>178</v>
      </c>
      <c r="AP2845" s="5">
        <v>1</v>
      </c>
      <c r="AQ2845" s="5">
        <v>113</v>
      </c>
      <c r="AR2845" s="5">
        <v>129</v>
      </c>
      <c r="AS2845" s="5" t="s">
        <v>16</v>
      </c>
      <c r="AT2845" s="5" t="s">
        <v>17011</v>
      </c>
      <c r="AU2845" s="5" t="s">
        <v>17012</v>
      </c>
      <c r="AV2845" s="5" t="s">
        <v>17014</v>
      </c>
    </row>
    <row r="2846" spans="1:48" ht="45" customHeight="1" x14ac:dyDescent="0.15">
      <c r="A2846" s="5" t="s">
        <v>17015</v>
      </c>
      <c r="B2846" s="5">
        <v>2002</v>
      </c>
      <c r="C2846" s="5" t="s">
        <v>17016</v>
      </c>
      <c r="D2846" s="5" t="s">
        <v>172</v>
      </c>
      <c r="E2846" s="5" t="s">
        <v>18453</v>
      </c>
      <c r="F2846" s="5" t="s">
        <v>17019</v>
      </c>
      <c r="G2846" s="5"/>
      <c r="H2846" s="5"/>
      <c r="I2846" s="5"/>
      <c r="J2846" s="5"/>
      <c r="K2846" s="5"/>
      <c r="L2846" s="5"/>
      <c r="M2846" s="5"/>
      <c r="N2846" s="5"/>
      <c r="O2846" s="5"/>
      <c r="P2846" s="5"/>
      <c r="Q2846" s="5"/>
      <c r="AL2846" s="7" t="str">
        <f>HYPERLINK("http://dx.doi.org/10.1007/s004420100807","http://dx.doi.org/10.1007/s004420100807")</f>
        <v>http://dx.doi.org/10.1007/s004420100807</v>
      </c>
      <c r="AM2846" s="5">
        <v>21</v>
      </c>
      <c r="AN2846" s="5">
        <v>21</v>
      </c>
      <c r="AO2846" s="5">
        <v>130</v>
      </c>
      <c r="AP2846" s="5">
        <v>2</v>
      </c>
      <c r="AQ2846" s="5">
        <v>309</v>
      </c>
      <c r="AR2846" s="5">
        <v>314</v>
      </c>
      <c r="AS2846" s="5" t="s">
        <v>16</v>
      </c>
      <c r="AT2846" s="5" t="s">
        <v>17017</v>
      </c>
      <c r="AU2846" s="5" t="s">
        <v>17018</v>
      </c>
      <c r="AV2846" s="5" t="s">
        <v>17020</v>
      </c>
    </row>
    <row r="2847" spans="1:48" ht="45" customHeight="1" x14ac:dyDescent="0.15">
      <c r="A2847" s="5" t="s">
        <v>17021</v>
      </c>
      <c r="B2847" s="5">
        <v>2020</v>
      </c>
      <c r="C2847" s="5" t="s">
        <v>17022</v>
      </c>
      <c r="D2847" s="5" t="s">
        <v>1900</v>
      </c>
      <c r="E2847" s="5" t="s">
        <v>18453</v>
      </c>
      <c r="F2847" s="5" t="s">
        <v>17024</v>
      </c>
      <c r="G2847" s="5"/>
      <c r="H2847" s="5"/>
      <c r="I2847" s="5"/>
      <c r="J2847" s="5"/>
      <c r="K2847" s="5"/>
      <c r="L2847" s="5"/>
      <c r="M2847" s="5"/>
      <c r="N2847" s="5"/>
      <c r="O2847" s="5"/>
      <c r="P2847" s="5"/>
      <c r="Q2847" s="5"/>
      <c r="AL2847" s="7" t="str">
        <f>HYPERLINK("http://dx.doi.org/10.1656/058.019.0112","http://dx.doi.org/10.1656/058.019.0112")</f>
        <v>http://dx.doi.org/10.1656/058.019.0112</v>
      </c>
      <c r="AM2847" s="5">
        <v>4</v>
      </c>
      <c r="AN2847" s="5">
        <v>4</v>
      </c>
      <c r="AO2847" s="5">
        <v>19</v>
      </c>
      <c r="AP2847" s="5">
        <v>1</v>
      </c>
      <c r="AQ2847" s="5">
        <v>103</v>
      </c>
      <c r="AR2847" s="5">
        <v>127</v>
      </c>
      <c r="AS2847" s="5" t="s">
        <v>16</v>
      </c>
      <c r="AT2847" s="5" t="s">
        <v>16</v>
      </c>
      <c r="AU2847" s="5" t="s">
        <v>17023</v>
      </c>
      <c r="AV2847" s="5" t="s">
        <v>17025</v>
      </c>
    </row>
    <row r="2848" spans="1:48" ht="45" customHeight="1" x14ac:dyDescent="0.15">
      <c r="A2848" s="5" t="s">
        <v>17026</v>
      </c>
      <c r="B2848" s="5">
        <v>2017</v>
      </c>
      <c r="C2848" s="5" t="s">
        <v>17027</v>
      </c>
      <c r="D2848" s="5" t="s">
        <v>14824</v>
      </c>
      <c r="E2848" s="5" t="s">
        <v>18453</v>
      </c>
      <c r="F2848" s="5" t="s">
        <v>17030</v>
      </c>
      <c r="G2848" s="5"/>
      <c r="H2848" s="5"/>
      <c r="I2848" s="5"/>
      <c r="J2848" s="5"/>
      <c r="K2848" s="5"/>
      <c r="L2848" s="5"/>
      <c r="M2848" s="5"/>
      <c r="N2848" s="5"/>
      <c r="O2848" s="5"/>
      <c r="P2848" s="5"/>
      <c r="Q2848" s="5"/>
      <c r="AL2848" s="7" t="str">
        <f>HYPERLINK("http://dx.doi.org/10.1007/s10393-017-1210-8","http://dx.doi.org/10.1007/s10393-017-1210-8")</f>
        <v>http://dx.doi.org/10.1007/s10393-017-1210-8</v>
      </c>
      <c r="AM2848" s="5">
        <v>12</v>
      </c>
      <c r="AN2848" s="5">
        <v>12</v>
      </c>
      <c r="AO2848" s="5">
        <v>14</v>
      </c>
      <c r="AP2848" s="5">
        <v>1</v>
      </c>
      <c r="AQ2848" s="5">
        <v>48</v>
      </c>
      <c r="AR2848" s="5">
        <v>57</v>
      </c>
      <c r="AS2848" s="5" t="s">
        <v>16</v>
      </c>
      <c r="AT2848" s="5" t="s">
        <v>17028</v>
      </c>
      <c r="AU2848" s="5" t="s">
        <v>17029</v>
      </c>
      <c r="AV2848" s="5" t="s">
        <v>17031</v>
      </c>
    </row>
    <row r="2849" spans="1:48" ht="45" customHeight="1" x14ac:dyDescent="0.15">
      <c r="A2849" s="5" t="s">
        <v>17032</v>
      </c>
      <c r="B2849" s="5">
        <v>2023</v>
      </c>
      <c r="C2849" s="5" t="s">
        <v>17033</v>
      </c>
      <c r="D2849" s="5" t="s">
        <v>59</v>
      </c>
      <c r="E2849" s="5" t="s">
        <v>18453</v>
      </c>
      <c r="F2849" s="5" t="s">
        <v>17036</v>
      </c>
      <c r="G2849" s="5"/>
      <c r="H2849" s="5"/>
      <c r="I2849" s="5"/>
      <c r="J2849" s="5"/>
      <c r="K2849" s="5"/>
      <c r="L2849" s="5"/>
      <c r="M2849" s="5"/>
      <c r="N2849" s="5"/>
      <c r="O2849" s="5"/>
      <c r="P2849" s="5"/>
      <c r="Q2849" s="5"/>
      <c r="AL2849" s="7" t="str">
        <f>HYPERLINK("http://dx.doi.org/10.1111/ele.14138","http://dx.doi.org/10.1111/ele.14138")</f>
        <v>http://dx.doi.org/10.1111/ele.14138</v>
      </c>
      <c r="AM2849" s="5">
        <v>0</v>
      </c>
      <c r="AN2849" s="5">
        <v>0</v>
      </c>
      <c r="AO2849" s="5">
        <v>26</v>
      </c>
      <c r="AP2849" s="5">
        <v>1</v>
      </c>
      <c r="AQ2849" s="5">
        <v>111</v>
      </c>
      <c r="AR2849" s="5">
        <v>123</v>
      </c>
      <c r="AS2849" s="5" t="s">
        <v>16</v>
      </c>
      <c r="AT2849" s="5" t="s">
        <v>17034</v>
      </c>
      <c r="AU2849" s="5" t="s">
        <v>17035</v>
      </c>
      <c r="AV2849" s="5" t="s">
        <v>17037</v>
      </c>
    </row>
    <row r="2850" spans="1:48" ht="45" customHeight="1" x14ac:dyDescent="0.15">
      <c r="A2850" s="5" t="s">
        <v>17038</v>
      </c>
      <c r="B2850" s="5">
        <v>1998</v>
      </c>
      <c r="C2850" s="5" t="s">
        <v>17039</v>
      </c>
      <c r="D2850" s="5" t="s">
        <v>124</v>
      </c>
      <c r="E2850" s="5" t="s">
        <v>18453</v>
      </c>
      <c r="F2850" s="5" t="s">
        <v>17042</v>
      </c>
      <c r="G2850" s="5"/>
      <c r="H2850" s="5"/>
      <c r="I2850" s="5"/>
      <c r="J2850" s="5"/>
      <c r="K2850" s="5"/>
      <c r="L2850" s="5"/>
      <c r="M2850" s="5"/>
      <c r="N2850" s="5"/>
      <c r="O2850" s="5"/>
      <c r="P2850" s="5"/>
      <c r="Q2850" s="5"/>
      <c r="AL2850" s="7" t="str">
        <f>HYPERLINK("http://dx.doi.org/10.1086/286122","http://dx.doi.org/10.1086/286122")</f>
        <v>http://dx.doi.org/10.1086/286122</v>
      </c>
      <c r="AM2850" s="5">
        <v>282</v>
      </c>
      <c r="AN2850" s="5">
        <v>291</v>
      </c>
      <c r="AO2850" s="5">
        <v>151</v>
      </c>
      <c r="AP2850" s="5">
        <v>4</v>
      </c>
      <c r="AQ2850" s="5">
        <v>327</v>
      </c>
      <c r="AR2850" s="5">
        <v>342</v>
      </c>
      <c r="AS2850" s="5" t="s">
        <v>16</v>
      </c>
      <c r="AT2850" s="5" t="s">
        <v>17040</v>
      </c>
      <c r="AU2850" s="5" t="s">
        <v>17041</v>
      </c>
      <c r="AV2850" s="5" t="s">
        <v>17043</v>
      </c>
    </row>
    <row r="2851" spans="1:48" ht="45" customHeight="1" x14ac:dyDescent="0.15">
      <c r="A2851" s="5" t="s">
        <v>17044</v>
      </c>
      <c r="B2851" s="5">
        <v>2013</v>
      </c>
      <c r="C2851" s="5" t="s">
        <v>17045</v>
      </c>
      <c r="D2851" s="5" t="s">
        <v>295</v>
      </c>
      <c r="E2851" s="5" t="s">
        <v>18453</v>
      </c>
      <c r="F2851" s="5" t="s">
        <v>17048</v>
      </c>
      <c r="G2851" s="5"/>
      <c r="H2851" s="5"/>
      <c r="I2851" s="5"/>
      <c r="J2851" s="5"/>
      <c r="K2851" s="5"/>
      <c r="L2851" s="5"/>
      <c r="M2851" s="5"/>
      <c r="N2851" s="5"/>
      <c r="O2851" s="5"/>
      <c r="P2851" s="5"/>
      <c r="Q2851" s="5"/>
      <c r="AL2851" s="7" t="str">
        <f>HYPERLINK("http://dx.doi.org/10.1016/j.jembe.2013.01.013","http://dx.doi.org/10.1016/j.jembe.2013.01.013")</f>
        <v>http://dx.doi.org/10.1016/j.jembe.2013.01.013</v>
      </c>
      <c r="AM2851" s="5">
        <v>12</v>
      </c>
      <c r="AN2851" s="5">
        <v>12</v>
      </c>
      <c r="AO2851" s="5">
        <v>441</v>
      </c>
      <c r="AP2851" s="5" t="s">
        <v>16</v>
      </c>
      <c r="AQ2851" s="5">
        <v>62</v>
      </c>
      <c r="AR2851" s="5">
        <v>70</v>
      </c>
      <c r="AS2851" s="5" t="s">
        <v>16</v>
      </c>
      <c r="AT2851" s="5" t="s">
        <v>17046</v>
      </c>
      <c r="AU2851" s="5" t="s">
        <v>17047</v>
      </c>
      <c r="AV2851" s="5" t="s">
        <v>17049</v>
      </c>
    </row>
    <row r="2852" spans="1:48" ht="45" customHeight="1" x14ac:dyDescent="0.15">
      <c r="A2852" s="5" t="s">
        <v>17050</v>
      </c>
      <c r="B2852" s="5">
        <v>2016</v>
      </c>
      <c r="C2852" s="5" t="s">
        <v>17051</v>
      </c>
      <c r="D2852" s="5" t="s">
        <v>160</v>
      </c>
      <c r="E2852" s="5" t="s">
        <v>18453</v>
      </c>
      <c r="F2852" s="5" t="s">
        <v>17054</v>
      </c>
      <c r="G2852" s="5"/>
      <c r="H2852" s="5"/>
      <c r="I2852" s="5"/>
      <c r="J2852" s="5"/>
      <c r="K2852" s="5"/>
      <c r="L2852" s="5"/>
      <c r="M2852" s="5"/>
      <c r="N2852" s="5"/>
      <c r="O2852" s="5"/>
      <c r="P2852" s="5"/>
      <c r="Q2852" s="5"/>
      <c r="AL2852" s="7" t="str">
        <f>HYPERLINK("http://dx.doi.org/10.1111/1365-2664.12563","http://dx.doi.org/10.1111/1365-2664.12563")</f>
        <v>http://dx.doi.org/10.1111/1365-2664.12563</v>
      </c>
      <c r="AM2852" s="5">
        <v>50</v>
      </c>
      <c r="AN2852" s="5">
        <v>50</v>
      </c>
      <c r="AO2852" s="5">
        <v>53</v>
      </c>
      <c r="AP2852" s="5">
        <v>2</v>
      </c>
      <c r="AQ2852" s="5">
        <v>371</v>
      </c>
      <c r="AR2852" s="5">
        <v>378</v>
      </c>
      <c r="AS2852" s="5" t="s">
        <v>16</v>
      </c>
      <c r="AT2852" s="5" t="s">
        <v>17052</v>
      </c>
      <c r="AU2852" s="5" t="s">
        <v>17053</v>
      </c>
      <c r="AV2852" s="5" t="s">
        <v>17055</v>
      </c>
    </row>
    <row r="2853" spans="1:48" ht="45" customHeight="1" x14ac:dyDescent="0.15">
      <c r="A2853" s="5" t="s">
        <v>17056</v>
      </c>
      <c r="B2853" s="5">
        <v>2015</v>
      </c>
      <c r="C2853" s="5" t="s">
        <v>17057</v>
      </c>
      <c r="D2853" s="5" t="s">
        <v>124</v>
      </c>
      <c r="E2853" s="5" t="s">
        <v>18453</v>
      </c>
      <c r="F2853" s="5" t="s">
        <v>17060</v>
      </c>
      <c r="G2853" s="5"/>
      <c r="H2853" s="5"/>
      <c r="I2853" s="5"/>
      <c r="J2853" s="5"/>
      <c r="K2853" s="5"/>
      <c r="L2853" s="5"/>
      <c r="M2853" s="5"/>
      <c r="N2853" s="5"/>
      <c r="O2853" s="5"/>
      <c r="P2853" s="5"/>
      <c r="Q2853" s="5"/>
      <c r="AL2853" s="7" t="str">
        <f>HYPERLINK("http://dx.doi.org/10.1086/680496","http://dx.doi.org/10.1086/680496")</f>
        <v>http://dx.doi.org/10.1086/680496</v>
      </c>
      <c r="AM2853" s="5">
        <v>23</v>
      </c>
      <c r="AN2853" s="5">
        <v>23</v>
      </c>
      <c r="AO2853" s="5">
        <v>185</v>
      </c>
      <c r="AP2853" s="5">
        <v>5</v>
      </c>
      <c r="AQ2853" s="5">
        <v>680</v>
      </c>
      <c r="AR2853" s="5">
        <v>692</v>
      </c>
      <c r="AS2853" s="5" t="s">
        <v>16</v>
      </c>
      <c r="AT2853" s="5" t="s">
        <v>17058</v>
      </c>
      <c r="AU2853" s="5" t="s">
        <v>17059</v>
      </c>
      <c r="AV2853" s="5" t="s">
        <v>17061</v>
      </c>
    </row>
    <row r="2854" spans="1:48" ht="45" customHeight="1" x14ac:dyDescent="0.15">
      <c r="A2854" s="5" t="s">
        <v>17062</v>
      </c>
      <c r="B2854" s="5">
        <v>2015</v>
      </c>
      <c r="C2854" s="5" t="s">
        <v>17063</v>
      </c>
      <c r="D2854" s="5" t="s">
        <v>295</v>
      </c>
      <c r="E2854" s="5" t="s">
        <v>18453</v>
      </c>
      <c r="F2854" s="5" t="s">
        <v>17066</v>
      </c>
      <c r="G2854" s="5"/>
      <c r="H2854" s="5"/>
      <c r="I2854" s="5"/>
      <c r="J2854" s="5"/>
      <c r="K2854" s="5"/>
      <c r="L2854" s="5"/>
      <c r="M2854" s="5"/>
      <c r="N2854" s="5"/>
      <c r="O2854" s="5"/>
      <c r="P2854" s="5"/>
      <c r="Q2854" s="5"/>
      <c r="AL2854" s="7" t="str">
        <f>HYPERLINK("http://dx.doi.org/10.1016/j.jembe.2015.05.005","http://dx.doi.org/10.1016/j.jembe.2015.05.005")</f>
        <v>http://dx.doi.org/10.1016/j.jembe.2015.05.005</v>
      </c>
      <c r="AM2854" s="5">
        <v>27</v>
      </c>
      <c r="AN2854" s="5">
        <v>28</v>
      </c>
      <c r="AO2854" s="5">
        <v>471</v>
      </c>
      <c r="AP2854" s="5" t="s">
        <v>16</v>
      </c>
      <c r="AQ2854" s="5">
        <v>64</v>
      </c>
      <c r="AR2854" s="5">
        <v>76</v>
      </c>
      <c r="AS2854" s="5" t="s">
        <v>16</v>
      </c>
      <c r="AT2854" s="5" t="s">
        <v>17064</v>
      </c>
      <c r="AU2854" s="5" t="s">
        <v>17065</v>
      </c>
      <c r="AV2854" s="5" t="s">
        <v>17067</v>
      </c>
    </row>
    <row r="2855" spans="1:48" ht="45" customHeight="1" x14ac:dyDescent="0.15">
      <c r="A2855" s="5" t="s">
        <v>17068</v>
      </c>
      <c r="B2855" s="5">
        <v>2019</v>
      </c>
      <c r="C2855" s="5" t="s">
        <v>17069</v>
      </c>
      <c r="D2855" s="5" t="s">
        <v>973</v>
      </c>
      <c r="E2855" s="5" t="s">
        <v>18453</v>
      </c>
      <c r="F2855" s="5" t="s">
        <v>17071</v>
      </c>
      <c r="G2855" s="5"/>
      <c r="H2855" s="5"/>
      <c r="I2855" s="5"/>
      <c r="J2855" s="5"/>
      <c r="K2855" s="5"/>
      <c r="L2855" s="5"/>
      <c r="M2855" s="5"/>
      <c r="N2855" s="5"/>
      <c r="O2855" s="5"/>
      <c r="P2855" s="5"/>
      <c r="Q2855" s="5"/>
      <c r="AL2855" s="7" t="str">
        <f>HYPERLINK("http://dx.doi.org/10.5194/bg-16-3941-2019","http://dx.doi.org/10.5194/bg-16-3941-2019")</f>
        <v>http://dx.doi.org/10.5194/bg-16-3941-2019</v>
      </c>
      <c r="AM2855" s="5">
        <v>7</v>
      </c>
      <c r="AN2855" s="5">
        <v>7</v>
      </c>
      <c r="AO2855" s="5">
        <v>16</v>
      </c>
      <c r="AP2855" s="5">
        <v>19</v>
      </c>
      <c r="AQ2855" s="5">
        <v>3941</v>
      </c>
      <c r="AR2855" s="5">
        <v>3958</v>
      </c>
      <c r="AS2855" s="5" t="s">
        <v>16</v>
      </c>
      <c r="AT2855" s="5" t="s">
        <v>16</v>
      </c>
      <c r="AU2855" s="5" t="s">
        <v>17070</v>
      </c>
      <c r="AV2855" s="5" t="s">
        <v>17072</v>
      </c>
    </row>
    <row r="2856" spans="1:48" ht="45" customHeight="1" x14ac:dyDescent="0.15">
      <c r="A2856" s="5" t="s">
        <v>17073</v>
      </c>
      <c r="B2856" s="5">
        <v>2013</v>
      </c>
      <c r="C2856" s="5" t="s">
        <v>17074</v>
      </c>
      <c r="D2856" s="5" t="s">
        <v>172</v>
      </c>
      <c r="E2856" s="5" t="s">
        <v>18453</v>
      </c>
      <c r="F2856" s="5" t="s">
        <v>17077</v>
      </c>
      <c r="G2856" s="5"/>
      <c r="H2856" s="5"/>
      <c r="I2856" s="5"/>
      <c r="J2856" s="5"/>
      <c r="K2856" s="5"/>
      <c r="L2856" s="5"/>
      <c r="M2856" s="5"/>
      <c r="N2856" s="5"/>
      <c r="O2856" s="5"/>
      <c r="P2856" s="5"/>
      <c r="Q2856" s="5"/>
      <c r="AL2856" s="7" t="str">
        <f>HYPERLINK("http://dx.doi.org/10.1007/s00442-013-2655-2","http://dx.doi.org/10.1007/s00442-013-2655-2")</f>
        <v>http://dx.doi.org/10.1007/s00442-013-2655-2</v>
      </c>
      <c r="AM2856" s="5">
        <v>65</v>
      </c>
      <c r="AN2856" s="5">
        <v>65</v>
      </c>
      <c r="AO2856" s="5">
        <v>173</v>
      </c>
      <c r="AP2856" s="5">
        <v>3</v>
      </c>
      <c r="AQ2856" s="5">
        <v>767</v>
      </c>
      <c r="AR2856" s="5">
        <v>777</v>
      </c>
      <c r="AS2856" s="5" t="s">
        <v>16</v>
      </c>
      <c r="AT2856" s="5" t="s">
        <v>17075</v>
      </c>
      <c r="AU2856" s="5" t="s">
        <v>17076</v>
      </c>
      <c r="AV2856" s="5" t="s">
        <v>17078</v>
      </c>
    </row>
    <row r="2857" spans="1:48" ht="45" customHeight="1" x14ac:dyDescent="0.15">
      <c r="A2857" s="5" t="s">
        <v>17079</v>
      </c>
      <c r="B2857" s="5">
        <v>1998</v>
      </c>
      <c r="C2857" s="5" t="s">
        <v>17080</v>
      </c>
      <c r="D2857" s="5" t="s">
        <v>77</v>
      </c>
      <c r="E2857" s="5" t="s">
        <v>18453</v>
      </c>
      <c r="F2857" s="5" t="s">
        <v>17083</v>
      </c>
      <c r="G2857" s="5"/>
      <c r="H2857" s="5"/>
      <c r="I2857" s="5"/>
      <c r="J2857" s="5"/>
      <c r="K2857" s="5"/>
      <c r="L2857" s="5"/>
      <c r="M2857" s="5"/>
      <c r="N2857" s="5"/>
      <c r="O2857" s="5"/>
      <c r="P2857" s="5"/>
      <c r="Q2857" s="5"/>
      <c r="AL2857" s="7" t="str">
        <f>HYPERLINK("http://dx.doi.org/10.1046/j.1365-2656.1998.6760887.x","http://dx.doi.org/10.1046/j.1365-2656.1998.6760887.x")</f>
        <v>http://dx.doi.org/10.1046/j.1365-2656.1998.6760887.x</v>
      </c>
      <c r="AM2857" s="5">
        <v>52</v>
      </c>
      <c r="AN2857" s="5">
        <v>52</v>
      </c>
      <c r="AO2857" s="5">
        <v>67</v>
      </c>
      <c r="AP2857" s="5">
        <v>6</v>
      </c>
      <c r="AQ2857" s="5">
        <v>887</v>
      </c>
      <c r="AR2857" s="5">
        <v>907</v>
      </c>
      <c r="AS2857" s="5" t="s">
        <v>16</v>
      </c>
      <c r="AT2857" s="5" t="s">
        <v>17081</v>
      </c>
      <c r="AU2857" s="5" t="s">
        <v>17082</v>
      </c>
      <c r="AV2857" s="5" t="s">
        <v>17084</v>
      </c>
    </row>
    <row r="2858" spans="1:48" ht="45" customHeight="1" x14ac:dyDescent="0.15">
      <c r="A2858" s="5" t="s">
        <v>17085</v>
      </c>
      <c r="B2858" s="5">
        <v>2020</v>
      </c>
      <c r="C2858" s="5" t="s">
        <v>17086</v>
      </c>
      <c r="D2858" s="5" t="s">
        <v>17</v>
      </c>
      <c r="E2858" s="5" t="s">
        <v>18453</v>
      </c>
      <c r="F2858" s="5" t="s">
        <v>17089</v>
      </c>
      <c r="G2858" s="5"/>
      <c r="H2858" s="5"/>
      <c r="I2858" s="5"/>
      <c r="J2858" s="5"/>
      <c r="K2858" s="5"/>
      <c r="L2858" s="5"/>
      <c r="M2858" s="5"/>
      <c r="N2858" s="5"/>
      <c r="O2858" s="5"/>
      <c r="P2858" s="5"/>
      <c r="Q2858" s="5"/>
      <c r="AL2858" s="7" t="str">
        <f>HYPERLINK("http://dx.doi.org/10.1111/fwb.13456","http://dx.doi.org/10.1111/fwb.13456")</f>
        <v>http://dx.doi.org/10.1111/fwb.13456</v>
      </c>
      <c r="AM2858" s="5">
        <v>3</v>
      </c>
      <c r="AN2858" s="5">
        <v>3</v>
      </c>
      <c r="AO2858" s="5">
        <v>65</v>
      </c>
      <c r="AP2858" s="5">
        <v>4</v>
      </c>
      <c r="AQ2858" s="5">
        <v>657</v>
      </c>
      <c r="AR2858" s="5">
        <v>673</v>
      </c>
      <c r="AS2858" s="5" t="s">
        <v>16</v>
      </c>
      <c r="AT2858" s="5" t="s">
        <v>17087</v>
      </c>
      <c r="AU2858" s="5" t="s">
        <v>17088</v>
      </c>
      <c r="AV2858" s="5" t="s">
        <v>17090</v>
      </c>
    </row>
    <row r="2859" spans="1:48" ht="45" customHeight="1" x14ac:dyDescent="0.15">
      <c r="A2859" s="5" t="s">
        <v>17091</v>
      </c>
      <c r="B2859" s="5">
        <v>2013</v>
      </c>
      <c r="C2859" s="5" t="s">
        <v>17092</v>
      </c>
      <c r="D2859" s="5" t="s">
        <v>212</v>
      </c>
      <c r="E2859" s="5" t="s">
        <v>18453</v>
      </c>
      <c r="F2859" s="5" t="s">
        <v>17095</v>
      </c>
      <c r="G2859" s="5"/>
      <c r="H2859" s="5"/>
      <c r="I2859" s="5"/>
      <c r="J2859" s="5"/>
      <c r="K2859" s="5"/>
      <c r="L2859" s="5"/>
      <c r="M2859" s="5"/>
      <c r="N2859" s="5"/>
      <c r="O2859" s="5"/>
      <c r="P2859" s="5"/>
      <c r="Q2859" s="5"/>
      <c r="AL2859" s="7" t="str">
        <f>HYPERLINK("http://dx.doi.org/10.1007/s00300-013-1385-6","http://dx.doi.org/10.1007/s00300-013-1385-6")</f>
        <v>http://dx.doi.org/10.1007/s00300-013-1385-6</v>
      </c>
      <c r="AM2859" s="5">
        <v>22</v>
      </c>
      <c r="AN2859" s="5">
        <v>23</v>
      </c>
      <c r="AO2859" s="5">
        <v>36</v>
      </c>
      <c r="AP2859" s="5">
        <v>11</v>
      </c>
      <c r="AQ2859" s="5">
        <v>1659</v>
      </c>
      <c r="AR2859" s="5">
        <v>1669</v>
      </c>
      <c r="AS2859" s="5" t="s">
        <v>16</v>
      </c>
      <c r="AT2859" s="5" t="s">
        <v>17093</v>
      </c>
      <c r="AU2859" s="5" t="s">
        <v>17094</v>
      </c>
      <c r="AV2859" s="5" t="s">
        <v>17096</v>
      </c>
    </row>
    <row r="2860" spans="1:48" ht="45" customHeight="1" x14ac:dyDescent="0.15">
      <c r="A2860" s="5" t="s">
        <v>17097</v>
      </c>
      <c r="B2860" s="5">
        <v>2015</v>
      </c>
      <c r="C2860" s="5" t="s">
        <v>17098</v>
      </c>
      <c r="D2860" s="5" t="s">
        <v>1900</v>
      </c>
      <c r="E2860" s="5" t="s">
        <v>18453</v>
      </c>
      <c r="F2860" s="5" t="s">
        <v>17100</v>
      </c>
      <c r="G2860" s="5"/>
      <c r="H2860" s="5"/>
      <c r="I2860" s="5"/>
      <c r="J2860" s="5"/>
      <c r="K2860" s="5"/>
      <c r="L2860" s="5"/>
      <c r="M2860" s="5"/>
      <c r="N2860" s="5"/>
      <c r="O2860" s="5"/>
      <c r="P2860" s="5"/>
      <c r="Q2860" s="5"/>
      <c r="AL2860" s="7" t="str">
        <f>HYPERLINK("http://dx.doi.org/10.1656/058.014.0103","http://dx.doi.org/10.1656/058.014.0103")</f>
        <v>http://dx.doi.org/10.1656/058.014.0103</v>
      </c>
      <c r="AM2860" s="5">
        <v>2</v>
      </c>
      <c r="AN2860" s="5">
        <v>2</v>
      </c>
      <c r="AO2860" s="5">
        <v>14</v>
      </c>
      <c r="AP2860" s="5">
        <v>1</v>
      </c>
      <c r="AQ2860" s="5">
        <v>9</v>
      </c>
      <c r="AR2860" s="5">
        <v>21</v>
      </c>
      <c r="AS2860" s="5" t="s">
        <v>16</v>
      </c>
      <c r="AT2860" s="5" t="s">
        <v>16</v>
      </c>
      <c r="AU2860" s="5" t="s">
        <v>17099</v>
      </c>
      <c r="AV2860" s="5" t="s">
        <v>17101</v>
      </c>
    </row>
    <row r="2861" spans="1:48" ht="45" customHeight="1" x14ac:dyDescent="0.15">
      <c r="A2861" s="5" t="s">
        <v>17102</v>
      </c>
      <c r="B2861" s="5">
        <v>2019</v>
      </c>
      <c r="C2861" s="5" t="s">
        <v>17103</v>
      </c>
      <c r="D2861" s="5" t="s">
        <v>62</v>
      </c>
      <c r="E2861" s="5" t="s">
        <v>18453</v>
      </c>
      <c r="F2861" s="5" t="s">
        <v>17106</v>
      </c>
      <c r="G2861" s="5"/>
      <c r="H2861" s="5"/>
      <c r="I2861" s="5"/>
      <c r="J2861" s="5"/>
      <c r="K2861" s="5"/>
      <c r="L2861" s="5"/>
      <c r="M2861" s="5"/>
      <c r="N2861" s="5"/>
      <c r="O2861" s="5"/>
      <c r="P2861" s="5"/>
      <c r="Q2861" s="5"/>
      <c r="AL2861" s="7" t="str">
        <f>HYPERLINK("http://dx.doi.org/10.1007/s10021-019-00370-0","http://dx.doi.org/10.1007/s10021-019-00370-0")</f>
        <v>http://dx.doi.org/10.1007/s10021-019-00370-0</v>
      </c>
      <c r="AM2861" s="5">
        <v>11</v>
      </c>
      <c r="AN2861" s="5">
        <v>11</v>
      </c>
      <c r="AO2861" s="5">
        <v>22</v>
      </c>
      <c r="AP2861" s="5">
        <v>8</v>
      </c>
      <c r="AQ2861" s="5">
        <v>1736</v>
      </c>
      <c r="AR2861" s="5">
        <v>1753</v>
      </c>
      <c r="AS2861" s="5" t="s">
        <v>16</v>
      </c>
      <c r="AT2861" s="5" t="s">
        <v>17104</v>
      </c>
      <c r="AU2861" s="5" t="s">
        <v>17105</v>
      </c>
      <c r="AV2861" s="5" t="s">
        <v>17107</v>
      </c>
    </row>
    <row r="2862" spans="1:48" ht="45" customHeight="1" x14ac:dyDescent="0.15">
      <c r="A2862" s="5" t="s">
        <v>17108</v>
      </c>
      <c r="B2862" s="5">
        <v>2015</v>
      </c>
      <c r="C2862" s="5" t="s">
        <v>17109</v>
      </c>
      <c r="D2862" s="5" t="s">
        <v>513</v>
      </c>
      <c r="E2862" s="5" t="s">
        <v>18453</v>
      </c>
      <c r="F2862" s="5" t="s">
        <v>17112</v>
      </c>
      <c r="G2862" s="5"/>
      <c r="H2862" s="5"/>
      <c r="I2862" s="5"/>
      <c r="J2862" s="5"/>
      <c r="K2862" s="5"/>
      <c r="L2862" s="5"/>
      <c r="M2862" s="5"/>
      <c r="N2862" s="5"/>
      <c r="O2862" s="5"/>
      <c r="P2862" s="5"/>
      <c r="Q2862" s="5"/>
      <c r="AL2862" s="7" t="str">
        <f>HYPERLINK("http://dx.doi.org/10.1016/j.ecoleng.2014.10.018","http://dx.doi.org/10.1016/j.ecoleng.2014.10.018")</f>
        <v>http://dx.doi.org/10.1016/j.ecoleng.2014.10.018</v>
      </c>
      <c r="AM2862" s="5">
        <v>2</v>
      </c>
      <c r="AN2862" s="5">
        <v>4</v>
      </c>
      <c r="AO2862" s="5">
        <v>74</v>
      </c>
      <c r="AP2862" s="5" t="s">
        <v>16</v>
      </c>
      <c r="AQ2862" s="5">
        <v>241</v>
      </c>
      <c r="AR2862" s="5">
        <v>249</v>
      </c>
      <c r="AS2862" s="5" t="s">
        <v>16</v>
      </c>
      <c r="AT2862" s="5" t="s">
        <v>17110</v>
      </c>
      <c r="AU2862" s="5" t="s">
        <v>17111</v>
      </c>
      <c r="AV2862" s="5" t="s">
        <v>17113</v>
      </c>
    </row>
    <row r="2863" spans="1:48" ht="45" customHeight="1" x14ac:dyDescent="0.15">
      <c r="A2863" s="5" t="s">
        <v>17114</v>
      </c>
      <c r="B2863" s="5">
        <v>2017</v>
      </c>
      <c r="C2863" s="5" t="s">
        <v>17115</v>
      </c>
      <c r="D2863" s="5" t="s">
        <v>15</v>
      </c>
      <c r="E2863" s="5" t="s">
        <v>18453</v>
      </c>
      <c r="F2863" s="5" t="s">
        <v>17118</v>
      </c>
      <c r="G2863" s="5"/>
      <c r="H2863" s="5"/>
      <c r="I2863" s="5"/>
      <c r="J2863" s="5"/>
      <c r="K2863" s="5"/>
      <c r="L2863" s="5"/>
      <c r="M2863" s="5"/>
      <c r="N2863" s="5"/>
      <c r="O2863" s="5"/>
      <c r="P2863" s="5"/>
      <c r="Q2863" s="5"/>
      <c r="AL2863" s="7" t="str">
        <f>HYPERLINK("http://dx.doi.org/10.1002/ece3.3218","http://dx.doi.org/10.1002/ece3.3218")</f>
        <v>http://dx.doi.org/10.1002/ece3.3218</v>
      </c>
      <c r="AM2863" s="5">
        <v>14</v>
      </c>
      <c r="AN2863" s="5">
        <v>16</v>
      </c>
      <c r="AO2863" s="5">
        <v>7</v>
      </c>
      <c r="AP2863" s="5">
        <v>17</v>
      </c>
      <c r="AQ2863" s="5">
        <v>6981</v>
      </c>
      <c r="AR2863" s="5">
        <v>6995</v>
      </c>
      <c r="AS2863" s="5" t="s">
        <v>16</v>
      </c>
      <c r="AT2863" s="5" t="s">
        <v>17116</v>
      </c>
      <c r="AU2863" s="5" t="s">
        <v>17117</v>
      </c>
      <c r="AV2863" s="5" t="s">
        <v>17119</v>
      </c>
    </row>
    <row r="2864" spans="1:48" ht="45" customHeight="1" x14ac:dyDescent="0.15">
      <c r="A2864" s="5" t="s">
        <v>17120</v>
      </c>
      <c r="B2864" s="5">
        <v>2017</v>
      </c>
      <c r="C2864" s="5" t="s">
        <v>17121</v>
      </c>
      <c r="D2864" s="5" t="s">
        <v>3980</v>
      </c>
      <c r="E2864" s="5" t="s">
        <v>18453</v>
      </c>
      <c r="F2864" s="5" t="s">
        <v>17124</v>
      </c>
      <c r="G2864" s="5"/>
      <c r="H2864" s="5"/>
      <c r="I2864" s="5"/>
      <c r="J2864" s="5"/>
      <c r="K2864" s="5"/>
      <c r="L2864" s="5"/>
      <c r="M2864" s="5"/>
      <c r="N2864" s="5"/>
      <c r="O2864" s="5"/>
      <c r="P2864" s="5"/>
      <c r="Q2864" s="5"/>
      <c r="AL2864" s="7" t="str">
        <f>HYPERLINK("http://dx.doi.org/10.1111/btp.12434","http://dx.doi.org/10.1111/btp.12434")</f>
        <v>http://dx.doi.org/10.1111/btp.12434</v>
      </c>
      <c r="AM2864" s="5">
        <v>32</v>
      </c>
      <c r="AN2864" s="5">
        <v>34</v>
      </c>
      <c r="AO2864" s="5">
        <v>49</v>
      </c>
      <c r="AP2864" s="5">
        <v>4</v>
      </c>
      <c r="AQ2864" s="5">
        <v>531</v>
      </c>
      <c r="AR2864" s="5">
        <v>538</v>
      </c>
      <c r="AS2864" s="5" t="s">
        <v>16</v>
      </c>
      <c r="AT2864" s="5" t="s">
        <v>17122</v>
      </c>
      <c r="AU2864" s="5" t="s">
        <v>17123</v>
      </c>
      <c r="AV2864" s="5" t="s">
        <v>17125</v>
      </c>
    </row>
    <row r="2865" spans="1:48" ht="45" customHeight="1" x14ac:dyDescent="0.15">
      <c r="A2865" s="5" t="s">
        <v>17126</v>
      </c>
      <c r="B2865" s="5">
        <v>2022</v>
      </c>
      <c r="C2865" s="5" t="s">
        <v>17127</v>
      </c>
      <c r="D2865" s="5" t="s">
        <v>1765</v>
      </c>
      <c r="E2865" s="5" t="s">
        <v>18453</v>
      </c>
      <c r="F2865" s="5" t="s">
        <v>17130</v>
      </c>
      <c r="G2865" s="5"/>
      <c r="H2865" s="5"/>
      <c r="I2865" s="5"/>
      <c r="J2865" s="5"/>
      <c r="K2865" s="5"/>
      <c r="L2865" s="5"/>
      <c r="M2865" s="5"/>
      <c r="N2865" s="5"/>
      <c r="O2865" s="5"/>
      <c r="P2865" s="5"/>
      <c r="Q2865" s="5"/>
      <c r="AL2865" s="7" t="str">
        <f>HYPERLINK("http://dx.doi.org/10.1016/j.agee.2022.108174","http://dx.doi.org/10.1016/j.agee.2022.108174")</f>
        <v>http://dx.doi.org/10.1016/j.agee.2022.108174</v>
      </c>
      <c r="AM2865" s="5">
        <v>1</v>
      </c>
      <c r="AN2865" s="5">
        <v>1</v>
      </c>
      <c r="AO2865" s="5">
        <v>340</v>
      </c>
      <c r="AP2865" s="5" t="s">
        <v>16</v>
      </c>
      <c r="AQ2865" s="5" t="s">
        <v>16</v>
      </c>
      <c r="AR2865" s="5" t="s">
        <v>16</v>
      </c>
      <c r="AS2865" s="5">
        <v>108174</v>
      </c>
      <c r="AT2865" s="5" t="s">
        <v>17128</v>
      </c>
      <c r="AU2865" s="5" t="s">
        <v>17129</v>
      </c>
      <c r="AV2865" s="5" t="s">
        <v>17131</v>
      </c>
    </row>
    <row r="2866" spans="1:48" ht="45" customHeight="1" x14ac:dyDescent="0.15">
      <c r="A2866" s="5" t="s">
        <v>17132</v>
      </c>
      <c r="B2866" s="5">
        <v>2014</v>
      </c>
      <c r="C2866" s="5" t="s">
        <v>17133</v>
      </c>
      <c r="D2866" s="5" t="s">
        <v>77</v>
      </c>
      <c r="E2866" s="5" t="s">
        <v>18453</v>
      </c>
      <c r="F2866" s="5" t="s">
        <v>17136</v>
      </c>
      <c r="G2866" s="5"/>
      <c r="H2866" s="5"/>
      <c r="I2866" s="5"/>
      <c r="J2866" s="5"/>
      <c r="K2866" s="5"/>
      <c r="L2866" s="5"/>
      <c r="M2866" s="5"/>
      <c r="N2866" s="5"/>
      <c r="O2866" s="5"/>
      <c r="P2866" s="5"/>
      <c r="Q2866" s="5"/>
      <c r="AL2866" s="7" t="str">
        <f>HYPERLINK("http://dx.doi.org/10.1111/1365-2656.12250","http://dx.doi.org/10.1111/1365-2656.12250")</f>
        <v>http://dx.doi.org/10.1111/1365-2656.12250</v>
      </c>
      <c r="AM2866" s="5">
        <v>64</v>
      </c>
      <c r="AN2866" s="5">
        <v>67</v>
      </c>
      <c r="AO2866" s="5">
        <v>83</v>
      </c>
      <c r="AP2866" s="5">
        <v>6</v>
      </c>
      <c r="AQ2866" s="5">
        <v>1451</v>
      </c>
      <c r="AR2866" s="5">
        <v>1460</v>
      </c>
      <c r="AS2866" s="5" t="s">
        <v>16</v>
      </c>
      <c r="AT2866" s="5" t="s">
        <v>17134</v>
      </c>
      <c r="AU2866" s="5" t="s">
        <v>17135</v>
      </c>
      <c r="AV2866" s="5" t="s">
        <v>17137</v>
      </c>
    </row>
    <row r="2867" spans="1:48" ht="45" customHeight="1" x14ac:dyDescent="0.15">
      <c r="A2867" s="5" t="s">
        <v>17138</v>
      </c>
      <c r="B2867" s="5">
        <v>2020</v>
      </c>
      <c r="C2867" s="5" t="s">
        <v>17139</v>
      </c>
      <c r="D2867" s="5" t="s">
        <v>6683</v>
      </c>
      <c r="E2867" s="5" t="s">
        <v>18453</v>
      </c>
      <c r="F2867" s="5" t="s">
        <v>17141</v>
      </c>
      <c r="G2867" s="5"/>
      <c r="H2867" s="5"/>
      <c r="I2867" s="5"/>
      <c r="J2867" s="5"/>
      <c r="K2867" s="5"/>
      <c r="L2867" s="5"/>
      <c r="M2867" s="5"/>
      <c r="N2867" s="5"/>
      <c r="O2867" s="5"/>
      <c r="P2867" s="5"/>
      <c r="Q2867" s="5"/>
      <c r="AL2867" s="7" t="str">
        <f>HYPERLINK("http://dx.doi.org/10.1038/s41559-019-1008-x","http://dx.doi.org/10.1038/s41559-019-1008-x")</f>
        <v>http://dx.doi.org/10.1038/s41559-019-1008-x</v>
      </c>
      <c r="AM2867" s="5">
        <v>26</v>
      </c>
      <c r="AN2867" s="5">
        <v>26</v>
      </c>
      <c r="AO2867" s="5">
        <v>4</v>
      </c>
      <c r="AP2867" s="5">
        <v>1</v>
      </c>
      <c r="AQ2867" s="5">
        <v>82</v>
      </c>
      <c r="AR2867" s="5" t="s">
        <v>260</v>
      </c>
      <c r="AS2867" s="5" t="s">
        <v>16</v>
      </c>
      <c r="AT2867" s="5" t="s">
        <v>16</v>
      </c>
      <c r="AU2867" s="5" t="s">
        <v>17140</v>
      </c>
      <c r="AV2867" s="5" t="s">
        <v>17142</v>
      </c>
    </row>
    <row r="2868" spans="1:48" ht="45" customHeight="1" x14ac:dyDescent="0.15">
      <c r="A2868" s="5" t="s">
        <v>17143</v>
      </c>
      <c r="B2868" s="5">
        <v>2021</v>
      </c>
      <c r="C2868" s="5" t="s">
        <v>17144</v>
      </c>
      <c r="D2868" s="5" t="s">
        <v>251</v>
      </c>
      <c r="E2868" s="5" t="s">
        <v>18453</v>
      </c>
      <c r="F2868" s="5" t="s">
        <v>17147</v>
      </c>
      <c r="G2868" s="5"/>
      <c r="H2868" s="5"/>
      <c r="I2868" s="5"/>
      <c r="J2868" s="5"/>
      <c r="K2868" s="5"/>
      <c r="L2868" s="5"/>
      <c r="M2868" s="5"/>
      <c r="N2868" s="5"/>
      <c r="O2868" s="5"/>
      <c r="P2868" s="5"/>
      <c r="Q2868" s="5"/>
      <c r="AL2868" s="7" t="str">
        <f>HYPERLINK("http://dx.doi.org/10.1016/j.biocon.2021.109081","http://dx.doi.org/10.1016/j.biocon.2021.109081")</f>
        <v>http://dx.doi.org/10.1016/j.biocon.2021.109081</v>
      </c>
      <c r="AM2868" s="5">
        <v>1</v>
      </c>
      <c r="AN2868" s="5">
        <v>1</v>
      </c>
      <c r="AO2868" s="5">
        <v>256</v>
      </c>
      <c r="AP2868" s="5" t="s">
        <v>16</v>
      </c>
      <c r="AQ2868" s="5" t="s">
        <v>16</v>
      </c>
      <c r="AR2868" s="5" t="s">
        <v>16</v>
      </c>
      <c r="AS2868" s="5">
        <v>109081</v>
      </c>
      <c r="AT2868" s="5" t="s">
        <v>17145</v>
      </c>
      <c r="AU2868" s="5" t="s">
        <v>17146</v>
      </c>
      <c r="AV2868" s="5" t="s">
        <v>17148</v>
      </c>
    </row>
    <row r="2869" spans="1:48" ht="45" customHeight="1" x14ac:dyDescent="0.15">
      <c r="A2869" s="5" t="s">
        <v>17149</v>
      </c>
      <c r="B2869" s="5">
        <v>2023</v>
      </c>
      <c r="C2869" s="5" t="s">
        <v>17150</v>
      </c>
      <c r="D2869" s="5" t="s">
        <v>10401</v>
      </c>
      <c r="E2869" s="5" t="s">
        <v>18453</v>
      </c>
      <c r="F2869" s="5" t="s">
        <v>17153</v>
      </c>
      <c r="G2869" s="5"/>
      <c r="H2869" s="5"/>
      <c r="I2869" s="5"/>
      <c r="J2869" s="5"/>
      <c r="K2869" s="5"/>
      <c r="L2869" s="5"/>
      <c r="M2869" s="5"/>
      <c r="N2869" s="5"/>
      <c r="O2869" s="5"/>
      <c r="P2869" s="5"/>
      <c r="Q2869" s="5"/>
      <c r="AL2869" s="7" t="str">
        <f>HYPERLINK("http://dx.doi.org/10.1093/evolut/qpad001","http://dx.doi.org/10.1093/evolut/qpad001")</f>
        <v>http://dx.doi.org/10.1093/evolut/qpad001</v>
      </c>
      <c r="AM2869" s="5">
        <v>0</v>
      </c>
      <c r="AN2869" s="5">
        <v>0</v>
      </c>
      <c r="AO2869" s="5">
        <v>77</v>
      </c>
      <c r="AP2869" s="5">
        <v>3</v>
      </c>
      <c r="AQ2869" s="5">
        <v>823</v>
      </c>
      <c r="AR2869" s="5">
        <v>835</v>
      </c>
      <c r="AS2869" s="5" t="s">
        <v>16</v>
      </c>
      <c r="AT2869" s="5" t="s">
        <v>17151</v>
      </c>
      <c r="AU2869" s="5" t="s">
        <v>17152</v>
      </c>
      <c r="AV2869" s="5" t="s">
        <v>17154</v>
      </c>
    </row>
    <row r="2870" spans="1:48" ht="45" customHeight="1" x14ac:dyDescent="0.15">
      <c r="A2870" s="5" t="s">
        <v>17155</v>
      </c>
      <c r="B2870" s="5">
        <v>1998</v>
      </c>
      <c r="C2870" s="5" t="s">
        <v>17156</v>
      </c>
      <c r="D2870" s="5" t="s">
        <v>49</v>
      </c>
      <c r="E2870" s="5" t="s">
        <v>18453</v>
      </c>
      <c r="F2870" s="5" t="s">
        <v>17159</v>
      </c>
      <c r="G2870" s="5"/>
      <c r="H2870" s="5"/>
      <c r="I2870" s="5"/>
      <c r="J2870" s="5"/>
      <c r="K2870" s="5"/>
      <c r="L2870" s="5"/>
      <c r="M2870" s="5"/>
      <c r="N2870" s="5"/>
      <c r="O2870" s="5"/>
      <c r="P2870" s="5"/>
      <c r="Q2870" s="5"/>
      <c r="AL2870" s="7" t="str">
        <f>HYPERLINK("http://dx.doi.org/10.3354/meps169029","http://dx.doi.org/10.3354/meps169029")</f>
        <v>http://dx.doi.org/10.3354/meps169029</v>
      </c>
      <c r="AM2870" s="5">
        <v>97</v>
      </c>
      <c r="AN2870" s="5">
        <v>99</v>
      </c>
      <c r="AO2870" s="5">
        <v>169</v>
      </c>
      <c r="AP2870" s="5" t="s">
        <v>16</v>
      </c>
      <c r="AQ2870" s="5">
        <v>29</v>
      </c>
      <c r="AR2870" s="5">
        <v>41</v>
      </c>
      <c r="AS2870" s="5" t="s">
        <v>16</v>
      </c>
      <c r="AT2870" s="5" t="s">
        <v>17157</v>
      </c>
      <c r="AU2870" s="5" t="s">
        <v>17158</v>
      </c>
      <c r="AV2870" s="5" t="s">
        <v>17160</v>
      </c>
    </row>
    <row r="2871" spans="1:48" ht="45" customHeight="1" x14ac:dyDescent="0.15">
      <c r="A2871" s="5" t="s">
        <v>17161</v>
      </c>
      <c r="B2871" s="5">
        <v>2014</v>
      </c>
      <c r="C2871" s="5" t="s">
        <v>17162</v>
      </c>
      <c r="D2871" s="5" t="s">
        <v>295</v>
      </c>
      <c r="E2871" s="5" t="s">
        <v>18453</v>
      </c>
      <c r="F2871" s="5" t="s">
        <v>17165</v>
      </c>
      <c r="G2871" s="5"/>
      <c r="H2871" s="5"/>
      <c r="I2871" s="5"/>
      <c r="J2871" s="5"/>
      <c r="K2871" s="5"/>
      <c r="L2871" s="5"/>
      <c r="M2871" s="5"/>
      <c r="N2871" s="5"/>
      <c r="O2871" s="5"/>
      <c r="P2871" s="5"/>
      <c r="Q2871" s="5"/>
      <c r="AL2871" s="7" t="str">
        <f>HYPERLINK("http://dx.doi.org/10.1016/j.jembe.2013.10.024","http://dx.doi.org/10.1016/j.jembe.2013.10.024")</f>
        <v>http://dx.doi.org/10.1016/j.jembe.2013.10.024</v>
      </c>
      <c r="AM2871" s="5">
        <v>17</v>
      </c>
      <c r="AN2871" s="5">
        <v>18</v>
      </c>
      <c r="AO2871" s="5">
        <v>450</v>
      </c>
      <c r="AP2871" s="5" t="s">
        <v>16</v>
      </c>
      <c r="AQ2871" s="5">
        <v>79</v>
      </c>
      <c r="AR2871" s="5">
        <v>90</v>
      </c>
      <c r="AS2871" s="5" t="s">
        <v>16</v>
      </c>
      <c r="AT2871" s="5" t="s">
        <v>17163</v>
      </c>
      <c r="AU2871" s="5" t="s">
        <v>17164</v>
      </c>
      <c r="AV2871" s="5" t="s">
        <v>17166</v>
      </c>
    </row>
    <row r="2872" spans="1:48" ht="45" customHeight="1" x14ac:dyDescent="0.15">
      <c r="A2872" s="5" t="s">
        <v>17167</v>
      </c>
      <c r="B2872" s="5">
        <v>2016</v>
      </c>
      <c r="C2872" s="5" t="s">
        <v>17168</v>
      </c>
      <c r="D2872" s="5" t="s">
        <v>17169</v>
      </c>
      <c r="E2872" s="5" t="s">
        <v>18453</v>
      </c>
      <c r="F2872" s="5" t="s">
        <v>17172</v>
      </c>
      <c r="G2872" s="5"/>
      <c r="H2872" s="5"/>
      <c r="I2872" s="5"/>
      <c r="J2872" s="5"/>
      <c r="K2872" s="5"/>
      <c r="L2872" s="5"/>
      <c r="M2872" s="5"/>
      <c r="N2872" s="5"/>
      <c r="O2872" s="5"/>
      <c r="P2872" s="5"/>
      <c r="Q2872" s="5"/>
      <c r="AL2872" s="7" t="str">
        <f>HYPERLINK("http://dx.doi.org/10.1007/s11829-015-9410-z","http://dx.doi.org/10.1007/s11829-015-9410-z")</f>
        <v>http://dx.doi.org/10.1007/s11829-015-9410-z</v>
      </c>
      <c r="AM2872" s="5">
        <v>5</v>
      </c>
      <c r="AN2872" s="5">
        <v>5</v>
      </c>
      <c r="AO2872" s="5">
        <v>10</v>
      </c>
      <c r="AP2872" s="5">
        <v>1</v>
      </c>
      <c r="AQ2872" s="5">
        <v>79</v>
      </c>
      <c r="AR2872" s="5">
        <v>86</v>
      </c>
      <c r="AS2872" s="5" t="s">
        <v>16</v>
      </c>
      <c r="AT2872" s="5" t="s">
        <v>17170</v>
      </c>
      <c r="AU2872" s="5" t="s">
        <v>17171</v>
      </c>
      <c r="AV2872" s="5" t="s">
        <v>17173</v>
      </c>
    </row>
    <row r="2873" spans="1:48" ht="45" customHeight="1" x14ac:dyDescent="0.15">
      <c r="A2873" s="5" t="s">
        <v>17174</v>
      </c>
      <c r="B2873" s="5">
        <v>2021</v>
      </c>
      <c r="C2873" s="5" t="s">
        <v>17175</v>
      </c>
      <c r="D2873" s="5" t="s">
        <v>49</v>
      </c>
      <c r="E2873" s="5" t="s">
        <v>18453</v>
      </c>
      <c r="F2873" s="5" t="s">
        <v>17178</v>
      </c>
      <c r="G2873" s="5"/>
      <c r="H2873" s="5"/>
      <c r="I2873" s="5"/>
      <c r="J2873" s="5"/>
      <c r="K2873" s="5"/>
      <c r="L2873" s="5"/>
      <c r="M2873" s="5"/>
      <c r="N2873" s="5"/>
      <c r="O2873" s="5"/>
      <c r="P2873" s="5"/>
      <c r="Q2873" s="5"/>
      <c r="AL2873" s="7" t="str">
        <f>HYPERLINK("http://dx.doi.org/10.3354/meps13767","http://dx.doi.org/10.3354/meps13767")</f>
        <v>http://dx.doi.org/10.3354/meps13767</v>
      </c>
      <c r="AM2873" s="5">
        <v>1</v>
      </c>
      <c r="AN2873" s="5">
        <v>1</v>
      </c>
      <c r="AO2873" s="5">
        <v>671</v>
      </c>
      <c r="AP2873" s="5" t="s">
        <v>16</v>
      </c>
      <c r="AQ2873" s="5">
        <v>175</v>
      </c>
      <c r="AR2873" s="5">
        <v>190</v>
      </c>
      <c r="AS2873" s="5" t="s">
        <v>16</v>
      </c>
      <c r="AT2873" s="5" t="s">
        <v>17176</v>
      </c>
      <c r="AU2873" s="5" t="s">
        <v>17177</v>
      </c>
      <c r="AV2873" s="5" t="s">
        <v>17179</v>
      </c>
    </row>
    <row r="2874" spans="1:48" ht="45" customHeight="1" x14ac:dyDescent="0.15">
      <c r="A2874" s="5" t="s">
        <v>17180</v>
      </c>
      <c r="B2874" s="5">
        <v>1997</v>
      </c>
      <c r="C2874" s="5" t="s">
        <v>17181</v>
      </c>
      <c r="D2874" s="5" t="s">
        <v>2677</v>
      </c>
      <c r="E2874" s="5" t="s">
        <v>18453</v>
      </c>
      <c r="F2874" s="5" t="s">
        <v>17183</v>
      </c>
      <c r="G2874" s="5"/>
      <c r="H2874" s="5"/>
      <c r="I2874" s="5"/>
      <c r="J2874" s="5"/>
      <c r="K2874" s="5"/>
      <c r="L2874" s="5"/>
      <c r="M2874" s="5"/>
      <c r="N2874" s="5"/>
      <c r="O2874" s="5"/>
      <c r="P2874" s="5"/>
      <c r="Q2874" s="5"/>
      <c r="AL2874" s="5" t="s">
        <v>16</v>
      </c>
      <c r="AM2874" s="5">
        <v>25</v>
      </c>
      <c r="AN2874" s="5">
        <v>25</v>
      </c>
      <c r="AO2874" s="5">
        <v>47</v>
      </c>
      <c r="AP2874" s="5">
        <v>2</v>
      </c>
      <c r="AQ2874" s="5">
        <v>87</v>
      </c>
      <c r="AR2874" s="5">
        <v>93</v>
      </c>
      <c r="AS2874" s="5" t="s">
        <v>16</v>
      </c>
      <c r="AT2874" s="5" t="s">
        <v>17182</v>
      </c>
      <c r="AU2874" s="5" t="s">
        <v>16</v>
      </c>
      <c r="AV2874" s="5" t="s">
        <v>16</v>
      </c>
    </row>
    <row r="2875" spans="1:48" ht="45" customHeight="1" x14ac:dyDescent="0.15">
      <c r="A2875" s="5" t="s">
        <v>17184</v>
      </c>
      <c r="B2875" s="5">
        <v>2019</v>
      </c>
      <c r="C2875" s="5" t="s">
        <v>17185</v>
      </c>
      <c r="D2875" s="5" t="s">
        <v>1621</v>
      </c>
      <c r="E2875" s="5" t="s">
        <v>18453</v>
      </c>
      <c r="F2875" s="5" t="s">
        <v>17188</v>
      </c>
      <c r="G2875" s="5"/>
      <c r="H2875" s="5"/>
      <c r="I2875" s="5"/>
      <c r="J2875" s="5"/>
      <c r="K2875" s="5"/>
      <c r="L2875" s="5"/>
      <c r="M2875" s="5"/>
      <c r="N2875" s="5"/>
      <c r="O2875" s="5"/>
      <c r="P2875" s="5"/>
      <c r="Q2875" s="5"/>
      <c r="AL2875" s="7" t="str">
        <f>HYPERLINK("http://dx.doi.org/10.1093/conphys/coz011","http://dx.doi.org/10.1093/conphys/coz011")</f>
        <v>http://dx.doi.org/10.1093/conphys/coz011</v>
      </c>
      <c r="AM2875" s="5">
        <v>4</v>
      </c>
      <c r="AN2875" s="5">
        <v>4</v>
      </c>
      <c r="AO2875" s="5">
        <v>7</v>
      </c>
      <c r="AP2875" s="5" t="s">
        <v>16</v>
      </c>
      <c r="AQ2875" s="5" t="s">
        <v>16</v>
      </c>
      <c r="AR2875" s="5" t="s">
        <v>16</v>
      </c>
      <c r="AS2875" s="5" t="s">
        <v>17189</v>
      </c>
      <c r="AT2875" s="5" t="s">
        <v>17186</v>
      </c>
      <c r="AU2875" s="5" t="s">
        <v>17187</v>
      </c>
      <c r="AV2875" s="5" t="s">
        <v>17190</v>
      </c>
    </row>
    <row r="2876" spans="1:48" ht="45" customHeight="1" x14ac:dyDescent="0.15">
      <c r="A2876" s="5" t="s">
        <v>17191</v>
      </c>
      <c r="B2876" s="5">
        <v>2017</v>
      </c>
      <c r="C2876" s="5" t="s">
        <v>17192</v>
      </c>
      <c r="D2876" s="5" t="s">
        <v>383</v>
      </c>
      <c r="E2876" s="5" t="s">
        <v>18453</v>
      </c>
      <c r="F2876" s="5" t="s">
        <v>17195</v>
      </c>
      <c r="G2876" s="5"/>
      <c r="H2876" s="5"/>
      <c r="I2876" s="5"/>
      <c r="J2876" s="5"/>
      <c r="K2876" s="5"/>
      <c r="L2876" s="5"/>
      <c r="M2876" s="5"/>
      <c r="N2876" s="5"/>
      <c r="O2876" s="5"/>
      <c r="P2876" s="5"/>
      <c r="Q2876" s="5"/>
      <c r="AL2876" s="7" t="str">
        <f>HYPERLINK("http://dx.doi.org/10.1007/s11284-017-1478-8","http://dx.doi.org/10.1007/s11284-017-1478-8")</f>
        <v>http://dx.doi.org/10.1007/s11284-017-1478-8</v>
      </c>
      <c r="AM2876" s="5">
        <v>12</v>
      </c>
      <c r="AN2876" s="5">
        <v>13</v>
      </c>
      <c r="AO2876" s="5">
        <v>32</v>
      </c>
      <c r="AP2876" s="5">
        <v>5</v>
      </c>
      <c r="AQ2876" s="5">
        <v>643</v>
      </c>
      <c r="AR2876" s="5">
        <v>652</v>
      </c>
      <c r="AS2876" s="5" t="s">
        <v>16</v>
      </c>
      <c r="AT2876" s="5" t="s">
        <v>17193</v>
      </c>
      <c r="AU2876" s="5" t="s">
        <v>17194</v>
      </c>
      <c r="AV2876" s="5" t="s">
        <v>17196</v>
      </c>
    </row>
    <row r="2877" spans="1:48" ht="45" customHeight="1" x14ac:dyDescent="0.15">
      <c r="A2877" s="5" t="s">
        <v>17197</v>
      </c>
      <c r="B2877" s="5">
        <v>2019</v>
      </c>
      <c r="C2877" s="5" t="s">
        <v>17198</v>
      </c>
      <c r="D2877" s="5" t="s">
        <v>123</v>
      </c>
      <c r="E2877" s="5" t="s">
        <v>18453</v>
      </c>
      <c r="F2877" s="5" t="s">
        <v>17201</v>
      </c>
      <c r="G2877" s="5"/>
      <c r="H2877" s="5"/>
      <c r="I2877" s="5"/>
      <c r="J2877" s="5"/>
      <c r="K2877" s="5"/>
      <c r="L2877" s="5"/>
      <c r="M2877" s="5"/>
      <c r="N2877" s="5"/>
      <c r="O2877" s="5"/>
      <c r="P2877" s="5"/>
      <c r="Q2877" s="5"/>
      <c r="AL2877" s="7" t="str">
        <f>HYPERLINK("http://dx.doi.org/10.1111/ddi.12927","http://dx.doi.org/10.1111/ddi.12927")</f>
        <v>http://dx.doi.org/10.1111/ddi.12927</v>
      </c>
      <c r="AM2877" s="5">
        <v>5</v>
      </c>
      <c r="AN2877" s="5">
        <v>5</v>
      </c>
      <c r="AO2877" s="5">
        <v>25</v>
      </c>
      <c r="AP2877" s="5">
        <v>8</v>
      </c>
      <c r="AQ2877" s="5">
        <v>1194</v>
      </c>
      <c r="AR2877" s="5">
        <v>1209</v>
      </c>
      <c r="AS2877" s="5" t="s">
        <v>16</v>
      </c>
      <c r="AT2877" s="5" t="s">
        <v>17199</v>
      </c>
      <c r="AU2877" s="5" t="s">
        <v>17200</v>
      </c>
      <c r="AV2877" s="5" t="s">
        <v>17202</v>
      </c>
    </row>
    <row r="2878" spans="1:48" ht="45" customHeight="1" x14ac:dyDescent="0.15">
      <c r="A2878" s="5" t="s">
        <v>17203</v>
      </c>
      <c r="B2878" s="5">
        <v>2018</v>
      </c>
      <c r="C2878" s="5" t="s">
        <v>17204</v>
      </c>
      <c r="D2878" s="5" t="s">
        <v>296</v>
      </c>
      <c r="E2878" s="5" t="s">
        <v>18453</v>
      </c>
      <c r="F2878" s="5" t="s">
        <v>17207</v>
      </c>
      <c r="G2878" s="5"/>
      <c r="H2878" s="5"/>
      <c r="I2878" s="5"/>
      <c r="J2878" s="5"/>
      <c r="K2878" s="5"/>
      <c r="L2878" s="5"/>
      <c r="M2878" s="5"/>
      <c r="N2878" s="5"/>
      <c r="O2878" s="5"/>
      <c r="P2878" s="5"/>
      <c r="Q2878" s="5"/>
      <c r="AL2878" s="7" t="str">
        <f>HYPERLINK("http://dx.doi.org/10.1098/rspb.2018.0631","http://dx.doi.org/10.1098/rspb.2018.0631")</f>
        <v>http://dx.doi.org/10.1098/rspb.2018.0631</v>
      </c>
      <c r="AM2878" s="5">
        <v>13</v>
      </c>
      <c r="AN2878" s="5">
        <v>13</v>
      </c>
      <c r="AO2878" s="5">
        <v>285</v>
      </c>
      <c r="AP2878" s="5">
        <v>1877</v>
      </c>
      <c r="AQ2878" s="5" t="s">
        <v>16</v>
      </c>
      <c r="AR2878" s="5" t="s">
        <v>16</v>
      </c>
      <c r="AS2878" s="5">
        <v>20180631</v>
      </c>
      <c r="AT2878" s="5" t="s">
        <v>17205</v>
      </c>
      <c r="AU2878" s="5" t="s">
        <v>17206</v>
      </c>
      <c r="AV2878" s="5" t="s">
        <v>17208</v>
      </c>
    </row>
    <row r="2879" spans="1:48" ht="45" customHeight="1" x14ac:dyDescent="0.15">
      <c r="A2879" s="5" t="s">
        <v>17209</v>
      </c>
      <c r="B2879" s="5">
        <v>2013</v>
      </c>
      <c r="C2879" s="5" t="s">
        <v>17210</v>
      </c>
      <c r="D2879" s="5" t="s">
        <v>973</v>
      </c>
      <c r="E2879" s="5" t="s">
        <v>18453</v>
      </c>
      <c r="F2879" s="5" t="s">
        <v>17212</v>
      </c>
      <c r="G2879" s="5"/>
      <c r="H2879" s="5"/>
      <c r="I2879" s="5"/>
      <c r="J2879" s="5"/>
      <c r="K2879" s="5"/>
      <c r="L2879" s="5"/>
      <c r="M2879" s="5"/>
      <c r="N2879" s="5"/>
      <c r="O2879" s="5"/>
      <c r="P2879" s="5"/>
      <c r="Q2879" s="5"/>
      <c r="AL2879" s="7" t="str">
        <f>HYPERLINK("http://dx.doi.org/10.5194/bg-10-2569-2013","http://dx.doi.org/10.5194/bg-10-2569-2013")</f>
        <v>http://dx.doi.org/10.5194/bg-10-2569-2013</v>
      </c>
      <c r="AM2879" s="5">
        <v>41</v>
      </c>
      <c r="AN2879" s="5">
        <v>42</v>
      </c>
      <c r="AO2879" s="5">
        <v>10</v>
      </c>
      <c r="AP2879" s="5">
        <v>4</v>
      </c>
      <c r="AQ2879" s="5">
        <v>2569</v>
      </c>
      <c r="AR2879" s="5">
        <v>2581</v>
      </c>
      <c r="AS2879" s="5" t="s">
        <v>16</v>
      </c>
      <c r="AT2879" s="5" t="s">
        <v>16</v>
      </c>
      <c r="AU2879" s="5" t="s">
        <v>17211</v>
      </c>
      <c r="AV2879" s="5" t="s">
        <v>17213</v>
      </c>
    </row>
    <row r="2880" spans="1:48" ht="45" customHeight="1" x14ac:dyDescent="0.15">
      <c r="A2880" s="5" t="s">
        <v>17214</v>
      </c>
      <c r="B2880" s="5">
        <v>2019</v>
      </c>
      <c r="C2880" s="5" t="s">
        <v>17215</v>
      </c>
      <c r="D2880" s="5" t="s">
        <v>1445</v>
      </c>
      <c r="E2880" s="5" t="s">
        <v>18453</v>
      </c>
      <c r="F2880" s="5" t="s">
        <v>17218</v>
      </c>
      <c r="G2880" s="5"/>
      <c r="H2880" s="5"/>
      <c r="I2880" s="5"/>
      <c r="J2880" s="5"/>
      <c r="K2880" s="5"/>
      <c r="L2880" s="5"/>
      <c r="M2880" s="5"/>
      <c r="N2880" s="5"/>
      <c r="O2880" s="5"/>
      <c r="P2880" s="5"/>
      <c r="Q2880" s="5"/>
      <c r="AL2880" s="7" t="str">
        <f>HYPERLINK("http://dx.doi.org/10.1080/02705060.2019.1592028","http://dx.doi.org/10.1080/02705060.2019.1592028")</f>
        <v>http://dx.doi.org/10.1080/02705060.2019.1592028</v>
      </c>
      <c r="AM2880" s="5">
        <v>2</v>
      </c>
      <c r="AN2880" s="5">
        <v>3</v>
      </c>
      <c r="AO2880" s="5">
        <v>34</v>
      </c>
      <c r="AP2880" s="5">
        <v>1</v>
      </c>
      <c r="AQ2880" s="5">
        <v>293</v>
      </c>
      <c r="AR2880" s="5">
        <v>303</v>
      </c>
      <c r="AS2880" s="5" t="s">
        <v>16</v>
      </c>
      <c r="AT2880" s="5" t="s">
        <v>17216</v>
      </c>
      <c r="AU2880" s="5" t="s">
        <v>17217</v>
      </c>
      <c r="AV2880" s="5" t="s">
        <v>17219</v>
      </c>
    </row>
    <row r="2881" spans="1:48" ht="45" customHeight="1" x14ac:dyDescent="0.15">
      <c r="A2881" s="5" t="s">
        <v>17220</v>
      </c>
      <c r="B2881" s="5">
        <v>2021</v>
      </c>
      <c r="C2881" s="5" t="s">
        <v>17221</v>
      </c>
      <c r="D2881" s="5" t="s">
        <v>11987</v>
      </c>
      <c r="E2881" s="5" t="s">
        <v>18453</v>
      </c>
      <c r="F2881" s="5" t="s">
        <v>17224</v>
      </c>
      <c r="G2881" s="5"/>
      <c r="H2881" s="5"/>
      <c r="I2881" s="5"/>
      <c r="J2881" s="5"/>
      <c r="K2881" s="5"/>
      <c r="L2881" s="5"/>
      <c r="M2881" s="5"/>
      <c r="N2881" s="5"/>
      <c r="O2881" s="5"/>
      <c r="P2881" s="5"/>
      <c r="Q2881" s="5"/>
      <c r="AL2881" s="7" t="str">
        <f>HYPERLINK("http://dx.doi.org/10.1007/s10886-021-01316-4","http://dx.doi.org/10.1007/s10886-021-01316-4")</f>
        <v>http://dx.doi.org/10.1007/s10886-021-01316-4</v>
      </c>
      <c r="AM2881" s="5">
        <v>8</v>
      </c>
      <c r="AN2881" s="5">
        <v>8</v>
      </c>
      <c r="AO2881" s="5">
        <v>47</v>
      </c>
      <c r="AP2881" s="5">
        <v>12</v>
      </c>
      <c r="AQ2881" s="5">
        <v>950</v>
      </c>
      <c r="AR2881" s="5">
        <v>967</v>
      </c>
      <c r="AS2881" s="5" t="s">
        <v>16</v>
      </c>
      <c r="AT2881" s="5" t="s">
        <v>17222</v>
      </c>
      <c r="AU2881" s="5" t="s">
        <v>17223</v>
      </c>
      <c r="AV2881" s="5" t="s">
        <v>17225</v>
      </c>
    </row>
    <row r="2882" spans="1:48" ht="45" customHeight="1" x14ac:dyDescent="0.15">
      <c r="A2882" s="5" t="s">
        <v>17226</v>
      </c>
      <c r="B2882" s="5">
        <v>2016</v>
      </c>
      <c r="C2882" s="5" t="s">
        <v>17227</v>
      </c>
      <c r="D2882" s="5" t="s">
        <v>16096</v>
      </c>
      <c r="E2882" s="5" t="s">
        <v>18453</v>
      </c>
      <c r="F2882" s="5" t="s">
        <v>17230</v>
      </c>
      <c r="G2882" s="5"/>
      <c r="H2882" s="5"/>
      <c r="I2882" s="5"/>
      <c r="J2882" s="5"/>
      <c r="K2882" s="5"/>
      <c r="L2882" s="5"/>
      <c r="M2882" s="5"/>
      <c r="N2882" s="5"/>
      <c r="O2882" s="5"/>
      <c r="P2882" s="5"/>
      <c r="Q2882" s="5"/>
      <c r="AL2882" s="7" t="str">
        <f>HYPERLINK("http://dx.doi.org/10.1111/1755-0998.12534","http://dx.doi.org/10.1111/1755-0998.12534")</f>
        <v>http://dx.doi.org/10.1111/1755-0998.12534</v>
      </c>
      <c r="AM2882" s="5">
        <v>11</v>
      </c>
      <c r="AN2882" s="5">
        <v>11</v>
      </c>
      <c r="AO2882" s="5">
        <v>16</v>
      </c>
      <c r="AP2882" s="5">
        <v>6</v>
      </c>
      <c r="AQ2882" s="5">
        <v>1322</v>
      </c>
      <c r="AR2882" s="5">
        <v>1339</v>
      </c>
      <c r="AS2882" s="5" t="s">
        <v>16</v>
      </c>
      <c r="AT2882" s="5" t="s">
        <v>17228</v>
      </c>
      <c r="AU2882" s="5" t="s">
        <v>17229</v>
      </c>
      <c r="AV2882" s="5" t="s">
        <v>17231</v>
      </c>
    </row>
    <row r="2883" spans="1:48" ht="45" customHeight="1" x14ac:dyDescent="0.15">
      <c r="A2883" s="5" t="s">
        <v>17232</v>
      </c>
      <c r="B2883" s="5">
        <v>2014</v>
      </c>
      <c r="C2883" s="5" t="s">
        <v>17233</v>
      </c>
      <c r="D2883" s="5" t="s">
        <v>17</v>
      </c>
      <c r="E2883" s="5" t="s">
        <v>18453</v>
      </c>
      <c r="F2883" s="5" t="s">
        <v>17236</v>
      </c>
      <c r="G2883" s="5"/>
      <c r="H2883" s="5"/>
      <c r="I2883" s="5"/>
      <c r="J2883" s="5"/>
      <c r="K2883" s="5"/>
      <c r="L2883" s="5"/>
      <c r="M2883" s="5"/>
      <c r="N2883" s="5"/>
      <c r="O2883" s="5"/>
      <c r="P2883" s="5"/>
      <c r="Q2883" s="5"/>
      <c r="AL2883" s="7" t="str">
        <f>HYPERLINK("http://dx.doi.org/10.1111/fwb.12407","http://dx.doi.org/10.1111/fwb.12407")</f>
        <v>http://dx.doi.org/10.1111/fwb.12407</v>
      </c>
      <c r="AM2883" s="5">
        <v>22</v>
      </c>
      <c r="AN2883" s="5">
        <v>23</v>
      </c>
      <c r="AO2883" s="5">
        <v>59</v>
      </c>
      <c r="AP2883" s="5">
        <v>10</v>
      </c>
      <c r="AQ2883" s="5">
        <v>2064</v>
      </c>
      <c r="AR2883" s="5">
        <v>2080</v>
      </c>
      <c r="AS2883" s="5" t="s">
        <v>16</v>
      </c>
      <c r="AT2883" s="5" t="s">
        <v>17234</v>
      </c>
      <c r="AU2883" s="5" t="s">
        <v>17235</v>
      </c>
      <c r="AV2883" s="5" t="s">
        <v>17237</v>
      </c>
    </row>
    <row r="2884" spans="1:48" ht="45" customHeight="1" x14ac:dyDescent="0.15">
      <c r="A2884" s="5" t="s">
        <v>17238</v>
      </c>
      <c r="B2884" s="5">
        <v>2022</v>
      </c>
      <c r="C2884" s="5" t="s">
        <v>17239</v>
      </c>
      <c r="D2884" s="5" t="s">
        <v>15</v>
      </c>
      <c r="E2884" s="5" t="s">
        <v>18453</v>
      </c>
      <c r="F2884" s="5" t="s">
        <v>17242</v>
      </c>
      <c r="G2884" s="5"/>
      <c r="H2884" s="5"/>
      <c r="I2884" s="5"/>
      <c r="J2884" s="5"/>
      <c r="K2884" s="5"/>
      <c r="L2884" s="5"/>
      <c r="M2884" s="5"/>
      <c r="N2884" s="5"/>
      <c r="O2884" s="5"/>
      <c r="P2884" s="5"/>
      <c r="Q2884" s="5"/>
      <c r="AL2884" s="7" t="str">
        <f>HYPERLINK("http://dx.doi.org/10.1002/ece3.9548","http://dx.doi.org/10.1002/ece3.9548")</f>
        <v>http://dx.doi.org/10.1002/ece3.9548</v>
      </c>
      <c r="AM2884" s="5">
        <v>0</v>
      </c>
      <c r="AN2884" s="5">
        <v>0</v>
      </c>
      <c r="AO2884" s="5">
        <v>12</v>
      </c>
      <c r="AP2884" s="5">
        <v>11</v>
      </c>
      <c r="AQ2884" s="5" t="s">
        <v>16</v>
      </c>
      <c r="AR2884" s="5" t="s">
        <v>16</v>
      </c>
      <c r="AS2884" s="5" t="s">
        <v>17243</v>
      </c>
      <c r="AT2884" s="5" t="s">
        <v>17240</v>
      </c>
      <c r="AU2884" s="5" t="s">
        <v>17241</v>
      </c>
      <c r="AV2884" s="5" t="s">
        <v>17244</v>
      </c>
    </row>
    <row r="2885" spans="1:48" ht="45" customHeight="1" x14ac:dyDescent="0.15">
      <c r="A2885" s="5" t="s">
        <v>17245</v>
      </c>
      <c r="B2885" s="5">
        <v>2011</v>
      </c>
      <c r="C2885" s="5" t="s">
        <v>17246</v>
      </c>
      <c r="D2885" s="5" t="s">
        <v>41</v>
      </c>
      <c r="E2885" s="5" t="s">
        <v>18453</v>
      </c>
      <c r="F2885" s="5" t="s">
        <v>17249</v>
      </c>
      <c r="G2885" s="5"/>
      <c r="H2885" s="5"/>
      <c r="I2885" s="5"/>
      <c r="J2885" s="5"/>
      <c r="K2885" s="5"/>
      <c r="L2885" s="5"/>
      <c r="M2885" s="5"/>
      <c r="N2885" s="5"/>
      <c r="O2885" s="5"/>
      <c r="P2885" s="5"/>
      <c r="Q2885" s="5"/>
      <c r="AL2885" s="7" t="str">
        <f>HYPERLINK("http://dx.doi.org/10.1016/j.actao.2011.06.004","http://dx.doi.org/10.1016/j.actao.2011.06.004")</f>
        <v>http://dx.doi.org/10.1016/j.actao.2011.06.004</v>
      </c>
      <c r="AM2885" s="5">
        <v>84</v>
      </c>
      <c r="AN2885" s="5">
        <v>88</v>
      </c>
      <c r="AO2885" s="5">
        <v>37</v>
      </c>
      <c r="AP2885" s="5">
        <v>6</v>
      </c>
      <c r="AQ2885" s="5">
        <v>561</v>
      </c>
      <c r="AR2885" s="5">
        <v>577</v>
      </c>
      <c r="AS2885" s="5" t="s">
        <v>16</v>
      </c>
      <c r="AT2885" s="5" t="s">
        <v>17247</v>
      </c>
      <c r="AU2885" s="5" t="s">
        <v>17248</v>
      </c>
      <c r="AV2885" s="5" t="s">
        <v>17250</v>
      </c>
    </row>
    <row r="2886" spans="1:48" ht="45" customHeight="1" x14ac:dyDescent="0.15">
      <c r="A2886" s="5" t="s">
        <v>17251</v>
      </c>
      <c r="B2886" s="5">
        <v>2012</v>
      </c>
      <c r="C2886" s="5" t="s">
        <v>17252</v>
      </c>
      <c r="D2886" s="5" t="s">
        <v>111</v>
      </c>
      <c r="E2886" s="5" t="s">
        <v>18453</v>
      </c>
      <c r="F2886" s="5" t="s">
        <v>17255</v>
      </c>
      <c r="G2886" s="5"/>
      <c r="H2886" s="5"/>
      <c r="I2886" s="5"/>
      <c r="J2886" s="5"/>
      <c r="K2886" s="5"/>
      <c r="L2886" s="5"/>
      <c r="M2886" s="5"/>
      <c r="N2886" s="5"/>
      <c r="O2886" s="5"/>
      <c r="P2886" s="5"/>
      <c r="Q2886" s="5"/>
      <c r="AL2886" s="7" t="str">
        <f>HYPERLINK("http://dx.doi.org/10.1007/s10452-012-9393-0","http://dx.doi.org/10.1007/s10452-012-9393-0")</f>
        <v>http://dx.doi.org/10.1007/s10452-012-9393-0</v>
      </c>
      <c r="AM2886" s="5">
        <v>8</v>
      </c>
      <c r="AN2886" s="5">
        <v>8</v>
      </c>
      <c r="AO2886" s="5">
        <v>46</v>
      </c>
      <c r="AP2886" s="5">
        <v>2</v>
      </c>
      <c r="AQ2886" s="5">
        <v>215</v>
      </c>
      <c r="AR2886" s="5">
        <v>227</v>
      </c>
      <c r="AS2886" s="5" t="s">
        <v>16</v>
      </c>
      <c r="AT2886" s="5" t="s">
        <v>17253</v>
      </c>
      <c r="AU2886" s="5" t="s">
        <v>17254</v>
      </c>
      <c r="AV2886" s="5" t="s">
        <v>17256</v>
      </c>
    </row>
    <row r="2887" spans="1:48" ht="45" customHeight="1" x14ac:dyDescent="0.15">
      <c r="A2887" s="5" t="s">
        <v>17257</v>
      </c>
      <c r="B2887" s="5">
        <v>2009</v>
      </c>
      <c r="C2887" s="5" t="s">
        <v>17258</v>
      </c>
      <c r="D2887" s="5" t="s">
        <v>16096</v>
      </c>
      <c r="E2887" s="5" t="s">
        <v>18453</v>
      </c>
      <c r="F2887" s="5" t="s">
        <v>17261</v>
      </c>
      <c r="G2887" s="5"/>
      <c r="H2887" s="5"/>
      <c r="I2887" s="5"/>
      <c r="J2887" s="5"/>
      <c r="K2887" s="5"/>
      <c r="L2887" s="5"/>
      <c r="M2887" s="5"/>
      <c r="N2887" s="5"/>
      <c r="O2887" s="5"/>
      <c r="P2887" s="5"/>
      <c r="Q2887" s="5"/>
      <c r="AL2887" s="7" t="str">
        <f>HYPERLINK("http://dx.doi.org/10.1111/j.1755-0998.2009.02611.x","http://dx.doi.org/10.1111/j.1755-0998.2009.02611.x")</f>
        <v>http://dx.doi.org/10.1111/j.1755-0998.2009.02611.x</v>
      </c>
      <c r="AM2887" s="5">
        <v>206</v>
      </c>
      <c r="AN2887" s="5">
        <v>222</v>
      </c>
      <c r="AO2887" s="5">
        <v>9</v>
      </c>
      <c r="AP2887" s="5">
        <v>6</v>
      </c>
      <c r="AQ2887" s="5">
        <v>1439</v>
      </c>
      <c r="AR2887" s="5">
        <v>1450</v>
      </c>
      <c r="AS2887" s="5" t="s">
        <v>16</v>
      </c>
      <c r="AT2887" s="5" t="s">
        <v>17259</v>
      </c>
      <c r="AU2887" s="5" t="s">
        <v>17260</v>
      </c>
      <c r="AV2887" s="5" t="s">
        <v>17262</v>
      </c>
    </row>
    <row r="2888" spans="1:48" ht="45" customHeight="1" x14ac:dyDescent="0.15">
      <c r="A2888" s="5" t="s">
        <v>17263</v>
      </c>
      <c r="B2888" s="5">
        <v>2016</v>
      </c>
      <c r="C2888" s="5" t="s">
        <v>17264</v>
      </c>
      <c r="D2888" s="5" t="s">
        <v>6695</v>
      </c>
      <c r="E2888" s="5" t="s">
        <v>18453</v>
      </c>
      <c r="F2888" s="5" t="s">
        <v>17267</v>
      </c>
      <c r="G2888" s="5"/>
      <c r="H2888" s="5"/>
      <c r="I2888" s="5"/>
      <c r="J2888" s="5"/>
      <c r="K2888" s="5"/>
      <c r="L2888" s="5"/>
      <c r="M2888" s="5"/>
      <c r="N2888" s="5"/>
      <c r="O2888" s="5"/>
      <c r="P2888" s="5"/>
      <c r="Q2888" s="5"/>
      <c r="AL2888" s="7" t="str">
        <f>HYPERLINK("http://dx.doi.org/10.3955/046.090.0406","http://dx.doi.org/10.3955/046.090.0406")</f>
        <v>http://dx.doi.org/10.3955/046.090.0406</v>
      </c>
      <c r="AM2888" s="5">
        <v>0</v>
      </c>
      <c r="AN2888" s="5">
        <v>2</v>
      </c>
      <c r="AO2888" s="5">
        <v>90</v>
      </c>
      <c r="AP2888" s="5">
        <v>4</v>
      </c>
      <c r="AQ2888" s="5">
        <v>450</v>
      </c>
      <c r="AR2888" s="5">
        <v>469</v>
      </c>
      <c r="AS2888" s="5" t="s">
        <v>16</v>
      </c>
      <c r="AT2888" s="5" t="s">
        <v>17265</v>
      </c>
      <c r="AU2888" s="5" t="s">
        <v>17266</v>
      </c>
      <c r="AV2888" s="5" t="s">
        <v>17268</v>
      </c>
    </row>
    <row r="2889" spans="1:48" ht="45" customHeight="1" x14ac:dyDescent="0.15">
      <c r="A2889" s="5" t="s">
        <v>17269</v>
      </c>
      <c r="B2889" s="5">
        <v>2012</v>
      </c>
      <c r="C2889" s="5" t="s">
        <v>17270</v>
      </c>
      <c r="D2889" s="5" t="s">
        <v>251</v>
      </c>
      <c r="E2889" s="5" t="s">
        <v>18453</v>
      </c>
      <c r="F2889" s="5" t="s">
        <v>17273</v>
      </c>
      <c r="G2889" s="5"/>
      <c r="H2889" s="5"/>
      <c r="I2889" s="5"/>
      <c r="J2889" s="5"/>
      <c r="K2889" s="5"/>
      <c r="L2889" s="5"/>
      <c r="M2889" s="5"/>
      <c r="N2889" s="5"/>
      <c r="O2889" s="5"/>
      <c r="P2889" s="5"/>
      <c r="Q2889" s="5"/>
      <c r="AL2889" s="7" t="str">
        <f>HYPERLINK("http://dx.doi.org/10.1016/j.biocon.2011.11.015","http://dx.doi.org/10.1016/j.biocon.2011.11.015")</f>
        <v>http://dx.doi.org/10.1016/j.biocon.2011.11.015</v>
      </c>
      <c r="AM2889" s="5">
        <v>69</v>
      </c>
      <c r="AN2889" s="5">
        <v>72</v>
      </c>
      <c r="AO2889" s="5">
        <v>156</v>
      </c>
      <c r="AP2889" s="5" t="s">
        <v>16</v>
      </c>
      <c r="AQ2889" s="5">
        <v>83</v>
      </c>
      <c r="AR2889" s="5">
        <v>93</v>
      </c>
      <c r="AS2889" s="5" t="s">
        <v>16</v>
      </c>
      <c r="AT2889" s="5" t="s">
        <v>17271</v>
      </c>
      <c r="AU2889" s="5" t="s">
        <v>17272</v>
      </c>
      <c r="AV2889" s="5" t="s">
        <v>17274</v>
      </c>
    </row>
    <row r="2890" spans="1:48" ht="45" customHeight="1" x14ac:dyDescent="0.15">
      <c r="A2890" s="5" t="s">
        <v>17275</v>
      </c>
      <c r="B2890" s="5">
        <v>2015</v>
      </c>
      <c r="C2890" s="5" t="s">
        <v>17276</v>
      </c>
      <c r="D2890" s="5" t="s">
        <v>49</v>
      </c>
      <c r="E2890" s="5" t="s">
        <v>18453</v>
      </c>
      <c r="F2890" s="5" t="s">
        <v>17279</v>
      </c>
      <c r="G2890" s="5"/>
      <c r="H2890" s="5"/>
      <c r="I2890" s="5"/>
      <c r="J2890" s="5"/>
      <c r="K2890" s="5"/>
      <c r="L2890" s="5"/>
      <c r="M2890" s="5"/>
      <c r="N2890" s="5"/>
      <c r="O2890" s="5"/>
      <c r="P2890" s="5"/>
      <c r="Q2890" s="5"/>
      <c r="AL2890" s="7" t="str">
        <f>HYPERLINK("http://dx.doi.org/10.3354/meps11203","http://dx.doi.org/10.3354/meps11203")</f>
        <v>http://dx.doi.org/10.3354/meps11203</v>
      </c>
      <c r="AM2890" s="5">
        <v>11</v>
      </c>
      <c r="AN2890" s="5">
        <v>11</v>
      </c>
      <c r="AO2890" s="5">
        <v>526</v>
      </c>
      <c r="AP2890" s="5" t="s">
        <v>16</v>
      </c>
      <c r="AQ2890" s="5">
        <v>169</v>
      </c>
      <c r="AR2890" s="5">
        <v>181</v>
      </c>
      <c r="AS2890" s="5" t="s">
        <v>16</v>
      </c>
      <c r="AT2890" s="5" t="s">
        <v>17277</v>
      </c>
      <c r="AU2890" s="5" t="s">
        <v>17278</v>
      </c>
      <c r="AV2890" s="5" t="s">
        <v>17280</v>
      </c>
    </row>
    <row r="2891" spans="1:48" ht="45" customHeight="1" x14ac:dyDescent="0.15">
      <c r="A2891" s="5" t="s">
        <v>17281</v>
      </c>
      <c r="B2891" s="5">
        <v>2021</v>
      </c>
      <c r="C2891" s="5" t="s">
        <v>17282</v>
      </c>
      <c r="D2891" s="5" t="s">
        <v>942</v>
      </c>
      <c r="E2891" s="5" t="s">
        <v>18453</v>
      </c>
      <c r="F2891" s="5" t="s">
        <v>17285</v>
      </c>
      <c r="G2891" s="5"/>
      <c r="H2891" s="5"/>
      <c r="I2891" s="5"/>
      <c r="J2891" s="5"/>
      <c r="K2891" s="5"/>
      <c r="L2891" s="5"/>
      <c r="M2891" s="5"/>
      <c r="N2891" s="5"/>
      <c r="O2891" s="5"/>
      <c r="P2891" s="5"/>
      <c r="Q2891" s="5"/>
      <c r="AL2891" s="7" t="str">
        <f>HYPERLINK("http://dx.doi.org/10.1016/j.rsma.2021.101884","http://dx.doi.org/10.1016/j.rsma.2021.101884")</f>
        <v>http://dx.doi.org/10.1016/j.rsma.2021.101884</v>
      </c>
      <c r="AM2891" s="5">
        <v>2</v>
      </c>
      <c r="AN2891" s="5">
        <v>2</v>
      </c>
      <c r="AO2891" s="5">
        <v>46</v>
      </c>
      <c r="AP2891" s="5" t="s">
        <v>16</v>
      </c>
      <c r="AQ2891" s="5" t="s">
        <v>16</v>
      </c>
      <c r="AR2891" s="5" t="s">
        <v>16</v>
      </c>
      <c r="AS2891" s="5">
        <v>101884</v>
      </c>
      <c r="AT2891" s="5" t="s">
        <v>17283</v>
      </c>
      <c r="AU2891" s="5" t="s">
        <v>17284</v>
      </c>
      <c r="AV2891" s="5" t="s">
        <v>17286</v>
      </c>
    </row>
    <row r="2892" spans="1:48" ht="45" customHeight="1" x14ac:dyDescent="0.15">
      <c r="A2892" s="5" t="s">
        <v>17287</v>
      </c>
      <c r="B2892" s="5">
        <v>2013</v>
      </c>
      <c r="C2892" s="5" t="s">
        <v>17288</v>
      </c>
      <c r="D2892" s="5" t="s">
        <v>973</v>
      </c>
      <c r="E2892" s="5" t="s">
        <v>18453</v>
      </c>
      <c r="F2892" s="5" t="s">
        <v>17290</v>
      </c>
      <c r="G2892" s="5"/>
      <c r="H2892" s="5"/>
      <c r="I2892" s="5"/>
      <c r="J2892" s="5"/>
      <c r="K2892" s="5"/>
      <c r="L2892" s="5"/>
      <c r="M2892" s="5"/>
      <c r="N2892" s="5"/>
      <c r="O2892" s="5"/>
      <c r="P2892" s="5"/>
      <c r="Q2892" s="5"/>
      <c r="AL2892" s="7" t="str">
        <f>HYPERLINK("http://dx.doi.org/10.5194/bg-10-3375-2013","http://dx.doi.org/10.5194/bg-10-3375-2013")</f>
        <v>http://dx.doi.org/10.5194/bg-10-3375-2013</v>
      </c>
      <c r="AM2892" s="5">
        <v>21</v>
      </c>
      <c r="AN2892" s="5">
        <v>23</v>
      </c>
      <c r="AO2892" s="5">
        <v>10</v>
      </c>
      <c r="AP2892" s="5">
        <v>5</v>
      </c>
      <c r="AQ2892" s="5">
        <v>3375</v>
      </c>
      <c r="AR2892" s="5">
        <v>3389</v>
      </c>
      <c r="AS2892" s="5" t="s">
        <v>16</v>
      </c>
      <c r="AT2892" s="5" t="s">
        <v>16</v>
      </c>
      <c r="AU2892" s="5" t="s">
        <v>17289</v>
      </c>
      <c r="AV2892" s="5" t="s">
        <v>17291</v>
      </c>
    </row>
    <row r="2893" spans="1:48" ht="45" customHeight="1" x14ac:dyDescent="0.15">
      <c r="A2893" s="5" t="s">
        <v>17292</v>
      </c>
      <c r="B2893" s="5">
        <v>2018</v>
      </c>
      <c r="C2893" s="5" t="s">
        <v>17293</v>
      </c>
      <c r="D2893" s="5" t="s">
        <v>17</v>
      </c>
      <c r="E2893" s="5" t="s">
        <v>18453</v>
      </c>
      <c r="F2893" s="5" t="s">
        <v>17296</v>
      </c>
      <c r="G2893" s="5"/>
      <c r="H2893" s="5"/>
      <c r="I2893" s="5"/>
      <c r="J2893" s="5"/>
      <c r="K2893" s="5"/>
      <c r="L2893" s="5"/>
      <c r="M2893" s="5"/>
      <c r="N2893" s="5"/>
      <c r="O2893" s="5"/>
      <c r="P2893" s="5"/>
      <c r="Q2893" s="5"/>
      <c r="AL2893" s="7" t="str">
        <f>HYPERLINK("http://dx.doi.org/10.1111/fwb.13038","http://dx.doi.org/10.1111/fwb.13038")</f>
        <v>http://dx.doi.org/10.1111/fwb.13038</v>
      </c>
      <c r="AM2893" s="5">
        <v>196</v>
      </c>
      <c r="AN2893" s="5">
        <v>202</v>
      </c>
      <c r="AO2893" s="5">
        <v>63</v>
      </c>
      <c r="AP2893" s="5">
        <v>8</v>
      </c>
      <c r="AQ2893" s="5">
        <v>1011</v>
      </c>
      <c r="AR2893" s="5">
        <v>1021</v>
      </c>
      <c r="AS2893" s="5" t="s">
        <v>16</v>
      </c>
      <c r="AT2893" s="5" t="s">
        <v>17294</v>
      </c>
      <c r="AU2893" s="5" t="s">
        <v>17295</v>
      </c>
      <c r="AV2893" s="5" t="s">
        <v>17297</v>
      </c>
    </row>
    <row r="2894" spans="1:48" ht="45" customHeight="1" x14ac:dyDescent="0.15">
      <c r="A2894" s="5" t="s">
        <v>17298</v>
      </c>
      <c r="B2894" s="5">
        <v>2015</v>
      </c>
      <c r="C2894" s="5" t="s">
        <v>17299</v>
      </c>
      <c r="D2894" s="5" t="s">
        <v>172</v>
      </c>
      <c r="E2894" s="5" t="s">
        <v>18453</v>
      </c>
      <c r="F2894" s="5" t="s">
        <v>17302</v>
      </c>
      <c r="G2894" s="5"/>
      <c r="H2894" s="5"/>
      <c r="I2894" s="5"/>
      <c r="J2894" s="5"/>
      <c r="K2894" s="5"/>
      <c r="L2894" s="5"/>
      <c r="M2894" s="5"/>
      <c r="N2894" s="5"/>
      <c r="O2894" s="5"/>
      <c r="P2894" s="5"/>
      <c r="Q2894" s="5"/>
      <c r="AL2894" s="7" t="str">
        <f>HYPERLINK("http://dx.doi.org/10.1007/s00442-015-3421-4","http://dx.doi.org/10.1007/s00442-015-3421-4")</f>
        <v>http://dx.doi.org/10.1007/s00442-015-3421-4</v>
      </c>
      <c r="AM2894" s="5">
        <v>52</v>
      </c>
      <c r="AN2894" s="5">
        <v>52</v>
      </c>
      <c r="AO2894" s="5">
        <v>179</v>
      </c>
      <c r="AP2894" s="5">
        <v>4</v>
      </c>
      <c r="AQ2894" s="5">
        <v>1053</v>
      </c>
      <c r="AR2894" s="5">
        <v>1065</v>
      </c>
      <c r="AS2894" s="5" t="s">
        <v>16</v>
      </c>
      <c r="AT2894" s="5" t="s">
        <v>17300</v>
      </c>
      <c r="AU2894" s="5" t="s">
        <v>17301</v>
      </c>
      <c r="AV2894" s="5" t="s">
        <v>17303</v>
      </c>
    </row>
    <row r="2895" spans="1:48" ht="45" customHeight="1" x14ac:dyDescent="0.15">
      <c r="A2895" s="5" t="s">
        <v>17304</v>
      </c>
      <c r="B2895" s="5">
        <v>2013</v>
      </c>
      <c r="C2895" s="5" t="s">
        <v>17305</v>
      </c>
      <c r="D2895" s="5" t="s">
        <v>49</v>
      </c>
      <c r="E2895" s="5" t="s">
        <v>18453</v>
      </c>
      <c r="F2895" s="5" t="s">
        <v>17308</v>
      </c>
      <c r="G2895" s="5"/>
      <c r="H2895" s="5"/>
      <c r="I2895" s="5"/>
      <c r="J2895" s="5"/>
      <c r="K2895" s="5"/>
      <c r="L2895" s="5"/>
      <c r="M2895" s="5"/>
      <c r="N2895" s="5"/>
      <c r="O2895" s="5"/>
      <c r="P2895" s="5"/>
      <c r="Q2895" s="5"/>
      <c r="AL2895" s="7" t="str">
        <f>HYPERLINK("http://dx.doi.org/10.3354/meps10298","http://dx.doi.org/10.3354/meps10298")</f>
        <v>http://dx.doi.org/10.3354/meps10298</v>
      </c>
      <c r="AM2895" s="5">
        <v>14</v>
      </c>
      <c r="AN2895" s="5">
        <v>14</v>
      </c>
      <c r="AO2895" s="5">
        <v>484</v>
      </c>
      <c r="AP2895" s="5" t="s">
        <v>16</v>
      </c>
      <c r="AQ2895" s="5">
        <v>47</v>
      </c>
      <c r="AR2895" s="5">
        <v>62</v>
      </c>
      <c r="AS2895" s="5" t="s">
        <v>16</v>
      </c>
      <c r="AT2895" s="5" t="s">
        <v>17306</v>
      </c>
      <c r="AU2895" s="5" t="s">
        <v>17307</v>
      </c>
      <c r="AV2895" s="5" t="s">
        <v>17309</v>
      </c>
    </row>
    <row r="2896" spans="1:48" ht="45" customHeight="1" x14ac:dyDescent="0.15">
      <c r="A2896" s="5" t="s">
        <v>17310</v>
      </c>
      <c r="B2896" s="5">
        <v>2015</v>
      </c>
      <c r="C2896" s="5" t="s">
        <v>17311</v>
      </c>
      <c r="D2896" s="5" t="s">
        <v>10592</v>
      </c>
      <c r="E2896" s="5" t="s">
        <v>18453</v>
      </c>
      <c r="F2896" s="5" t="s">
        <v>17313</v>
      </c>
      <c r="G2896" s="5"/>
      <c r="H2896" s="5"/>
      <c r="I2896" s="5"/>
      <c r="J2896" s="5"/>
      <c r="K2896" s="5"/>
      <c r="L2896" s="5"/>
      <c r="M2896" s="5"/>
      <c r="N2896" s="5"/>
      <c r="O2896" s="5"/>
      <c r="P2896" s="5"/>
      <c r="Q2896" s="5"/>
      <c r="AL2896" s="7" t="str">
        <f>HYPERLINK("http://dx.doi.org/10.1656/045.022.0101","http://dx.doi.org/10.1656/045.022.0101")</f>
        <v>http://dx.doi.org/10.1656/045.022.0101</v>
      </c>
      <c r="AM2896" s="5">
        <v>2</v>
      </c>
      <c r="AN2896" s="5">
        <v>3</v>
      </c>
      <c r="AO2896" s="5">
        <v>22</v>
      </c>
      <c r="AP2896" s="5">
        <v>1</v>
      </c>
      <c r="AQ2896" s="5">
        <v>1</v>
      </c>
      <c r="AR2896" s="5">
        <v>9</v>
      </c>
      <c r="AS2896" s="5" t="s">
        <v>16</v>
      </c>
      <c r="AT2896" s="5" t="s">
        <v>16</v>
      </c>
      <c r="AU2896" s="5" t="s">
        <v>17312</v>
      </c>
      <c r="AV2896" s="5" t="s">
        <v>17314</v>
      </c>
    </row>
    <row r="2897" spans="1:48" ht="45" customHeight="1" x14ac:dyDescent="0.15">
      <c r="A2897" s="5" t="s">
        <v>16088</v>
      </c>
      <c r="B2897" s="5">
        <v>2015</v>
      </c>
      <c r="C2897" s="5" t="s">
        <v>17315</v>
      </c>
      <c r="D2897" s="5" t="s">
        <v>77</v>
      </c>
      <c r="E2897" s="5" t="s">
        <v>18453</v>
      </c>
      <c r="F2897" s="5" t="s">
        <v>17318</v>
      </c>
      <c r="G2897" s="5"/>
      <c r="H2897" s="5"/>
      <c r="I2897" s="5"/>
      <c r="J2897" s="5"/>
      <c r="K2897" s="5"/>
      <c r="L2897" s="5"/>
      <c r="M2897" s="5"/>
      <c r="N2897" s="5"/>
      <c r="O2897" s="5"/>
      <c r="P2897" s="5"/>
      <c r="Q2897" s="5"/>
      <c r="AL2897" s="7" t="str">
        <f>HYPERLINK("http://dx.doi.org/10.1111/1365-2656.12295","http://dx.doi.org/10.1111/1365-2656.12295")</f>
        <v>http://dx.doi.org/10.1111/1365-2656.12295</v>
      </c>
      <c r="AM2897" s="5">
        <v>19</v>
      </c>
      <c r="AN2897" s="5">
        <v>22</v>
      </c>
      <c r="AO2897" s="5">
        <v>84</v>
      </c>
      <c r="AP2897" s="5">
        <v>2</v>
      </c>
      <c r="AQ2897" s="5">
        <v>532</v>
      </c>
      <c r="AR2897" s="5">
        <v>544</v>
      </c>
      <c r="AS2897" s="5" t="s">
        <v>16</v>
      </c>
      <c r="AT2897" s="5" t="s">
        <v>17316</v>
      </c>
      <c r="AU2897" s="5" t="s">
        <v>17317</v>
      </c>
      <c r="AV2897" s="5" t="s">
        <v>17319</v>
      </c>
    </row>
    <row r="2898" spans="1:48" ht="45" customHeight="1" x14ac:dyDescent="0.15">
      <c r="A2898" s="5" t="s">
        <v>17320</v>
      </c>
      <c r="B2898" s="5">
        <v>2022</v>
      </c>
      <c r="C2898" s="5" t="s">
        <v>17321</v>
      </c>
      <c r="D2898" s="5" t="s">
        <v>942</v>
      </c>
      <c r="E2898" s="5" t="s">
        <v>18453</v>
      </c>
      <c r="F2898" s="5" t="s">
        <v>17324</v>
      </c>
      <c r="G2898" s="5"/>
      <c r="H2898" s="5"/>
      <c r="I2898" s="5"/>
      <c r="J2898" s="5"/>
      <c r="K2898" s="5"/>
      <c r="L2898" s="5"/>
      <c r="M2898" s="5"/>
      <c r="N2898" s="5"/>
      <c r="O2898" s="5"/>
      <c r="P2898" s="5"/>
      <c r="Q2898" s="5"/>
      <c r="AL2898" s="7" t="str">
        <f>HYPERLINK("http://dx.doi.org/10.1016/j.rsma.2022.102581","http://dx.doi.org/10.1016/j.rsma.2022.102581")</f>
        <v>http://dx.doi.org/10.1016/j.rsma.2022.102581</v>
      </c>
      <c r="AM2898" s="5">
        <v>0</v>
      </c>
      <c r="AN2898" s="5">
        <v>0</v>
      </c>
      <c r="AO2898" s="5">
        <v>55</v>
      </c>
      <c r="AP2898" s="5" t="s">
        <v>16</v>
      </c>
      <c r="AQ2898" s="5" t="s">
        <v>16</v>
      </c>
      <c r="AR2898" s="5" t="s">
        <v>16</v>
      </c>
      <c r="AS2898" s="5">
        <v>102581</v>
      </c>
      <c r="AT2898" s="5" t="s">
        <v>17322</v>
      </c>
      <c r="AU2898" s="5" t="s">
        <v>17323</v>
      </c>
      <c r="AV2898" s="5" t="s">
        <v>17325</v>
      </c>
    </row>
    <row r="2899" spans="1:48" ht="45" customHeight="1" x14ac:dyDescent="0.15">
      <c r="A2899" s="5" t="s">
        <v>17326</v>
      </c>
      <c r="B2899" s="5">
        <v>2010</v>
      </c>
      <c r="C2899" s="5" t="s">
        <v>17327</v>
      </c>
      <c r="D2899" s="5" t="s">
        <v>189</v>
      </c>
      <c r="E2899" s="5" t="s">
        <v>18453</v>
      </c>
      <c r="F2899" s="5" t="s">
        <v>17329</v>
      </c>
      <c r="G2899" s="5"/>
      <c r="H2899" s="5"/>
      <c r="I2899" s="5"/>
      <c r="J2899" s="5"/>
      <c r="K2899" s="5"/>
      <c r="L2899" s="5"/>
      <c r="M2899" s="5"/>
      <c r="N2899" s="5"/>
      <c r="O2899" s="5"/>
      <c r="P2899" s="5"/>
      <c r="Q2899" s="5"/>
      <c r="AL2899" s="7" t="str">
        <f>HYPERLINK("http://dx.doi.org/10.1111/j.1600-0587.2009.05901.x","http://dx.doi.org/10.1111/j.1600-0587.2009.05901.x")</f>
        <v>http://dx.doi.org/10.1111/j.1600-0587.2009.05901.x</v>
      </c>
      <c r="AM2899" s="5">
        <v>84</v>
      </c>
      <c r="AN2899" s="5">
        <v>88</v>
      </c>
      <c r="AO2899" s="5">
        <v>33</v>
      </c>
      <c r="AP2899" s="5">
        <v>4</v>
      </c>
      <c r="AQ2899" s="5">
        <v>698</v>
      </c>
      <c r="AR2899" s="5">
        <v>708</v>
      </c>
      <c r="AS2899" s="5" t="s">
        <v>16</v>
      </c>
      <c r="AT2899" s="5" t="s">
        <v>16</v>
      </c>
      <c r="AU2899" s="5" t="s">
        <v>17328</v>
      </c>
      <c r="AV2899" s="5" t="s">
        <v>17330</v>
      </c>
    </row>
    <row r="2900" spans="1:48" ht="45" customHeight="1" x14ac:dyDescent="0.15">
      <c r="A2900" s="5" t="s">
        <v>17331</v>
      </c>
      <c r="B2900" s="5">
        <v>2015</v>
      </c>
      <c r="C2900" s="5" t="s">
        <v>17332</v>
      </c>
      <c r="D2900" s="5" t="s">
        <v>27</v>
      </c>
      <c r="E2900" s="5" t="s">
        <v>18453</v>
      </c>
      <c r="F2900" s="5" t="s">
        <v>17335</v>
      </c>
      <c r="G2900" s="5"/>
      <c r="H2900" s="5"/>
      <c r="I2900" s="5"/>
      <c r="J2900" s="5"/>
      <c r="K2900" s="5"/>
      <c r="L2900" s="5"/>
      <c r="M2900" s="5"/>
      <c r="N2900" s="5"/>
      <c r="O2900" s="5"/>
      <c r="P2900" s="5"/>
      <c r="Q2900" s="5"/>
      <c r="AL2900" s="7" t="str">
        <f>HYPERLINK("http://dx.doi.org/10.1890/14-0552.1","http://dx.doi.org/10.1890/14-0552.1")</f>
        <v>http://dx.doi.org/10.1890/14-0552.1</v>
      </c>
      <c r="AM2900" s="5">
        <v>57</v>
      </c>
      <c r="AN2900" s="5">
        <v>58</v>
      </c>
      <c r="AO2900" s="5">
        <v>96</v>
      </c>
      <c r="AP2900" s="5">
        <v>2</v>
      </c>
      <c r="AQ2900" s="5">
        <v>381</v>
      </c>
      <c r="AR2900" s="5">
        <v>391</v>
      </c>
      <c r="AS2900" s="5" t="s">
        <v>16</v>
      </c>
      <c r="AT2900" s="5" t="s">
        <v>17333</v>
      </c>
      <c r="AU2900" s="5" t="s">
        <v>17334</v>
      </c>
      <c r="AV2900" s="5" t="s">
        <v>17336</v>
      </c>
    </row>
    <row r="2901" spans="1:48" ht="45" customHeight="1" x14ac:dyDescent="0.15">
      <c r="A2901" s="5" t="s">
        <v>17337</v>
      </c>
      <c r="B2901" s="5">
        <v>2015</v>
      </c>
      <c r="C2901" s="5" t="s">
        <v>17338</v>
      </c>
      <c r="D2901" s="5" t="s">
        <v>2020</v>
      </c>
      <c r="E2901" s="5" t="s">
        <v>18453</v>
      </c>
      <c r="F2901" s="5" t="s">
        <v>17341</v>
      </c>
      <c r="G2901" s="5"/>
      <c r="H2901" s="5"/>
      <c r="I2901" s="5"/>
      <c r="J2901" s="5"/>
      <c r="K2901" s="5"/>
      <c r="L2901" s="5"/>
      <c r="M2901" s="5"/>
      <c r="N2901" s="5"/>
      <c r="O2901" s="5"/>
      <c r="P2901" s="5"/>
      <c r="Q2901" s="5"/>
      <c r="AL2901" s="7" t="str">
        <f>HYPERLINK("http://dx.doi.org/10.5751/ES-06510-200111","http://dx.doi.org/10.5751/ES-06510-200111")</f>
        <v>http://dx.doi.org/10.5751/ES-06510-200111</v>
      </c>
      <c r="AM2901" s="5">
        <v>72</v>
      </c>
      <c r="AN2901" s="5">
        <v>73</v>
      </c>
      <c r="AO2901" s="5">
        <v>20</v>
      </c>
      <c r="AP2901" s="5">
        <v>1</v>
      </c>
      <c r="AQ2901" s="5" t="s">
        <v>16</v>
      </c>
      <c r="AR2901" s="5" t="s">
        <v>16</v>
      </c>
      <c r="AS2901" s="5">
        <v>11</v>
      </c>
      <c r="AT2901" s="5" t="s">
        <v>17339</v>
      </c>
      <c r="AU2901" s="5" t="s">
        <v>17340</v>
      </c>
      <c r="AV2901" s="5" t="s">
        <v>17342</v>
      </c>
    </row>
    <row r="2902" spans="1:48" ht="45" customHeight="1" x14ac:dyDescent="0.15">
      <c r="A2902" s="5" t="s">
        <v>17343</v>
      </c>
      <c r="B2902" s="5">
        <v>2014</v>
      </c>
      <c r="C2902" s="5" t="s">
        <v>17344</v>
      </c>
      <c r="D2902" s="5" t="s">
        <v>2087</v>
      </c>
      <c r="E2902" s="5" t="s">
        <v>18453</v>
      </c>
      <c r="F2902" s="5" t="s">
        <v>17347</v>
      </c>
      <c r="G2902" s="5"/>
      <c r="H2902" s="5"/>
      <c r="I2902" s="5"/>
      <c r="J2902" s="5"/>
      <c r="K2902" s="5"/>
      <c r="L2902" s="5"/>
      <c r="M2902" s="5"/>
      <c r="N2902" s="5"/>
      <c r="O2902" s="5"/>
      <c r="P2902" s="5"/>
      <c r="Q2902" s="5"/>
      <c r="AL2902" s="7" t="str">
        <f>HYPERLINK("http://dx.doi.org/10.1002/eco.1467","http://dx.doi.org/10.1002/eco.1467")</f>
        <v>http://dx.doi.org/10.1002/eco.1467</v>
      </c>
      <c r="AM2902" s="5">
        <v>37</v>
      </c>
      <c r="AN2902" s="5">
        <v>38</v>
      </c>
      <c r="AO2902" s="5">
        <v>7</v>
      </c>
      <c r="AP2902" s="5">
        <v>5</v>
      </c>
      <c r="AQ2902" s="5">
        <v>1412</v>
      </c>
      <c r="AR2902" s="5">
        <v>1420</v>
      </c>
      <c r="AS2902" s="5" t="s">
        <v>16</v>
      </c>
      <c r="AT2902" s="5" t="s">
        <v>17345</v>
      </c>
      <c r="AU2902" s="5" t="s">
        <v>17346</v>
      </c>
      <c r="AV2902" s="5" t="s">
        <v>17348</v>
      </c>
    </row>
    <row r="2903" spans="1:48" ht="45" customHeight="1" x14ac:dyDescent="0.15">
      <c r="A2903" s="5" t="s">
        <v>17349</v>
      </c>
      <c r="B2903" s="5">
        <v>2021</v>
      </c>
      <c r="C2903" s="5" t="s">
        <v>17350</v>
      </c>
      <c r="D2903" s="5" t="s">
        <v>5517</v>
      </c>
      <c r="E2903" s="5" t="s">
        <v>18453</v>
      </c>
      <c r="F2903" s="5" t="s">
        <v>17352</v>
      </c>
      <c r="G2903" s="5"/>
      <c r="H2903" s="5"/>
      <c r="I2903" s="5"/>
      <c r="J2903" s="5"/>
      <c r="K2903" s="5"/>
      <c r="L2903" s="5"/>
      <c r="M2903" s="5"/>
      <c r="N2903" s="5"/>
      <c r="O2903" s="5"/>
      <c r="P2903" s="5"/>
      <c r="Q2903" s="5"/>
      <c r="AL2903" s="7" t="str">
        <f>HYPERLINK("http://dx.doi.org/10.1038/s41396-020-00837-2","http://dx.doi.org/10.1038/s41396-020-00837-2")</f>
        <v>http://dx.doi.org/10.1038/s41396-020-00837-2</v>
      </c>
      <c r="AM2903" s="5">
        <v>51</v>
      </c>
      <c r="AN2903" s="5">
        <v>55</v>
      </c>
      <c r="AO2903" s="5">
        <v>15</v>
      </c>
      <c r="AP2903" s="5">
        <v>4</v>
      </c>
      <c r="AQ2903" s="5">
        <v>1108</v>
      </c>
      <c r="AR2903" s="5">
        <v>1120</v>
      </c>
      <c r="AS2903" s="5" t="s">
        <v>16</v>
      </c>
      <c r="AT2903" s="5" t="s">
        <v>16</v>
      </c>
      <c r="AU2903" s="5" t="s">
        <v>17351</v>
      </c>
      <c r="AV2903" s="5" t="s">
        <v>17353</v>
      </c>
    </row>
    <row r="2904" spans="1:48" ht="45" customHeight="1" x14ac:dyDescent="0.15">
      <c r="A2904" s="5" t="s">
        <v>17354</v>
      </c>
      <c r="B2904" s="5">
        <v>2012</v>
      </c>
      <c r="C2904" s="5" t="s">
        <v>17355</v>
      </c>
      <c r="D2904" s="5" t="s">
        <v>973</v>
      </c>
      <c r="E2904" s="5" t="s">
        <v>18453</v>
      </c>
      <c r="F2904" s="5" t="s">
        <v>17357</v>
      </c>
      <c r="G2904" s="5"/>
      <c r="H2904" s="5"/>
      <c r="I2904" s="5"/>
      <c r="J2904" s="5"/>
      <c r="K2904" s="5"/>
      <c r="L2904" s="5"/>
      <c r="M2904" s="5"/>
      <c r="N2904" s="5"/>
      <c r="O2904" s="5"/>
      <c r="P2904" s="5"/>
      <c r="Q2904" s="5"/>
      <c r="AL2904" s="7" t="str">
        <f>HYPERLINK("http://dx.doi.org/10.5194/bg-9-2385-2012","http://dx.doi.org/10.5194/bg-9-2385-2012")</f>
        <v>http://dx.doi.org/10.5194/bg-9-2385-2012</v>
      </c>
      <c r="AM2904" s="5">
        <v>16</v>
      </c>
      <c r="AN2904" s="5">
        <v>21</v>
      </c>
      <c r="AO2904" s="5">
        <v>9</v>
      </c>
      <c r="AP2904" s="5">
        <v>7</v>
      </c>
      <c r="AQ2904" s="5">
        <v>2385</v>
      </c>
      <c r="AR2904" s="5">
        <v>2399</v>
      </c>
      <c r="AS2904" s="5" t="s">
        <v>16</v>
      </c>
      <c r="AT2904" s="5" t="s">
        <v>16</v>
      </c>
      <c r="AU2904" s="5" t="s">
        <v>17356</v>
      </c>
      <c r="AV2904" s="5" t="s">
        <v>17358</v>
      </c>
    </row>
    <row r="2905" spans="1:48" ht="45" customHeight="1" x14ac:dyDescent="0.15">
      <c r="A2905" s="5" t="s">
        <v>17359</v>
      </c>
      <c r="B2905" s="5">
        <v>2019</v>
      </c>
      <c r="C2905" s="5" t="s">
        <v>17360</v>
      </c>
      <c r="D2905" s="5" t="s">
        <v>973</v>
      </c>
      <c r="E2905" s="5" t="s">
        <v>18453</v>
      </c>
      <c r="F2905" s="5" t="s">
        <v>17362</v>
      </c>
      <c r="G2905" s="5"/>
      <c r="H2905" s="5"/>
      <c r="I2905" s="5"/>
      <c r="J2905" s="5"/>
      <c r="K2905" s="5"/>
      <c r="L2905" s="5"/>
      <c r="M2905" s="5"/>
      <c r="N2905" s="5"/>
      <c r="O2905" s="5"/>
      <c r="P2905" s="5"/>
      <c r="Q2905" s="5"/>
      <c r="AL2905" s="7" t="str">
        <f>HYPERLINK("http://dx.doi.org/10.5194/bg-16-2131-2019","http://dx.doi.org/10.5194/bg-16-2131-2019")</f>
        <v>http://dx.doi.org/10.5194/bg-16-2131-2019</v>
      </c>
      <c r="AM2905" s="5">
        <v>11</v>
      </c>
      <c r="AN2905" s="5">
        <v>11</v>
      </c>
      <c r="AO2905" s="5">
        <v>16</v>
      </c>
      <c r="AP2905" s="5">
        <v>10</v>
      </c>
      <c r="AQ2905" s="5">
        <v>2131</v>
      </c>
      <c r="AR2905" s="5">
        <v>2146</v>
      </c>
      <c r="AS2905" s="5" t="s">
        <v>16</v>
      </c>
      <c r="AT2905" s="5" t="s">
        <v>16</v>
      </c>
      <c r="AU2905" s="5" t="s">
        <v>17361</v>
      </c>
      <c r="AV2905" s="5" t="s">
        <v>17363</v>
      </c>
    </row>
    <row r="2906" spans="1:48" ht="45" customHeight="1" x14ac:dyDescent="0.15">
      <c r="A2906" s="5" t="s">
        <v>17364</v>
      </c>
      <c r="B2906" s="5">
        <v>2017</v>
      </c>
      <c r="C2906" s="5" t="s">
        <v>17365</v>
      </c>
      <c r="D2906" s="5" t="s">
        <v>2761</v>
      </c>
      <c r="E2906" s="5" t="s">
        <v>18453</v>
      </c>
      <c r="F2906" s="5" t="s">
        <v>17368</v>
      </c>
      <c r="G2906" s="5"/>
      <c r="H2906" s="5"/>
      <c r="I2906" s="5"/>
      <c r="J2906" s="5"/>
      <c r="K2906" s="5"/>
      <c r="L2906" s="5"/>
      <c r="M2906" s="5"/>
      <c r="N2906" s="5"/>
      <c r="O2906" s="5"/>
      <c r="P2906" s="5"/>
      <c r="Q2906" s="5"/>
      <c r="AL2906" s="7" t="str">
        <f>HYPERLINK("http://dx.doi.org/10.1186/s12898-017-0123-2","http://dx.doi.org/10.1186/s12898-017-0123-2")</f>
        <v>http://dx.doi.org/10.1186/s12898-017-0123-2</v>
      </c>
      <c r="AM2906" s="5">
        <v>10</v>
      </c>
      <c r="AN2906" s="5">
        <v>10</v>
      </c>
      <c r="AO2906" s="5">
        <v>17</v>
      </c>
      <c r="AP2906" s="5" t="s">
        <v>16</v>
      </c>
      <c r="AQ2906" s="5" t="s">
        <v>16</v>
      </c>
      <c r="AR2906" s="5" t="s">
        <v>16</v>
      </c>
      <c r="AS2906" s="5">
        <v>13</v>
      </c>
      <c r="AT2906" s="5" t="s">
        <v>17366</v>
      </c>
      <c r="AU2906" s="5" t="s">
        <v>17367</v>
      </c>
      <c r="AV2906" s="5" t="s">
        <v>17369</v>
      </c>
    </row>
    <row r="2907" spans="1:48" ht="45" customHeight="1" x14ac:dyDescent="0.15">
      <c r="A2907" s="5" t="s">
        <v>17370</v>
      </c>
      <c r="B2907" s="5">
        <v>2013</v>
      </c>
      <c r="C2907" s="5" t="s">
        <v>17371</v>
      </c>
      <c r="D2907" s="5" t="s">
        <v>49</v>
      </c>
      <c r="E2907" s="5" t="s">
        <v>18453</v>
      </c>
      <c r="F2907" s="5" t="s">
        <v>17374</v>
      </c>
      <c r="G2907" s="5"/>
      <c r="H2907" s="5"/>
      <c r="I2907" s="5"/>
      <c r="J2907" s="5"/>
      <c r="K2907" s="5"/>
      <c r="L2907" s="5"/>
      <c r="M2907" s="5"/>
      <c r="N2907" s="5"/>
      <c r="O2907" s="5"/>
      <c r="P2907" s="5"/>
      <c r="Q2907" s="5"/>
      <c r="AL2907" s="7" t="str">
        <f>HYPERLINK("http://dx.doi.org/10.3354/meps10405","http://dx.doi.org/10.3354/meps10405")</f>
        <v>http://dx.doi.org/10.3354/meps10405</v>
      </c>
      <c r="AM2907" s="5">
        <v>9</v>
      </c>
      <c r="AN2907" s="5">
        <v>10</v>
      </c>
      <c r="AO2907" s="5">
        <v>489</v>
      </c>
      <c r="AP2907" s="5" t="s">
        <v>16</v>
      </c>
      <c r="AQ2907" s="5">
        <v>177</v>
      </c>
      <c r="AR2907" s="5">
        <v>195</v>
      </c>
      <c r="AS2907" s="5" t="s">
        <v>16</v>
      </c>
      <c r="AT2907" s="5" t="s">
        <v>17372</v>
      </c>
      <c r="AU2907" s="5" t="s">
        <v>17373</v>
      </c>
      <c r="AV2907" s="5" t="s">
        <v>17375</v>
      </c>
    </row>
    <row r="2908" spans="1:48" ht="45" customHeight="1" x14ac:dyDescent="0.15">
      <c r="A2908" s="5" t="s">
        <v>17376</v>
      </c>
      <c r="B2908" s="5">
        <v>2017</v>
      </c>
      <c r="C2908" s="5" t="s">
        <v>17377</v>
      </c>
      <c r="D2908" s="5" t="s">
        <v>77</v>
      </c>
      <c r="E2908" s="5" t="s">
        <v>18453</v>
      </c>
      <c r="F2908" s="5" t="s">
        <v>17380</v>
      </c>
      <c r="G2908" s="5"/>
      <c r="H2908" s="5"/>
      <c r="I2908" s="5"/>
      <c r="J2908" s="5"/>
      <c r="K2908" s="5"/>
      <c r="L2908" s="5"/>
      <c r="M2908" s="5"/>
      <c r="N2908" s="5"/>
      <c r="O2908" s="5"/>
      <c r="P2908" s="5"/>
      <c r="Q2908" s="5"/>
      <c r="AL2908" s="7" t="str">
        <f>HYPERLINK("http://dx.doi.org/10.1111/1365-2656.12618","http://dx.doi.org/10.1111/1365-2656.12618")</f>
        <v>http://dx.doi.org/10.1111/1365-2656.12618</v>
      </c>
      <c r="AM2908" s="5">
        <v>34</v>
      </c>
      <c r="AN2908" s="5">
        <v>35</v>
      </c>
      <c r="AO2908" s="5">
        <v>86</v>
      </c>
      <c r="AP2908" s="5">
        <v>3</v>
      </c>
      <c r="AQ2908" s="5">
        <v>694</v>
      </c>
      <c r="AR2908" s="5">
        <v>704</v>
      </c>
      <c r="AS2908" s="5" t="s">
        <v>16</v>
      </c>
      <c r="AT2908" s="5" t="s">
        <v>17378</v>
      </c>
      <c r="AU2908" s="5" t="s">
        <v>17379</v>
      </c>
      <c r="AV2908" s="5" t="s">
        <v>17381</v>
      </c>
    </row>
    <row r="2909" spans="1:48" ht="45" customHeight="1" x14ac:dyDescent="0.15">
      <c r="A2909" s="5" t="s">
        <v>17382</v>
      </c>
      <c r="B2909" s="5">
        <v>1999</v>
      </c>
      <c r="C2909" s="5" t="s">
        <v>17383</v>
      </c>
      <c r="D2909" s="5" t="s">
        <v>17384</v>
      </c>
      <c r="E2909" s="5" t="s">
        <v>18453</v>
      </c>
      <c r="F2909" s="5" t="s">
        <v>17387</v>
      </c>
      <c r="G2909" s="5"/>
      <c r="H2909" s="5"/>
      <c r="I2909" s="5"/>
      <c r="J2909" s="5"/>
      <c r="K2909" s="5"/>
      <c r="L2909" s="5"/>
      <c r="M2909" s="5"/>
      <c r="N2909" s="5"/>
      <c r="O2909" s="5"/>
      <c r="P2909" s="5"/>
      <c r="Q2909" s="5"/>
      <c r="AL2909" s="7" t="str">
        <f>HYPERLINK("http://dx.doi.org/10.1007/PL00011985","http://dx.doi.org/10.1007/PL00011985")</f>
        <v>http://dx.doi.org/10.1007/PL00011985</v>
      </c>
      <c r="AM2909" s="5">
        <v>17</v>
      </c>
      <c r="AN2909" s="5">
        <v>18</v>
      </c>
      <c r="AO2909" s="5">
        <v>41</v>
      </c>
      <c r="AP2909" s="5">
        <v>1</v>
      </c>
      <c r="AQ2909" s="5">
        <v>81</v>
      </c>
      <c r="AR2909" s="5">
        <v>91</v>
      </c>
      <c r="AS2909" s="5" t="s">
        <v>16</v>
      </c>
      <c r="AT2909" s="5" t="s">
        <v>17385</v>
      </c>
      <c r="AU2909" s="5" t="s">
        <v>17386</v>
      </c>
      <c r="AV2909" s="5" t="s">
        <v>17388</v>
      </c>
    </row>
    <row r="2910" spans="1:48" ht="45" customHeight="1" x14ac:dyDescent="0.15">
      <c r="A2910" s="5" t="s">
        <v>17389</v>
      </c>
      <c r="B2910" s="5">
        <v>2022</v>
      </c>
      <c r="C2910" s="5" t="s">
        <v>17390</v>
      </c>
      <c r="D2910" s="5" t="s">
        <v>2976</v>
      </c>
      <c r="E2910" s="5" t="s">
        <v>18453</v>
      </c>
      <c r="F2910" s="5" t="s">
        <v>17393</v>
      </c>
      <c r="G2910" s="5"/>
      <c r="H2910" s="5"/>
      <c r="I2910" s="5"/>
      <c r="J2910" s="5"/>
      <c r="K2910" s="5"/>
      <c r="L2910" s="5"/>
      <c r="M2910" s="5"/>
      <c r="N2910" s="5"/>
      <c r="O2910" s="5"/>
      <c r="P2910" s="5"/>
      <c r="Q2910" s="5"/>
      <c r="AL2910" s="7" t="str">
        <f>HYPERLINK("http://dx.doi.org/10.1016/j.gecco.2022.e02155","http://dx.doi.org/10.1016/j.gecco.2022.e02155")</f>
        <v>http://dx.doi.org/10.1016/j.gecco.2022.e02155</v>
      </c>
      <c r="AM2910" s="5">
        <v>1</v>
      </c>
      <c r="AN2910" s="5">
        <v>1</v>
      </c>
      <c r="AO2910" s="5">
        <v>37</v>
      </c>
      <c r="AP2910" s="5" t="s">
        <v>16</v>
      </c>
      <c r="AQ2910" s="5" t="s">
        <v>16</v>
      </c>
      <c r="AR2910" s="5" t="s">
        <v>16</v>
      </c>
      <c r="AS2910" s="5" t="s">
        <v>17394</v>
      </c>
      <c r="AT2910" s="5" t="s">
        <v>17391</v>
      </c>
      <c r="AU2910" s="5" t="s">
        <v>17392</v>
      </c>
      <c r="AV2910" s="5" t="s">
        <v>17395</v>
      </c>
    </row>
    <row r="2911" spans="1:48" ht="45" customHeight="1" x14ac:dyDescent="0.15">
      <c r="A2911" s="5" t="s">
        <v>17396</v>
      </c>
      <c r="B2911" s="5">
        <v>2009</v>
      </c>
      <c r="C2911" s="5" t="s">
        <v>17397</v>
      </c>
      <c r="D2911" s="5" t="s">
        <v>11761</v>
      </c>
      <c r="E2911" s="5" t="s">
        <v>18453</v>
      </c>
      <c r="F2911" s="5" t="s">
        <v>17399</v>
      </c>
      <c r="G2911" s="5"/>
      <c r="H2911" s="5"/>
      <c r="I2911" s="5"/>
      <c r="J2911" s="5"/>
      <c r="K2911" s="5"/>
      <c r="L2911" s="5"/>
      <c r="M2911" s="5"/>
      <c r="N2911" s="5"/>
      <c r="O2911" s="5"/>
      <c r="P2911" s="5"/>
      <c r="Q2911" s="5"/>
      <c r="AL2911" s="7" t="str">
        <f>HYPERLINK("http://dx.doi.org/10.5735/086.046.0601","http://dx.doi.org/10.5735/086.046.0601")</f>
        <v>http://dx.doi.org/10.5735/086.046.0601</v>
      </c>
      <c r="AM2911" s="5">
        <v>56</v>
      </c>
      <c r="AN2911" s="5">
        <v>56</v>
      </c>
      <c r="AO2911" s="5">
        <v>46</v>
      </c>
      <c r="AP2911" s="5">
        <v>6</v>
      </c>
      <c r="AQ2911" s="5">
        <v>395</v>
      </c>
      <c r="AR2911" s="5">
        <v>415</v>
      </c>
      <c r="AS2911" s="5" t="s">
        <v>16</v>
      </c>
      <c r="AT2911" s="5" t="s">
        <v>16</v>
      </c>
      <c r="AU2911" s="5" t="s">
        <v>17398</v>
      </c>
      <c r="AV2911" s="5" t="s">
        <v>17400</v>
      </c>
    </row>
    <row r="2912" spans="1:48" ht="45" customHeight="1" x14ac:dyDescent="0.15">
      <c r="A2912" s="5" t="s">
        <v>17401</v>
      </c>
      <c r="B2912" s="5">
        <v>2023</v>
      </c>
      <c r="C2912" s="5" t="s">
        <v>17402</v>
      </c>
      <c r="D2912" s="5" t="s">
        <v>212</v>
      </c>
      <c r="E2912" s="5" t="s">
        <v>18453</v>
      </c>
      <c r="F2912" s="5" t="s">
        <v>17405</v>
      </c>
      <c r="G2912" s="5"/>
      <c r="H2912" s="5"/>
      <c r="I2912" s="5"/>
      <c r="J2912" s="5"/>
      <c r="K2912" s="5"/>
      <c r="L2912" s="5"/>
      <c r="M2912" s="5"/>
      <c r="N2912" s="5"/>
      <c r="O2912" s="5"/>
      <c r="P2912" s="5"/>
      <c r="Q2912" s="5"/>
      <c r="AL2912" s="7" t="str">
        <f>HYPERLINK("http://dx.doi.org/10.1007/s00300-023-03113-z","http://dx.doi.org/10.1007/s00300-023-03113-z")</f>
        <v>http://dx.doi.org/10.1007/s00300-023-03113-z</v>
      </c>
      <c r="AM2912" s="5">
        <v>0</v>
      </c>
      <c r="AN2912" s="5">
        <v>0</v>
      </c>
      <c r="AO2912" s="5">
        <v>46</v>
      </c>
      <c r="AP2912" s="5">
        <v>2</v>
      </c>
      <c r="AQ2912" s="5">
        <v>151</v>
      </c>
      <c r="AR2912" s="5">
        <v>168</v>
      </c>
      <c r="AS2912" s="5" t="s">
        <v>16</v>
      </c>
      <c r="AT2912" s="5" t="s">
        <v>17403</v>
      </c>
      <c r="AU2912" s="5" t="s">
        <v>17404</v>
      </c>
      <c r="AV2912" s="5" t="s">
        <v>17406</v>
      </c>
    </row>
    <row r="2913" spans="1:48" ht="45" customHeight="1" x14ac:dyDescent="0.15">
      <c r="A2913" s="5" t="s">
        <v>17407</v>
      </c>
      <c r="B2913" s="5">
        <v>2010</v>
      </c>
      <c r="C2913" s="5" t="s">
        <v>17408</v>
      </c>
      <c r="D2913" s="5" t="s">
        <v>77</v>
      </c>
      <c r="E2913" s="5" t="s">
        <v>18453</v>
      </c>
      <c r="F2913" s="5" t="s">
        <v>17411</v>
      </c>
      <c r="G2913" s="5"/>
      <c r="H2913" s="5"/>
      <c r="I2913" s="5"/>
      <c r="J2913" s="5"/>
      <c r="K2913" s="5"/>
      <c r="L2913" s="5"/>
      <c r="M2913" s="5"/>
      <c r="N2913" s="5"/>
      <c r="O2913" s="5"/>
      <c r="P2913" s="5"/>
      <c r="Q2913" s="5"/>
      <c r="AL2913" s="7" t="str">
        <f>HYPERLINK("http://dx.doi.org/10.1111/j.1365-2656.2010.01660.x","http://dx.doi.org/10.1111/j.1365-2656.2010.01660.x")</f>
        <v>http://dx.doi.org/10.1111/j.1365-2656.2010.01660.x</v>
      </c>
      <c r="AM2913" s="5">
        <v>124</v>
      </c>
      <c r="AN2913" s="5">
        <v>125</v>
      </c>
      <c r="AO2913" s="5">
        <v>79</v>
      </c>
      <c r="AP2913" s="5">
        <v>3</v>
      </c>
      <c r="AQ2913" s="5">
        <v>589</v>
      </c>
      <c r="AR2913" s="5">
        <v>601</v>
      </c>
      <c r="AS2913" s="5" t="s">
        <v>16</v>
      </c>
      <c r="AT2913" s="5" t="s">
        <v>17409</v>
      </c>
      <c r="AU2913" s="5" t="s">
        <v>17410</v>
      </c>
      <c r="AV2913" s="5" t="s">
        <v>17412</v>
      </c>
    </row>
    <row r="2914" spans="1:48" ht="45" customHeight="1" x14ac:dyDescent="0.15">
      <c r="A2914" s="5" t="s">
        <v>17413</v>
      </c>
      <c r="B2914" s="5">
        <v>2019</v>
      </c>
      <c r="C2914" s="5" t="s">
        <v>17414</v>
      </c>
      <c r="D2914" s="5" t="s">
        <v>973</v>
      </c>
      <c r="E2914" s="5" t="s">
        <v>18453</v>
      </c>
      <c r="F2914" s="5" t="s">
        <v>17416</v>
      </c>
      <c r="G2914" s="5"/>
      <c r="H2914" s="5"/>
      <c r="I2914" s="5"/>
      <c r="J2914" s="5"/>
      <c r="K2914" s="5"/>
      <c r="L2914" s="5"/>
      <c r="M2914" s="5"/>
      <c r="N2914" s="5"/>
      <c r="O2914" s="5"/>
      <c r="P2914" s="5"/>
      <c r="Q2914" s="5"/>
      <c r="AL2914" s="7" t="str">
        <f>HYPERLINK("http://dx.doi.org/10.5194/bg-16-2095-2019","http://dx.doi.org/10.5194/bg-16-2095-2019")</f>
        <v>http://dx.doi.org/10.5194/bg-16-2095-2019</v>
      </c>
      <c r="AM2914" s="5">
        <v>12</v>
      </c>
      <c r="AN2914" s="5">
        <v>12</v>
      </c>
      <c r="AO2914" s="5">
        <v>16</v>
      </c>
      <c r="AP2914" s="5">
        <v>10</v>
      </c>
      <c r="AQ2914" s="5">
        <v>2095</v>
      </c>
      <c r="AR2914" s="5">
        <v>2114</v>
      </c>
      <c r="AS2914" s="5" t="s">
        <v>16</v>
      </c>
      <c r="AT2914" s="5" t="s">
        <v>16</v>
      </c>
      <c r="AU2914" s="5" t="s">
        <v>17415</v>
      </c>
      <c r="AV2914" s="5" t="s">
        <v>17417</v>
      </c>
    </row>
    <row r="2915" spans="1:48" ht="45" customHeight="1" x14ac:dyDescent="0.15">
      <c r="A2915" s="5" t="s">
        <v>17418</v>
      </c>
      <c r="B2915" s="5">
        <v>2023</v>
      </c>
      <c r="C2915" s="5" t="s">
        <v>17419</v>
      </c>
      <c r="D2915" s="5" t="s">
        <v>44</v>
      </c>
      <c r="E2915" s="5" t="s">
        <v>18453</v>
      </c>
      <c r="F2915" s="5" t="s">
        <v>17422</v>
      </c>
      <c r="G2915" s="5"/>
      <c r="H2915" s="5"/>
      <c r="I2915" s="5"/>
      <c r="J2915" s="5"/>
      <c r="K2915" s="5"/>
      <c r="L2915" s="5"/>
      <c r="M2915" s="5"/>
      <c r="N2915" s="5"/>
      <c r="O2915" s="5"/>
      <c r="P2915" s="5"/>
      <c r="Q2915" s="5"/>
      <c r="AL2915" s="7" t="str">
        <f>HYPERLINK("http://dx.doi.org/10.3389/fevo.2023.1092323","http://dx.doi.org/10.3389/fevo.2023.1092323")</f>
        <v>http://dx.doi.org/10.3389/fevo.2023.1092323</v>
      </c>
      <c r="AM2915" s="5">
        <v>0</v>
      </c>
      <c r="AN2915" s="5">
        <v>0</v>
      </c>
      <c r="AO2915" s="5">
        <v>11</v>
      </c>
      <c r="AP2915" s="5" t="s">
        <v>16</v>
      </c>
      <c r="AQ2915" s="5" t="s">
        <v>16</v>
      </c>
      <c r="AR2915" s="5" t="s">
        <v>16</v>
      </c>
      <c r="AS2915" s="5">
        <v>1092323</v>
      </c>
      <c r="AT2915" s="5" t="s">
        <v>17420</v>
      </c>
      <c r="AU2915" s="5" t="s">
        <v>17421</v>
      </c>
      <c r="AV2915" s="5" t="s">
        <v>17423</v>
      </c>
    </row>
    <row r="2916" spans="1:48" ht="45" customHeight="1" x14ac:dyDescent="0.15">
      <c r="A2916" s="5" t="s">
        <v>17424</v>
      </c>
      <c r="B2916" s="5">
        <v>2004</v>
      </c>
      <c r="C2916" s="5" t="s">
        <v>17425</v>
      </c>
      <c r="D2916" s="5" t="s">
        <v>11987</v>
      </c>
      <c r="E2916" s="5" t="s">
        <v>18453</v>
      </c>
      <c r="F2916" s="5" t="s">
        <v>17428</v>
      </c>
      <c r="G2916" s="5"/>
      <c r="H2916" s="5"/>
      <c r="I2916" s="5"/>
      <c r="J2916" s="5"/>
      <c r="K2916" s="5"/>
      <c r="L2916" s="5"/>
      <c r="M2916" s="5"/>
      <c r="N2916" s="5"/>
      <c r="O2916" s="5"/>
      <c r="P2916" s="5"/>
      <c r="Q2916" s="5"/>
      <c r="AL2916" s="7" t="str">
        <f>HYPERLINK("http://dx.doi.org/10.1023/B:JOEC.0000028457.51147.d4","http://dx.doi.org/10.1023/B:JOEC.0000028457.51147.d4")</f>
        <v>http://dx.doi.org/10.1023/B:JOEC.0000028457.51147.d4</v>
      </c>
      <c r="AM2916" s="5">
        <v>137</v>
      </c>
      <c r="AN2916" s="5">
        <v>166</v>
      </c>
      <c r="AO2916" s="5">
        <v>30</v>
      </c>
      <c r="AP2916" s="5">
        <v>5</v>
      </c>
      <c r="AQ2916" s="5">
        <v>889</v>
      </c>
      <c r="AR2916" s="5">
        <v>911</v>
      </c>
      <c r="AS2916" s="5" t="s">
        <v>16</v>
      </c>
      <c r="AT2916" s="5" t="s">
        <v>17426</v>
      </c>
      <c r="AU2916" s="5" t="s">
        <v>17427</v>
      </c>
      <c r="AV2916" s="5" t="s">
        <v>17429</v>
      </c>
    </row>
    <row r="2917" spans="1:48" ht="45" customHeight="1" x14ac:dyDescent="0.15">
      <c r="A2917" s="5" t="s">
        <v>17430</v>
      </c>
      <c r="B2917" s="5">
        <v>2018</v>
      </c>
      <c r="C2917" s="5" t="s">
        <v>17431</v>
      </c>
      <c r="D2917" s="5" t="s">
        <v>973</v>
      </c>
      <c r="E2917" s="5" t="s">
        <v>18453</v>
      </c>
      <c r="F2917" s="5" t="s">
        <v>17433</v>
      </c>
      <c r="G2917" s="5"/>
      <c r="H2917" s="5"/>
      <c r="I2917" s="5"/>
      <c r="J2917" s="5"/>
      <c r="K2917" s="5"/>
      <c r="L2917" s="5"/>
      <c r="M2917" s="5"/>
      <c r="N2917" s="5"/>
      <c r="O2917" s="5"/>
      <c r="P2917" s="5"/>
      <c r="Q2917" s="5"/>
      <c r="AL2917" s="7" t="str">
        <f>HYPERLINK("http://dx.doi.org/10.5194/bg-15-3873-2018","http://dx.doi.org/10.5194/bg-15-3873-2018")</f>
        <v>http://dx.doi.org/10.5194/bg-15-3873-2018</v>
      </c>
      <c r="AM2917" s="5">
        <v>11</v>
      </c>
      <c r="AN2917" s="5">
        <v>11</v>
      </c>
      <c r="AO2917" s="5">
        <v>15</v>
      </c>
      <c r="AP2917" s="5">
        <v>12</v>
      </c>
      <c r="AQ2917" s="5">
        <v>3873</v>
      </c>
      <c r="AR2917" s="5">
        <v>3882</v>
      </c>
      <c r="AS2917" s="5" t="s">
        <v>16</v>
      </c>
      <c r="AT2917" s="5" t="s">
        <v>16</v>
      </c>
      <c r="AU2917" s="5" t="s">
        <v>17432</v>
      </c>
      <c r="AV2917" s="5" t="s">
        <v>17434</v>
      </c>
    </row>
    <row r="2918" spans="1:48" ht="45" customHeight="1" x14ac:dyDescent="0.15">
      <c r="A2918" s="5" t="s">
        <v>17435</v>
      </c>
      <c r="B2918" s="5">
        <v>2015</v>
      </c>
      <c r="C2918" s="5" t="s">
        <v>17436</v>
      </c>
      <c r="D2918" s="5" t="s">
        <v>1084</v>
      </c>
      <c r="E2918" s="5" t="s">
        <v>18453</v>
      </c>
      <c r="F2918" s="5" t="s">
        <v>17439</v>
      </c>
      <c r="G2918" s="5"/>
      <c r="H2918" s="5"/>
      <c r="I2918" s="5"/>
      <c r="J2918" s="5"/>
      <c r="K2918" s="5"/>
      <c r="L2918" s="5"/>
      <c r="M2918" s="5"/>
      <c r="N2918" s="5"/>
      <c r="O2918" s="5"/>
      <c r="P2918" s="5"/>
      <c r="Q2918" s="5"/>
      <c r="AL2918" s="7" t="str">
        <f>HYPERLINK("http://dx.doi.org/10.1016/j.jnc.2015.05.003","http://dx.doi.org/10.1016/j.jnc.2015.05.003")</f>
        <v>http://dx.doi.org/10.1016/j.jnc.2015.05.003</v>
      </c>
      <c r="AM2918" s="5">
        <v>25</v>
      </c>
      <c r="AN2918" s="5">
        <v>28</v>
      </c>
      <c r="AO2918" s="5">
        <v>27</v>
      </c>
      <c r="AP2918" s="5" t="s">
        <v>16</v>
      </c>
      <c r="AQ2918" s="5">
        <v>1</v>
      </c>
      <c r="AR2918" s="5">
        <v>9</v>
      </c>
      <c r="AS2918" s="5" t="s">
        <v>16</v>
      </c>
      <c r="AT2918" s="5" t="s">
        <v>17437</v>
      </c>
      <c r="AU2918" s="5" t="s">
        <v>17438</v>
      </c>
      <c r="AV2918" s="5" t="s">
        <v>17440</v>
      </c>
    </row>
    <row r="2919" spans="1:48" ht="45" customHeight="1" x14ac:dyDescent="0.15">
      <c r="A2919" s="5" t="s">
        <v>17441</v>
      </c>
      <c r="B2919" s="5">
        <v>2019</v>
      </c>
      <c r="C2919" s="5" t="s">
        <v>17442</v>
      </c>
      <c r="D2919" s="5" t="s">
        <v>17443</v>
      </c>
      <c r="E2919" s="5" t="s">
        <v>18453</v>
      </c>
      <c r="F2919" s="5" t="s">
        <v>17445</v>
      </c>
      <c r="G2919" s="5"/>
      <c r="H2919" s="5"/>
      <c r="I2919" s="5"/>
      <c r="J2919" s="5"/>
      <c r="K2919" s="5"/>
      <c r="L2919" s="5"/>
      <c r="M2919" s="5"/>
      <c r="N2919" s="5"/>
      <c r="O2919" s="5"/>
      <c r="P2919" s="5"/>
      <c r="Q2919" s="5"/>
      <c r="AL2919" s="7" t="str">
        <f>HYPERLINK("http://dx.doi.org/10.1002/wmon.1040","http://dx.doi.org/10.1002/wmon.1040")</f>
        <v>http://dx.doi.org/10.1002/wmon.1040</v>
      </c>
      <c r="AM2919" s="5">
        <v>12</v>
      </c>
      <c r="AN2919" s="5">
        <v>12</v>
      </c>
      <c r="AO2919" s="5">
        <v>202</v>
      </c>
      <c r="AP2919" s="5">
        <v>1</v>
      </c>
      <c r="AQ2919" s="5">
        <v>1</v>
      </c>
      <c r="AR2919" s="5">
        <v>63</v>
      </c>
      <c r="AS2919" s="5" t="s">
        <v>16</v>
      </c>
      <c r="AT2919" s="5" t="s">
        <v>17444</v>
      </c>
      <c r="AU2919" s="5" t="s">
        <v>16</v>
      </c>
      <c r="AV2919" s="5" t="s">
        <v>17446</v>
      </c>
    </row>
    <row r="2920" spans="1:48" ht="45" customHeight="1" x14ac:dyDescent="0.15">
      <c r="A2920" s="5" t="s">
        <v>17447</v>
      </c>
      <c r="B2920" s="5">
        <v>2018</v>
      </c>
      <c r="C2920" s="5" t="s">
        <v>17448</v>
      </c>
      <c r="D2920" s="5" t="s">
        <v>49</v>
      </c>
      <c r="E2920" s="5" t="s">
        <v>18453</v>
      </c>
      <c r="F2920" s="5" t="s">
        <v>17451</v>
      </c>
      <c r="G2920" s="5"/>
      <c r="H2920" s="5"/>
      <c r="I2920" s="5"/>
      <c r="J2920" s="5"/>
      <c r="K2920" s="5"/>
      <c r="L2920" s="5"/>
      <c r="M2920" s="5"/>
      <c r="N2920" s="5"/>
      <c r="O2920" s="5"/>
      <c r="P2920" s="5"/>
      <c r="Q2920" s="5"/>
      <c r="AL2920" s="7" t="str">
        <f>HYPERLINK("http://dx.doi.org/10.3354/meps12775","http://dx.doi.org/10.3354/meps12775")</f>
        <v>http://dx.doi.org/10.3354/meps12775</v>
      </c>
      <c r="AM2920" s="5">
        <v>2</v>
      </c>
      <c r="AN2920" s="5">
        <v>2</v>
      </c>
      <c r="AO2920" s="5">
        <v>607</v>
      </c>
      <c r="AP2920" s="5" t="s">
        <v>16</v>
      </c>
      <c r="AQ2920" s="5">
        <v>129</v>
      </c>
      <c r="AR2920" s="5">
        <v>142</v>
      </c>
      <c r="AS2920" s="5" t="s">
        <v>16</v>
      </c>
      <c r="AT2920" s="5" t="s">
        <v>17449</v>
      </c>
      <c r="AU2920" s="5" t="s">
        <v>17450</v>
      </c>
      <c r="AV2920" s="5" t="s">
        <v>17452</v>
      </c>
    </row>
    <row r="2921" spans="1:48" ht="45" customHeight="1" x14ac:dyDescent="0.15">
      <c r="A2921" s="5" t="s">
        <v>17453</v>
      </c>
      <c r="B2921" s="5">
        <v>2010</v>
      </c>
      <c r="C2921" s="5" t="s">
        <v>17454</v>
      </c>
      <c r="D2921" s="5" t="s">
        <v>262</v>
      </c>
      <c r="E2921" s="5" t="s">
        <v>18453</v>
      </c>
      <c r="F2921" s="5" t="s">
        <v>17456</v>
      </c>
      <c r="G2921" s="5"/>
      <c r="H2921" s="5"/>
      <c r="I2921" s="5"/>
      <c r="J2921" s="5"/>
      <c r="K2921" s="5"/>
      <c r="L2921" s="5"/>
      <c r="M2921" s="5"/>
      <c r="N2921" s="5"/>
      <c r="O2921" s="5"/>
      <c r="P2921" s="5"/>
      <c r="Q2921" s="5"/>
      <c r="AL2921" s="7" t="str">
        <f>HYPERLINK("http://dx.doi.org/10.1111/j.1600-0706.2010.18259.x","http://dx.doi.org/10.1111/j.1600-0706.2010.18259.x")</f>
        <v>http://dx.doi.org/10.1111/j.1600-0706.2010.18259.x</v>
      </c>
      <c r="AM2921" s="5">
        <v>95</v>
      </c>
      <c r="AN2921" s="5">
        <v>96</v>
      </c>
      <c r="AO2921" s="5">
        <v>119</v>
      </c>
      <c r="AP2921" s="5">
        <v>9</v>
      </c>
      <c r="AQ2921" s="5">
        <v>1409</v>
      </c>
      <c r="AR2921" s="5">
        <v>1416</v>
      </c>
      <c r="AS2921" s="5" t="s">
        <v>16</v>
      </c>
      <c r="AT2921" s="5" t="s">
        <v>16</v>
      </c>
      <c r="AU2921" s="5" t="s">
        <v>17455</v>
      </c>
      <c r="AV2921" s="5" t="s">
        <v>17457</v>
      </c>
    </row>
    <row r="2922" spans="1:48" ht="45" customHeight="1" x14ac:dyDescent="0.15">
      <c r="A2922" s="5" t="s">
        <v>17458</v>
      </c>
      <c r="B2922" s="5">
        <v>2020</v>
      </c>
      <c r="C2922" s="5" t="s">
        <v>17459</v>
      </c>
      <c r="D2922" s="5" t="s">
        <v>33</v>
      </c>
      <c r="E2922" s="5" t="s">
        <v>18453</v>
      </c>
      <c r="F2922" s="5" t="s">
        <v>17462</v>
      </c>
      <c r="G2922" s="5"/>
      <c r="H2922" s="5"/>
      <c r="I2922" s="5"/>
      <c r="J2922" s="5"/>
      <c r="K2922" s="5"/>
      <c r="L2922" s="5"/>
      <c r="M2922" s="5"/>
      <c r="N2922" s="5"/>
      <c r="O2922" s="5"/>
      <c r="P2922" s="5"/>
      <c r="Q2922" s="5"/>
      <c r="AL2922" s="7" t="str">
        <f>HYPERLINK("http://dx.doi.org/10.1111/gcb.15145","http://dx.doi.org/10.1111/gcb.15145")</f>
        <v>http://dx.doi.org/10.1111/gcb.15145</v>
      </c>
      <c r="AM2922" s="5">
        <v>13</v>
      </c>
      <c r="AN2922" s="5">
        <v>13</v>
      </c>
      <c r="AO2922" s="5">
        <v>26</v>
      </c>
      <c r="AP2922" s="5">
        <v>8</v>
      </c>
      <c r="AQ2922" s="5">
        <v>4449</v>
      </c>
      <c r="AR2922" s="5">
        <v>4461</v>
      </c>
      <c r="AS2922" s="5" t="s">
        <v>16</v>
      </c>
      <c r="AT2922" s="5" t="s">
        <v>17460</v>
      </c>
      <c r="AU2922" s="5" t="s">
        <v>17461</v>
      </c>
      <c r="AV2922" s="5" t="s">
        <v>17463</v>
      </c>
    </row>
    <row r="2923" spans="1:48" ht="45" customHeight="1" x14ac:dyDescent="0.15">
      <c r="A2923" s="5" t="s">
        <v>17464</v>
      </c>
      <c r="B2923" s="5">
        <v>2009</v>
      </c>
      <c r="C2923" s="5" t="s">
        <v>17465</v>
      </c>
      <c r="D2923" s="5" t="s">
        <v>262</v>
      </c>
      <c r="E2923" s="5" t="s">
        <v>18453</v>
      </c>
      <c r="F2923" s="5" t="s">
        <v>17467</v>
      </c>
      <c r="G2923" s="5"/>
      <c r="H2923" s="5"/>
      <c r="I2923" s="5"/>
      <c r="J2923" s="5"/>
      <c r="K2923" s="5"/>
      <c r="L2923" s="5"/>
      <c r="M2923" s="5"/>
      <c r="N2923" s="5"/>
      <c r="O2923" s="5"/>
      <c r="P2923" s="5"/>
      <c r="Q2923" s="5"/>
      <c r="AL2923" s="7" t="str">
        <f>HYPERLINK("http://dx.doi.org/10.1111/j.1600-0706.2009.17587.x","http://dx.doi.org/10.1111/j.1600-0706.2009.17587.x")</f>
        <v>http://dx.doi.org/10.1111/j.1600-0706.2009.17587.x</v>
      </c>
      <c r="AM2923" s="5">
        <v>51</v>
      </c>
      <c r="AN2923" s="5">
        <v>51</v>
      </c>
      <c r="AO2923" s="5">
        <v>118</v>
      </c>
      <c r="AP2923" s="5">
        <v>10</v>
      </c>
      <c r="AQ2923" s="5">
        <v>1579</v>
      </c>
      <c r="AR2923" s="5">
        <v>1589</v>
      </c>
      <c r="AS2923" s="5" t="s">
        <v>16</v>
      </c>
      <c r="AT2923" s="5" t="s">
        <v>16</v>
      </c>
      <c r="AU2923" s="5" t="s">
        <v>17466</v>
      </c>
      <c r="AV2923" s="5" t="s">
        <v>17468</v>
      </c>
    </row>
    <row r="2924" spans="1:48" ht="45" customHeight="1" x14ac:dyDescent="0.15">
      <c r="A2924" s="5" t="s">
        <v>17469</v>
      </c>
      <c r="B2924" s="5">
        <v>2011</v>
      </c>
      <c r="C2924" s="5" t="s">
        <v>17470</v>
      </c>
      <c r="D2924" s="5" t="s">
        <v>160</v>
      </c>
      <c r="E2924" s="5" t="s">
        <v>18453</v>
      </c>
      <c r="F2924" s="5" t="s">
        <v>17473</v>
      </c>
      <c r="G2924" s="5"/>
      <c r="H2924" s="5"/>
      <c r="I2924" s="5"/>
      <c r="J2924" s="5"/>
      <c r="K2924" s="5"/>
      <c r="L2924" s="5"/>
      <c r="M2924" s="5"/>
      <c r="N2924" s="5"/>
      <c r="O2924" s="5"/>
      <c r="P2924" s="5"/>
      <c r="Q2924" s="5"/>
      <c r="AL2924" s="7" t="str">
        <f>HYPERLINK("http://dx.doi.org/10.1111/j.1365-2664.2010.01937.x","http://dx.doi.org/10.1111/j.1365-2664.2010.01937.x")</f>
        <v>http://dx.doi.org/10.1111/j.1365-2664.2010.01937.x</v>
      </c>
      <c r="AM2924" s="5">
        <v>45</v>
      </c>
      <c r="AN2924" s="5">
        <v>50</v>
      </c>
      <c r="AO2924" s="5">
        <v>48</v>
      </c>
      <c r="AP2924" s="5">
        <v>2</v>
      </c>
      <c r="AQ2924" s="5">
        <v>382</v>
      </c>
      <c r="AR2924" s="5">
        <v>390</v>
      </c>
      <c r="AS2924" s="5" t="s">
        <v>16</v>
      </c>
      <c r="AT2924" s="5" t="s">
        <v>17471</v>
      </c>
      <c r="AU2924" s="5" t="s">
        <v>17472</v>
      </c>
      <c r="AV2924" s="5" t="s">
        <v>17474</v>
      </c>
    </row>
    <row r="2925" spans="1:48" ht="45" customHeight="1" x14ac:dyDescent="0.15">
      <c r="A2925" s="5" t="s">
        <v>17475</v>
      </c>
      <c r="B2925" s="5">
        <v>2021</v>
      </c>
      <c r="C2925" s="5" t="s">
        <v>17476</v>
      </c>
      <c r="D2925" s="5" t="s">
        <v>62</v>
      </c>
      <c r="E2925" s="5" t="s">
        <v>18453</v>
      </c>
      <c r="F2925" s="5" t="s">
        <v>17479</v>
      </c>
      <c r="G2925" s="5"/>
      <c r="H2925" s="5"/>
      <c r="I2925" s="5"/>
      <c r="J2925" s="5"/>
      <c r="K2925" s="5"/>
      <c r="L2925" s="5"/>
      <c r="M2925" s="5"/>
      <c r="N2925" s="5"/>
      <c r="O2925" s="5"/>
      <c r="P2925" s="5"/>
      <c r="Q2925" s="5"/>
      <c r="AL2925" s="7" t="str">
        <f>HYPERLINK("http://dx.doi.org/10.1007/s10021-020-00500-z","http://dx.doi.org/10.1007/s10021-020-00500-z")</f>
        <v>http://dx.doi.org/10.1007/s10021-020-00500-z</v>
      </c>
      <c r="AM2925" s="5">
        <v>24</v>
      </c>
      <c r="AN2925" s="5">
        <v>25</v>
      </c>
      <c r="AO2925" s="5">
        <v>24</v>
      </c>
      <c r="AP2925" s="5">
        <v>1</v>
      </c>
      <c r="AQ2925" s="5">
        <v>1</v>
      </c>
      <c r="AR2925" s="5">
        <v>19</v>
      </c>
      <c r="AS2925" s="5" t="s">
        <v>16</v>
      </c>
      <c r="AT2925" s="5" t="s">
        <v>17477</v>
      </c>
      <c r="AU2925" s="5" t="s">
        <v>17478</v>
      </c>
      <c r="AV2925" s="5" t="s">
        <v>17480</v>
      </c>
    </row>
    <row r="2926" spans="1:48" ht="45" customHeight="1" x14ac:dyDescent="0.15">
      <c r="A2926" s="5" t="s">
        <v>17481</v>
      </c>
      <c r="B2926" s="5">
        <v>1999</v>
      </c>
      <c r="C2926" s="5" t="s">
        <v>17482</v>
      </c>
      <c r="D2926" s="5" t="s">
        <v>295</v>
      </c>
      <c r="E2926" s="5" t="s">
        <v>18453</v>
      </c>
      <c r="F2926" s="5" t="s">
        <v>17485</v>
      </c>
      <c r="G2926" s="5"/>
      <c r="H2926" s="5"/>
      <c r="I2926" s="5"/>
      <c r="J2926" s="5"/>
      <c r="K2926" s="5"/>
      <c r="L2926" s="5"/>
      <c r="M2926" s="5"/>
      <c r="N2926" s="5"/>
      <c r="O2926" s="5"/>
      <c r="P2926" s="5"/>
      <c r="Q2926" s="5"/>
      <c r="AL2926" s="7" t="str">
        <f>HYPERLINK("http://dx.doi.org/10.1016/S0022-0981(98)00137-3","http://dx.doi.org/10.1016/S0022-0981(98)00137-3")</f>
        <v>http://dx.doi.org/10.1016/S0022-0981(98)00137-3</v>
      </c>
      <c r="AM2926" s="5">
        <v>100</v>
      </c>
      <c r="AN2926" s="5">
        <v>104</v>
      </c>
      <c r="AO2926" s="5">
        <v>234</v>
      </c>
      <c r="AP2926" s="5">
        <v>1</v>
      </c>
      <c r="AQ2926" s="5">
        <v>1</v>
      </c>
      <c r="AR2926" s="5">
        <v>27</v>
      </c>
      <c r="AS2926" s="5" t="s">
        <v>16</v>
      </c>
      <c r="AT2926" s="5" t="s">
        <v>17483</v>
      </c>
      <c r="AU2926" s="5" t="s">
        <v>17484</v>
      </c>
      <c r="AV2926" s="5" t="s">
        <v>17486</v>
      </c>
    </row>
    <row r="2927" spans="1:48" ht="45" customHeight="1" x14ac:dyDescent="0.15">
      <c r="A2927" s="5" t="s">
        <v>17487</v>
      </c>
      <c r="B2927" s="5">
        <v>2011</v>
      </c>
      <c r="C2927" s="5" t="s">
        <v>17488</v>
      </c>
      <c r="D2927" s="5" t="s">
        <v>17</v>
      </c>
      <c r="E2927" s="5" t="s">
        <v>18453</v>
      </c>
      <c r="F2927" s="5" t="s">
        <v>17491</v>
      </c>
      <c r="G2927" s="5"/>
      <c r="H2927" s="5"/>
      <c r="I2927" s="5"/>
      <c r="J2927" s="5"/>
      <c r="K2927" s="5"/>
      <c r="L2927" s="5"/>
      <c r="M2927" s="5"/>
      <c r="N2927" s="5"/>
      <c r="O2927" s="5"/>
      <c r="P2927" s="5"/>
      <c r="Q2927" s="5"/>
      <c r="AL2927" s="7" t="str">
        <f>HYPERLINK("http://dx.doi.org/10.1111/j.1365-2427.2010.02495.x","http://dx.doi.org/10.1111/j.1365-2427.2010.02495.x")</f>
        <v>http://dx.doi.org/10.1111/j.1365-2427.2010.02495.x</v>
      </c>
      <c r="AM2927" s="5">
        <v>93</v>
      </c>
      <c r="AN2927" s="5">
        <v>93</v>
      </c>
      <c r="AO2927" s="5">
        <v>56</v>
      </c>
      <c r="AP2927" s="5">
        <v>2</v>
      </c>
      <c r="AQ2927" s="5">
        <v>279</v>
      </c>
      <c r="AR2927" s="5">
        <v>291</v>
      </c>
      <c r="AS2927" s="5" t="s">
        <v>16</v>
      </c>
      <c r="AT2927" s="5" t="s">
        <v>17489</v>
      </c>
      <c r="AU2927" s="5" t="s">
        <v>17490</v>
      </c>
      <c r="AV2927" s="5" t="s">
        <v>17492</v>
      </c>
    </row>
    <row r="2928" spans="1:48" ht="45" customHeight="1" x14ac:dyDescent="0.15">
      <c r="A2928" s="5" t="s">
        <v>17493</v>
      </c>
      <c r="B2928" s="5">
        <v>2022</v>
      </c>
      <c r="C2928" s="5" t="s">
        <v>17494</v>
      </c>
      <c r="D2928" s="5" t="s">
        <v>116</v>
      </c>
      <c r="E2928" s="5" t="s">
        <v>18453</v>
      </c>
      <c r="F2928" s="5" t="s">
        <v>17497</v>
      </c>
      <c r="G2928" s="5"/>
      <c r="H2928" s="5"/>
      <c r="I2928" s="5"/>
      <c r="J2928" s="5"/>
      <c r="K2928" s="5"/>
      <c r="L2928" s="5"/>
      <c r="M2928" s="5"/>
      <c r="N2928" s="5"/>
      <c r="O2928" s="5"/>
      <c r="P2928" s="5"/>
      <c r="Q2928" s="5"/>
      <c r="AL2928" s="7" t="str">
        <f>HYPERLINK("http://dx.doi.org/10.1007/s10641-021-01200-w","http://dx.doi.org/10.1007/s10641-021-01200-w")</f>
        <v>http://dx.doi.org/10.1007/s10641-021-01200-w</v>
      </c>
      <c r="AM2928" s="5">
        <v>0</v>
      </c>
      <c r="AN2928" s="5">
        <v>0</v>
      </c>
      <c r="AO2928" s="5">
        <v>105</v>
      </c>
      <c r="AP2928" s="5">
        <v>1</v>
      </c>
      <c r="AQ2928" s="5">
        <v>139</v>
      </c>
      <c r="AR2928" s="5">
        <v>149</v>
      </c>
      <c r="AS2928" s="5" t="s">
        <v>16</v>
      </c>
      <c r="AT2928" s="5" t="s">
        <v>17495</v>
      </c>
      <c r="AU2928" s="5" t="s">
        <v>17496</v>
      </c>
      <c r="AV2928" s="5" t="s">
        <v>17498</v>
      </c>
    </row>
    <row r="2929" spans="1:48" ht="45" customHeight="1" x14ac:dyDescent="0.15">
      <c r="A2929" s="5" t="s">
        <v>17499</v>
      </c>
      <c r="B2929" s="5">
        <v>2019</v>
      </c>
      <c r="C2929" s="5" t="s">
        <v>17500</v>
      </c>
      <c r="D2929" s="5" t="s">
        <v>162</v>
      </c>
      <c r="E2929" s="5" t="s">
        <v>18453</v>
      </c>
      <c r="F2929" s="5" t="s">
        <v>17503</v>
      </c>
      <c r="G2929" s="5"/>
      <c r="H2929" s="5"/>
      <c r="I2929" s="5"/>
      <c r="J2929" s="5"/>
      <c r="K2929" s="5"/>
      <c r="L2929" s="5"/>
      <c r="M2929" s="5"/>
      <c r="N2929" s="5"/>
      <c r="O2929" s="5"/>
      <c r="P2929" s="5"/>
      <c r="Q2929" s="5"/>
      <c r="AL2929" s="7" t="str">
        <f>HYPERLINK("http://dx.doi.org/10.1111/1365-2435.13314","http://dx.doi.org/10.1111/1365-2435.13314")</f>
        <v>http://dx.doi.org/10.1111/1365-2435.13314</v>
      </c>
      <c r="AM2929" s="5">
        <v>31</v>
      </c>
      <c r="AN2929" s="5">
        <v>32</v>
      </c>
      <c r="AO2929" s="5">
        <v>33</v>
      </c>
      <c r="AP2929" s="5">
        <v>6</v>
      </c>
      <c r="AQ2929" s="5">
        <v>1120</v>
      </c>
      <c r="AR2929" s="5">
        <v>1134</v>
      </c>
      <c r="AS2929" s="5" t="s">
        <v>16</v>
      </c>
      <c r="AT2929" s="5" t="s">
        <v>17501</v>
      </c>
      <c r="AU2929" s="5" t="s">
        <v>17502</v>
      </c>
      <c r="AV2929" s="5" t="s">
        <v>17504</v>
      </c>
    </row>
    <row r="2930" spans="1:48" ht="45" customHeight="1" x14ac:dyDescent="0.15">
      <c r="A2930" s="5" t="s">
        <v>17505</v>
      </c>
      <c r="B2930" s="5">
        <v>2002</v>
      </c>
      <c r="C2930" s="5" t="s">
        <v>17506</v>
      </c>
      <c r="D2930" s="5" t="s">
        <v>312</v>
      </c>
      <c r="E2930" s="5" t="s">
        <v>18453</v>
      </c>
      <c r="F2930" s="5" t="s">
        <v>17508</v>
      </c>
      <c r="G2930" s="5"/>
      <c r="H2930" s="5"/>
      <c r="I2930" s="5"/>
      <c r="J2930" s="5"/>
      <c r="K2930" s="5"/>
      <c r="L2930" s="5"/>
      <c r="M2930" s="5"/>
      <c r="N2930" s="5"/>
      <c r="O2930" s="5"/>
      <c r="P2930" s="5"/>
      <c r="Q2930" s="5"/>
      <c r="AL2930" s="7" t="str">
        <f>HYPERLINK("http://dx.doi.org/10.1016/S0304-3800(02)00219-3","http://dx.doi.org/10.1016/S0304-3800(02)00219-3")</f>
        <v>http://dx.doi.org/10.1016/S0304-3800(02)00219-3</v>
      </c>
      <c r="AM2930" s="5">
        <v>19</v>
      </c>
      <c r="AN2930" s="5">
        <v>20</v>
      </c>
      <c r="AO2930" s="5">
        <v>158</v>
      </c>
      <c r="AP2930" s="5" t="s">
        <v>778</v>
      </c>
      <c r="AQ2930" s="5">
        <v>143</v>
      </c>
      <c r="AR2930" s="5">
        <v>165</v>
      </c>
      <c r="AS2930" s="5" t="s">
        <v>17509</v>
      </c>
      <c r="AT2930" s="5" t="s">
        <v>17507</v>
      </c>
      <c r="AU2930" s="5" t="s">
        <v>16</v>
      </c>
      <c r="AV2930" s="5" t="s">
        <v>17510</v>
      </c>
    </row>
    <row r="2931" spans="1:48" ht="45" customHeight="1" x14ac:dyDescent="0.15">
      <c r="A2931" s="5" t="s">
        <v>17511</v>
      </c>
      <c r="B2931" s="5">
        <v>1997</v>
      </c>
      <c r="C2931" s="5" t="s">
        <v>17512</v>
      </c>
      <c r="D2931" s="5" t="s">
        <v>116</v>
      </c>
      <c r="E2931" s="5" t="s">
        <v>18453</v>
      </c>
      <c r="F2931" s="5" t="s">
        <v>17515</v>
      </c>
      <c r="G2931" s="5"/>
      <c r="H2931" s="5"/>
      <c r="I2931" s="5"/>
      <c r="J2931" s="5"/>
      <c r="K2931" s="5"/>
      <c r="L2931" s="5"/>
      <c r="M2931" s="5"/>
      <c r="N2931" s="5"/>
      <c r="O2931" s="5"/>
      <c r="P2931" s="5"/>
      <c r="Q2931" s="5"/>
      <c r="AL2931" s="7" t="str">
        <f>HYPERLINK("http://dx.doi.org/10.1023/A:1007362700687","http://dx.doi.org/10.1023/A:1007362700687")</f>
        <v>http://dx.doi.org/10.1023/A:1007362700687</v>
      </c>
      <c r="AM2931" s="5">
        <v>29</v>
      </c>
      <c r="AN2931" s="5">
        <v>29</v>
      </c>
      <c r="AO2931" s="5">
        <v>49</v>
      </c>
      <c r="AP2931" s="5">
        <v>2</v>
      </c>
      <c r="AQ2931" s="5">
        <v>207</v>
      </c>
      <c r="AR2931" s="5">
        <v>226</v>
      </c>
      <c r="AS2931" s="5" t="s">
        <v>16</v>
      </c>
      <c r="AT2931" s="5" t="s">
        <v>17513</v>
      </c>
      <c r="AU2931" s="5" t="s">
        <v>17514</v>
      </c>
      <c r="AV2931" s="5" t="s">
        <v>17516</v>
      </c>
    </row>
    <row r="2932" spans="1:48" ht="45" customHeight="1" x14ac:dyDescent="0.15">
      <c r="A2932" s="5" t="s">
        <v>17517</v>
      </c>
      <c r="B2932" s="5">
        <v>2005</v>
      </c>
      <c r="C2932" s="5" t="s">
        <v>17518</v>
      </c>
      <c r="D2932" s="5" t="s">
        <v>116</v>
      </c>
      <c r="E2932" s="5" t="s">
        <v>18453</v>
      </c>
      <c r="F2932" s="5" t="s">
        <v>17521</v>
      </c>
      <c r="G2932" s="5"/>
      <c r="H2932" s="5"/>
      <c r="I2932" s="5"/>
      <c r="J2932" s="5"/>
      <c r="K2932" s="5"/>
      <c r="L2932" s="5"/>
      <c r="M2932" s="5"/>
      <c r="N2932" s="5"/>
      <c r="O2932" s="5"/>
      <c r="P2932" s="5"/>
      <c r="Q2932" s="5"/>
      <c r="AL2932" s="7" t="str">
        <f>HYPERLINK("http://dx.doi.org/10.1007/s10641-005-2922-0","http://dx.doi.org/10.1007/s10641-005-2922-0")</f>
        <v>http://dx.doi.org/10.1007/s10641-005-2922-0</v>
      </c>
      <c r="AM2932" s="5">
        <v>12</v>
      </c>
      <c r="AN2932" s="5">
        <v>16</v>
      </c>
      <c r="AO2932" s="5">
        <v>74</v>
      </c>
      <c r="AP2932" s="5" t="s">
        <v>639</v>
      </c>
      <c r="AQ2932" s="5">
        <v>365</v>
      </c>
      <c r="AR2932" s="5">
        <v>378</v>
      </c>
      <c r="AS2932" s="5" t="s">
        <v>16</v>
      </c>
      <c r="AT2932" s="5" t="s">
        <v>17519</v>
      </c>
      <c r="AU2932" s="5" t="s">
        <v>17520</v>
      </c>
      <c r="AV2932" s="5" t="s">
        <v>17522</v>
      </c>
    </row>
    <row r="2933" spans="1:48" ht="45" customHeight="1" x14ac:dyDescent="0.15">
      <c r="A2933" s="5" t="s">
        <v>17523</v>
      </c>
      <c r="B2933" s="5">
        <v>2010</v>
      </c>
      <c r="C2933" s="5" t="s">
        <v>17524</v>
      </c>
      <c r="D2933" s="5" t="s">
        <v>690</v>
      </c>
      <c r="E2933" s="5" t="s">
        <v>18453</v>
      </c>
      <c r="F2933" s="5" t="s">
        <v>17527</v>
      </c>
      <c r="G2933" s="5"/>
      <c r="H2933" s="5"/>
      <c r="I2933" s="5"/>
      <c r="J2933" s="5"/>
      <c r="K2933" s="5"/>
      <c r="L2933" s="5"/>
      <c r="M2933" s="5"/>
      <c r="N2933" s="5"/>
      <c r="O2933" s="5"/>
      <c r="P2933" s="5"/>
      <c r="Q2933" s="5"/>
      <c r="AL2933" s="7" t="str">
        <f>HYPERLINK("http://dx.doi.org/10.1111/j.1365-294X.2009.04443.x","http://dx.doi.org/10.1111/j.1365-294X.2009.04443.x")</f>
        <v>http://dx.doi.org/10.1111/j.1365-294X.2009.04443.x</v>
      </c>
      <c r="AM2933" s="5">
        <v>56</v>
      </c>
      <c r="AN2933" s="5">
        <v>56</v>
      </c>
      <c r="AO2933" s="5">
        <v>19</v>
      </c>
      <c r="AP2933" s="5">
        <v>1</v>
      </c>
      <c r="AQ2933" s="5">
        <v>92</v>
      </c>
      <c r="AR2933" s="5">
        <v>107</v>
      </c>
      <c r="AS2933" s="5" t="s">
        <v>16</v>
      </c>
      <c r="AT2933" s="5" t="s">
        <v>17525</v>
      </c>
      <c r="AU2933" s="5" t="s">
        <v>17526</v>
      </c>
      <c r="AV2933" s="5" t="s">
        <v>17528</v>
      </c>
    </row>
    <row r="2934" spans="1:48" ht="45" customHeight="1" x14ac:dyDescent="0.15">
      <c r="A2934" s="5" t="s">
        <v>17529</v>
      </c>
      <c r="B2934" s="5">
        <v>2015</v>
      </c>
      <c r="C2934" s="5" t="s">
        <v>17530</v>
      </c>
      <c r="D2934" s="5" t="s">
        <v>262</v>
      </c>
      <c r="E2934" s="5" t="s">
        <v>18453</v>
      </c>
      <c r="F2934" s="5" t="s">
        <v>17532</v>
      </c>
      <c r="G2934" s="5"/>
      <c r="H2934" s="5"/>
      <c r="I2934" s="5"/>
      <c r="J2934" s="5"/>
      <c r="K2934" s="5"/>
      <c r="L2934" s="5"/>
      <c r="M2934" s="5"/>
      <c r="N2934" s="5"/>
      <c r="O2934" s="5"/>
      <c r="P2934" s="5"/>
      <c r="Q2934" s="5"/>
      <c r="AL2934" s="7" t="str">
        <f>HYPERLINK("http://dx.doi.org/10.1111/oik.01279","http://dx.doi.org/10.1111/oik.01279")</f>
        <v>http://dx.doi.org/10.1111/oik.01279</v>
      </c>
      <c r="AM2934" s="5">
        <v>23</v>
      </c>
      <c r="AN2934" s="5">
        <v>23</v>
      </c>
      <c r="AO2934" s="5">
        <v>124</v>
      </c>
      <c r="AP2934" s="5">
        <v>4</v>
      </c>
      <c r="AQ2934" s="5">
        <v>486</v>
      </c>
      <c r="AR2934" s="5">
        <v>496</v>
      </c>
      <c r="AS2934" s="5" t="s">
        <v>16</v>
      </c>
      <c r="AT2934" s="5" t="s">
        <v>16</v>
      </c>
      <c r="AU2934" s="5" t="s">
        <v>17531</v>
      </c>
      <c r="AV2934" s="5" t="s">
        <v>17533</v>
      </c>
    </row>
    <row r="2935" spans="1:48" ht="45" customHeight="1" x14ac:dyDescent="0.15">
      <c r="A2935" s="5" t="s">
        <v>17534</v>
      </c>
      <c r="B2935" s="5">
        <v>2019</v>
      </c>
      <c r="C2935" s="5" t="s">
        <v>17535</v>
      </c>
      <c r="D2935" s="5" t="s">
        <v>5517</v>
      </c>
      <c r="E2935" s="5" t="s">
        <v>18453</v>
      </c>
      <c r="F2935" s="5" t="s">
        <v>17537</v>
      </c>
      <c r="G2935" s="5"/>
      <c r="H2935" s="5"/>
      <c r="I2935" s="5"/>
      <c r="J2935" s="5"/>
      <c r="K2935" s="5"/>
      <c r="L2935" s="5"/>
      <c r="M2935" s="5"/>
      <c r="N2935" s="5"/>
      <c r="O2935" s="5"/>
      <c r="P2935" s="5"/>
      <c r="Q2935" s="5"/>
      <c r="AL2935" s="7" t="str">
        <f>HYPERLINK("http://dx.doi.org/10.1038/s41396-018-0327-2","http://dx.doi.org/10.1038/s41396-018-0327-2")</f>
        <v>http://dx.doi.org/10.1038/s41396-018-0327-2</v>
      </c>
      <c r="AM2935" s="5">
        <v>19</v>
      </c>
      <c r="AN2935" s="5">
        <v>19</v>
      </c>
      <c r="AO2935" s="5">
        <v>13</v>
      </c>
      <c r="AP2935" s="5">
        <v>4</v>
      </c>
      <c r="AQ2935" s="5">
        <v>989</v>
      </c>
      <c r="AR2935" s="5">
        <v>1003</v>
      </c>
      <c r="AS2935" s="5" t="s">
        <v>16</v>
      </c>
      <c r="AT2935" s="5" t="s">
        <v>16</v>
      </c>
      <c r="AU2935" s="5" t="s">
        <v>17536</v>
      </c>
      <c r="AV2935" s="5" t="s">
        <v>17538</v>
      </c>
    </row>
    <row r="2936" spans="1:48" ht="45" customHeight="1" x14ac:dyDescent="0.15">
      <c r="A2936" s="5" t="s">
        <v>17539</v>
      </c>
      <c r="B2936" s="5">
        <v>2009</v>
      </c>
      <c r="C2936" s="5" t="s">
        <v>17540</v>
      </c>
      <c r="D2936" s="5" t="s">
        <v>49</v>
      </c>
      <c r="E2936" s="5" t="s">
        <v>18453</v>
      </c>
      <c r="F2936" s="5" t="s">
        <v>17543</v>
      </c>
      <c r="G2936" s="5"/>
      <c r="H2936" s="5"/>
      <c r="I2936" s="5"/>
      <c r="J2936" s="5"/>
      <c r="K2936" s="5"/>
      <c r="L2936" s="5"/>
      <c r="M2936" s="5"/>
      <c r="N2936" s="5"/>
      <c r="O2936" s="5"/>
      <c r="P2936" s="5"/>
      <c r="Q2936" s="5"/>
      <c r="AL2936" s="7" t="str">
        <f>HYPERLINK("http://dx.doi.org/10.3354/meps08000","http://dx.doi.org/10.3354/meps08000")</f>
        <v>http://dx.doi.org/10.3354/meps08000</v>
      </c>
      <c r="AM2936" s="5">
        <v>32</v>
      </c>
      <c r="AN2936" s="5">
        <v>33</v>
      </c>
      <c r="AO2936" s="5">
        <v>384</v>
      </c>
      <c r="AP2936" s="5" t="s">
        <v>16</v>
      </c>
      <c r="AQ2936" s="5">
        <v>287</v>
      </c>
      <c r="AR2936" s="5">
        <v>302</v>
      </c>
      <c r="AS2936" s="5" t="s">
        <v>16</v>
      </c>
      <c r="AT2936" s="5" t="s">
        <v>17541</v>
      </c>
      <c r="AU2936" s="5" t="s">
        <v>17542</v>
      </c>
      <c r="AV2936" s="5" t="s">
        <v>17544</v>
      </c>
    </row>
    <row r="2937" spans="1:48" ht="45" customHeight="1" x14ac:dyDescent="0.15">
      <c r="A2937" s="5" t="s">
        <v>17545</v>
      </c>
      <c r="B2937" s="5">
        <v>2021</v>
      </c>
      <c r="C2937" s="5" t="s">
        <v>17546</v>
      </c>
      <c r="D2937" s="5" t="s">
        <v>27</v>
      </c>
      <c r="E2937" s="5" t="s">
        <v>18453</v>
      </c>
      <c r="F2937" s="5" t="s">
        <v>17549</v>
      </c>
      <c r="G2937" s="5"/>
      <c r="H2937" s="5"/>
      <c r="I2937" s="5"/>
      <c r="J2937" s="5"/>
      <c r="K2937" s="5"/>
      <c r="L2937" s="5"/>
      <c r="M2937" s="5"/>
      <c r="N2937" s="5"/>
      <c r="O2937" s="5"/>
      <c r="P2937" s="5"/>
      <c r="Q2937" s="5"/>
      <c r="AL2937" s="7" t="str">
        <f>HYPERLINK("http://dx.doi.org/10.1002/ecy.3335","http://dx.doi.org/10.1002/ecy.3335")</f>
        <v>http://dx.doi.org/10.1002/ecy.3335</v>
      </c>
      <c r="AM2937" s="5">
        <v>7</v>
      </c>
      <c r="AN2937" s="5">
        <v>7</v>
      </c>
      <c r="AO2937" s="5">
        <v>102</v>
      </c>
      <c r="AP2937" s="5">
        <v>6</v>
      </c>
      <c r="AQ2937" s="5" t="s">
        <v>16</v>
      </c>
      <c r="AR2937" s="5" t="s">
        <v>16</v>
      </c>
      <c r="AS2937" s="5" t="s">
        <v>17550</v>
      </c>
      <c r="AT2937" s="5" t="s">
        <v>17547</v>
      </c>
      <c r="AU2937" s="5" t="s">
        <v>17548</v>
      </c>
      <c r="AV2937" s="5" t="s">
        <v>17551</v>
      </c>
    </row>
    <row r="2938" spans="1:48" ht="45" customHeight="1" x14ac:dyDescent="0.15">
      <c r="A2938" s="5" t="s">
        <v>17552</v>
      </c>
      <c r="B2938" s="5">
        <v>2010</v>
      </c>
      <c r="C2938" s="5" t="s">
        <v>17553</v>
      </c>
      <c r="D2938" s="5" t="s">
        <v>17</v>
      </c>
      <c r="E2938" s="5" t="s">
        <v>18453</v>
      </c>
      <c r="F2938" s="5" t="s">
        <v>17556</v>
      </c>
      <c r="G2938" s="5"/>
      <c r="H2938" s="5"/>
      <c r="I2938" s="5"/>
      <c r="J2938" s="5"/>
      <c r="K2938" s="5"/>
      <c r="L2938" s="5"/>
      <c r="M2938" s="5"/>
      <c r="N2938" s="5"/>
      <c r="O2938" s="5"/>
      <c r="P2938" s="5"/>
      <c r="Q2938" s="5"/>
      <c r="AL2938" s="7" t="str">
        <f>HYPERLINK("http://dx.doi.org/10.1111/j.1365-2427.2009.02370.x","http://dx.doi.org/10.1111/j.1365-2427.2009.02370.x")</f>
        <v>http://dx.doi.org/10.1111/j.1365-2427.2009.02370.x</v>
      </c>
      <c r="AM2938" s="5">
        <v>46</v>
      </c>
      <c r="AN2938" s="5">
        <v>47</v>
      </c>
      <c r="AO2938" s="5">
        <v>55</v>
      </c>
      <c r="AP2938" s="5" t="s">
        <v>16</v>
      </c>
      <c r="AQ2938" s="5">
        <v>258</v>
      </c>
      <c r="AR2938" s="5">
        <v>269</v>
      </c>
      <c r="AS2938" s="5" t="s">
        <v>16</v>
      </c>
      <c r="AT2938" s="5" t="s">
        <v>17554</v>
      </c>
      <c r="AU2938" s="5" t="s">
        <v>17555</v>
      </c>
      <c r="AV2938" s="5" t="s">
        <v>17557</v>
      </c>
    </row>
    <row r="2939" spans="1:48" ht="45" customHeight="1" x14ac:dyDescent="0.15">
      <c r="A2939" s="5" t="s">
        <v>17558</v>
      </c>
      <c r="B2939" s="5">
        <v>2019</v>
      </c>
      <c r="C2939" s="5" t="s">
        <v>17559</v>
      </c>
      <c r="D2939" s="5" t="s">
        <v>92</v>
      </c>
      <c r="E2939" s="5" t="s">
        <v>18453</v>
      </c>
      <c r="F2939" s="5" t="s">
        <v>17562</v>
      </c>
      <c r="G2939" s="5"/>
      <c r="H2939" s="5"/>
      <c r="I2939" s="5"/>
      <c r="J2939" s="5"/>
      <c r="K2939" s="5"/>
      <c r="L2939" s="5"/>
      <c r="M2939" s="5"/>
      <c r="N2939" s="5"/>
      <c r="O2939" s="5"/>
      <c r="P2939" s="5"/>
      <c r="Q2939" s="5"/>
      <c r="AL2939" s="7" t="str">
        <f>HYPERLINK("http://dx.doi.org/10.1086/701841","http://dx.doi.org/10.1086/701841")</f>
        <v>http://dx.doi.org/10.1086/701841</v>
      </c>
      <c r="AM2939" s="5">
        <v>12</v>
      </c>
      <c r="AN2939" s="5">
        <v>13</v>
      </c>
      <c r="AO2939" s="5">
        <v>38</v>
      </c>
      <c r="AP2939" s="5">
        <v>1</v>
      </c>
      <c r="AQ2939" s="5">
        <v>213</v>
      </c>
      <c r="AR2939" s="5">
        <v>228</v>
      </c>
      <c r="AS2939" s="5" t="s">
        <v>16</v>
      </c>
      <c r="AT2939" s="5" t="s">
        <v>17560</v>
      </c>
      <c r="AU2939" s="5" t="s">
        <v>17561</v>
      </c>
      <c r="AV2939" s="5" t="s">
        <v>17563</v>
      </c>
    </row>
    <row r="2940" spans="1:48" ht="45" customHeight="1" x14ac:dyDescent="0.15">
      <c r="A2940" s="5" t="s">
        <v>17564</v>
      </c>
      <c r="B2940" s="5">
        <v>2021</v>
      </c>
      <c r="C2940" s="5" t="s">
        <v>17565</v>
      </c>
      <c r="D2940" s="5" t="s">
        <v>57</v>
      </c>
      <c r="E2940" s="5" t="s">
        <v>18453</v>
      </c>
      <c r="F2940" s="5" t="s">
        <v>17568</v>
      </c>
      <c r="G2940" s="5"/>
      <c r="H2940" s="5"/>
      <c r="I2940" s="5"/>
      <c r="J2940" s="5"/>
      <c r="K2940" s="5"/>
      <c r="L2940" s="5"/>
      <c r="M2940" s="5"/>
      <c r="N2940" s="5"/>
      <c r="O2940" s="5"/>
      <c r="P2940" s="5"/>
      <c r="Q2940" s="5"/>
      <c r="AL2940" s="7" t="str">
        <f>HYPERLINK("http://dx.doi.org/10.1098/rsbl.2021.0353","http://dx.doi.org/10.1098/rsbl.2021.0353")</f>
        <v>http://dx.doi.org/10.1098/rsbl.2021.0353</v>
      </c>
      <c r="AM2940" s="5">
        <v>3</v>
      </c>
      <c r="AN2940" s="5">
        <v>3</v>
      </c>
      <c r="AO2940" s="5">
        <v>17</v>
      </c>
      <c r="AP2940" s="5">
        <v>9</v>
      </c>
      <c r="AQ2940" s="5" t="s">
        <v>16</v>
      </c>
      <c r="AR2940" s="5" t="s">
        <v>16</v>
      </c>
      <c r="AS2940" s="5">
        <v>20210353</v>
      </c>
      <c r="AT2940" s="5" t="s">
        <v>17566</v>
      </c>
      <c r="AU2940" s="5" t="s">
        <v>17567</v>
      </c>
      <c r="AV2940" s="5" t="s">
        <v>17569</v>
      </c>
    </row>
    <row r="2941" spans="1:48" ht="45" customHeight="1" x14ac:dyDescent="0.15">
      <c r="A2941" s="5" t="s">
        <v>17570</v>
      </c>
      <c r="B2941" s="5">
        <v>2021</v>
      </c>
      <c r="C2941" s="5" t="s">
        <v>17571</v>
      </c>
      <c r="D2941" s="5" t="s">
        <v>1257</v>
      </c>
      <c r="E2941" s="5" t="s">
        <v>18453</v>
      </c>
      <c r="F2941" s="5" t="s">
        <v>17574</v>
      </c>
      <c r="G2941" s="5"/>
      <c r="H2941" s="5"/>
      <c r="I2941" s="5"/>
      <c r="J2941" s="5"/>
      <c r="K2941" s="5"/>
      <c r="L2941" s="5"/>
      <c r="M2941" s="5"/>
      <c r="N2941" s="5"/>
      <c r="O2941" s="5"/>
      <c r="P2941" s="5"/>
      <c r="Q2941" s="5"/>
      <c r="AL2941" s="7" t="str">
        <f>HYPERLINK("http://dx.doi.org/10.3389/ffgc.2021.676691","http://dx.doi.org/10.3389/ffgc.2021.676691")</f>
        <v>http://dx.doi.org/10.3389/ffgc.2021.676691</v>
      </c>
      <c r="AM2941" s="5">
        <v>4</v>
      </c>
      <c r="AN2941" s="5">
        <v>4</v>
      </c>
      <c r="AO2941" s="5">
        <v>4</v>
      </c>
      <c r="AP2941" s="5" t="s">
        <v>16</v>
      </c>
      <c r="AQ2941" s="5" t="s">
        <v>16</v>
      </c>
      <c r="AR2941" s="5" t="s">
        <v>16</v>
      </c>
      <c r="AS2941" s="5">
        <v>676691</v>
      </c>
      <c r="AT2941" s="5" t="s">
        <v>17572</v>
      </c>
      <c r="AU2941" s="5" t="s">
        <v>17573</v>
      </c>
      <c r="AV2941" s="5" t="s">
        <v>17575</v>
      </c>
    </row>
    <row r="2942" spans="1:48" ht="45" customHeight="1" x14ac:dyDescent="0.15">
      <c r="A2942" s="5" t="s">
        <v>17576</v>
      </c>
      <c r="B2942" s="5">
        <v>2017</v>
      </c>
      <c r="C2942" s="5" t="s">
        <v>17577</v>
      </c>
      <c r="D2942" s="5" t="s">
        <v>973</v>
      </c>
      <c r="E2942" s="5" t="s">
        <v>18453</v>
      </c>
      <c r="F2942" s="5" t="s">
        <v>17579</v>
      </c>
      <c r="G2942" s="5"/>
      <c r="H2942" s="5"/>
      <c r="I2942" s="5"/>
      <c r="J2942" s="5"/>
      <c r="K2942" s="5"/>
      <c r="L2942" s="5"/>
      <c r="M2942" s="5"/>
      <c r="N2942" s="5"/>
      <c r="O2942" s="5"/>
      <c r="P2942" s="5"/>
      <c r="Q2942" s="5"/>
      <c r="AL2942" s="7" t="str">
        <f>HYPERLINK("http://dx.doi.org/10.5194/bg-14-3431-2017","http://dx.doi.org/10.5194/bg-14-3431-2017")</f>
        <v>http://dx.doi.org/10.5194/bg-14-3431-2017</v>
      </c>
      <c r="AM2942" s="5">
        <v>4</v>
      </c>
      <c r="AN2942" s="5">
        <v>6</v>
      </c>
      <c r="AO2942" s="5">
        <v>14</v>
      </c>
      <c r="AP2942" s="5">
        <v>14</v>
      </c>
      <c r="AQ2942" s="5">
        <v>3431</v>
      </c>
      <c r="AR2942" s="5">
        <v>3444</v>
      </c>
      <c r="AS2942" s="5" t="s">
        <v>16</v>
      </c>
      <c r="AT2942" s="5" t="s">
        <v>16</v>
      </c>
      <c r="AU2942" s="5" t="s">
        <v>17578</v>
      </c>
      <c r="AV2942" s="5" t="s">
        <v>17580</v>
      </c>
    </row>
    <row r="2943" spans="1:48" ht="45" customHeight="1" x14ac:dyDescent="0.15">
      <c r="A2943" s="5" t="s">
        <v>17581</v>
      </c>
      <c r="B2943" s="5">
        <v>2014</v>
      </c>
      <c r="C2943" s="5" t="s">
        <v>17582</v>
      </c>
      <c r="D2943" s="5" t="s">
        <v>513</v>
      </c>
      <c r="E2943" s="5" t="s">
        <v>18453</v>
      </c>
      <c r="F2943" s="5" t="s">
        <v>17585</v>
      </c>
      <c r="G2943" s="5"/>
      <c r="H2943" s="5"/>
      <c r="I2943" s="5"/>
      <c r="J2943" s="5"/>
      <c r="K2943" s="5"/>
      <c r="L2943" s="5"/>
      <c r="M2943" s="5"/>
      <c r="N2943" s="5"/>
      <c r="O2943" s="5"/>
      <c r="P2943" s="5"/>
      <c r="Q2943" s="5"/>
      <c r="AL2943" s="7" t="str">
        <f>HYPERLINK("http://dx.doi.org/10.1016/j.ecoleng.2014.09.056","http://dx.doi.org/10.1016/j.ecoleng.2014.09.056")</f>
        <v>http://dx.doi.org/10.1016/j.ecoleng.2014.09.056</v>
      </c>
      <c r="AM2943" s="5">
        <v>10</v>
      </c>
      <c r="AN2943" s="5">
        <v>10</v>
      </c>
      <c r="AO2943" s="5">
        <v>73</v>
      </c>
      <c r="AP2943" s="5" t="s">
        <v>16</v>
      </c>
      <c r="AQ2943" s="5">
        <v>219</v>
      </c>
      <c r="AR2943" s="5">
        <v>223</v>
      </c>
      <c r="AS2943" s="5" t="s">
        <v>16</v>
      </c>
      <c r="AT2943" s="5" t="s">
        <v>17583</v>
      </c>
      <c r="AU2943" s="5" t="s">
        <v>17584</v>
      </c>
      <c r="AV2943" s="5" t="s">
        <v>17586</v>
      </c>
    </row>
    <row r="2944" spans="1:48" ht="45" customHeight="1" x14ac:dyDescent="0.15">
      <c r="A2944" s="5" t="s">
        <v>17587</v>
      </c>
      <c r="B2944" s="5">
        <v>2016</v>
      </c>
      <c r="C2944" s="5" t="s">
        <v>17588</v>
      </c>
      <c r="D2944" s="5" t="s">
        <v>49</v>
      </c>
      <c r="E2944" s="5" t="s">
        <v>18453</v>
      </c>
      <c r="F2944" s="5" t="s">
        <v>17591</v>
      </c>
      <c r="G2944" s="5"/>
      <c r="H2944" s="5"/>
      <c r="I2944" s="5"/>
      <c r="J2944" s="5"/>
      <c r="K2944" s="5"/>
      <c r="L2944" s="5"/>
      <c r="M2944" s="5"/>
      <c r="N2944" s="5"/>
      <c r="O2944" s="5"/>
      <c r="P2944" s="5"/>
      <c r="Q2944" s="5"/>
      <c r="AL2944" s="7" t="str">
        <f>HYPERLINK("http://dx.doi.org/10.3354/meps11669","http://dx.doi.org/10.3354/meps11669")</f>
        <v>http://dx.doi.org/10.3354/meps11669</v>
      </c>
      <c r="AM2944" s="5">
        <v>9</v>
      </c>
      <c r="AN2944" s="5">
        <v>10</v>
      </c>
      <c r="AO2944" s="5">
        <v>546</v>
      </c>
      <c r="AP2944" s="5" t="s">
        <v>16</v>
      </c>
      <c r="AQ2944" s="5">
        <v>263</v>
      </c>
      <c r="AR2944" s="5">
        <v>269</v>
      </c>
      <c r="AS2944" s="5" t="s">
        <v>16</v>
      </c>
      <c r="AT2944" s="5" t="s">
        <v>17589</v>
      </c>
      <c r="AU2944" s="5" t="s">
        <v>17590</v>
      </c>
      <c r="AV2944" s="5" t="s">
        <v>17592</v>
      </c>
    </row>
    <row r="2945" spans="1:48" ht="45" customHeight="1" x14ac:dyDescent="0.15">
      <c r="A2945" s="5" t="s">
        <v>17593</v>
      </c>
      <c r="B2945" s="5">
        <v>2015</v>
      </c>
      <c r="C2945" s="5" t="s">
        <v>17594</v>
      </c>
      <c r="D2945" s="5" t="s">
        <v>7759</v>
      </c>
      <c r="E2945" s="5" t="s">
        <v>18453</v>
      </c>
      <c r="F2945" s="5" t="s">
        <v>17597</v>
      </c>
      <c r="G2945" s="5"/>
      <c r="H2945" s="5"/>
      <c r="I2945" s="5"/>
      <c r="J2945" s="5"/>
      <c r="K2945" s="5"/>
      <c r="L2945" s="5"/>
      <c r="M2945" s="5"/>
      <c r="N2945" s="5"/>
      <c r="O2945" s="5"/>
      <c r="P2945" s="5"/>
      <c r="Q2945" s="5"/>
      <c r="AL2945" s="7" t="str">
        <f>HYPERLINK("http://dx.doi.org/10.1007/s11258-015-0473-9","http://dx.doi.org/10.1007/s11258-015-0473-9")</f>
        <v>http://dx.doi.org/10.1007/s11258-015-0473-9</v>
      </c>
      <c r="AM2945" s="5">
        <v>3</v>
      </c>
      <c r="AN2945" s="5">
        <v>3</v>
      </c>
      <c r="AO2945" s="5">
        <v>216</v>
      </c>
      <c r="AP2945" s="5">
        <v>6</v>
      </c>
      <c r="AQ2945" s="5">
        <v>859</v>
      </c>
      <c r="AR2945" s="5">
        <v>872</v>
      </c>
      <c r="AS2945" s="5" t="s">
        <v>16</v>
      </c>
      <c r="AT2945" s="5" t="s">
        <v>17595</v>
      </c>
      <c r="AU2945" s="5" t="s">
        <v>17596</v>
      </c>
      <c r="AV2945" s="5" t="s">
        <v>17598</v>
      </c>
    </row>
    <row r="2946" spans="1:48" ht="45" customHeight="1" x14ac:dyDescent="0.15">
      <c r="A2946" s="5" t="s">
        <v>17599</v>
      </c>
      <c r="B2946" s="5">
        <v>2021</v>
      </c>
      <c r="C2946" s="5" t="s">
        <v>17600</v>
      </c>
      <c r="D2946" s="5" t="s">
        <v>49</v>
      </c>
      <c r="E2946" s="5" t="s">
        <v>18453</v>
      </c>
      <c r="F2946" s="5" t="s">
        <v>17603</v>
      </c>
      <c r="G2946" s="5"/>
      <c r="H2946" s="5"/>
      <c r="I2946" s="5"/>
      <c r="J2946" s="5"/>
      <c r="K2946" s="5"/>
      <c r="L2946" s="5"/>
      <c r="M2946" s="5"/>
      <c r="N2946" s="5"/>
      <c r="O2946" s="5"/>
      <c r="P2946" s="5"/>
      <c r="Q2946" s="5"/>
      <c r="AL2946" s="7" t="str">
        <f>HYPERLINK("http://dx.doi.org/10.3354/meps13543","http://dx.doi.org/10.3354/meps13543")</f>
        <v>http://dx.doi.org/10.3354/meps13543</v>
      </c>
      <c r="AM2946" s="5">
        <v>6</v>
      </c>
      <c r="AN2946" s="5">
        <v>6</v>
      </c>
      <c r="AO2946" s="5">
        <v>657</v>
      </c>
      <c r="AP2946" s="5" t="s">
        <v>16</v>
      </c>
      <c r="AQ2946" s="5">
        <v>223</v>
      </c>
      <c r="AR2946" s="5">
        <v>239</v>
      </c>
      <c r="AS2946" s="5" t="s">
        <v>16</v>
      </c>
      <c r="AT2946" s="5" t="s">
        <v>17601</v>
      </c>
      <c r="AU2946" s="5" t="s">
        <v>17602</v>
      </c>
      <c r="AV2946" s="5" t="s">
        <v>17604</v>
      </c>
    </row>
    <row r="2947" spans="1:48" ht="45" customHeight="1" x14ac:dyDescent="0.15">
      <c r="A2947" s="5" t="s">
        <v>17605</v>
      </c>
      <c r="B2947" s="5">
        <v>2006</v>
      </c>
      <c r="C2947" s="5" t="s">
        <v>17606</v>
      </c>
      <c r="D2947" s="5" t="s">
        <v>6380</v>
      </c>
      <c r="E2947" s="5" t="s">
        <v>18453</v>
      </c>
      <c r="F2947" s="5" t="s">
        <v>17608</v>
      </c>
      <c r="G2947" s="5"/>
      <c r="H2947" s="5"/>
      <c r="I2947" s="5"/>
      <c r="J2947" s="5"/>
      <c r="K2947" s="5"/>
      <c r="L2947" s="5"/>
      <c r="M2947" s="5"/>
      <c r="N2947" s="5"/>
      <c r="O2947" s="5"/>
      <c r="P2947" s="5"/>
      <c r="Q2947" s="5"/>
      <c r="AL2947" s="7" t="str">
        <f>HYPERLINK("http://dx.doi.org/10.1666/05006.1","http://dx.doi.org/10.1666/05006.1")</f>
        <v>http://dx.doi.org/10.1666/05006.1</v>
      </c>
      <c r="AM2947" s="5">
        <v>81</v>
      </c>
      <c r="AN2947" s="5">
        <v>82</v>
      </c>
      <c r="AO2947" s="5">
        <v>32</v>
      </c>
      <c r="AP2947" s="5">
        <v>2</v>
      </c>
      <c r="AQ2947" s="5">
        <v>191</v>
      </c>
      <c r="AR2947" s="5">
        <v>205</v>
      </c>
      <c r="AS2947" s="5" t="s">
        <v>16</v>
      </c>
      <c r="AT2947" s="5" t="s">
        <v>16</v>
      </c>
      <c r="AU2947" s="5" t="s">
        <v>17607</v>
      </c>
      <c r="AV2947" s="5" t="s">
        <v>17609</v>
      </c>
    </row>
    <row r="2948" spans="1:48" ht="45" customHeight="1" x14ac:dyDescent="0.15">
      <c r="A2948" s="5" t="s">
        <v>17610</v>
      </c>
      <c r="B2948" s="5">
        <v>2010</v>
      </c>
      <c r="C2948" s="5" t="s">
        <v>17611</v>
      </c>
      <c r="D2948" s="5" t="s">
        <v>83</v>
      </c>
      <c r="E2948" s="5" t="s">
        <v>18453</v>
      </c>
      <c r="F2948" s="5" t="s">
        <v>17614</v>
      </c>
      <c r="G2948" s="5"/>
      <c r="H2948" s="5"/>
      <c r="I2948" s="5"/>
      <c r="J2948" s="5"/>
      <c r="K2948" s="5"/>
      <c r="L2948" s="5"/>
      <c r="M2948" s="5"/>
      <c r="N2948" s="5"/>
      <c r="O2948" s="5"/>
      <c r="P2948" s="5"/>
      <c r="Q2948" s="5"/>
      <c r="AL2948" s="7" t="str">
        <f>HYPERLINK("http://dx.doi.org/10.1007/s10646-009-0431-1","http://dx.doi.org/10.1007/s10646-009-0431-1")</f>
        <v>http://dx.doi.org/10.1007/s10646-009-0431-1</v>
      </c>
      <c r="AM2948" s="5">
        <v>35</v>
      </c>
      <c r="AN2948" s="5">
        <v>37</v>
      </c>
      <c r="AO2948" s="5">
        <v>19</v>
      </c>
      <c r="AP2948" s="5">
        <v>4</v>
      </c>
      <c r="AQ2948" s="5">
        <v>623</v>
      </c>
      <c r="AR2948" s="5">
        <v>634</v>
      </c>
      <c r="AS2948" s="5" t="s">
        <v>16</v>
      </c>
      <c r="AT2948" s="5" t="s">
        <v>17612</v>
      </c>
      <c r="AU2948" s="5" t="s">
        <v>17613</v>
      </c>
      <c r="AV2948" s="5" t="s">
        <v>17615</v>
      </c>
    </row>
    <row r="2949" spans="1:48" ht="45" customHeight="1" x14ac:dyDescent="0.15">
      <c r="A2949" s="5" t="s">
        <v>17616</v>
      </c>
      <c r="B2949" s="5">
        <v>2013</v>
      </c>
      <c r="C2949" s="5" t="s">
        <v>17617</v>
      </c>
      <c r="D2949" s="5" t="s">
        <v>160</v>
      </c>
      <c r="E2949" s="5" t="s">
        <v>18453</v>
      </c>
      <c r="F2949" s="5" t="s">
        <v>17620</v>
      </c>
      <c r="G2949" s="5"/>
      <c r="H2949" s="5"/>
      <c r="I2949" s="5"/>
      <c r="J2949" s="5"/>
      <c r="K2949" s="5"/>
      <c r="L2949" s="5"/>
      <c r="M2949" s="5"/>
      <c r="N2949" s="5"/>
      <c r="O2949" s="5"/>
      <c r="P2949" s="5"/>
      <c r="Q2949" s="5"/>
      <c r="AL2949" s="7" t="str">
        <f>HYPERLINK("http://dx.doi.org/10.1111/1365-2664.12063","http://dx.doi.org/10.1111/1365-2664.12063")</f>
        <v>http://dx.doi.org/10.1111/1365-2664.12063</v>
      </c>
      <c r="AM2949" s="5">
        <v>105</v>
      </c>
      <c r="AN2949" s="5">
        <v>107</v>
      </c>
      <c r="AO2949" s="5">
        <v>50</v>
      </c>
      <c r="AP2949" s="5">
        <v>3</v>
      </c>
      <c r="AQ2949" s="5">
        <v>603</v>
      </c>
      <c r="AR2949" s="5">
        <v>613</v>
      </c>
      <c r="AS2949" s="5" t="s">
        <v>16</v>
      </c>
      <c r="AT2949" s="5" t="s">
        <v>17618</v>
      </c>
      <c r="AU2949" s="5" t="s">
        <v>17619</v>
      </c>
      <c r="AV2949" s="5" t="s">
        <v>17621</v>
      </c>
    </row>
    <row r="2950" spans="1:48" ht="45" customHeight="1" x14ac:dyDescent="0.15">
      <c r="A2950" s="5" t="s">
        <v>17622</v>
      </c>
      <c r="B2950" s="5">
        <v>2021</v>
      </c>
      <c r="C2950" s="5" t="s">
        <v>17623</v>
      </c>
      <c r="D2950" s="5" t="s">
        <v>942</v>
      </c>
      <c r="E2950" s="5" t="s">
        <v>18453</v>
      </c>
      <c r="F2950" s="5" t="s">
        <v>17626</v>
      </c>
      <c r="G2950" s="5"/>
      <c r="H2950" s="5"/>
      <c r="I2950" s="5"/>
      <c r="J2950" s="5"/>
      <c r="K2950" s="5"/>
      <c r="L2950" s="5"/>
      <c r="M2950" s="5"/>
      <c r="N2950" s="5"/>
      <c r="O2950" s="5"/>
      <c r="P2950" s="5"/>
      <c r="Q2950" s="5"/>
      <c r="AL2950" s="7" t="str">
        <f>HYPERLINK("http://dx.doi.org/10.1016/j.rsma.2021.101747","http://dx.doi.org/10.1016/j.rsma.2021.101747")</f>
        <v>http://dx.doi.org/10.1016/j.rsma.2021.101747</v>
      </c>
      <c r="AM2950" s="5">
        <v>1</v>
      </c>
      <c r="AN2950" s="5">
        <v>1</v>
      </c>
      <c r="AO2950" s="5">
        <v>44</v>
      </c>
      <c r="AP2950" s="5" t="s">
        <v>16</v>
      </c>
      <c r="AQ2950" s="5" t="s">
        <v>16</v>
      </c>
      <c r="AR2950" s="5" t="s">
        <v>16</v>
      </c>
      <c r="AS2950" s="5">
        <v>101747</v>
      </c>
      <c r="AT2950" s="5" t="s">
        <v>17624</v>
      </c>
      <c r="AU2950" s="5" t="s">
        <v>17625</v>
      </c>
      <c r="AV2950" s="5" t="s">
        <v>17627</v>
      </c>
    </row>
    <row r="2951" spans="1:48" ht="45" customHeight="1" x14ac:dyDescent="0.15">
      <c r="A2951" s="5" t="s">
        <v>17628</v>
      </c>
      <c r="B2951" s="5">
        <v>2016</v>
      </c>
      <c r="C2951" s="5" t="s">
        <v>17629</v>
      </c>
      <c r="D2951" s="5" t="s">
        <v>77</v>
      </c>
      <c r="E2951" s="5" t="s">
        <v>18453</v>
      </c>
      <c r="F2951" s="5" t="s">
        <v>17632</v>
      </c>
      <c r="G2951" s="5"/>
      <c r="H2951" s="5"/>
      <c r="I2951" s="5"/>
      <c r="J2951" s="5"/>
      <c r="K2951" s="5"/>
      <c r="L2951" s="5"/>
      <c r="M2951" s="5"/>
      <c r="N2951" s="5"/>
      <c r="O2951" s="5"/>
      <c r="P2951" s="5"/>
      <c r="Q2951" s="5"/>
      <c r="AL2951" s="7" t="str">
        <f>HYPERLINK("http://dx.doi.org/10.1111/1365-2656.12457","http://dx.doi.org/10.1111/1365-2656.12457")</f>
        <v>http://dx.doi.org/10.1111/1365-2656.12457</v>
      </c>
      <c r="AM2951" s="5">
        <v>35</v>
      </c>
      <c r="AN2951" s="5">
        <v>35</v>
      </c>
      <c r="AO2951" s="5">
        <v>85</v>
      </c>
      <c r="AP2951" s="5">
        <v>1</v>
      </c>
      <c r="AQ2951" s="5">
        <v>302</v>
      </c>
      <c r="AR2951" s="5">
        <v>313</v>
      </c>
      <c r="AS2951" s="5" t="s">
        <v>16</v>
      </c>
      <c r="AT2951" s="5" t="s">
        <v>17630</v>
      </c>
      <c r="AU2951" s="5" t="s">
        <v>17631</v>
      </c>
      <c r="AV2951" s="5" t="s">
        <v>17633</v>
      </c>
    </row>
    <row r="2952" spans="1:48" ht="45" customHeight="1" x14ac:dyDescent="0.15">
      <c r="A2952" s="5" t="s">
        <v>17634</v>
      </c>
      <c r="B2952" s="5">
        <v>1999</v>
      </c>
      <c r="C2952" s="5" t="s">
        <v>17635</v>
      </c>
      <c r="D2952" s="5" t="s">
        <v>33</v>
      </c>
      <c r="E2952" s="5" t="s">
        <v>18453</v>
      </c>
      <c r="F2952" s="5" t="s">
        <v>17638</v>
      </c>
      <c r="G2952" s="5"/>
      <c r="H2952" s="5"/>
      <c r="I2952" s="5"/>
      <c r="J2952" s="5"/>
      <c r="K2952" s="5"/>
      <c r="L2952" s="5"/>
      <c r="M2952" s="5"/>
      <c r="N2952" s="5"/>
      <c r="O2952" s="5"/>
      <c r="P2952" s="5"/>
      <c r="Q2952" s="5"/>
      <c r="AL2952" s="7" t="str">
        <f>HYPERLINK("http://dx.doi.org/10.1111/j.1365-2486.1999.00252.x","http://dx.doi.org/10.1111/j.1365-2486.1999.00252.x")</f>
        <v>http://dx.doi.org/10.1111/j.1365-2486.1999.00252.x</v>
      </c>
      <c r="AM2952" s="5">
        <v>50</v>
      </c>
      <c r="AN2952" s="5">
        <v>58</v>
      </c>
      <c r="AO2952" s="5">
        <v>5</v>
      </c>
      <c r="AP2952" s="5">
        <v>5</v>
      </c>
      <c r="AQ2952" s="5">
        <v>587</v>
      </c>
      <c r="AR2952" s="5">
        <v>599</v>
      </c>
      <c r="AS2952" s="5" t="s">
        <v>16</v>
      </c>
      <c r="AT2952" s="5" t="s">
        <v>17636</v>
      </c>
      <c r="AU2952" s="5" t="s">
        <v>17637</v>
      </c>
      <c r="AV2952" s="5" t="s">
        <v>17639</v>
      </c>
    </row>
    <row r="2953" spans="1:48" ht="45" customHeight="1" x14ac:dyDescent="0.15">
      <c r="A2953" s="5" t="s">
        <v>17640</v>
      </c>
      <c r="B2953" s="5">
        <v>2001</v>
      </c>
      <c r="C2953" s="5" t="s">
        <v>17641</v>
      </c>
      <c r="D2953" s="5" t="s">
        <v>77</v>
      </c>
      <c r="E2953" s="5" t="s">
        <v>18453</v>
      </c>
      <c r="F2953" s="5" t="s">
        <v>17644</v>
      </c>
      <c r="G2953" s="5"/>
      <c r="H2953" s="5"/>
      <c r="I2953" s="5"/>
      <c r="J2953" s="5"/>
      <c r="K2953" s="5"/>
      <c r="L2953" s="5"/>
      <c r="M2953" s="5"/>
      <c r="N2953" s="5"/>
      <c r="O2953" s="5"/>
      <c r="P2953" s="5"/>
      <c r="Q2953" s="5"/>
      <c r="AL2953" s="7" t="str">
        <f>HYPERLINK("http://dx.doi.org/10.1046/j.0021-8790.2001.00552.x","http://dx.doi.org/10.1046/j.0021-8790.2001.00552.x")</f>
        <v>http://dx.doi.org/10.1046/j.0021-8790.2001.00552.x</v>
      </c>
      <c r="AM2953" s="5">
        <v>318</v>
      </c>
      <c r="AN2953" s="5">
        <v>333</v>
      </c>
      <c r="AO2953" s="5">
        <v>70</v>
      </c>
      <c r="AP2953" s="5">
        <v>6</v>
      </c>
      <c r="AQ2953" s="5">
        <v>934</v>
      </c>
      <c r="AR2953" s="5">
        <v>944</v>
      </c>
      <c r="AS2953" s="5" t="s">
        <v>16</v>
      </c>
      <c r="AT2953" s="5" t="s">
        <v>17642</v>
      </c>
      <c r="AU2953" s="5" t="s">
        <v>17643</v>
      </c>
      <c r="AV2953" s="5" t="s">
        <v>17645</v>
      </c>
    </row>
    <row r="2954" spans="1:48" ht="45" customHeight="1" x14ac:dyDescent="0.15">
      <c r="A2954" s="5" t="s">
        <v>17646</v>
      </c>
      <c r="B2954" s="5">
        <v>2016</v>
      </c>
      <c r="C2954" s="5" t="s">
        <v>17647</v>
      </c>
      <c r="D2954" s="5" t="s">
        <v>262</v>
      </c>
      <c r="E2954" s="5" t="s">
        <v>18453</v>
      </c>
      <c r="F2954" s="5" t="s">
        <v>17649</v>
      </c>
      <c r="G2954" s="5"/>
      <c r="H2954" s="5"/>
      <c r="I2954" s="5"/>
      <c r="J2954" s="5"/>
      <c r="K2954" s="5"/>
      <c r="L2954" s="5"/>
      <c r="M2954" s="5"/>
      <c r="N2954" s="5"/>
      <c r="O2954" s="5"/>
      <c r="P2954" s="5"/>
      <c r="Q2954" s="5"/>
      <c r="AL2954" s="7" t="str">
        <f>HYPERLINK("http://dx.doi.org/10.1111/oik.02713","http://dx.doi.org/10.1111/oik.02713")</f>
        <v>http://dx.doi.org/10.1111/oik.02713</v>
      </c>
      <c r="AM2954" s="5">
        <v>48</v>
      </c>
      <c r="AN2954" s="5">
        <v>50</v>
      </c>
      <c r="AO2954" s="5">
        <v>125</v>
      </c>
      <c r="AP2954" s="5">
        <v>5</v>
      </c>
      <c r="AQ2954" s="5">
        <v>674</v>
      </c>
      <c r="AR2954" s="5">
        <v>685</v>
      </c>
      <c r="AS2954" s="5" t="s">
        <v>16</v>
      </c>
      <c r="AT2954" s="5" t="s">
        <v>16</v>
      </c>
      <c r="AU2954" s="5" t="s">
        <v>17648</v>
      </c>
      <c r="AV2954" s="5" t="s">
        <v>17650</v>
      </c>
    </row>
    <row r="2955" spans="1:48" ht="45" customHeight="1" x14ac:dyDescent="0.15">
      <c r="A2955" s="5" t="s">
        <v>17651</v>
      </c>
      <c r="B2955" s="5">
        <v>2012</v>
      </c>
      <c r="C2955" s="5" t="s">
        <v>17652</v>
      </c>
      <c r="D2955" s="5" t="s">
        <v>49</v>
      </c>
      <c r="E2955" s="5" t="s">
        <v>18453</v>
      </c>
      <c r="F2955" s="5" t="s">
        <v>17655</v>
      </c>
      <c r="G2955" s="5"/>
      <c r="H2955" s="5"/>
      <c r="I2955" s="5"/>
      <c r="J2955" s="5"/>
      <c r="K2955" s="5"/>
      <c r="L2955" s="5"/>
      <c r="M2955" s="5"/>
      <c r="N2955" s="5"/>
      <c r="O2955" s="5"/>
      <c r="P2955" s="5"/>
      <c r="Q2955" s="5"/>
      <c r="AL2955" s="7" t="str">
        <f>HYPERLINK("http://dx.doi.org/10.3354/meps09602","http://dx.doi.org/10.3354/meps09602")</f>
        <v>http://dx.doi.org/10.3354/meps09602</v>
      </c>
      <c r="AM2955" s="5">
        <v>5</v>
      </c>
      <c r="AN2955" s="5">
        <v>5</v>
      </c>
      <c r="AO2955" s="5">
        <v>453</v>
      </c>
      <c r="AP2955" s="5" t="s">
        <v>16</v>
      </c>
      <c r="AQ2955" s="5">
        <v>79</v>
      </c>
      <c r="AR2955" s="5">
        <v>94</v>
      </c>
      <c r="AS2955" s="5" t="s">
        <v>16</v>
      </c>
      <c r="AT2955" s="5" t="s">
        <v>17653</v>
      </c>
      <c r="AU2955" s="5" t="s">
        <v>17654</v>
      </c>
      <c r="AV2955" s="5" t="s">
        <v>17656</v>
      </c>
    </row>
    <row r="2956" spans="1:48" ht="45" customHeight="1" x14ac:dyDescent="0.15">
      <c r="A2956" s="5" t="s">
        <v>17657</v>
      </c>
      <c r="B2956" s="5">
        <v>2015</v>
      </c>
      <c r="C2956" s="5" t="s">
        <v>17658</v>
      </c>
      <c r="D2956" s="5" t="s">
        <v>513</v>
      </c>
      <c r="E2956" s="5" t="s">
        <v>18453</v>
      </c>
      <c r="F2956" s="5" t="s">
        <v>17661</v>
      </c>
      <c r="G2956" s="5"/>
      <c r="H2956" s="5"/>
      <c r="I2956" s="5"/>
      <c r="J2956" s="5"/>
      <c r="K2956" s="5"/>
      <c r="L2956" s="5"/>
      <c r="M2956" s="5"/>
      <c r="N2956" s="5"/>
      <c r="O2956" s="5"/>
      <c r="P2956" s="5"/>
      <c r="Q2956" s="5"/>
      <c r="AL2956" s="7" t="str">
        <f>HYPERLINK("http://dx.doi.org/10.1016/j.ecoleng.2015.09.052","http://dx.doi.org/10.1016/j.ecoleng.2015.09.052")</f>
        <v>http://dx.doi.org/10.1016/j.ecoleng.2015.09.052</v>
      </c>
      <c r="AM2956" s="5">
        <v>22</v>
      </c>
      <c r="AN2956" s="5">
        <v>23</v>
      </c>
      <c r="AO2956" s="5">
        <v>85</v>
      </c>
      <c r="AP2956" s="5" t="s">
        <v>16</v>
      </c>
      <c r="AQ2956" s="5">
        <v>103</v>
      </c>
      <c r="AR2956" s="5">
        <v>120</v>
      </c>
      <c r="AS2956" s="5" t="s">
        <v>16</v>
      </c>
      <c r="AT2956" s="5" t="s">
        <v>17659</v>
      </c>
      <c r="AU2956" s="5" t="s">
        <v>17660</v>
      </c>
      <c r="AV2956" s="5" t="s">
        <v>17662</v>
      </c>
    </row>
    <row r="2957" spans="1:48" ht="45" customHeight="1" x14ac:dyDescent="0.15">
      <c r="A2957" s="5" t="s">
        <v>17663</v>
      </c>
      <c r="B2957" s="5">
        <v>2021</v>
      </c>
      <c r="C2957" s="5" t="s">
        <v>17664</v>
      </c>
      <c r="D2957" s="5" t="s">
        <v>49</v>
      </c>
      <c r="E2957" s="5" t="s">
        <v>18453</v>
      </c>
      <c r="F2957" s="5" t="s">
        <v>17667</v>
      </c>
      <c r="G2957" s="5"/>
      <c r="H2957" s="5"/>
      <c r="I2957" s="5"/>
      <c r="J2957" s="5"/>
      <c r="K2957" s="5"/>
      <c r="L2957" s="5"/>
      <c r="M2957" s="5"/>
      <c r="N2957" s="5"/>
      <c r="O2957" s="5"/>
      <c r="P2957" s="5"/>
      <c r="Q2957" s="5"/>
      <c r="AL2957" s="7" t="str">
        <f>HYPERLINK("http://dx.doi.org/10.3354/meps13694","http://dx.doi.org/10.3354/meps13694")</f>
        <v>http://dx.doi.org/10.3354/meps13694</v>
      </c>
      <c r="AM2957" s="5">
        <v>4</v>
      </c>
      <c r="AN2957" s="5">
        <v>4</v>
      </c>
      <c r="AO2957" s="5">
        <v>666</v>
      </c>
      <c r="AP2957" s="5" t="s">
        <v>16</v>
      </c>
      <c r="AQ2957" s="5">
        <v>217</v>
      </c>
      <c r="AR2957" s="5">
        <v>229</v>
      </c>
      <c r="AS2957" s="5" t="s">
        <v>16</v>
      </c>
      <c r="AT2957" s="5" t="s">
        <v>17665</v>
      </c>
      <c r="AU2957" s="5" t="s">
        <v>17666</v>
      </c>
      <c r="AV2957" s="5" t="s">
        <v>17668</v>
      </c>
    </row>
    <row r="2958" spans="1:48" ht="45" customHeight="1" x14ac:dyDescent="0.15">
      <c r="A2958" s="5" t="s">
        <v>17669</v>
      </c>
      <c r="B2958" s="5">
        <v>2015</v>
      </c>
      <c r="C2958" s="5" t="s">
        <v>17670</v>
      </c>
      <c r="D2958" s="5" t="s">
        <v>973</v>
      </c>
      <c r="E2958" s="5" t="s">
        <v>18453</v>
      </c>
      <c r="F2958" s="5" t="s">
        <v>17672</v>
      </c>
      <c r="G2958" s="5"/>
      <c r="H2958" s="5"/>
      <c r="I2958" s="5"/>
      <c r="J2958" s="5"/>
      <c r="K2958" s="5"/>
      <c r="L2958" s="5"/>
      <c r="M2958" s="5"/>
      <c r="N2958" s="5"/>
      <c r="O2958" s="5"/>
      <c r="P2958" s="5"/>
      <c r="Q2958" s="5"/>
      <c r="AL2958" s="7" t="str">
        <f>HYPERLINK("http://dx.doi.org/10.5194/bg-12-1865-2015","http://dx.doi.org/10.5194/bg-12-1865-2015")</f>
        <v>http://dx.doi.org/10.5194/bg-12-1865-2015</v>
      </c>
      <c r="AM2958" s="5">
        <v>10</v>
      </c>
      <c r="AN2958" s="5">
        <v>10</v>
      </c>
      <c r="AO2958" s="5">
        <v>12</v>
      </c>
      <c r="AP2958" s="5">
        <v>6</v>
      </c>
      <c r="AQ2958" s="5">
        <v>1865</v>
      </c>
      <c r="AR2958" s="5">
        <v>1879</v>
      </c>
      <c r="AS2958" s="5" t="s">
        <v>16</v>
      </c>
      <c r="AT2958" s="5" t="s">
        <v>16</v>
      </c>
      <c r="AU2958" s="5" t="s">
        <v>17671</v>
      </c>
      <c r="AV2958" s="5" t="s">
        <v>17673</v>
      </c>
    </row>
    <row r="2959" spans="1:48" ht="45" customHeight="1" x14ac:dyDescent="0.15">
      <c r="A2959" s="5" t="s">
        <v>17674</v>
      </c>
      <c r="B2959" s="5">
        <v>2009</v>
      </c>
      <c r="C2959" s="5" t="s">
        <v>17675</v>
      </c>
      <c r="D2959" s="5" t="s">
        <v>162</v>
      </c>
      <c r="E2959" s="5" t="s">
        <v>18453</v>
      </c>
      <c r="F2959" s="5" t="s">
        <v>17678</v>
      </c>
      <c r="G2959" s="5"/>
      <c r="H2959" s="5"/>
      <c r="I2959" s="5"/>
      <c r="J2959" s="5"/>
      <c r="K2959" s="5"/>
      <c r="L2959" s="5"/>
      <c r="M2959" s="5"/>
      <c r="N2959" s="5"/>
      <c r="O2959" s="5"/>
      <c r="P2959" s="5"/>
      <c r="Q2959" s="5"/>
      <c r="AL2959" s="7" t="str">
        <f>HYPERLINK("http://dx.doi.org/10.1111/j.1365-2435.2008.01475.x","http://dx.doi.org/10.1111/j.1365-2435.2008.01475.x")</f>
        <v>http://dx.doi.org/10.1111/j.1365-2435.2008.01475.x</v>
      </c>
      <c r="AM2959" s="5">
        <v>36</v>
      </c>
      <c r="AN2959" s="5">
        <v>36</v>
      </c>
      <c r="AO2959" s="5">
        <v>23</v>
      </c>
      <c r="AP2959" s="5">
        <v>1</v>
      </c>
      <c r="AQ2959" s="5">
        <v>141</v>
      </c>
      <c r="AR2959" s="5">
        <v>149</v>
      </c>
      <c r="AS2959" s="5" t="s">
        <v>16</v>
      </c>
      <c r="AT2959" s="5" t="s">
        <v>17676</v>
      </c>
      <c r="AU2959" s="5" t="s">
        <v>17677</v>
      </c>
      <c r="AV2959" s="5" t="s">
        <v>17679</v>
      </c>
    </row>
    <row r="2960" spans="1:48" ht="45" customHeight="1" x14ac:dyDescent="0.15">
      <c r="A2960" s="5" t="s">
        <v>17680</v>
      </c>
      <c r="B2960" s="5">
        <v>2023</v>
      </c>
      <c r="C2960" s="5" t="s">
        <v>17681</v>
      </c>
      <c r="D2960" s="5" t="s">
        <v>942</v>
      </c>
      <c r="E2960" s="5" t="s">
        <v>18453</v>
      </c>
      <c r="F2960" s="5" t="s">
        <v>17684</v>
      </c>
      <c r="G2960" s="5"/>
      <c r="H2960" s="5"/>
      <c r="I2960" s="5"/>
      <c r="J2960" s="5"/>
      <c r="K2960" s="5"/>
      <c r="L2960" s="5"/>
      <c r="M2960" s="5"/>
      <c r="N2960" s="5"/>
      <c r="O2960" s="5"/>
      <c r="P2960" s="5"/>
      <c r="Q2960" s="5"/>
      <c r="AL2960" s="7" t="str">
        <f>HYPERLINK("http://dx.doi.org/10.1016/j.rsma.2022.102728","http://dx.doi.org/10.1016/j.rsma.2022.102728")</f>
        <v>http://dx.doi.org/10.1016/j.rsma.2022.102728</v>
      </c>
      <c r="AM2960" s="5">
        <v>0</v>
      </c>
      <c r="AN2960" s="5">
        <v>0</v>
      </c>
      <c r="AO2960" s="5">
        <v>57</v>
      </c>
      <c r="AP2960" s="5" t="s">
        <v>16</v>
      </c>
      <c r="AQ2960" s="5" t="s">
        <v>16</v>
      </c>
      <c r="AR2960" s="5" t="s">
        <v>16</v>
      </c>
      <c r="AS2960" s="5">
        <v>102728</v>
      </c>
      <c r="AT2960" s="5" t="s">
        <v>17682</v>
      </c>
      <c r="AU2960" s="5" t="s">
        <v>17683</v>
      </c>
      <c r="AV2960" s="5" t="s">
        <v>17685</v>
      </c>
    </row>
    <row r="2961" spans="1:48" ht="45" customHeight="1" x14ac:dyDescent="0.15">
      <c r="A2961" s="5" t="s">
        <v>17686</v>
      </c>
      <c r="B2961" s="5">
        <v>2020</v>
      </c>
      <c r="C2961" s="5" t="s">
        <v>17687</v>
      </c>
      <c r="D2961" s="5" t="s">
        <v>116</v>
      </c>
      <c r="E2961" s="5" t="s">
        <v>18453</v>
      </c>
      <c r="F2961" s="5" t="s">
        <v>17690</v>
      </c>
      <c r="G2961" s="5"/>
      <c r="H2961" s="5"/>
      <c r="I2961" s="5"/>
      <c r="J2961" s="5"/>
      <c r="K2961" s="5"/>
      <c r="L2961" s="5"/>
      <c r="M2961" s="5"/>
      <c r="N2961" s="5"/>
      <c r="O2961" s="5"/>
      <c r="P2961" s="5"/>
      <c r="Q2961" s="5"/>
      <c r="AL2961" s="7" t="str">
        <f>HYPERLINK("http://dx.doi.org/10.1007/s10641-020-00967-8","http://dx.doi.org/10.1007/s10641-020-00967-8")</f>
        <v>http://dx.doi.org/10.1007/s10641-020-00967-8</v>
      </c>
      <c r="AM2961" s="5">
        <v>7</v>
      </c>
      <c r="AN2961" s="5">
        <v>7</v>
      </c>
      <c r="AO2961" s="5">
        <v>103</v>
      </c>
      <c r="AP2961" s="5">
        <v>6</v>
      </c>
      <c r="AQ2961" s="5">
        <v>647</v>
      </c>
      <c r="AR2961" s="5">
        <v>665</v>
      </c>
      <c r="AS2961" s="5" t="s">
        <v>16</v>
      </c>
      <c r="AT2961" s="5" t="s">
        <v>17688</v>
      </c>
      <c r="AU2961" s="5" t="s">
        <v>17689</v>
      </c>
      <c r="AV2961" s="5" t="s">
        <v>17691</v>
      </c>
    </row>
    <row r="2962" spans="1:48" ht="45" customHeight="1" x14ac:dyDescent="0.15">
      <c r="A2962" s="5" t="s">
        <v>17692</v>
      </c>
      <c r="B2962" s="5">
        <v>2014</v>
      </c>
      <c r="C2962" s="5" t="s">
        <v>17693</v>
      </c>
      <c r="D2962" s="5" t="s">
        <v>172</v>
      </c>
      <c r="E2962" s="5" t="s">
        <v>18453</v>
      </c>
      <c r="F2962" s="5" t="s">
        <v>17696</v>
      </c>
      <c r="G2962" s="5"/>
      <c r="H2962" s="5"/>
      <c r="I2962" s="5"/>
      <c r="J2962" s="5"/>
      <c r="K2962" s="5"/>
      <c r="L2962" s="5"/>
      <c r="M2962" s="5"/>
      <c r="N2962" s="5"/>
      <c r="O2962" s="5"/>
      <c r="P2962" s="5"/>
      <c r="Q2962" s="5"/>
      <c r="AL2962" s="7" t="str">
        <f>HYPERLINK("http://dx.doi.org/10.1007/s00442-014-2987-6","http://dx.doi.org/10.1007/s00442-014-2987-6")</f>
        <v>http://dx.doi.org/10.1007/s00442-014-2987-6</v>
      </c>
      <c r="AM2962" s="5">
        <v>22</v>
      </c>
      <c r="AN2962" s="5">
        <v>22</v>
      </c>
      <c r="AO2962" s="5">
        <v>175</v>
      </c>
      <c r="AP2962" s="5">
        <v>4</v>
      </c>
      <c r="AQ2962" s="5">
        <v>1129</v>
      </c>
      <c r="AR2962" s="5">
        <v>1142</v>
      </c>
      <c r="AS2962" s="5" t="s">
        <v>16</v>
      </c>
      <c r="AT2962" s="5" t="s">
        <v>17694</v>
      </c>
      <c r="AU2962" s="5" t="s">
        <v>17695</v>
      </c>
      <c r="AV2962" s="5" t="s">
        <v>17697</v>
      </c>
    </row>
    <row r="2963" spans="1:48" ht="45" customHeight="1" x14ac:dyDescent="0.15">
      <c r="A2963" s="5" t="s">
        <v>17698</v>
      </c>
      <c r="B2963" s="5">
        <v>1993</v>
      </c>
      <c r="C2963" s="5" t="s">
        <v>17699</v>
      </c>
      <c r="D2963" s="5" t="s">
        <v>262</v>
      </c>
      <c r="E2963" s="5" t="s">
        <v>18453</v>
      </c>
      <c r="F2963" s="5" t="s">
        <v>17701</v>
      </c>
      <c r="G2963" s="5"/>
      <c r="H2963" s="5"/>
      <c r="I2963" s="5"/>
      <c r="J2963" s="5"/>
      <c r="K2963" s="5"/>
      <c r="L2963" s="5"/>
      <c r="M2963" s="5"/>
      <c r="N2963" s="5"/>
      <c r="O2963" s="5"/>
      <c r="P2963" s="5"/>
      <c r="Q2963" s="5"/>
      <c r="AL2963" s="7" t="str">
        <f>HYPERLINK("http://dx.doi.org/10.2307/3545476","http://dx.doi.org/10.2307/3545476")</f>
        <v>http://dx.doi.org/10.2307/3545476</v>
      </c>
      <c r="AM2963" s="5">
        <v>106</v>
      </c>
      <c r="AN2963" s="5">
        <v>109</v>
      </c>
      <c r="AO2963" s="5">
        <v>67</v>
      </c>
      <c r="AP2963" s="5">
        <v>2</v>
      </c>
      <c r="AQ2963" s="5">
        <v>309</v>
      </c>
      <c r="AR2963" s="5">
        <v>316</v>
      </c>
      <c r="AS2963" s="5" t="s">
        <v>16</v>
      </c>
      <c r="AT2963" s="5" t="s">
        <v>16</v>
      </c>
      <c r="AU2963" s="5" t="s">
        <v>17700</v>
      </c>
      <c r="AV2963" s="5" t="s">
        <v>17702</v>
      </c>
    </row>
    <row r="2964" spans="1:48" ht="45" customHeight="1" x14ac:dyDescent="0.15">
      <c r="A2964" s="5" t="s">
        <v>17703</v>
      </c>
      <c r="B2964" s="5">
        <v>2009</v>
      </c>
      <c r="C2964" s="5" t="s">
        <v>17704</v>
      </c>
      <c r="D2964" s="5" t="s">
        <v>49</v>
      </c>
      <c r="E2964" s="5" t="s">
        <v>18453</v>
      </c>
      <c r="F2964" s="5" t="s">
        <v>17707</v>
      </c>
      <c r="G2964" s="5"/>
      <c r="H2964" s="5"/>
      <c r="I2964" s="5"/>
      <c r="J2964" s="5"/>
      <c r="K2964" s="5"/>
      <c r="L2964" s="5"/>
      <c r="M2964" s="5"/>
      <c r="N2964" s="5"/>
      <c r="O2964" s="5"/>
      <c r="P2964" s="5"/>
      <c r="Q2964" s="5"/>
      <c r="AL2964" s="7" t="str">
        <f>HYPERLINK("http://dx.doi.org/10.3354/meps08015","http://dx.doi.org/10.3354/meps08015")</f>
        <v>http://dx.doi.org/10.3354/meps08015</v>
      </c>
      <c r="AM2964" s="5">
        <v>13</v>
      </c>
      <c r="AN2964" s="5">
        <v>13</v>
      </c>
      <c r="AO2964" s="5">
        <v>385</v>
      </c>
      <c r="AP2964" s="5" t="s">
        <v>16</v>
      </c>
      <c r="AQ2964" s="5">
        <v>285</v>
      </c>
      <c r="AR2964" s="5">
        <v>294</v>
      </c>
      <c r="AS2964" s="5" t="s">
        <v>16</v>
      </c>
      <c r="AT2964" s="5" t="s">
        <v>17705</v>
      </c>
      <c r="AU2964" s="5" t="s">
        <v>17706</v>
      </c>
      <c r="AV2964" s="5" t="s">
        <v>17708</v>
      </c>
    </row>
    <row r="2965" spans="1:48" ht="45" customHeight="1" x14ac:dyDescent="0.15">
      <c r="A2965" s="5" t="s">
        <v>17709</v>
      </c>
      <c r="B2965" s="5">
        <v>2014</v>
      </c>
      <c r="C2965" s="5" t="s">
        <v>17710</v>
      </c>
      <c r="D2965" s="5" t="s">
        <v>27</v>
      </c>
      <c r="E2965" s="5" t="s">
        <v>18453</v>
      </c>
      <c r="F2965" s="5" t="s">
        <v>17713</v>
      </c>
      <c r="G2965" s="5"/>
      <c r="H2965" s="5"/>
      <c r="I2965" s="5"/>
      <c r="J2965" s="5"/>
      <c r="K2965" s="5"/>
      <c r="L2965" s="5"/>
      <c r="M2965" s="5"/>
      <c r="N2965" s="5"/>
      <c r="O2965" s="5"/>
      <c r="P2965" s="5"/>
      <c r="Q2965" s="5"/>
      <c r="AL2965" s="7" t="str">
        <f>HYPERLINK("http://dx.doi.org/10.1890/13-0363.1","http://dx.doi.org/10.1890/13-0363.1")</f>
        <v>http://dx.doi.org/10.1890/13-0363.1</v>
      </c>
      <c r="AM2965" s="5">
        <v>76</v>
      </c>
      <c r="AN2965" s="5">
        <v>81</v>
      </c>
      <c r="AO2965" s="5">
        <v>95</v>
      </c>
      <c r="AP2965" s="5">
        <v>3</v>
      </c>
      <c r="AQ2965" s="5">
        <v>715</v>
      </c>
      <c r="AR2965" s="5">
        <v>725</v>
      </c>
      <c r="AS2965" s="5" t="s">
        <v>16</v>
      </c>
      <c r="AT2965" s="5" t="s">
        <v>17711</v>
      </c>
      <c r="AU2965" s="5" t="s">
        <v>17712</v>
      </c>
      <c r="AV2965" s="5" t="s">
        <v>17714</v>
      </c>
    </row>
    <row r="2966" spans="1:48" ht="45" customHeight="1" x14ac:dyDescent="0.15">
      <c r="A2966" s="5" t="s">
        <v>17715</v>
      </c>
      <c r="B2966" s="5">
        <v>2001</v>
      </c>
      <c r="C2966" s="5" t="s">
        <v>17716</v>
      </c>
      <c r="D2966" s="5" t="s">
        <v>295</v>
      </c>
      <c r="E2966" s="5" t="s">
        <v>18453</v>
      </c>
      <c r="F2966" s="5" t="s">
        <v>17719</v>
      </c>
      <c r="G2966" s="5"/>
      <c r="H2966" s="5"/>
      <c r="I2966" s="5"/>
      <c r="J2966" s="5"/>
      <c r="K2966" s="5"/>
      <c r="L2966" s="5"/>
      <c r="M2966" s="5"/>
      <c r="N2966" s="5"/>
      <c r="O2966" s="5"/>
      <c r="P2966" s="5"/>
      <c r="Q2966" s="5"/>
      <c r="AL2966" s="7" t="str">
        <f>HYPERLINK("http://dx.doi.org/10.1016/S0022-0981(01)00257-X","http://dx.doi.org/10.1016/S0022-0981(01)00257-X")</f>
        <v>http://dx.doi.org/10.1016/S0022-0981(01)00257-X</v>
      </c>
      <c r="AM2966" s="5">
        <v>141</v>
      </c>
      <c r="AN2966" s="5">
        <v>149</v>
      </c>
      <c r="AO2966" s="5">
        <v>261</v>
      </c>
      <c r="AP2966" s="5">
        <v>1</v>
      </c>
      <c r="AQ2966" s="5">
        <v>31</v>
      </c>
      <c r="AR2966" s="5">
        <v>54</v>
      </c>
      <c r="AS2966" s="5" t="s">
        <v>16</v>
      </c>
      <c r="AT2966" s="5" t="s">
        <v>17717</v>
      </c>
      <c r="AU2966" s="5" t="s">
        <v>17718</v>
      </c>
      <c r="AV2966" s="5" t="s">
        <v>17720</v>
      </c>
    </row>
    <row r="2967" spans="1:48" ht="45" customHeight="1" x14ac:dyDescent="0.15">
      <c r="A2967" s="5" t="s">
        <v>17721</v>
      </c>
      <c r="B2967" s="5">
        <v>2006</v>
      </c>
      <c r="C2967" s="5" t="s">
        <v>17722</v>
      </c>
      <c r="D2967" s="5" t="s">
        <v>82</v>
      </c>
      <c r="E2967" s="5" t="s">
        <v>18453</v>
      </c>
      <c r="F2967" s="5" t="s">
        <v>17725</v>
      </c>
      <c r="G2967" s="5"/>
      <c r="H2967" s="5"/>
      <c r="I2967" s="5"/>
      <c r="J2967" s="5"/>
      <c r="K2967" s="5"/>
      <c r="L2967" s="5"/>
      <c r="M2967" s="5"/>
      <c r="N2967" s="5"/>
      <c r="O2967" s="5"/>
      <c r="P2967" s="5"/>
      <c r="Q2967" s="5"/>
      <c r="AL2967" s="7" t="str">
        <f>HYPERLINK("http://dx.doi.org/10.1890/1051-0761(2006)016[2153:NONADN]2.0.CO;2","http://dx.doi.org/10.1890/1051-0761(2006)016[2153:NONADN]2.0.CO;2")</f>
        <v>http://dx.doi.org/10.1890/1051-0761(2006)016[2153:NONADN]2.0.CO;2</v>
      </c>
      <c r="AM2967" s="5">
        <v>91</v>
      </c>
      <c r="AN2967" s="5">
        <v>95</v>
      </c>
      <c r="AO2967" s="5">
        <v>16</v>
      </c>
      <c r="AP2967" s="5">
        <v>6</v>
      </c>
      <c r="AQ2967" s="5">
        <v>2153</v>
      </c>
      <c r="AR2967" s="5">
        <v>2167</v>
      </c>
      <c r="AS2967" s="5" t="s">
        <v>16</v>
      </c>
      <c r="AT2967" s="5" t="s">
        <v>17723</v>
      </c>
      <c r="AU2967" s="5" t="s">
        <v>17724</v>
      </c>
      <c r="AV2967" s="5" t="s">
        <v>17726</v>
      </c>
    </row>
    <row r="2968" spans="1:48" ht="45" customHeight="1" x14ac:dyDescent="0.15">
      <c r="A2968" s="5" t="s">
        <v>17727</v>
      </c>
      <c r="B2968" s="5">
        <v>2019</v>
      </c>
      <c r="C2968" s="5" t="s">
        <v>17728</v>
      </c>
      <c r="D2968" s="5" t="s">
        <v>2437</v>
      </c>
      <c r="E2968" s="5" t="s">
        <v>18453</v>
      </c>
      <c r="F2968" s="5" t="s">
        <v>17731</v>
      </c>
      <c r="G2968" s="5"/>
      <c r="H2968" s="5"/>
      <c r="I2968" s="5"/>
      <c r="J2968" s="5"/>
      <c r="K2968" s="5"/>
      <c r="L2968" s="5"/>
      <c r="M2968" s="5"/>
      <c r="N2968" s="5"/>
      <c r="O2968" s="5"/>
      <c r="P2968" s="5"/>
      <c r="Q2968" s="5"/>
      <c r="AL2968" s="7" t="str">
        <f>HYPERLINK("http://dx.doi.org/10.1002/ecm.1339","http://dx.doi.org/10.1002/ecm.1339")</f>
        <v>http://dx.doi.org/10.1002/ecm.1339</v>
      </c>
      <c r="AM2968" s="5">
        <v>27</v>
      </c>
      <c r="AN2968" s="5">
        <v>28</v>
      </c>
      <c r="AO2968" s="5">
        <v>89</v>
      </c>
      <c r="AP2968" s="5">
        <v>1</v>
      </c>
      <c r="AQ2968" s="5" t="s">
        <v>16</v>
      </c>
      <c r="AR2968" s="5" t="s">
        <v>16</v>
      </c>
      <c r="AS2968" s="5" t="s">
        <v>17732</v>
      </c>
      <c r="AT2968" s="5" t="s">
        <v>17729</v>
      </c>
      <c r="AU2968" s="5" t="s">
        <v>17730</v>
      </c>
      <c r="AV2968" s="5" t="s">
        <v>17733</v>
      </c>
    </row>
    <row r="2969" spans="1:48" ht="45" customHeight="1" x14ac:dyDescent="0.15">
      <c r="A2969" s="5" t="s">
        <v>17734</v>
      </c>
      <c r="B2969" s="5">
        <v>2012</v>
      </c>
      <c r="C2969" s="5" t="s">
        <v>17735</v>
      </c>
      <c r="D2969" s="5" t="s">
        <v>77</v>
      </c>
      <c r="E2969" s="5" t="s">
        <v>18453</v>
      </c>
      <c r="F2969" s="5" t="s">
        <v>17738</v>
      </c>
      <c r="G2969" s="5"/>
      <c r="H2969" s="5"/>
      <c r="I2969" s="5"/>
      <c r="J2969" s="5"/>
      <c r="K2969" s="5"/>
      <c r="L2969" s="5"/>
      <c r="M2969" s="5"/>
      <c r="N2969" s="5"/>
      <c r="O2969" s="5"/>
      <c r="P2969" s="5"/>
      <c r="Q2969" s="5"/>
      <c r="AL2969" s="7" t="str">
        <f>HYPERLINK("http://dx.doi.org/10.1111/j.1365-2656.2011.01944.x","http://dx.doi.org/10.1111/j.1365-2656.2011.01944.x")</f>
        <v>http://dx.doi.org/10.1111/j.1365-2656.2011.01944.x</v>
      </c>
      <c r="AM2969" s="5">
        <v>66</v>
      </c>
      <c r="AN2969" s="5">
        <v>67</v>
      </c>
      <c r="AO2969" s="5">
        <v>81</v>
      </c>
      <c r="AP2969" s="5">
        <v>3</v>
      </c>
      <c r="AQ2969" s="5">
        <v>533</v>
      </c>
      <c r="AR2969" s="5">
        <v>542</v>
      </c>
      <c r="AS2969" s="5" t="s">
        <v>16</v>
      </c>
      <c r="AT2969" s="5" t="s">
        <v>17736</v>
      </c>
      <c r="AU2969" s="5" t="s">
        <v>17737</v>
      </c>
      <c r="AV2969" s="5" t="s">
        <v>17739</v>
      </c>
    </row>
    <row r="2970" spans="1:48" ht="45" customHeight="1" x14ac:dyDescent="0.15">
      <c r="A2970" s="5" t="s">
        <v>17740</v>
      </c>
      <c r="B2970" s="5">
        <v>2020</v>
      </c>
      <c r="C2970" s="5" t="s">
        <v>17741</v>
      </c>
      <c r="D2970" s="5" t="s">
        <v>49</v>
      </c>
      <c r="E2970" s="5" t="s">
        <v>18453</v>
      </c>
      <c r="F2970" s="5" t="s">
        <v>17744</v>
      </c>
      <c r="G2970" s="5"/>
      <c r="H2970" s="5"/>
      <c r="I2970" s="5"/>
      <c r="J2970" s="5"/>
      <c r="K2970" s="5"/>
      <c r="L2970" s="5"/>
      <c r="M2970" s="5"/>
      <c r="N2970" s="5"/>
      <c r="O2970" s="5"/>
      <c r="P2970" s="5"/>
      <c r="Q2970" s="5"/>
      <c r="AL2970" s="7" t="str">
        <f>HYPERLINK("http://dx.doi.org/10.3354/meps13524","http://dx.doi.org/10.3354/meps13524")</f>
        <v>http://dx.doi.org/10.3354/meps13524</v>
      </c>
      <c r="AM2970" s="5">
        <v>32</v>
      </c>
      <c r="AN2970" s="5">
        <v>34</v>
      </c>
      <c r="AO2970" s="5">
        <v>655</v>
      </c>
      <c r="AP2970" s="5" t="s">
        <v>16</v>
      </c>
      <c r="AQ2970" s="5">
        <v>1</v>
      </c>
      <c r="AR2970" s="5">
        <v>27</v>
      </c>
      <c r="AS2970" s="5" t="s">
        <v>16</v>
      </c>
      <c r="AT2970" s="5" t="s">
        <v>17742</v>
      </c>
      <c r="AU2970" s="5" t="s">
        <v>17743</v>
      </c>
      <c r="AV2970" s="5" t="s">
        <v>17745</v>
      </c>
    </row>
    <row r="2971" spans="1:48" ht="45" customHeight="1" x14ac:dyDescent="0.15">
      <c r="A2971" s="5" t="s">
        <v>17746</v>
      </c>
      <c r="B2971" s="5">
        <v>2015</v>
      </c>
      <c r="C2971" s="5" t="s">
        <v>17747</v>
      </c>
      <c r="D2971" s="5" t="s">
        <v>259</v>
      </c>
      <c r="E2971" s="5" t="s">
        <v>18453</v>
      </c>
      <c r="F2971" s="5" t="s">
        <v>17750</v>
      </c>
      <c r="G2971" s="5"/>
      <c r="H2971" s="5"/>
      <c r="I2971" s="5"/>
      <c r="J2971" s="5"/>
      <c r="K2971" s="5"/>
      <c r="L2971" s="5"/>
      <c r="M2971" s="5"/>
      <c r="N2971" s="5"/>
      <c r="O2971" s="5"/>
      <c r="P2971" s="5"/>
      <c r="Q2971" s="5"/>
      <c r="AL2971" s="7" t="str">
        <f>HYPERLINK("http://dx.doi.org/10.1002/jwmg.869","http://dx.doi.org/10.1002/jwmg.869")</f>
        <v>http://dx.doi.org/10.1002/jwmg.869</v>
      </c>
      <c r="AM2971" s="5">
        <v>6</v>
      </c>
      <c r="AN2971" s="5">
        <v>6</v>
      </c>
      <c r="AO2971" s="5">
        <v>79</v>
      </c>
      <c r="AP2971" s="5">
        <v>4</v>
      </c>
      <c r="AQ2971" s="5">
        <v>591</v>
      </c>
      <c r="AR2971" s="5">
        <v>604</v>
      </c>
      <c r="AS2971" s="5" t="s">
        <v>16</v>
      </c>
      <c r="AT2971" s="5" t="s">
        <v>17748</v>
      </c>
      <c r="AU2971" s="5" t="s">
        <v>17749</v>
      </c>
      <c r="AV2971" s="5" t="s">
        <v>17751</v>
      </c>
    </row>
    <row r="2972" spans="1:48" ht="45" customHeight="1" x14ac:dyDescent="0.15">
      <c r="A2972" s="5" t="s">
        <v>17752</v>
      </c>
      <c r="B2972" s="5">
        <v>2014</v>
      </c>
      <c r="C2972" s="5" t="s">
        <v>17753</v>
      </c>
      <c r="D2972" s="5" t="s">
        <v>262</v>
      </c>
      <c r="E2972" s="5" t="s">
        <v>18453</v>
      </c>
      <c r="F2972" s="5" t="s">
        <v>17755</v>
      </c>
      <c r="G2972" s="5"/>
      <c r="H2972" s="5"/>
      <c r="I2972" s="5"/>
      <c r="J2972" s="5"/>
      <c r="K2972" s="5"/>
      <c r="L2972" s="5"/>
      <c r="M2972" s="5"/>
      <c r="N2972" s="5"/>
      <c r="O2972" s="5"/>
      <c r="P2972" s="5"/>
      <c r="Q2972" s="5"/>
      <c r="AL2972" s="7" t="str">
        <f>HYPERLINK("http://dx.doi.org/10.1111/oik.00865","http://dx.doi.org/10.1111/oik.00865")</f>
        <v>http://dx.doi.org/10.1111/oik.00865</v>
      </c>
      <c r="AM2972" s="5">
        <v>110</v>
      </c>
      <c r="AN2972" s="5">
        <v>117</v>
      </c>
      <c r="AO2972" s="5">
        <v>123</v>
      </c>
      <c r="AP2972" s="5">
        <v>10</v>
      </c>
      <c r="AQ2972" s="5">
        <v>1157</v>
      </c>
      <c r="AR2972" s="5">
        <v>1172</v>
      </c>
      <c r="AS2972" s="5" t="s">
        <v>16</v>
      </c>
      <c r="AT2972" s="5" t="s">
        <v>16</v>
      </c>
      <c r="AU2972" s="5" t="s">
        <v>17754</v>
      </c>
      <c r="AV2972" s="5" t="s">
        <v>17756</v>
      </c>
    </row>
    <row r="2973" spans="1:48" ht="45" customHeight="1" x14ac:dyDescent="0.15">
      <c r="A2973" s="5" t="s">
        <v>17757</v>
      </c>
      <c r="B2973" s="5">
        <v>2022</v>
      </c>
      <c r="C2973" s="5" t="s">
        <v>17758</v>
      </c>
      <c r="D2973" s="5" t="s">
        <v>44</v>
      </c>
      <c r="E2973" s="5" t="s">
        <v>18453</v>
      </c>
      <c r="F2973" s="5" t="s">
        <v>17761</v>
      </c>
      <c r="G2973" s="5"/>
      <c r="H2973" s="5"/>
      <c r="I2973" s="5"/>
      <c r="J2973" s="5"/>
      <c r="K2973" s="5"/>
      <c r="L2973" s="5"/>
      <c r="M2973" s="5"/>
      <c r="N2973" s="5"/>
      <c r="O2973" s="5"/>
      <c r="P2973" s="5"/>
      <c r="Q2973" s="5"/>
      <c r="AL2973" s="7" t="str">
        <f>HYPERLINK("http://dx.doi.org/10.3389/fevo.2022.851055","http://dx.doi.org/10.3389/fevo.2022.851055")</f>
        <v>http://dx.doi.org/10.3389/fevo.2022.851055</v>
      </c>
      <c r="AM2973" s="5">
        <v>0</v>
      </c>
      <c r="AN2973" s="5">
        <v>0</v>
      </c>
      <c r="AO2973" s="5">
        <v>10</v>
      </c>
      <c r="AP2973" s="5" t="s">
        <v>16</v>
      </c>
      <c r="AQ2973" s="5" t="s">
        <v>16</v>
      </c>
      <c r="AR2973" s="5" t="s">
        <v>16</v>
      </c>
      <c r="AS2973" s="5">
        <v>851055</v>
      </c>
      <c r="AT2973" s="5" t="s">
        <v>17759</v>
      </c>
      <c r="AU2973" s="5" t="s">
        <v>17760</v>
      </c>
      <c r="AV2973" s="5" t="s">
        <v>17762</v>
      </c>
    </row>
    <row r="2974" spans="1:48" ht="45" customHeight="1" x14ac:dyDescent="0.15">
      <c r="A2974" s="5" t="s">
        <v>17763</v>
      </c>
      <c r="B2974" s="5">
        <v>2016</v>
      </c>
      <c r="C2974" s="5" t="s">
        <v>17764</v>
      </c>
      <c r="D2974" s="5" t="s">
        <v>199</v>
      </c>
      <c r="E2974" s="5" t="s">
        <v>18453</v>
      </c>
      <c r="F2974" s="5" t="s">
        <v>17767</v>
      </c>
      <c r="G2974" s="5"/>
      <c r="H2974" s="5"/>
      <c r="I2974" s="5"/>
      <c r="J2974" s="5"/>
      <c r="K2974" s="5"/>
      <c r="L2974" s="5"/>
      <c r="M2974" s="5"/>
      <c r="N2974" s="5"/>
      <c r="O2974" s="5"/>
      <c r="P2974" s="5"/>
      <c r="Q2974" s="5"/>
      <c r="AL2974" s="7" t="str">
        <f>HYPERLINK("http://dx.doi.org/10.1016/j.ejsobi.2015.12.001","http://dx.doi.org/10.1016/j.ejsobi.2015.12.001")</f>
        <v>http://dx.doi.org/10.1016/j.ejsobi.2015.12.001</v>
      </c>
      <c r="AM2974" s="5">
        <v>17</v>
      </c>
      <c r="AN2974" s="5">
        <v>20</v>
      </c>
      <c r="AO2974" s="5">
        <v>72</v>
      </c>
      <c r="AP2974" s="5" t="s">
        <v>16</v>
      </c>
      <c r="AQ2974" s="5">
        <v>21</v>
      </c>
      <c r="AR2974" s="5">
        <v>26</v>
      </c>
      <c r="AS2974" s="5" t="s">
        <v>16</v>
      </c>
      <c r="AT2974" s="5" t="s">
        <v>17765</v>
      </c>
      <c r="AU2974" s="5" t="s">
        <v>17766</v>
      </c>
      <c r="AV2974" s="5" t="s">
        <v>17768</v>
      </c>
    </row>
    <row r="2975" spans="1:48" ht="45" customHeight="1" x14ac:dyDescent="0.15">
      <c r="A2975" s="5" t="s">
        <v>17769</v>
      </c>
      <c r="B2975" s="5">
        <v>2022</v>
      </c>
      <c r="C2975" s="5" t="s">
        <v>17770</v>
      </c>
      <c r="D2975" s="5" t="s">
        <v>1621</v>
      </c>
      <c r="E2975" s="5" t="s">
        <v>18453</v>
      </c>
      <c r="F2975" s="5" t="s">
        <v>17773</v>
      </c>
      <c r="G2975" s="5"/>
      <c r="H2975" s="5"/>
      <c r="I2975" s="5"/>
      <c r="J2975" s="5"/>
      <c r="K2975" s="5"/>
      <c r="L2975" s="5"/>
      <c r="M2975" s="5"/>
      <c r="N2975" s="5"/>
      <c r="O2975" s="5"/>
      <c r="P2975" s="5"/>
      <c r="Q2975" s="5"/>
      <c r="AL2975" s="7" t="str">
        <f>HYPERLINK("http://dx.doi.org/10.1093/conphys/coac006","http://dx.doi.org/10.1093/conphys/coac006")</f>
        <v>http://dx.doi.org/10.1093/conphys/coac006</v>
      </c>
      <c r="AM2975" s="5">
        <v>4</v>
      </c>
      <c r="AN2975" s="5">
        <v>4</v>
      </c>
      <c r="AO2975" s="5">
        <v>10</v>
      </c>
      <c r="AP2975" s="5">
        <v>1</v>
      </c>
      <c r="AQ2975" s="5" t="s">
        <v>16</v>
      </c>
      <c r="AR2975" s="5" t="s">
        <v>16</v>
      </c>
      <c r="AS2975" s="5" t="s">
        <v>17774</v>
      </c>
      <c r="AT2975" s="5" t="s">
        <v>17771</v>
      </c>
      <c r="AU2975" s="5" t="s">
        <v>17772</v>
      </c>
      <c r="AV2975" s="5" t="s">
        <v>17775</v>
      </c>
    </row>
    <row r="2976" spans="1:48" ht="45" customHeight="1" x14ac:dyDescent="0.15">
      <c r="A2976" s="5" t="s">
        <v>17776</v>
      </c>
      <c r="B2976" s="5">
        <v>2003</v>
      </c>
      <c r="C2976" s="5" t="s">
        <v>17777</v>
      </c>
      <c r="D2976" s="5" t="s">
        <v>295</v>
      </c>
      <c r="E2976" s="5" t="s">
        <v>18453</v>
      </c>
      <c r="F2976" s="5" t="s">
        <v>17780</v>
      </c>
      <c r="G2976" s="5"/>
      <c r="H2976" s="5"/>
      <c r="I2976" s="5"/>
      <c r="J2976" s="5"/>
      <c r="K2976" s="5"/>
      <c r="L2976" s="5"/>
      <c r="M2976" s="5"/>
      <c r="N2976" s="5"/>
      <c r="O2976" s="5"/>
      <c r="P2976" s="5"/>
      <c r="Q2976" s="5"/>
      <c r="AL2976" s="7" t="str">
        <f>HYPERLINK("http://dx.doi.org/10.1016/S0022-0981(02)00446-X","http://dx.doi.org/10.1016/S0022-0981(02)00446-X")</f>
        <v>http://dx.doi.org/10.1016/S0022-0981(02)00446-X</v>
      </c>
      <c r="AM2976" s="5">
        <v>8</v>
      </c>
      <c r="AN2976" s="5">
        <v>8</v>
      </c>
      <c r="AO2976" s="5">
        <v>282</v>
      </c>
      <c r="AP2976" s="5" t="s">
        <v>778</v>
      </c>
      <c r="AQ2976" s="5">
        <v>61</v>
      </c>
      <c r="AR2976" s="5">
        <v>66</v>
      </c>
      <c r="AS2976" s="5" t="s">
        <v>17781</v>
      </c>
      <c r="AT2976" s="5" t="s">
        <v>17778</v>
      </c>
      <c r="AU2976" s="5" t="s">
        <v>17779</v>
      </c>
      <c r="AV2976" s="5" t="s">
        <v>17782</v>
      </c>
    </row>
    <row r="2977" spans="1:48" ht="45" customHeight="1" x14ac:dyDescent="0.15">
      <c r="A2977" s="5" t="s">
        <v>17783</v>
      </c>
      <c r="B2977" s="5">
        <v>2023</v>
      </c>
      <c r="C2977" s="5" t="s">
        <v>17784</v>
      </c>
      <c r="D2977" s="5" t="s">
        <v>17</v>
      </c>
      <c r="E2977" s="5" t="s">
        <v>18453</v>
      </c>
      <c r="F2977" s="5" t="s">
        <v>17787</v>
      </c>
      <c r="G2977" s="5"/>
      <c r="H2977" s="5"/>
      <c r="I2977" s="5"/>
      <c r="J2977" s="5"/>
      <c r="K2977" s="5"/>
      <c r="L2977" s="5"/>
      <c r="M2977" s="5"/>
      <c r="N2977" s="5"/>
      <c r="O2977" s="5"/>
      <c r="P2977" s="5"/>
      <c r="Q2977" s="5"/>
      <c r="AL2977" s="7" t="str">
        <f>HYPERLINK("http://dx.doi.org/10.1111/fwb.14087","http://dx.doi.org/10.1111/fwb.14087")</f>
        <v>http://dx.doi.org/10.1111/fwb.14087</v>
      </c>
      <c r="AM2977" s="5">
        <v>0</v>
      </c>
      <c r="AN2977" s="5">
        <v>0</v>
      </c>
      <c r="AO2977" s="5">
        <v>68</v>
      </c>
      <c r="AP2977" s="5">
        <v>6</v>
      </c>
      <c r="AQ2977" s="5">
        <v>1079</v>
      </c>
      <c r="AR2977" s="5">
        <v>1091</v>
      </c>
      <c r="AS2977" s="5" t="s">
        <v>16</v>
      </c>
      <c r="AT2977" s="5" t="s">
        <v>17785</v>
      </c>
      <c r="AU2977" s="5" t="s">
        <v>17786</v>
      </c>
      <c r="AV2977" s="5" t="s">
        <v>17788</v>
      </c>
    </row>
    <row r="2978" spans="1:48" ht="45" customHeight="1" x14ac:dyDescent="0.15">
      <c r="A2978" s="5" t="s">
        <v>17789</v>
      </c>
      <c r="B2978" s="5">
        <v>2020</v>
      </c>
      <c r="C2978" s="5" t="s">
        <v>17790</v>
      </c>
      <c r="D2978" s="5" t="s">
        <v>1758</v>
      </c>
      <c r="E2978" s="5" t="s">
        <v>18453</v>
      </c>
      <c r="F2978" s="5" t="s">
        <v>17793</v>
      </c>
      <c r="G2978" s="5"/>
      <c r="H2978" s="5"/>
      <c r="I2978" s="5"/>
      <c r="J2978" s="5"/>
      <c r="K2978" s="5"/>
      <c r="L2978" s="5"/>
      <c r="M2978" s="5"/>
      <c r="N2978" s="5"/>
      <c r="O2978" s="5"/>
      <c r="P2978" s="5"/>
      <c r="Q2978" s="5"/>
      <c r="AL2978" s="7" t="str">
        <f>HYPERLINK("http://dx.doi.org/10.1007/s13157-020-01361-x","http://dx.doi.org/10.1007/s13157-020-01361-x")</f>
        <v>http://dx.doi.org/10.1007/s13157-020-01361-x</v>
      </c>
      <c r="AM2978" s="5">
        <v>4</v>
      </c>
      <c r="AN2978" s="5">
        <v>4</v>
      </c>
      <c r="AO2978" s="5">
        <v>40</v>
      </c>
      <c r="AP2978" s="5">
        <v>6</v>
      </c>
      <c r="AQ2978" s="5">
        <v>2443</v>
      </c>
      <c r="AR2978" s="5">
        <v>2459</v>
      </c>
      <c r="AS2978" s="5" t="s">
        <v>16</v>
      </c>
      <c r="AT2978" s="5" t="s">
        <v>17791</v>
      </c>
      <c r="AU2978" s="5" t="s">
        <v>17792</v>
      </c>
      <c r="AV2978" s="5" t="s">
        <v>17794</v>
      </c>
    </row>
    <row r="2979" spans="1:48" ht="45" customHeight="1" x14ac:dyDescent="0.15">
      <c r="A2979" s="5" t="s">
        <v>17795</v>
      </c>
      <c r="B2979" s="5">
        <v>2021</v>
      </c>
      <c r="C2979" s="5" t="s">
        <v>17796</v>
      </c>
      <c r="D2979" s="5" t="s">
        <v>973</v>
      </c>
      <c r="E2979" s="5" t="s">
        <v>18453</v>
      </c>
      <c r="F2979" s="5" t="s">
        <v>17798</v>
      </c>
      <c r="G2979" s="5"/>
      <c r="H2979" s="5"/>
      <c r="I2979" s="5"/>
      <c r="J2979" s="5"/>
      <c r="K2979" s="5"/>
      <c r="L2979" s="5"/>
      <c r="M2979" s="5"/>
      <c r="N2979" s="5"/>
      <c r="O2979" s="5"/>
      <c r="P2979" s="5"/>
      <c r="Q2979" s="5"/>
      <c r="AL2979" s="7" t="str">
        <f>HYPERLINK("http://dx.doi.org/10.5194/bg-18-5363-2021","http://dx.doi.org/10.5194/bg-18-5363-2021")</f>
        <v>http://dx.doi.org/10.5194/bg-18-5363-2021</v>
      </c>
      <c r="AM2979" s="5">
        <v>3</v>
      </c>
      <c r="AN2979" s="5">
        <v>3</v>
      </c>
      <c r="AO2979" s="5">
        <v>18</v>
      </c>
      <c r="AP2979" s="5">
        <v>19</v>
      </c>
      <c r="AQ2979" s="5">
        <v>5363</v>
      </c>
      <c r="AR2979" s="5">
        <v>5380</v>
      </c>
      <c r="AS2979" s="5" t="s">
        <v>16</v>
      </c>
      <c r="AT2979" s="5" t="s">
        <v>16</v>
      </c>
      <c r="AU2979" s="5" t="s">
        <v>17797</v>
      </c>
      <c r="AV2979" s="5" t="s">
        <v>17799</v>
      </c>
    </row>
    <row r="2980" spans="1:48" ht="45" customHeight="1" x14ac:dyDescent="0.15">
      <c r="A2980" s="5" t="s">
        <v>17800</v>
      </c>
      <c r="B2980" s="5">
        <v>2020</v>
      </c>
      <c r="C2980" s="5" t="s">
        <v>17801</v>
      </c>
      <c r="D2980" s="5" t="s">
        <v>1765</v>
      </c>
      <c r="E2980" s="5" t="s">
        <v>18453</v>
      </c>
      <c r="F2980" s="5" t="s">
        <v>17804</v>
      </c>
      <c r="G2980" s="5"/>
      <c r="H2980" s="5"/>
      <c r="I2980" s="5"/>
      <c r="J2980" s="5"/>
      <c r="K2980" s="5"/>
      <c r="L2980" s="5"/>
      <c r="M2980" s="5"/>
      <c r="N2980" s="5"/>
      <c r="O2980" s="5"/>
      <c r="P2980" s="5"/>
      <c r="Q2980" s="5"/>
      <c r="AL2980" s="7" t="str">
        <f>HYPERLINK("http://dx.doi.org/10.1016/j.agee.2020.106935","http://dx.doi.org/10.1016/j.agee.2020.106935")</f>
        <v>http://dx.doi.org/10.1016/j.agee.2020.106935</v>
      </c>
      <c r="AM2980" s="5">
        <v>20</v>
      </c>
      <c r="AN2980" s="5">
        <v>21</v>
      </c>
      <c r="AO2980" s="5">
        <v>297</v>
      </c>
      <c r="AP2980" s="5" t="s">
        <v>16</v>
      </c>
      <c r="AQ2980" s="5" t="s">
        <v>16</v>
      </c>
      <c r="AR2980" s="5" t="s">
        <v>16</v>
      </c>
      <c r="AS2980" s="5">
        <v>106935</v>
      </c>
      <c r="AT2980" s="5" t="s">
        <v>17802</v>
      </c>
      <c r="AU2980" s="5" t="s">
        <v>17803</v>
      </c>
      <c r="AV2980" s="5" t="s">
        <v>17805</v>
      </c>
    </row>
    <row r="2981" spans="1:48" ht="45" customHeight="1" x14ac:dyDescent="0.15">
      <c r="A2981" s="5" t="s">
        <v>17806</v>
      </c>
      <c r="B2981" s="5">
        <v>2009</v>
      </c>
      <c r="C2981" s="5" t="s">
        <v>17807</v>
      </c>
      <c r="D2981" s="5" t="s">
        <v>295</v>
      </c>
      <c r="E2981" s="5" t="s">
        <v>18453</v>
      </c>
      <c r="F2981" s="5" t="s">
        <v>17810</v>
      </c>
      <c r="G2981" s="5"/>
      <c r="H2981" s="5"/>
      <c r="I2981" s="5"/>
      <c r="J2981" s="5"/>
      <c r="K2981" s="5"/>
      <c r="L2981" s="5"/>
      <c r="M2981" s="5"/>
      <c r="N2981" s="5"/>
      <c r="O2981" s="5"/>
      <c r="P2981" s="5"/>
      <c r="Q2981" s="5"/>
      <c r="AL2981" s="7" t="str">
        <f>HYPERLINK("http://dx.doi.org/10.1016/j.jembe.2009.02.013","http://dx.doi.org/10.1016/j.jembe.2009.02.013")</f>
        <v>http://dx.doi.org/10.1016/j.jembe.2009.02.013</v>
      </c>
      <c r="AM2981" s="5">
        <v>36</v>
      </c>
      <c r="AN2981" s="5">
        <v>42</v>
      </c>
      <c r="AO2981" s="5">
        <v>372</v>
      </c>
      <c r="AP2981" s="5" t="s">
        <v>778</v>
      </c>
      <c r="AQ2981" s="5">
        <v>98</v>
      </c>
      <c r="AR2981" s="5">
        <v>105</v>
      </c>
      <c r="AS2981" s="5" t="s">
        <v>16</v>
      </c>
      <c r="AT2981" s="5" t="s">
        <v>17808</v>
      </c>
      <c r="AU2981" s="5" t="s">
        <v>17809</v>
      </c>
      <c r="AV2981" s="5" t="s">
        <v>17811</v>
      </c>
    </row>
    <row r="2982" spans="1:48" ht="45" customHeight="1" x14ac:dyDescent="0.15">
      <c r="A2982" s="5" t="s">
        <v>17812</v>
      </c>
      <c r="B2982" s="5">
        <v>2014</v>
      </c>
      <c r="C2982" s="5" t="s">
        <v>17813</v>
      </c>
      <c r="D2982" s="5" t="s">
        <v>49</v>
      </c>
      <c r="E2982" s="5" t="s">
        <v>18453</v>
      </c>
      <c r="F2982" s="5" t="s">
        <v>17816</v>
      </c>
      <c r="G2982" s="5"/>
      <c r="H2982" s="5"/>
      <c r="I2982" s="5"/>
      <c r="J2982" s="5"/>
      <c r="K2982" s="5"/>
      <c r="L2982" s="5"/>
      <c r="M2982" s="5"/>
      <c r="N2982" s="5"/>
      <c r="O2982" s="5"/>
      <c r="P2982" s="5"/>
      <c r="Q2982" s="5"/>
      <c r="AL2982" s="7" t="str">
        <f>HYPERLINK("http://dx.doi.org/10.3354/meps10686","http://dx.doi.org/10.3354/meps10686")</f>
        <v>http://dx.doi.org/10.3354/meps10686</v>
      </c>
      <c r="AM2982" s="5">
        <v>20</v>
      </c>
      <c r="AN2982" s="5">
        <v>20</v>
      </c>
      <c r="AO2982" s="5">
        <v>500</v>
      </c>
      <c r="AP2982" s="5" t="s">
        <v>16</v>
      </c>
      <c r="AQ2982" s="5">
        <v>43</v>
      </c>
      <c r="AR2982" s="5" t="s">
        <v>17817</v>
      </c>
      <c r="AS2982" s="5" t="s">
        <v>16</v>
      </c>
      <c r="AT2982" s="5" t="s">
        <v>17814</v>
      </c>
      <c r="AU2982" s="5" t="s">
        <v>17815</v>
      </c>
      <c r="AV2982" s="5" t="s">
        <v>17818</v>
      </c>
    </row>
    <row r="2983" spans="1:48" ht="45" customHeight="1" x14ac:dyDescent="0.15">
      <c r="A2983" s="5" t="s">
        <v>17819</v>
      </c>
      <c r="B2983" s="5">
        <v>2023</v>
      </c>
      <c r="C2983" s="5" t="s">
        <v>17820</v>
      </c>
      <c r="D2983" s="5" t="s">
        <v>6309</v>
      </c>
      <c r="E2983" s="5" t="s">
        <v>18453</v>
      </c>
      <c r="F2983" s="5" t="s">
        <v>17823</v>
      </c>
      <c r="G2983" s="5"/>
      <c r="H2983" s="5"/>
      <c r="I2983" s="5"/>
      <c r="J2983" s="5"/>
      <c r="K2983" s="5"/>
      <c r="L2983" s="5"/>
      <c r="M2983" s="5"/>
      <c r="N2983" s="5"/>
      <c r="O2983" s="5"/>
      <c r="P2983" s="5"/>
      <c r="Q2983" s="5"/>
      <c r="AL2983" s="7" t="str">
        <f>HYPERLINK("http://dx.doi.org/10.1007/s11252-023-01347-7","http://dx.doi.org/10.1007/s11252-023-01347-7")</f>
        <v>http://dx.doi.org/10.1007/s11252-023-01347-7</v>
      </c>
      <c r="AM2983" s="5">
        <v>0</v>
      </c>
      <c r="AN2983" s="5">
        <v>0</v>
      </c>
      <c r="AO2983" s="5">
        <v>26</v>
      </c>
      <c r="AP2983" s="5">
        <v>2</v>
      </c>
      <c r="AQ2983" s="5">
        <v>411</v>
      </c>
      <c r="AR2983" s="5">
        <v>424</v>
      </c>
      <c r="AS2983" s="5" t="s">
        <v>16</v>
      </c>
      <c r="AT2983" s="5" t="s">
        <v>17821</v>
      </c>
      <c r="AU2983" s="5" t="s">
        <v>17822</v>
      </c>
      <c r="AV2983" s="5" t="s">
        <v>17824</v>
      </c>
    </row>
    <row r="2984" spans="1:48" ht="45" customHeight="1" x14ac:dyDescent="0.15">
      <c r="A2984" s="5" t="s">
        <v>17825</v>
      </c>
      <c r="B2984" s="5">
        <v>2020</v>
      </c>
      <c r="C2984" s="5" t="s">
        <v>17826</v>
      </c>
      <c r="D2984" s="5" t="s">
        <v>15</v>
      </c>
      <c r="E2984" s="5" t="s">
        <v>18453</v>
      </c>
      <c r="F2984" s="5" t="s">
        <v>17829</v>
      </c>
      <c r="G2984" s="5"/>
      <c r="H2984" s="5"/>
      <c r="I2984" s="5"/>
      <c r="J2984" s="5"/>
      <c r="K2984" s="5"/>
      <c r="L2984" s="5"/>
      <c r="M2984" s="5"/>
      <c r="N2984" s="5"/>
      <c r="O2984" s="5"/>
      <c r="P2984" s="5"/>
      <c r="Q2984" s="5"/>
      <c r="AL2984" s="7" t="str">
        <f>HYPERLINK("http://dx.doi.org/10.1002/ece3.6580","http://dx.doi.org/10.1002/ece3.6580")</f>
        <v>http://dx.doi.org/10.1002/ece3.6580</v>
      </c>
      <c r="AM2984" s="5">
        <v>7</v>
      </c>
      <c r="AN2984" s="5">
        <v>7</v>
      </c>
      <c r="AO2984" s="5">
        <v>10</v>
      </c>
      <c r="AP2984" s="5">
        <v>16</v>
      </c>
      <c r="AQ2984" s="5">
        <v>8815</v>
      </c>
      <c r="AR2984" s="5">
        <v>8826</v>
      </c>
      <c r="AS2984" s="5" t="s">
        <v>16</v>
      </c>
      <c r="AT2984" s="5" t="s">
        <v>17827</v>
      </c>
      <c r="AU2984" s="5" t="s">
        <v>17828</v>
      </c>
      <c r="AV2984" s="5" t="s">
        <v>17830</v>
      </c>
    </row>
    <row r="2985" spans="1:48" ht="45" customHeight="1" x14ac:dyDescent="0.15">
      <c r="A2985" s="5" t="s">
        <v>17831</v>
      </c>
      <c r="B2985" s="5">
        <v>2018</v>
      </c>
      <c r="C2985" s="5" t="s">
        <v>17832</v>
      </c>
      <c r="D2985" s="5" t="s">
        <v>17833</v>
      </c>
      <c r="E2985" s="5" t="s">
        <v>18453</v>
      </c>
      <c r="F2985" s="5" t="s">
        <v>17836</v>
      </c>
      <c r="G2985" s="5"/>
      <c r="H2985" s="5"/>
      <c r="I2985" s="5"/>
      <c r="J2985" s="5"/>
      <c r="K2985" s="5"/>
      <c r="L2985" s="5"/>
      <c r="M2985" s="5"/>
      <c r="N2985" s="5"/>
      <c r="O2985" s="5"/>
      <c r="P2985" s="5"/>
      <c r="Q2985" s="5"/>
      <c r="AL2985" s="7" t="str">
        <f>HYPERLINK("http://dx.doi.org/10.2489/jswc.73.5.493","http://dx.doi.org/10.2489/jswc.73.5.493")</f>
        <v>http://dx.doi.org/10.2489/jswc.73.5.493</v>
      </c>
      <c r="AM2985" s="5">
        <v>9</v>
      </c>
      <c r="AN2985" s="5">
        <v>9</v>
      </c>
      <c r="AO2985" s="5">
        <v>73</v>
      </c>
      <c r="AP2985" s="5">
        <v>5</v>
      </c>
      <c r="AQ2985" s="5">
        <v>493</v>
      </c>
      <c r="AR2985" s="5">
        <v>503</v>
      </c>
      <c r="AS2985" s="5" t="s">
        <v>16</v>
      </c>
      <c r="AT2985" s="5" t="s">
        <v>17834</v>
      </c>
      <c r="AU2985" s="5" t="s">
        <v>17835</v>
      </c>
      <c r="AV2985" s="5" t="s">
        <v>17837</v>
      </c>
    </row>
    <row r="2986" spans="1:48" ht="45" customHeight="1" x14ac:dyDescent="0.15">
      <c r="A2986" s="5" t="s">
        <v>17838</v>
      </c>
      <c r="B2986" s="5">
        <v>2023</v>
      </c>
      <c r="C2986" s="5" t="s">
        <v>17839</v>
      </c>
      <c r="D2986" s="5" t="s">
        <v>15</v>
      </c>
      <c r="E2986" s="5" t="s">
        <v>18453</v>
      </c>
      <c r="F2986" s="5" t="s">
        <v>17842</v>
      </c>
      <c r="G2986" s="5"/>
      <c r="H2986" s="5"/>
      <c r="I2986" s="5"/>
      <c r="J2986" s="5"/>
      <c r="K2986" s="5"/>
      <c r="L2986" s="5"/>
      <c r="M2986" s="5"/>
      <c r="N2986" s="5"/>
      <c r="O2986" s="5"/>
      <c r="P2986" s="5"/>
      <c r="Q2986" s="5"/>
      <c r="AL2986" s="7" t="str">
        <f>HYPERLINK("http://dx.doi.org/10.1002/ece3.9760","http://dx.doi.org/10.1002/ece3.9760")</f>
        <v>http://dx.doi.org/10.1002/ece3.9760</v>
      </c>
      <c r="AM2986" s="5">
        <v>0</v>
      </c>
      <c r="AN2986" s="5">
        <v>0</v>
      </c>
      <c r="AO2986" s="5">
        <v>13</v>
      </c>
      <c r="AP2986" s="5">
        <v>2</v>
      </c>
      <c r="AQ2986" s="5" t="s">
        <v>16</v>
      </c>
      <c r="AR2986" s="5" t="s">
        <v>16</v>
      </c>
      <c r="AS2986" s="5" t="s">
        <v>17843</v>
      </c>
      <c r="AT2986" s="5" t="s">
        <v>17840</v>
      </c>
      <c r="AU2986" s="5" t="s">
        <v>17841</v>
      </c>
      <c r="AV2986" s="5" t="s">
        <v>17844</v>
      </c>
    </row>
    <row r="2987" spans="1:48" ht="45" customHeight="1" x14ac:dyDescent="0.15">
      <c r="A2987" s="5" t="s">
        <v>17845</v>
      </c>
      <c r="B2987" s="5">
        <v>2015</v>
      </c>
      <c r="C2987" s="5" t="s">
        <v>17846</v>
      </c>
      <c r="D2987" s="5" t="s">
        <v>973</v>
      </c>
      <c r="E2987" s="5" t="s">
        <v>18453</v>
      </c>
      <c r="F2987" s="5" t="s">
        <v>17848</v>
      </c>
      <c r="G2987" s="5"/>
      <c r="H2987" s="5"/>
      <c r="I2987" s="5"/>
      <c r="J2987" s="5"/>
      <c r="K2987" s="5"/>
      <c r="L2987" s="5"/>
      <c r="M2987" s="5"/>
      <c r="N2987" s="5"/>
      <c r="O2987" s="5"/>
      <c r="P2987" s="5"/>
      <c r="Q2987" s="5"/>
      <c r="AL2987" s="7" t="str">
        <f>HYPERLINK("http://dx.doi.org/10.5194/bg-12-5995-2015","http://dx.doi.org/10.5194/bg-12-5995-2015")</f>
        <v>http://dx.doi.org/10.5194/bg-12-5995-2015</v>
      </c>
      <c r="AM2987" s="5">
        <v>104</v>
      </c>
      <c r="AN2987" s="5">
        <v>110</v>
      </c>
      <c r="AO2987" s="5">
        <v>12</v>
      </c>
      <c r="AP2987" s="5">
        <v>20</v>
      </c>
      <c r="AQ2987" s="5">
        <v>5995</v>
      </c>
      <c r="AR2987" s="5">
        <v>6015</v>
      </c>
      <c r="AS2987" s="5" t="s">
        <v>16</v>
      </c>
      <c r="AT2987" s="5" t="s">
        <v>16</v>
      </c>
      <c r="AU2987" s="5" t="s">
        <v>17847</v>
      </c>
      <c r="AV2987" s="5" t="s">
        <v>17849</v>
      </c>
    </row>
    <row r="2988" spans="1:48" ht="45" customHeight="1" x14ac:dyDescent="0.15">
      <c r="A2988" s="5" t="s">
        <v>17850</v>
      </c>
      <c r="B2988" s="5">
        <v>2021</v>
      </c>
      <c r="C2988" s="5" t="s">
        <v>17851</v>
      </c>
      <c r="D2988" s="5" t="s">
        <v>1257</v>
      </c>
      <c r="E2988" s="5" t="s">
        <v>18453</v>
      </c>
      <c r="F2988" s="5" t="s">
        <v>17854</v>
      </c>
      <c r="G2988" s="5"/>
      <c r="H2988" s="5"/>
      <c r="I2988" s="5"/>
      <c r="J2988" s="5"/>
      <c r="K2988" s="5"/>
      <c r="L2988" s="5"/>
      <c r="M2988" s="5"/>
      <c r="N2988" s="5"/>
      <c r="O2988" s="5"/>
      <c r="P2988" s="5"/>
      <c r="Q2988" s="5"/>
      <c r="AL2988" s="7" t="str">
        <f>HYPERLINK("http://dx.doi.org/10.3389/ffgc.2021.765896","http://dx.doi.org/10.3389/ffgc.2021.765896")</f>
        <v>http://dx.doi.org/10.3389/ffgc.2021.765896</v>
      </c>
      <c r="AM2988" s="5">
        <v>0</v>
      </c>
      <c r="AN2988" s="5">
        <v>1</v>
      </c>
      <c r="AO2988" s="5">
        <v>4</v>
      </c>
      <c r="AP2988" s="5" t="s">
        <v>16</v>
      </c>
      <c r="AQ2988" s="5" t="s">
        <v>16</v>
      </c>
      <c r="AR2988" s="5" t="s">
        <v>16</v>
      </c>
      <c r="AS2988" s="5">
        <v>765896</v>
      </c>
      <c r="AT2988" s="5" t="s">
        <v>17852</v>
      </c>
      <c r="AU2988" s="5" t="s">
        <v>17853</v>
      </c>
      <c r="AV2988" s="5" t="s">
        <v>17855</v>
      </c>
    </row>
    <row r="2989" spans="1:48" ht="45" customHeight="1" x14ac:dyDescent="0.15">
      <c r="A2989" s="5" t="s">
        <v>17856</v>
      </c>
      <c r="B2989" s="5">
        <v>2020</v>
      </c>
      <c r="C2989" s="5" t="s">
        <v>17857</v>
      </c>
      <c r="D2989" s="5" t="s">
        <v>2755</v>
      </c>
      <c r="E2989" s="5" t="s">
        <v>18453</v>
      </c>
      <c r="F2989" s="5" t="s">
        <v>17859</v>
      </c>
      <c r="G2989" s="5"/>
      <c r="H2989" s="5"/>
      <c r="I2989" s="5"/>
      <c r="J2989" s="5"/>
      <c r="K2989" s="5"/>
      <c r="L2989" s="5"/>
      <c r="M2989" s="5"/>
      <c r="N2989" s="5"/>
      <c r="O2989" s="5"/>
      <c r="P2989" s="5"/>
      <c r="Q2989" s="5"/>
      <c r="AL2989" s="7" t="str">
        <f>HYPERLINK("http://dx.doi.org/10.1038/s41437-019-0240-0","http://dx.doi.org/10.1038/s41437-019-0240-0")</f>
        <v>http://dx.doi.org/10.1038/s41437-019-0240-0</v>
      </c>
      <c r="AM2989" s="5">
        <v>18</v>
      </c>
      <c r="AN2989" s="5">
        <v>18</v>
      </c>
      <c r="AO2989" s="5">
        <v>124</v>
      </c>
      <c r="AP2989" s="5">
        <v>1</v>
      </c>
      <c r="AQ2989" s="5">
        <v>77</v>
      </c>
      <c r="AR2989" s="5">
        <v>92</v>
      </c>
      <c r="AS2989" s="5" t="s">
        <v>16</v>
      </c>
      <c r="AT2989" s="5" t="s">
        <v>16</v>
      </c>
      <c r="AU2989" s="5" t="s">
        <v>17858</v>
      </c>
      <c r="AV2989" s="5" t="s">
        <v>17860</v>
      </c>
    </row>
    <row r="2990" spans="1:48" ht="45" customHeight="1" x14ac:dyDescent="0.15">
      <c r="A2990" s="5" t="s">
        <v>17861</v>
      </c>
      <c r="B2990" s="5">
        <v>2001</v>
      </c>
      <c r="C2990" s="5" t="s">
        <v>17862</v>
      </c>
      <c r="D2990" s="5" t="s">
        <v>49</v>
      </c>
      <c r="E2990" s="5" t="s">
        <v>18453</v>
      </c>
      <c r="F2990" s="5" t="s">
        <v>17865</v>
      </c>
      <c r="G2990" s="5"/>
      <c r="H2990" s="5"/>
      <c r="I2990" s="5"/>
      <c r="J2990" s="5"/>
      <c r="K2990" s="5"/>
      <c r="L2990" s="5"/>
      <c r="M2990" s="5"/>
      <c r="N2990" s="5"/>
      <c r="O2990" s="5"/>
      <c r="P2990" s="5"/>
      <c r="Q2990" s="5"/>
      <c r="AL2990" s="7" t="str">
        <f>HYPERLINK("http://dx.doi.org/10.3354/meps220103","http://dx.doi.org/10.3354/meps220103")</f>
        <v>http://dx.doi.org/10.3354/meps220103</v>
      </c>
      <c r="AM2990" s="5">
        <v>253</v>
      </c>
      <c r="AN2990" s="5">
        <v>264</v>
      </c>
      <c r="AO2990" s="5">
        <v>220</v>
      </c>
      <c r="AP2990" s="5" t="s">
        <v>16</v>
      </c>
      <c r="AQ2990" s="5">
        <v>103</v>
      </c>
      <c r="AR2990" s="5">
        <v>117</v>
      </c>
      <c r="AS2990" s="5" t="s">
        <v>16</v>
      </c>
      <c r="AT2990" s="5" t="s">
        <v>17863</v>
      </c>
      <c r="AU2990" s="5" t="s">
        <v>17864</v>
      </c>
      <c r="AV2990" s="5" t="s">
        <v>17866</v>
      </c>
    </row>
    <row r="2991" spans="1:48" ht="45" customHeight="1" x14ac:dyDescent="0.15">
      <c r="A2991" s="5" t="s">
        <v>17867</v>
      </c>
      <c r="B2991" s="5">
        <v>2011</v>
      </c>
      <c r="C2991" s="5" t="s">
        <v>17868</v>
      </c>
      <c r="D2991" s="5" t="s">
        <v>172</v>
      </c>
      <c r="E2991" s="5" t="s">
        <v>18453</v>
      </c>
      <c r="F2991" s="5" t="s">
        <v>17871</v>
      </c>
      <c r="G2991" s="5"/>
      <c r="H2991" s="5"/>
      <c r="I2991" s="5"/>
      <c r="J2991" s="5"/>
      <c r="K2991" s="5"/>
      <c r="L2991" s="5"/>
      <c r="M2991" s="5"/>
      <c r="N2991" s="5"/>
      <c r="O2991" s="5"/>
      <c r="P2991" s="5"/>
      <c r="Q2991" s="5"/>
      <c r="AL2991" s="7" t="str">
        <f>HYPERLINK("http://dx.doi.org/10.1007/s00442-011-2010-4","http://dx.doi.org/10.1007/s00442-011-2010-4")</f>
        <v>http://dx.doi.org/10.1007/s00442-011-2010-4</v>
      </c>
      <c r="AM2991" s="5">
        <v>78</v>
      </c>
      <c r="AN2991" s="5">
        <v>79</v>
      </c>
      <c r="AO2991" s="5">
        <v>167</v>
      </c>
      <c r="AP2991" s="5">
        <v>2</v>
      </c>
      <c r="AQ2991" s="5">
        <v>573</v>
      </c>
      <c r="AR2991" s="5">
        <v>585</v>
      </c>
      <c r="AS2991" s="5" t="s">
        <v>16</v>
      </c>
      <c r="AT2991" s="5" t="s">
        <v>17869</v>
      </c>
      <c r="AU2991" s="5" t="s">
        <v>17870</v>
      </c>
      <c r="AV2991" s="5" t="s">
        <v>17872</v>
      </c>
    </row>
    <row r="2992" spans="1:48" ht="45" customHeight="1" x14ac:dyDescent="0.15">
      <c r="A2992" s="5" t="s">
        <v>17873</v>
      </c>
      <c r="B2992" s="5">
        <v>2018</v>
      </c>
      <c r="C2992" s="5" t="s">
        <v>17874</v>
      </c>
      <c r="D2992" s="5" t="s">
        <v>49</v>
      </c>
      <c r="E2992" s="5" t="s">
        <v>18453</v>
      </c>
      <c r="F2992" s="5" t="s">
        <v>17877</v>
      </c>
      <c r="G2992" s="5"/>
      <c r="H2992" s="5"/>
      <c r="I2992" s="5"/>
      <c r="J2992" s="5"/>
      <c r="K2992" s="5"/>
      <c r="L2992" s="5"/>
      <c r="M2992" s="5"/>
      <c r="N2992" s="5"/>
      <c r="O2992" s="5"/>
      <c r="P2992" s="5"/>
      <c r="Q2992" s="5"/>
      <c r="AL2992" s="7" t="str">
        <f>HYPERLINK("http://dx.doi.org/10.3354/meps12667","http://dx.doi.org/10.3354/meps12667")</f>
        <v>http://dx.doi.org/10.3354/meps12667</v>
      </c>
      <c r="AM2992" s="5">
        <v>24</v>
      </c>
      <c r="AN2992" s="5">
        <v>24</v>
      </c>
      <c r="AO2992" s="5">
        <v>601</v>
      </c>
      <c r="AP2992" s="5" t="s">
        <v>16</v>
      </c>
      <c r="AQ2992" s="5">
        <v>167</v>
      </c>
      <c r="AR2992" s="5">
        <v>183</v>
      </c>
      <c r="AS2992" s="5" t="s">
        <v>16</v>
      </c>
      <c r="AT2992" s="5" t="s">
        <v>17875</v>
      </c>
      <c r="AU2992" s="5" t="s">
        <v>17876</v>
      </c>
      <c r="AV2992" s="5" t="s">
        <v>17878</v>
      </c>
    </row>
    <row r="2993" spans="1:48" ht="45" customHeight="1" x14ac:dyDescent="0.15">
      <c r="A2993" s="5" t="s">
        <v>17879</v>
      </c>
      <c r="B2993" s="5">
        <v>2006</v>
      </c>
      <c r="C2993" s="5" t="s">
        <v>17880</v>
      </c>
      <c r="D2993" s="5" t="s">
        <v>13092</v>
      </c>
      <c r="E2993" s="5" t="s">
        <v>18453</v>
      </c>
      <c r="F2993" s="5" t="s">
        <v>17883</v>
      </c>
      <c r="G2993" s="5"/>
      <c r="H2993" s="5"/>
      <c r="I2993" s="5"/>
      <c r="J2993" s="5"/>
      <c r="K2993" s="5"/>
      <c r="L2993" s="5"/>
      <c r="M2993" s="5"/>
      <c r="N2993" s="5"/>
      <c r="O2993" s="5"/>
      <c r="P2993" s="5"/>
      <c r="Q2993" s="5"/>
      <c r="AL2993" s="7" t="str">
        <f>HYPERLINK("http://dx.doi.org/10.1007/s10682-005-2489-4","http://dx.doi.org/10.1007/s10682-005-2489-4")</f>
        <v>http://dx.doi.org/10.1007/s10682-005-2489-4</v>
      </c>
      <c r="AM2993" s="5">
        <v>33</v>
      </c>
      <c r="AN2993" s="5">
        <v>35</v>
      </c>
      <c r="AO2993" s="5">
        <v>20</v>
      </c>
      <c r="AP2993" s="5">
        <v>1</v>
      </c>
      <c r="AQ2993" s="5">
        <v>11</v>
      </c>
      <c r="AR2993" s="5">
        <v>26</v>
      </c>
      <c r="AS2993" s="5" t="s">
        <v>16</v>
      </c>
      <c r="AT2993" s="5" t="s">
        <v>17881</v>
      </c>
      <c r="AU2993" s="5" t="s">
        <v>17882</v>
      </c>
      <c r="AV2993" s="5" t="s">
        <v>17884</v>
      </c>
    </row>
    <row r="2994" spans="1:48" ht="45" customHeight="1" x14ac:dyDescent="0.15">
      <c r="A2994" s="5" t="s">
        <v>17885</v>
      </c>
      <c r="B2994" s="5">
        <v>2006</v>
      </c>
      <c r="C2994" s="5" t="s">
        <v>17886</v>
      </c>
      <c r="D2994" s="5" t="s">
        <v>82</v>
      </c>
      <c r="E2994" s="5" t="s">
        <v>18453</v>
      </c>
      <c r="F2994" s="5" t="s">
        <v>17889</v>
      </c>
      <c r="G2994" s="5"/>
      <c r="H2994" s="5"/>
      <c r="I2994" s="5"/>
      <c r="J2994" s="5"/>
      <c r="K2994" s="5"/>
      <c r="L2994" s="5"/>
      <c r="M2994" s="5"/>
      <c r="N2994" s="5"/>
      <c r="O2994" s="5"/>
      <c r="P2994" s="5"/>
      <c r="Q2994" s="5"/>
      <c r="AL2994" s="7" t="str">
        <f>HYPERLINK("http://dx.doi.org/10.1890/1051-0761(2006)016[2333:IRPISU]2.0.CO;2","http://dx.doi.org/10.1890/1051-0761(2006)016[2333:IRPISU]2.0.CO;2")</f>
        <v>http://dx.doi.org/10.1890/1051-0761(2006)016[2333:IRPISU]2.0.CO;2</v>
      </c>
      <c r="AM2994" s="5">
        <v>78</v>
      </c>
      <c r="AN2994" s="5">
        <v>79</v>
      </c>
      <c r="AO2994" s="5">
        <v>16</v>
      </c>
      <c r="AP2994" s="5">
        <v>6</v>
      </c>
      <c r="AQ2994" s="5">
        <v>2333</v>
      </c>
      <c r="AR2994" s="5">
        <v>2343</v>
      </c>
      <c r="AS2994" s="5" t="s">
        <v>16</v>
      </c>
      <c r="AT2994" s="5" t="s">
        <v>17887</v>
      </c>
      <c r="AU2994" s="5" t="s">
        <v>17888</v>
      </c>
      <c r="AV2994" s="5" t="s">
        <v>17890</v>
      </c>
    </row>
    <row r="2995" spans="1:48" ht="45" customHeight="1" x14ac:dyDescent="0.15">
      <c r="A2995" s="5" t="s">
        <v>17891</v>
      </c>
      <c r="B2995" s="5">
        <v>2013</v>
      </c>
      <c r="C2995" s="5" t="s">
        <v>17892</v>
      </c>
      <c r="D2995" s="5" t="s">
        <v>295</v>
      </c>
      <c r="E2995" s="5" t="s">
        <v>18453</v>
      </c>
      <c r="F2995" s="5" t="s">
        <v>17895</v>
      </c>
      <c r="G2995" s="5"/>
      <c r="H2995" s="5"/>
      <c r="I2995" s="5"/>
      <c r="J2995" s="5"/>
      <c r="K2995" s="5"/>
      <c r="L2995" s="5"/>
      <c r="M2995" s="5"/>
      <c r="N2995" s="5"/>
      <c r="O2995" s="5"/>
      <c r="P2995" s="5"/>
      <c r="Q2995" s="5"/>
      <c r="AL2995" s="7" t="str">
        <f>HYPERLINK("http://dx.doi.org/10.1016/j.jembe.2013.05.031","http://dx.doi.org/10.1016/j.jembe.2013.05.031")</f>
        <v>http://dx.doi.org/10.1016/j.jembe.2013.05.031</v>
      </c>
      <c r="AM2995" s="5">
        <v>9</v>
      </c>
      <c r="AN2995" s="5">
        <v>9</v>
      </c>
      <c r="AO2995" s="5">
        <v>446</v>
      </c>
      <c r="AP2995" s="5" t="s">
        <v>16</v>
      </c>
      <c r="AQ2995" s="5">
        <v>236</v>
      </c>
      <c r="AR2995" s="5">
        <v>244</v>
      </c>
      <c r="AS2995" s="5" t="s">
        <v>16</v>
      </c>
      <c r="AT2995" s="5" t="s">
        <v>17893</v>
      </c>
      <c r="AU2995" s="5" t="s">
        <v>17894</v>
      </c>
      <c r="AV2995" s="5" t="s">
        <v>17896</v>
      </c>
    </row>
    <row r="2996" spans="1:48" ht="45" customHeight="1" x14ac:dyDescent="0.15">
      <c r="A2996" s="5" t="s">
        <v>17897</v>
      </c>
      <c r="B2996" s="5">
        <v>2016</v>
      </c>
      <c r="C2996" s="5" t="s">
        <v>17898</v>
      </c>
      <c r="D2996" s="5" t="s">
        <v>782</v>
      </c>
      <c r="E2996" s="5" t="s">
        <v>18453</v>
      </c>
      <c r="F2996" s="5" t="s">
        <v>17901</v>
      </c>
      <c r="G2996" s="5"/>
      <c r="H2996" s="5"/>
      <c r="I2996" s="5"/>
      <c r="J2996" s="5"/>
      <c r="K2996" s="5"/>
      <c r="L2996" s="5"/>
      <c r="M2996" s="5"/>
      <c r="N2996" s="5"/>
      <c r="O2996" s="5"/>
      <c r="P2996" s="5"/>
      <c r="Q2996" s="5"/>
      <c r="AL2996" s="7" t="str">
        <f>HYPERLINK("http://dx.doi.org/10.1093/jpe/rtv079","http://dx.doi.org/10.1093/jpe/rtv079")</f>
        <v>http://dx.doi.org/10.1093/jpe/rtv079</v>
      </c>
      <c r="AM2996" s="5">
        <v>5</v>
      </c>
      <c r="AN2996" s="5">
        <v>5</v>
      </c>
      <c r="AO2996" s="5">
        <v>9</v>
      </c>
      <c r="AP2996" s="5">
        <v>5</v>
      </c>
      <c r="AQ2996" s="5">
        <v>596</v>
      </c>
      <c r="AR2996" s="5">
        <v>607</v>
      </c>
      <c r="AS2996" s="5" t="s">
        <v>16</v>
      </c>
      <c r="AT2996" s="5" t="s">
        <v>17899</v>
      </c>
      <c r="AU2996" s="5" t="s">
        <v>17900</v>
      </c>
      <c r="AV2996" s="5" t="s">
        <v>17902</v>
      </c>
    </row>
    <row r="2997" spans="1:48" ht="45" customHeight="1" x14ac:dyDescent="0.15">
      <c r="A2997" s="5" t="s">
        <v>17903</v>
      </c>
      <c r="B2997" s="5">
        <v>2021</v>
      </c>
      <c r="C2997" s="5" t="s">
        <v>17904</v>
      </c>
      <c r="D2997" s="5" t="s">
        <v>1765</v>
      </c>
      <c r="E2997" s="5" t="s">
        <v>18453</v>
      </c>
      <c r="F2997" s="5" t="s">
        <v>17906</v>
      </c>
      <c r="G2997" s="5"/>
      <c r="H2997" s="5"/>
      <c r="I2997" s="5"/>
      <c r="J2997" s="5"/>
      <c r="K2997" s="5"/>
      <c r="L2997" s="5"/>
      <c r="M2997" s="5"/>
      <c r="N2997" s="5"/>
      <c r="O2997" s="5"/>
      <c r="P2997" s="5"/>
      <c r="Q2997" s="5"/>
      <c r="AL2997" s="7" t="str">
        <f>HYPERLINK("http://dx.doi.org/10.1016/j.agee.2020.107226","http://dx.doi.org/10.1016/j.agee.2020.107226")</f>
        <v>http://dx.doi.org/10.1016/j.agee.2020.107226</v>
      </c>
      <c r="AM2997" s="5">
        <v>6</v>
      </c>
      <c r="AN2997" s="5">
        <v>6</v>
      </c>
      <c r="AO2997" s="5">
        <v>310</v>
      </c>
      <c r="AP2997" s="5" t="s">
        <v>16</v>
      </c>
      <c r="AQ2997" s="5" t="s">
        <v>16</v>
      </c>
      <c r="AR2997" s="5" t="s">
        <v>16</v>
      </c>
      <c r="AS2997" s="5">
        <v>107226</v>
      </c>
      <c r="AT2997" s="5" t="s">
        <v>17905</v>
      </c>
      <c r="AU2997" s="5" t="s">
        <v>16</v>
      </c>
      <c r="AV2997" s="5" t="s">
        <v>17907</v>
      </c>
    </row>
    <row r="2998" spans="1:48" ht="45" customHeight="1" x14ac:dyDescent="0.15">
      <c r="A2998" s="5" t="s">
        <v>17908</v>
      </c>
      <c r="B2998" s="5">
        <v>2020</v>
      </c>
      <c r="C2998" s="5" t="s">
        <v>17909</v>
      </c>
      <c r="D2998" s="5" t="s">
        <v>18</v>
      </c>
      <c r="E2998" s="5" t="s">
        <v>18453</v>
      </c>
      <c r="F2998" s="5" t="s">
        <v>17912</v>
      </c>
      <c r="G2998" s="5"/>
      <c r="H2998" s="5"/>
      <c r="I2998" s="5"/>
      <c r="J2998" s="5"/>
      <c r="K2998" s="5"/>
      <c r="L2998" s="5"/>
      <c r="M2998" s="5"/>
      <c r="N2998" s="5"/>
      <c r="O2998" s="5"/>
      <c r="P2998" s="5"/>
      <c r="Q2998" s="5"/>
      <c r="AL2998" s="7" t="str">
        <f>HYPERLINK("http://dx.doi.org/10.1002/ecs2.3234","http://dx.doi.org/10.1002/ecs2.3234")</f>
        <v>http://dx.doi.org/10.1002/ecs2.3234</v>
      </c>
      <c r="AM2998" s="5">
        <v>7</v>
      </c>
      <c r="AN2998" s="5">
        <v>7</v>
      </c>
      <c r="AO2998" s="5">
        <v>11</v>
      </c>
      <c r="AP2998" s="5">
        <v>8</v>
      </c>
      <c r="AQ2998" s="5" t="s">
        <v>16</v>
      </c>
      <c r="AR2998" s="5" t="s">
        <v>16</v>
      </c>
      <c r="AS2998" s="5" t="s">
        <v>17913</v>
      </c>
      <c r="AT2998" s="5" t="s">
        <v>17910</v>
      </c>
      <c r="AU2998" s="5" t="s">
        <v>17911</v>
      </c>
      <c r="AV2998" s="5" t="s">
        <v>17914</v>
      </c>
    </row>
    <row r="2999" spans="1:48" ht="45" customHeight="1" x14ac:dyDescent="0.15">
      <c r="A2999" s="5" t="s">
        <v>17915</v>
      </c>
      <c r="B2999" s="5">
        <v>2016</v>
      </c>
      <c r="C2999" s="5" t="s">
        <v>17916</v>
      </c>
      <c r="D2999" s="5" t="s">
        <v>2450</v>
      </c>
      <c r="E2999" s="5" t="s">
        <v>18453</v>
      </c>
      <c r="F2999" s="5" t="s">
        <v>17919</v>
      </c>
      <c r="G2999" s="5"/>
      <c r="H2999" s="5"/>
      <c r="I2999" s="5"/>
      <c r="J2999" s="5"/>
      <c r="K2999" s="5"/>
      <c r="L2999" s="5"/>
      <c r="M2999" s="5"/>
      <c r="N2999" s="5"/>
      <c r="O2999" s="5"/>
      <c r="P2999" s="5"/>
      <c r="Q2999" s="5"/>
      <c r="AL2999" s="7" t="str">
        <f>HYPERLINK("http://dx.doi.org/10.1016/j.baae.2015.09.003","http://dx.doi.org/10.1016/j.baae.2015.09.003")</f>
        <v>http://dx.doi.org/10.1016/j.baae.2015.09.003</v>
      </c>
      <c r="AM2999" s="5">
        <v>18</v>
      </c>
      <c r="AN2999" s="5">
        <v>19</v>
      </c>
      <c r="AO2999" s="5">
        <v>17</v>
      </c>
      <c r="AP2999" s="5">
        <v>1</v>
      </c>
      <c r="AQ2999" s="5">
        <v>11</v>
      </c>
      <c r="AR2999" s="5">
        <v>20</v>
      </c>
      <c r="AS2999" s="5" t="s">
        <v>16</v>
      </c>
      <c r="AT2999" s="5" t="s">
        <v>17917</v>
      </c>
      <c r="AU2999" s="5" t="s">
        <v>17918</v>
      </c>
      <c r="AV2999" s="5" t="s">
        <v>17920</v>
      </c>
    </row>
    <row r="3000" spans="1:48" ht="45" customHeight="1" x14ac:dyDescent="0.15">
      <c r="A3000" s="5" t="s">
        <v>17921</v>
      </c>
      <c r="B3000" s="5">
        <v>2020</v>
      </c>
      <c r="C3000" s="5" t="s">
        <v>17922</v>
      </c>
      <c r="D3000" s="5" t="s">
        <v>77</v>
      </c>
      <c r="E3000" s="5" t="s">
        <v>18453</v>
      </c>
      <c r="F3000" s="5" t="s">
        <v>17925</v>
      </c>
      <c r="G3000" s="5"/>
      <c r="H3000" s="5"/>
      <c r="I3000" s="5"/>
      <c r="J3000" s="5"/>
      <c r="K3000" s="5"/>
      <c r="L3000" s="5"/>
      <c r="M3000" s="5"/>
      <c r="N3000" s="5"/>
      <c r="O3000" s="5"/>
      <c r="P3000" s="5"/>
      <c r="Q3000" s="5"/>
      <c r="AL3000" s="7" t="str">
        <f>HYPERLINK("http://dx.doi.org/10.1111/1365-2656.13210","http://dx.doi.org/10.1111/1365-2656.13210")</f>
        <v>http://dx.doi.org/10.1111/1365-2656.13210</v>
      </c>
      <c r="AM3000" s="5">
        <v>3</v>
      </c>
      <c r="AN3000" s="5">
        <v>3</v>
      </c>
      <c r="AO3000" s="5">
        <v>89</v>
      </c>
      <c r="AP3000" s="5">
        <v>7</v>
      </c>
      <c r="AQ3000" s="5">
        <v>1615</v>
      </c>
      <c r="AR3000" s="5">
        <v>1627</v>
      </c>
      <c r="AS3000" s="5" t="s">
        <v>16</v>
      </c>
      <c r="AT3000" s="5" t="s">
        <v>17923</v>
      </c>
      <c r="AU3000" s="5" t="s">
        <v>17924</v>
      </c>
      <c r="AV3000" s="5" t="s">
        <v>17926</v>
      </c>
    </row>
    <row r="3001" spans="1:48" ht="45" customHeight="1" x14ac:dyDescent="0.15">
      <c r="A3001" s="5" t="s">
        <v>17927</v>
      </c>
      <c r="B3001" s="5">
        <v>2016</v>
      </c>
      <c r="C3001" s="5" t="s">
        <v>17928</v>
      </c>
      <c r="D3001" s="5" t="s">
        <v>27</v>
      </c>
      <c r="E3001" s="5" t="s">
        <v>18453</v>
      </c>
      <c r="F3001" s="5" t="s">
        <v>17931</v>
      </c>
      <c r="G3001" s="5"/>
      <c r="H3001" s="5"/>
      <c r="I3001" s="5"/>
      <c r="J3001" s="5"/>
      <c r="K3001" s="5"/>
      <c r="L3001" s="5"/>
      <c r="M3001" s="5"/>
      <c r="N3001" s="5"/>
      <c r="O3001" s="5"/>
      <c r="P3001" s="5"/>
      <c r="Q3001" s="5"/>
      <c r="AL3001" s="7" t="str">
        <f>HYPERLINK("http://dx.doi.org/10.1890/15-0831.1","http://dx.doi.org/10.1890/15-0831.1")</f>
        <v>http://dx.doi.org/10.1890/15-0831.1</v>
      </c>
      <c r="AM3001" s="5">
        <v>7</v>
      </c>
      <c r="AN3001" s="5">
        <v>10</v>
      </c>
      <c r="AO3001" s="5">
        <v>97</v>
      </c>
      <c r="AP3001" s="5">
        <v>3</v>
      </c>
      <c r="AQ3001" s="5">
        <v>671</v>
      </c>
      <c r="AR3001" s="5">
        <v>683</v>
      </c>
      <c r="AS3001" s="5" t="s">
        <v>16</v>
      </c>
      <c r="AT3001" s="5" t="s">
        <v>17929</v>
      </c>
      <c r="AU3001" s="5" t="s">
        <v>17930</v>
      </c>
      <c r="AV3001" s="5" t="s">
        <v>17932</v>
      </c>
    </row>
    <row r="3002" spans="1:48" ht="45" customHeight="1" x14ac:dyDescent="0.15">
      <c r="A3002" s="5" t="s">
        <v>17933</v>
      </c>
      <c r="B3002" s="5">
        <v>2014</v>
      </c>
      <c r="C3002" s="5" t="s">
        <v>17934</v>
      </c>
      <c r="D3002" s="5" t="s">
        <v>49</v>
      </c>
      <c r="E3002" s="5" t="s">
        <v>18453</v>
      </c>
      <c r="F3002" s="5" t="s">
        <v>17937</v>
      </c>
      <c r="G3002" s="5"/>
      <c r="H3002" s="5"/>
      <c r="I3002" s="5"/>
      <c r="J3002" s="5"/>
      <c r="K3002" s="5"/>
      <c r="L3002" s="5"/>
      <c r="M3002" s="5"/>
      <c r="N3002" s="5"/>
      <c r="O3002" s="5"/>
      <c r="P3002" s="5"/>
      <c r="Q3002" s="5"/>
      <c r="AL3002" s="7" t="str">
        <f>HYPERLINK("http://dx.doi.org/10.3354/meps11018","http://dx.doi.org/10.3354/meps11018")</f>
        <v>http://dx.doi.org/10.3354/meps11018</v>
      </c>
      <c r="AM3002" s="5">
        <v>24</v>
      </c>
      <c r="AN3002" s="5">
        <v>24</v>
      </c>
      <c r="AO3002" s="5">
        <v>515</v>
      </c>
      <c r="AP3002" s="5" t="s">
        <v>16</v>
      </c>
      <c r="AQ3002" s="5">
        <v>239</v>
      </c>
      <c r="AR3002" s="5">
        <v>250</v>
      </c>
      <c r="AS3002" s="5" t="s">
        <v>16</v>
      </c>
      <c r="AT3002" s="5" t="s">
        <v>17935</v>
      </c>
      <c r="AU3002" s="5" t="s">
        <v>17936</v>
      </c>
      <c r="AV3002" s="5" t="s">
        <v>17938</v>
      </c>
    </row>
    <row r="3003" spans="1:48" ht="45" customHeight="1" x14ac:dyDescent="0.15">
      <c r="A3003" s="5" t="s">
        <v>17939</v>
      </c>
      <c r="B3003" s="5">
        <v>2019</v>
      </c>
      <c r="C3003" s="5" t="s">
        <v>17940</v>
      </c>
      <c r="D3003" s="5" t="s">
        <v>17941</v>
      </c>
      <c r="E3003" s="5" t="s">
        <v>18453</v>
      </c>
      <c r="F3003" s="5" t="s">
        <v>17944</v>
      </c>
      <c r="G3003" s="5"/>
      <c r="H3003" s="5"/>
      <c r="I3003" s="5"/>
      <c r="J3003" s="5"/>
      <c r="K3003" s="5"/>
      <c r="L3003" s="5"/>
      <c r="M3003" s="5"/>
      <c r="N3003" s="5"/>
      <c r="O3003" s="5"/>
      <c r="P3003" s="5"/>
      <c r="Q3003" s="5"/>
      <c r="AL3003" s="7" t="str">
        <f>HYPERLINK("http://dx.doi.org/10.1186/s42408-019-0033-0","http://dx.doi.org/10.1186/s42408-019-0033-0")</f>
        <v>http://dx.doi.org/10.1186/s42408-019-0033-0</v>
      </c>
      <c r="AM3003" s="5">
        <v>4</v>
      </c>
      <c r="AN3003" s="5">
        <v>4</v>
      </c>
      <c r="AO3003" s="5">
        <v>15</v>
      </c>
      <c r="AP3003" s="5" t="s">
        <v>16</v>
      </c>
      <c r="AQ3003" s="5" t="s">
        <v>16</v>
      </c>
      <c r="AR3003" s="5" t="s">
        <v>16</v>
      </c>
      <c r="AS3003" s="5">
        <v>14</v>
      </c>
      <c r="AT3003" s="5" t="s">
        <v>17942</v>
      </c>
      <c r="AU3003" s="5" t="s">
        <v>17943</v>
      </c>
      <c r="AV3003" s="5" t="s">
        <v>17945</v>
      </c>
    </row>
    <row r="3004" spans="1:48" ht="45" customHeight="1" x14ac:dyDescent="0.15">
      <c r="A3004" s="5" t="s">
        <v>17946</v>
      </c>
      <c r="B3004" s="5">
        <v>2008</v>
      </c>
      <c r="C3004" s="5" t="s">
        <v>17947</v>
      </c>
      <c r="D3004" s="5" t="s">
        <v>172</v>
      </c>
      <c r="E3004" s="5" t="s">
        <v>18453</v>
      </c>
      <c r="F3004" s="5" t="s">
        <v>17950</v>
      </c>
      <c r="G3004" s="5"/>
      <c r="H3004" s="5"/>
      <c r="I3004" s="5"/>
      <c r="J3004" s="5"/>
      <c r="K3004" s="5"/>
      <c r="L3004" s="5"/>
      <c r="M3004" s="5"/>
      <c r="N3004" s="5"/>
      <c r="O3004" s="5"/>
      <c r="P3004" s="5"/>
      <c r="Q3004" s="5"/>
      <c r="AL3004" s="7" t="str">
        <f>HYPERLINK("http://dx.doi.org/10.1007/s00442-008-1003-4","http://dx.doi.org/10.1007/s00442-008-1003-4")</f>
        <v>http://dx.doi.org/10.1007/s00442-008-1003-4</v>
      </c>
      <c r="AM3004" s="5">
        <v>32</v>
      </c>
      <c r="AN3004" s="5">
        <v>34</v>
      </c>
      <c r="AO3004" s="5">
        <v>156</v>
      </c>
      <c r="AP3004" s="5">
        <v>3</v>
      </c>
      <c r="AQ3004" s="5">
        <v>479</v>
      </c>
      <c r="AR3004" s="5">
        <v>489</v>
      </c>
      <c r="AS3004" s="5" t="s">
        <v>16</v>
      </c>
      <c r="AT3004" s="5" t="s">
        <v>17948</v>
      </c>
      <c r="AU3004" s="5" t="s">
        <v>17949</v>
      </c>
      <c r="AV3004" s="5" t="s">
        <v>17951</v>
      </c>
    </row>
    <row r="3005" spans="1:48" ht="45" customHeight="1" x14ac:dyDescent="0.15">
      <c r="A3005" s="5" t="s">
        <v>17952</v>
      </c>
      <c r="B3005" s="5">
        <v>2014</v>
      </c>
      <c r="C3005" s="5" t="s">
        <v>17953</v>
      </c>
      <c r="D3005" s="5" t="s">
        <v>2087</v>
      </c>
      <c r="E3005" s="5" t="s">
        <v>18453</v>
      </c>
      <c r="F3005" s="5" t="s">
        <v>17956</v>
      </c>
      <c r="G3005" s="5"/>
      <c r="H3005" s="5"/>
      <c r="I3005" s="5"/>
      <c r="J3005" s="5"/>
      <c r="K3005" s="5"/>
      <c r="L3005" s="5"/>
      <c r="M3005" s="5"/>
      <c r="N3005" s="5"/>
      <c r="O3005" s="5"/>
      <c r="P3005" s="5"/>
      <c r="Q3005" s="5"/>
      <c r="AL3005" s="7" t="str">
        <f>HYPERLINK("http://dx.doi.org/10.1002/eco.1475","http://dx.doi.org/10.1002/eco.1475")</f>
        <v>http://dx.doi.org/10.1002/eco.1475</v>
      </c>
      <c r="AM3005" s="5">
        <v>32</v>
      </c>
      <c r="AN3005" s="5">
        <v>37</v>
      </c>
      <c r="AO3005" s="5">
        <v>7</v>
      </c>
      <c r="AP3005" s="5">
        <v>6</v>
      </c>
      <c r="AQ3005" s="5">
        <v>1524</v>
      </c>
      <c r="AR3005" s="5">
        <v>1533</v>
      </c>
      <c r="AS3005" s="5" t="s">
        <v>16</v>
      </c>
      <c r="AT3005" s="5" t="s">
        <v>17954</v>
      </c>
      <c r="AU3005" s="5" t="s">
        <v>17955</v>
      </c>
      <c r="AV3005" s="5" t="s">
        <v>17957</v>
      </c>
    </row>
    <row r="3006" spans="1:48" ht="45" customHeight="1" x14ac:dyDescent="0.15">
      <c r="A3006" s="5" t="s">
        <v>17958</v>
      </c>
      <c r="B3006" s="5">
        <v>2014</v>
      </c>
      <c r="C3006" s="5" t="s">
        <v>17959</v>
      </c>
      <c r="D3006" s="5" t="s">
        <v>172</v>
      </c>
      <c r="E3006" s="5" t="s">
        <v>18453</v>
      </c>
      <c r="F3006" s="5" t="s">
        <v>17962</v>
      </c>
      <c r="G3006" s="5"/>
      <c r="H3006" s="5"/>
      <c r="I3006" s="5"/>
      <c r="J3006" s="5"/>
      <c r="K3006" s="5"/>
      <c r="L3006" s="5"/>
      <c r="M3006" s="5"/>
      <c r="N3006" s="5"/>
      <c r="O3006" s="5"/>
      <c r="P3006" s="5"/>
      <c r="Q3006" s="5"/>
      <c r="AL3006" s="7" t="str">
        <f>HYPERLINK("http://dx.doi.org/10.1007/s00442-014-2976-9","http://dx.doi.org/10.1007/s00442-014-2976-9")</f>
        <v>http://dx.doi.org/10.1007/s00442-014-2976-9</v>
      </c>
      <c r="AM3006" s="5">
        <v>8</v>
      </c>
      <c r="AN3006" s="5">
        <v>8</v>
      </c>
      <c r="AO3006" s="5">
        <v>175</v>
      </c>
      <c r="AP3006" s="5">
        <v>4</v>
      </c>
      <c r="AQ3006" s="5">
        <v>1073</v>
      </c>
      <c r="AR3006" s="5">
        <v>1080</v>
      </c>
      <c r="AS3006" s="5" t="s">
        <v>16</v>
      </c>
      <c r="AT3006" s="5" t="s">
        <v>17960</v>
      </c>
      <c r="AU3006" s="5" t="s">
        <v>17961</v>
      </c>
      <c r="AV3006" s="5" t="s">
        <v>17963</v>
      </c>
    </row>
    <row r="3007" spans="1:48" ht="45" customHeight="1" x14ac:dyDescent="0.15">
      <c r="A3007" s="5" t="s">
        <v>17964</v>
      </c>
      <c r="B3007" s="5">
        <v>2011</v>
      </c>
      <c r="C3007" s="5" t="s">
        <v>17965</v>
      </c>
      <c r="D3007" s="5" t="s">
        <v>172</v>
      </c>
      <c r="E3007" s="5" t="s">
        <v>18453</v>
      </c>
      <c r="F3007" s="5" t="s">
        <v>17968</v>
      </c>
      <c r="G3007" s="5"/>
      <c r="H3007" s="5"/>
      <c r="I3007" s="5"/>
      <c r="J3007" s="5"/>
      <c r="K3007" s="5"/>
      <c r="L3007" s="5"/>
      <c r="M3007" s="5"/>
      <c r="N3007" s="5"/>
      <c r="O3007" s="5"/>
      <c r="P3007" s="5"/>
      <c r="Q3007" s="5"/>
      <c r="AL3007" s="7" t="str">
        <f>HYPERLINK("http://dx.doi.org/10.1007/s00442-010-1735-9","http://dx.doi.org/10.1007/s00442-010-1735-9")</f>
        <v>http://dx.doi.org/10.1007/s00442-010-1735-9</v>
      </c>
      <c r="AM3007" s="5">
        <v>49</v>
      </c>
      <c r="AN3007" s="5">
        <v>51</v>
      </c>
      <c r="AO3007" s="5">
        <v>165</v>
      </c>
      <c r="AP3007" s="5">
        <v>2</v>
      </c>
      <c r="AQ3007" s="5">
        <v>437</v>
      </c>
      <c r="AR3007" s="5">
        <v>452</v>
      </c>
      <c r="AS3007" s="5" t="s">
        <v>16</v>
      </c>
      <c r="AT3007" s="5" t="s">
        <v>17966</v>
      </c>
      <c r="AU3007" s="5" t="s">
        <v>17967</v>
      </c>
      <c r="AV3007" s="5" t="s">
        <v>17969</v>
      </c>
    </row>
    <row r="3008" spans="1:48" ht="45" customHeight="1" x14ac:dyDescent="0.15">
      <c r="A3008" s="5" t="s">
        <v>17970</v>
      </c>
      <c r="B3008" s="5">
        <v>2020</v>
      </c>
      <c r="C3008" s="5" t="s">
        <v>17971</v>
      </c>
      <c r="D3008" s="5" t="s">
        <v>5110</v>
      </c>
      <c r="E3008" s="5" t="s">
        <v>18453</v>
      </c>
      <c r="F3008" s="5" t="s">
        <v>17973</v>
      </c>
      <c r="G3008" s="5"/>
      <c r="H3008" s="5"/>
      <c r="I3008" s="5"/>
      <c r="J3008" s="5"/>
      <c r="K3008" s="5"/>
      <c r="L3008" s="5"/>
      <c r="M3008" s="5"/>
      <c r="N3008" s="5"/>
      <c r="O3008" s="5"/>
      <c r="P3008" s="5"/>
      <c r="Q3008" s="5"/>
      <c r="AL3008" s="7" t="str">
        <f>HYPERLINK("http://dx.doi.org/10.3398/064.080.0404","http://dx.doi.org/10.3398/064.080.0404")</f>
        <v>http://dx.doi.org/10.3398/064.080.0404</v>
      </c>
      <c r="AM3008" s="5">
        <v>2</v>
      </c>
      <c r="AN3008" s="5">
        <v>2</v>
      </c>
      <c r="AO3008" s="5">
        <v>80</v>
      </c>
      <c r="AP3008" s="5">
        <v>4</v>
      </c>
      <c r="AQ3008" s="5">
        <v>476</v>
      </c>
      <c r="AR3008" s="5">
        <v>482</v>
      </c>
      <c r="AS3008" s="5" t="s">
        <v>16</v>
      </c>
      <c r="AT3008" s="5" t="s">
        <v>16</v>
      </c>
      <c r="AU3008" s="5" t="s">
        <v>17972</v>
      </c>
      <c r="AV3008" s="5" t="s">
        <v>17974</v>
      </c>
    </row>
    <row r="3009" spans="1:48" ht="45" customHeight="1" x14ac:dyDescent="0.15">
      <c r="A3009" s="5" t="s">
        <v>17975</v>
      </c>
      <c r="B3009" s="5">
        <v>2015</v>
      </c>
      <c r="C3009" s="5" t="s">
        <v>17976</v>
      </c>
      <c r="D3009" s="5" t="s">
        <v>18</v>
      </c>
      <c r="E3009" s="5" t="s">
        <v>18453</v>
      </c>
      <c r="F3009" s="5" t="s">
        <v>17979</v>
      </c>
      <c r="G3009" s="5"/>
      <c r="H3009" s="5"/>
      <c r="I3009" s="5"/>
      <c r="J3009" s="5"/>
      <c r="K3009" s="5"/>
      <c r="L3009" s="5"/>
      <c r="M3009" s="5"/>
      <c r="N3009" s="5"/>
      <c r="O3009" s="5"/>
      <c r="P3009" s="5"/>
      <c r="Q3009" s="5"/>
      <c r="AL3009" s="7" t="str">
        <f>HYPERLINK("http://dx.doi.org/10.1890/ES14-00508.1","http://dx.doi.org/10.1890/ES14-00508.1")</f>
        <v>http://dx.doi.org/10.1890/ES14-00508.1</v>
      </c>
      <c r="AM3009" s="5">
        <v>27</v>
      </c>
      <c r="AN3009" s="5">
        <v>27</v>
      </c>
      <c r="AO3009" s="5">
        <v>6</v>
      </c>
      <c r="AP3009" s="5">
        <v>8</v>
      </c>
      <c r="AQ3009" s="5" t="s">
        <v>16</v>
      </c>
      <c r="AR3009" s="5" t="s">
        <v>16</v>
      </c>
      <c r="AS3009" s="5">
        <v>139</v>
      </c>
      <c r="AT3009" s="5" t="s">
        <v>17977</v>
      </c>
      <c r="AU3009" s="5" t="s">
        <v>17978</v>
      </c>
      <c r="AV3009" s="5" t="s">
        <v>17980</v>
      </c>
    </row>
    <row r="3010" spans="1:48" ht="45" customHeight="1" x14ac:dyDescent="0.15">
      <c r="A3010" s="5" t="s">
        <v>17981</v>
      </c>
      <c r="B3010" s="5">
        <v>2009</v>
      </c>
      <c r="C3010" s="5" t="s">
        <v>17982</v>
      </c>
      <c r="D3010" s="5" t="s">
        <v>973</v>
      </c>
      <c r="E3010" s="5" t="s">
        <v>18453</v>
      </c>
      <c r="F3010" s="5" t="s">
        <v>17984</v>
      </c>
      <c r="G3010" s="5"/>
      <c r="H3010" s="5"/>
      <c r="I3010" s="5"/>
      <c r="J3010" s="5"/>
      <c r="K3010" s="5"/>
      <c r="L3010" s="5"/>
      <c r="M3010" s="5"/>
      <c r="N3010" s="5"/>
      <c r="O3010" s="5"/>
      <c r="P3010" s="5"/>
      <c r="Q3010" s="5"/>
      <c r="AL3010" s="7" t="str">
        <f>HYPERLINK("http://dx.doi.org/10.5194/bg-6-1917-2009","http://dx.doi.org/10.5194/bg-6-1917-2009")</f>
        <v>http://dx.doi.org/10.5194/bg-6-1917-2009</v>
      </c>
      <c r="AM3010" s="5">
        <v>86</v>
      </c>
      <c r="AN3010" s="5">
        <v>88</v>
      </c>
      <c r="AO3010" s="5">
        <v>6</v>
      </c>
      <c r="AP3010" s="5">
        <v>9</v>
      </c>
      <c r="AQ3010" s="5">
        <v>1917</v>
      </c>
      <c r="AR3010" s="5">
        <v>1925</v>
      </c>
      <c r="AS3010" s="5" t="s">
        <v>16</v>
      </c>
      <c r="AT3010" s="5" t="s">
        <v>16</v>
      </c>
      <c r="AU3010" s="5" t="s">
        <v>17983</v>
      </c>
      <c r="AV3010" s="5" t="s">
        <v>17985</v>
      </c>
    </row>
    <row r="3011" spans="1:48" ht="45" customHeight="1" x14ac:dyDescent="0.15">
      <c r="A3011" s="5" t="s">
        <v>17986</v>
      </c>
      <c r="B3011" s="5">
        <v>2020</v>
      </c>
      <c r="C3011" s="5" t="s">
        <v>17987</v>
      </c>
      <c r="D3011" s="5" t="s">
        <v>6082</v>
      </c>
      <c r="E3011" s="5" t="s">
        <v>18453</v>
      </c>
      <c r="F3011" s="5" t="s">
        <v>17990</v>
      </c>
      <c r="G3011" s="5"/>
      <c r="H3011" s="5"/>
      <c r="I3011" s="5"/>
      <c r="J3011" s="5"/>
      <c r="K3011" s="5"/>
      <c r="L3011" s="5"/>
      <c r="M3011" s="5"/>
      <c r="N3011" s="5"/>
      <c r="O3011" s="5"/>
      <c r="P3011" s="5"/>
      <c r="Q3011" s="5"/>
      <c r="AL3011" s="7" t="str">
        <f>HYPERLINK("http://dx.doi.org/10.1007/s00248-019-01415-6","http://dx.doi.org/10.1007/s00248-019-01415-6")</f>
        <v>http://dx.doi.org/10.1007/s00248-019-01415-6</v>
      </c>
      <c r="AM3011" s="5">
        <v>26</v>
      </c>
      <c r="AN3011" s="5">
        <v>28</v>
      </c>
      <c r="AO3011" s="5">
        <v>79</v>
      </c>
      <c r="AP3011" s="5">
        <v>2</v>
      </c>
      <c r="AQ3011" s="5">
        <v>326</v>
      </c>
      <c r="AR3011" s="5">
        <v>341</v>
      </c>
      <c r="AS3011" s="5" t="s">
        <v>16</v>
      </c>
      <c r="AT3011" s="5" t="s">
        <v>17988</v>
      </c>
      <c r="AU3011" s="5" t="s">
        <v>17989</v>
      </c>
      <c r="AV3011" s="5" t="s">
        <v>17991</v>
      </c>
    </row>
    <row r="3012" spans="1:48" ht="45" customHeight="1" x14ac:dyDescent="0.15">
      <c r="A3012" s="5" t="s">
        <v>17992</v>
      </c>
      <c r="B3012" s="5">
        <v>2010</v>
      </c>
      <c r="C3012" s="5" t="s">
        <v>17993</v>
      </c>
      <c r="D3012" s="5" t="s">
        <v>782</v>
      </c>
      <c r="E3012" s="5" t="s">
        <v>18453</v>
      </c>
      <c r="F3012" s="5" t="s">
        <v>17996</v>
      </c>
      <c r="G3012" s="5"/>
      <c r="H3012" s="5"/>
      <c r="I3012" s="5"/>
      <c r="J3012" s="5"/>
      <c r="K3012" s="5"/>
      <c r="L3012" s="5"/>
      <c r="M3012" s="5"/>
      <c r="N3012" s="5"/>
      <c r="O3012" s="5"/>
      <c r="P3012" s="5"/>
      <c r="Q3012" s="5"/>
      <c r="AL3012" s="7" t="str">
        <f>HYPERLINK("http://dx.doi.org/10.1093/jpe/rtq023","http://dx.doi.org/10.1093/jpe/rtq023")</f>
        <v>http://dx.doi.org/10.1093/jpe/rtq023</v>
      </c>
      <c r="AM3012" s="5">
        <v>27</v>
      </c>
      <c r="AN3012" s="5">
        <v>39</v>
      </c>
      <c r="AO3012" s="5">
        <v>3</v>
      </c>
      <c r="AP3012" s="5">
        <v>3</v>
      </c>
      <c r="AQ3012" s="5">
        <v>201</v>
      </c>
      <c r="AR3012" s="5">
        <v>207</v>
      </c>
      <c r="AS3012" s="5" t="s">
        <v>16</v>
      </c>
      <c r="AT3012" s="5" t="s">
        <v>17994</v>
      </c>
      <c r="AU3012" s="5" t="s">
        <v>17995</v>
      </c>
      <c r="AV3012" s="5" t="s">
        <v>17997</v>
      </c>
    </row>
    <row r="3013" spans="1:48" ht="45" customHeight="1" x14ac:dyDescent="0.15">
      <c r="A3013" s="5" t="s">
        <v>17998</v>
      </c>
      <c r="B3013" s="5">
        <v>2020</v>
      </c>
      <c r="C3013" s="5" t="s">
        <v>17999</v>
      </c>
      <c r="D3013" s="5" t="s">
        <v>242</v>
      </c>
      <c r="E3013" s="5" t="s">
        <v>18453</v>
      </c>
      <c r="F3013" s="5" t="s">
        <v>18002</v>
      </c>
      <c r="G3013" s="5"/>
      <c r="H3013" s="5"/>
      <c r="I3013" s="5"/>
      <c r="J3013" s="5"/>
      <c r="K3013" s="5"/>
      <c r="L3013" s="5"/>
      <c r="M3013" s="5"/>
      <c r="N3013" s="5"/>
      <c r="O3013" s="5"/>
      <c r="P3013" s="5"/>
      <c r="Q3013" s="5"/>
      <c r="AL3013" s="7" t="str">
        <f>HYPERLINK("http://dx.doi.org/10.1007/s10980-020-01111-8","http://dx.doi.org/10.1007/s10980-020-01111-8")</f>
        <v>http://dx.doi.org/10.1007/s10980-020-01111-8</v>
      </c>
      <c r="AM3013" s="5">
        <v>9</v>
      </c>
      <c r="AN3013" s="5">
        <v>9</v>
      </c>
      <c r="AO3013" s="5">
        <v>35</v>
      </c>
      <c r="AP3013" s="5">
        <v>10</v>
      </c>
      <c r="AQ3013" s="5">
        <v>2301</v>
      </c>
      <c r="AR3013" s="5">
        <v>2319</v>
      </c>
      <c r="AS3013" s="5" t="s">
        <v>16</v>
      </c>
      <c r="AT3013" s="5" t="s">
        <v>18000</v>
      </c>
      <c r="AU3013" s="5" t="s">
        <v>18001</v>
      </c>
      <c r="AV3013" s="5" t="s">
        <v>18003</v>
      </c>
    </row>
    <row r="3014" spans="1:48" ht="45" customHeight="1" x14ac:dyDescent="0.15">
      <c r="A3014" s="5" t="s">
        <v>18004</v>
      </c>
      <c r="B3014" s="5">
        <v>2018</v>
      </c>
      <c r="C3014" s="5" t="s">
        <v>18005</v>
      </c>
      <c r="D3014" s="5" t="s">
        <v>92</v>
      </c>
      <c r="E3014" s="5" t="s">
        <v>18453</v>
      </c>
      <c r="F3014" s="5" t="s">
        <v>18008</v>
      </c>
      <c r="G3014" s="5"/>
      <c r="H3014" s="5"/>
      <c r="I3014" s="5"/>
      <c r="J3014" s="5"/>
      <c r="K3014" s="5"/>
      <c r="L3014" s="5"/>
      <c r="M3014" s="5"/>
      <c r="N3014" s="5"/>
      <c r="O3014" s="5"/>
      <c r="P3014" s="5"/>
      <c r="Q3014" s="5"/>
      <c r="AL3014" s="7" t="str">
        <f>HYPERLINK("http://dx.doi.org/10.1086/697530","http://dx.doi.org/10.1086/697530")</f>
        <v>http://dx.doi.org/10.1086/697530</v>
      </c>
      <c r="AM3014" s="5">
        <v>6</v>
      </c>
      <c r="AN3014" s="5">
        <v>6</v>
      </c>
      <c r="AO3014" s="5">
        <v>37</v>
      </c>
      <c r="AP3014" s="5">
        <v>2</v>
      </c>
      <c r="AQ3014" s="5">
        <v>264</v>
      </c>
      <c r="AR3014" s="5">
        <v>275</v>
      </c>
      <c r="AS3014" s="5" t="s">
        <v>16</v>
      </c>
      <c r="AT3014" s="5" t="s">
        <v>18006</v>
      </c>
      <c r="AU3014" s="5" t="s">
        <v>18007</v>
      </c>
      <c r="AV3014" s="5" t="s">
        <v>18009</v>
      </c>
    </row>
    <row r="3015" spans="1:48" ht="45" customHeight="1" x14ac:dyDescent="0.15">
      <c r="A3015" s="5" t="s">
        <v>18010</v>
      </c>
      <c r="B3015" s="5">
        <v>2019</v>
      </c>
      <c r="C3015" s="5" t="s">
        <v>18011</v>
      </c>
      <c r="D3015" s="5" t="s">
        <v>690</v>
      </c>
      <c r="E3015" s="5" t="s">
        <v>18453</v>
      </c>
      <c r="F3015" s="5" t="s">
        <v>18014</v>
      </c>
      <c r="G3015" s="5"/>
      <c r="H3015" s="5"/>
      <c r="I3015" s="5"/>
      <c r="J3015" s="5"/>
      <c r="K3015" s="5"/>
      <c r="L3015" s="5"/>
      <c r="M3015" s="5"/>
      <c r="N3015" s="5"/>
      <c r="O3015" s="5"/>
      <c r="P3015" s="5"/>
      <c r="Q3015" s="5"/>
      <c r="AL3015" s="7" t="str">
        <f>HYPERLINK("http://dx.doi.org/10.1111/mec.15234","http://dx.doi.org/10.1111/mec.15234")</f>
        <v>http://dx.doi.org/10.1111/mec.15234</v>
      </c>
      <c r="AM3015" s="5">
        <v>8</v>
      </c>
      <c r="AN3015" s="5">
        <v>8</v>
      </c>
      <c r="AO3015" s="5">
        <v>28</v>
      </c>
      <c r="AP3015" s="5">
        <v>19</v>
      </c>
      <c r="AQ3015" s="5">
        <v>4439</v>
      </c>
      <c r="AR3015" s="5">
        <v>4452</v>
      </c>
      <c r="AS3015" s="5" t="s">
        <v>16</v>
      </c>
      <c r="AT3015" s="5" t="s">
        <v>18012</v>
      </c>
      <c r="AU3015" s="5" t="s">
        <v>18013</v>
      </c>
      <c r="AV3015" s="5" t="s">
        <v>18015</v>
      </c>
    </row>
    <row r="3016" spans="1:48" ht="45" customHeight="1" x14ac:dyDescent="0.15">
      <c r="A3016" s="5" t="s">
        <v>18016</v>
      </c>
      <c r="B3016" s="5">
        <v>2013</v>
      </c>
      <c r="C3016" s="5" t="s">
        <v>18017</v>
      </c>
      <c r="D3016" s="5" t="s">
        <v>251</v>
      </c>
      <c r="E3016" s="5" t="s">
        <v>18453</v>
      </c>
      <c r="F3016" s="5" t="s">
        <v>18020</v>
      </c>
      <c r="G3016" s="5"/>
      <c r="H3016" s="5"/>
      <c r="I3016" s="5"/>
      <c r="J3016" s="5"/>
      <c r="K3016" s="5"/>
      <c r="L3016" s="5"/>
      <c r="M3016" s="5"/>
      <c r="N3016" s="5"/>
      <c r="O3016" s="5"/>
      <c r="P3016" s="5"/>
      <c r="Q3016" s="5"/>
      <c r="AL3016" s="7" t="str">
        <f>HYPERLINK("http://dx.doi.org/10.1016/j.biocon.2013.03.021","http://dx.doi.org/10.1016/j.biocon.2013.03.021")</f>
        <v>http://dx.doi.org/10.1016/j.biocon.2013.03.021</v>
      </c>
      <c r="AM3016" s="5">
        <v>62</v>
      </c>
      <c r="AN3016" s="5">
        <v>63</v>
      </c>
      <c r="AO3016" s="5">
        <v>163</v>
      </c>
      <c r="AP3016" s="5" t="s">
        <v>16</v>
      </c>
      <c r="AQ3016" s="5">
        <v>122</v>
      </c>
      <c r="AR3016" s="5">
        <v>130</v>
      </c>
      <c r="AS3016" s="5" t="s">
        <v>16</v>
      </c>
      <c r="AT3016" s="5" t="s">
        <v>18018</v>
      </c>
      <c r="AU3016" s="5" t="s">
        <v>18019</v>
      </c>
      <c r="AV3016" s="5" t="s">
        <v>18021</v>
      </c>
    </row>
    <row r="3017" spans="1:48" ht="45" customHeight="1" x14ac:dyDescent="0.15">
      <c r="A3017" s="5" t="s">
        <v>18022</v>
      </c>
      <c r="B3017" s="5">
        <v>1992</v>
      </c>
      <c r="C3017" s="5" t="s">
        <v>18023</v>
      </c>
      <c r="D3017" s="5" t="s">
        <v>49</v>
      </c>
      <c r="E3017" s="5" t="s">
        <v>18453</v>
      </c>
      <c r="F3017" s="5" t="s">
        <v>18025</v>
      </c>
      <c r="G3017" s="5"/>
      <c r="H3017" s="5"/>
      <c r="I3017" s="5"/>
      <c r="J3017" s="5"/>
      <c r="K3017" s="5"/>
      <c r="L3017" s="5"/>
      <c r="M3017" s="5"/>
      <c r="N3017" s="5"/>
      <c r="O3017" s="5"/>
      <c r="P3017" s="5"/>
      <c r="Q3017" s="5"/>
      <c r="AL3017" s="7" t="str">
        <f>HYPERLINK("http://dx.doi.org/10.3354/meps084009","http://dx.doi.org/10.3354/meps084009")</f>
        <v>http://dx.doi.org/10.3354/meps084009</v>
      </c>
      <c r="AM3017" s="5">
        <v>980</v>
      </c>
      <c r="AN3017" s="5">
        <v>1035</v>
      </c>
      <c r="AO3017" s="5">
        <v>84</v>
      </c>
      <c r="AP3017" s="5">
        <v>1</v>
      </c>
      <c r="AQ3017" s="5">
        <v>9</v>
      </c>
      <c r="AR3017" s="5">
        <v>18</v>
      </c>
      <c r="AS3017" s="5" t="s">
        <v>16</v>
      </c>
      <c r="AT3017" s="5" t="s">
        <v>16</v>
      </c>
      <c r="AU3017" s="5" t="s">
        <v>18024</v>
      </c>
      <c r="AV3017" s="5" t="s">
        <v>18026</v>
      </c>
    </row>
    <row r="3018" spans="1:48" ht="45" customHeight="1" x14ac:dyDescent="0.15">
      <c r="A3018" s="5" t="s">
        <v>18027</v>
      </c>
      <c r="B3018" s="5">
        <v>2021</v>
      </c>
      <c r="C3018" s="5" t="s">
        <v>18028</v>
      </c>
      <c r="D3018" s="5" t="s">
        <v>18</v>
      </c>
      <c r="E3018" s="5" t="s">
        <v>18453</v>
      </c>
      <c r="F3018" s="5" t="s">
        <v>18031</v>
      </c>
      <c r="G3018" s="5"/>
      <c r="H3018" s="5"/>
      <c r="I3018" s="5"/>
      <c r="J3018" s="5"/>
      <c r="K3018" s="5"/>
      <c r="L3018" s="5"/>
      <c r="M3018" s="5"/>
      <c r="N3018" s="5"/>
      <c r="O3018" s="5"/>
      <c r="P3018" s="5"/>
      <c r="Q3018" s="5"/>
      <c r="AL3018" s="7" t="str">
        <f>HYPERLINK("http://dx.doi.org/10.1002/ecs2.3338","http://dx.doi.org/10.1002/ecs2.3338")</f>
        <v>http://dx.doi.org/10.1002/ecs2.3338</v>
      </c>
      <c r="AM3018" s="5">
        <v>2</v>
      </c>
      <c r="AN3018" s="5">
        <v>2</v>
      </c>
      <c r="AO3018" s="5">
        <v>12</v>
      </c>
      <c r="AP3018" s="5">
        <v>1</v>
      </c>
      <c r="AQ3018" s="5" t="s">
        <v>16</v>
      </c>
      <c r="AR3018" s="5" t="s">
        <v>16</v>
      </c>
      <c r="AS3018" s="5" t="s">
        <v>18032</v>
      </c>
      <c r="AT3018" s="5" t="s">
        <v>18029</v>
      </c>
      <c r="AU3018" s="5" t="s">
        <v>18030</v>
      </c>
      <c r="AV3018" s="5" t="s">
        <v>18033</v>
      </c>
    </row>
    <row r="3019" spans="1:48" ht="45" customHeight="1" x14ac:dyDescent="0.15">
      <c r="A3019" s="5" t="s">
        <v>18034</v>
      </c>
      <c r="B3019" s="5">
        <v>2023</v>
      </c>
      <c r="C3019" s="5" t="s">
        <v>18035</v>
      </c>
      <c r="D3019" s="5" t="s">
        <v>44</v>
      </c>
      <c r="E3019" s="5" t="s">
        <v>18453</v>
      </c>
      <c r="F3019" s="5" t="s">
        <v>18038</v>
      </c>
      <c r="G3019" s="5"/>
      <c r="H3019" s="5"/>
      <c r="I3019" s="5"/>
      <c r="J3019" s="5"/>
      <c r="K3019" s="5"/>
      <c r="L3019" s="5"/>
      <c r="M3019" s="5"/>
      <c r="N3019" s="5"/>
      <c r="O3019" s="5"/>
      <c r="P3019" s="5"/>
      <c r="Q3019" s="5"/>
      <c r="AL3019" s="7" t="str">
        <f>HYPERLINK("http://dx.doi.org/10.3389/fevo.2023.1114259","http://dx.doi.org/10.3389/fevo.2023.1114259")</f>
        <v>http://dx.doi.org/10.3389/fevo.2023.1114259</v>
      </c>
      <c r="AM3019" s="5">
        <v>1</v>
      </c>
      <c r="AN3019" s="5">
        <v>1</v>
      </c>
      <c r="AO3019" s="5">
        <v>11</v>
      </c>
      <c r="AP3019" s="5" t="s">
        <v>16</v>
      </c>
      <c r="AQ3019" s="5" t="s">
        <v>16</v>
      </c>
      <c r="AR3019" s="5" t="s">
        <v>16</v>
      </c>
      <c r="AS3019" s="5">
        <v>1114259</v>
      </c>
      <c r="AT3019" s="5" t="s">
        <v>18036</v>
      </c>
      <c r="AU3019" s="5" t="s">
        <v>18037</v>
      </c>
      <c r="AV3019" s="5" t="s">
        <v>18039</v>
      </c>
    </row>
    <row r="3020" spans="1:48" ht="45" customHeight="1" x14ac:dyDescent="0.15">
      <c r="A3020" s="5" t="s">
        <v>18040</v>
      </c>
      <c r="B3020" s="5">
        <v>2019</v>
      </c>
      <c r="C3020" s="5" t="s">
        <v>18041</v>
      </c>
      <c r="D3020" s="5" t="s">
        <v>44</v>
      </c>
      <c r="E3020" s="5" t="s">
        <v>18453</v>
      </c>
      <c r="F3020" s="5" t="s">
        <v>18044</v>
      </c>
      <c r="G3020" s="5"/>
      <c r="H3020" s="5"/>
      <c r="I3020" s="5"/>
      <c r="J3020" s="5"/>
      <c r="K3020" s="5"/>
      <c r="L3020" s="5"/>
      <c r="M3020" s="5"/>
      <c r="N3020" s="5"/>
      <c r="O3020" s="5"/>
      <c r="P3020" s="5"/>
      <c r="Q3020" s="5"/>
      <c r="AL3020" s="7" t="str">
        <f>HYPERLINK("http://dx.doi.org/10.3389/fevo.2019.00046","http://dx.doi.org/10.3389/fevo.2019.00046")</f>
        <v>http://dx.doi.org/10.3389/fevo.2019.00046</v>
      </c>
      <c r="AM3020" s="5">
        <v>10</v>
      </c>
      <c r="AN3020" s="5">
        <v>10</v>
      </c>
      <c r="AO3020" s="5">
        <v>7</v>
      </c>
      <c r="AP3020" s="5" t="s">
        <v>16</v>
      </c>
      <c r="AQ3020" s="5" t="s">
        <v>16</v>
      </c>
      <c r="AR3020" s="5" t="s">
        <v>16</v>
      </c>
      <c r="AS3020" s="5">
        <v>46</v>
      </c>
      <c r="AT3020" s="5" t="s">
        <v>18042</v>
      </c>
      <c r="AU3020" s="5" t="s">
        <v>18043</v>
      </c>
      <c r="AV3020" s="5" t="s">
        <v>18045</v>
      </c>
    </row>
    <row r="3021" spans="1:48" ht="45" customHeight="1" x14ac:dyDescent="0.15">
      <c r="A3021" s="5" t="s">
        <v>18046</v>
      </c>
      <c r="B3021" s="5">
        <v>2012</v>
      </c>
      <c r="C3021" s="5" t="s">
        <v>18047</v>
      </c>
      <c r="D3021" s="5" t="s">
        <v>18</v>
      </c>
      <c r="E3021" s="5" t="s">
        <v>18453</v>
      </c>
      <c r="F3021" s="5" t="s">
        <v>18050</v>
      </c>
      <c r="G3021" s="5"/>
      <c r="H3021" s="5"/>
      <c r="I3021" s="5"/>
      <c r="J3021" s="5"/>
      <c r="K3021" s="5"/>
      <c r="L3021" s="5"/>
      <c r="M3021" s="5"/>
      <c r="N3021" s="5"/>
      <c r="O3021" s="5"/>
      <c r="P3021" s="5"/>
      <c r="Q3021" s="5"/>
      <c r="AL3021" s="7" t="str">
        <f>HYPERLINK("http://dx.doi.org/10.1890/ES11-00188.1","http://dx.doi.org/10.1890/ES11-00188.1")</f>
        <v>http://dx.doi.org/10.1890/ES11-00188.1</v>
      </c>
      <c r="AM3021" s="5">
        <v>34</v>
      </c>
      <c r="AN3021" s="5">
        <v>36</v>
      </c>
      <c r="AO3021" s="5">
        <v>3</v>
      </c>
      <c r="AP3021" s="5">
        <v>4</v>
      </c>
      <c r="AQ3021" s="5" t="s">
        <v>16</v>
      </c>
      <c r="AR3021" s="5" t="s">
        <v>16</v>
      </c>
      <c r="AS3021" s="5">
        <v>34</v>
      </c>
      <c r="AT3021" s="5" t="s">
        <v>18048</v>
      </c>
      <c r="AU3021" s="5" t="s">
        <v>18049</v>
      </c>
      <c r="AV3021" s="5" t="s">
        <v>18051</v>
      </c>
    </row>
    <row r="3022" spans="1:48" ht="45" customHeight="1" x14ac:dyDescent="0.15">
      <c r="A3022" s="5" t="s">
        <v>18052</v>
      </c>
      <c r="B3022" s="5">
        <v>2014</v>
      </c>
      <c r="C3022" s="5" t="s">
        <v>18053</v>
      </c>
      <c r="D3022" s="5" t="s">
        <v>49</v>
      </c>
      <c r="E3022" s="5" t="s">
        <v>18453</v>
      </c>
      <c r="F3022" s="5" t="s">
        <v>18056</v>
      </c>
      <c r="G3022" s="5"/>
      <c r="H3022" s="5"/>
      <c r="I3022" s="5"/>
      <c r="J3022" s="5"/>
      <c r="K3022" s="5"/>
      <c r="L3022" s="5"/>
      <c r="M3022" s="5"/>
      <c r="N3022" s="5"/>
      <c r="O3022" s="5"/>
      <c r="P3022" s="5"/>
      <c r="Q3022" s="5"/>
      <c r="AL3022" s="7" t="str">
        <f>HYPERLINK("http://dx.doi.org/10.3354/meps10651","http://dx.doi.org/10.3354/meps10651")</f>
        <v>http://dx.doi.org/10.3354/meps10651</v>
      </c>
      <c r="AM3022" s="5">
        <v>3</v>
      </c>
      <c r="AN3022" s="5">
        <v>3</v>
      </c>
      <c r="AO3022" s="5">
        <v>499</v>
      </c>
      <c r="AP3022" s="5" t="s">
        <v>16</v>
      </c>
      <c r="AQ3022" s="5">
        <v>89</v>
      </c>
      <c r="AR3022" s="5">
        <v>102</v>
      </c>
      <c r="AS3022" s="5" t="s">
        <v>16</v>
      </c>
      <c r="AT3022" s="5" t="s">
        <v>18054</v>
      </c>
      <c r="AU3022" s="5" t="s">
        <v>18055</v>
      </c>
      <c r="AV3022" s="5" t="s">
        <v>18057</v>
      </c>
    </row>
    <row r="3023" spans="1:48" ht="45" customHeight="1" x14ac:dyDescent="0.15">
      <c r="A3023" s="5" t="s">
        <v>18058</v>
      </c>
      <c r="B3023" s="5">
        <v>2011</v>
      </c>
      <c r="C3023" s="5" t="s">
        <v>18059</v>
      </c>
      <c r="D3023" s="5" t="s">
        <v>1445</v>
      </c>
      <c r="E3023" s="5" t="s">
        <v>18453</v>
      </c>
      <c r="F3023" s="5" t="s">
        <v>18062</v>
      </c>
      <c r="G3023" s="5"/>
      <c r="H3023" s="5"/>
      <c r="I3023" s="5"/>
      <c r="J3023" s="5"/>
      <c r="K3023" s="5"/>
      <c r="L3023" s="5"/>
      <c r="M3023" s="5"/>
      <c r="N3023" s="5"/>
      <c r="O3023" s="5"/>
      <c r="P3023" s="5"/>
      <c r="Q3023" s="5"/>
      <c r="AL3023" s="7" t="str">
        <f>HYPERLINK("http://dx.doi.org/10.1080/02705060.2011.556413","http://dx.doi.org/10.1080/02705060.2011.556413")</f>
        <v>http://dx.doi.org/10.1080/02705060.2011.556413</v>
      </c>
      <c r="AM3023" s="5">
        <v>2</v>
      </c>
      <c r="AN3023" s="5">
        <v>2</v>
      </c>
      <c r="AO3023" s="5">
        <v>26</v>
      </c>
      <c r="AP3023" s="5">
        <v>3</v>
      </c>
      <c r="AQ3023" s="5">
        <v>315</v>
      </c>
      <c r="AR3023" s="5">
        <v>321</v>
      </c>
      <c r="AS3023" s="5" t="s">
        <v>16</v>
      </c>
      <c r="AT3023" s="5" t="s">
        <v>18060</v>
      </c>
      <c r="AU3023" s="5" t="s">
        <v>18061</v>
      </c>
      <c r="AV3023" s="5" t="s">
        <v>18063</v>
      </c>
    </row>
    <row r="3024" spans="1:48" ht="45" customHeight="1" x14ac:dyDescent="0.15">
      <c r="A3024" s="5" t="s">
        <v>18064</v>
      </c>
      <c r="B3024" s="5">
        <v>2022</v>
      </c>
      <c r="C3024" s="5" t="s">
        <v>18065</v>
      </c>
      <c r="D3024" s="5" t="s">
        <v>6082</v>
      </c>
      <c r="E3024" s="5" t="s">
        <v>18453</v>
      </c>
      <c r="F3024" s="5" t="s">
        <v>18068</v>
      </c>
      <c r="G3024" s="5"/>
      <c r="H3024" s="5"/>
      <c r="I3024" s="5"/>
      <c r="J3024" s="5"/>
      <c r="K3024" s="5"/>
      <c r="L3024" s="5"/>
      <c r="M3024" s="5"/>
      <c r="N3024" s="5"/>
      <c r="O3024" s="5"/>
      <c r="P3024" s="5"/>
      <c r="Q3024" s="5"/>
      <c r="AL3024" s="7" t="str">
        <f>HYPERLINK("http://dx.doi.org/10.1007/s00248-021-01842-4","http://dx.doi.org/10.1007/s00248-021-01842-4")</f>
        <v>http://dx.doi.org/10.1007/s00248-021-01842-4</v>
      </c>
      <c r="AM3024" s="5">
        <v>5</v>
      </c>
      <c r="AN3024" s="5">
        <v>5</v>
      </c>
      <c r="AO3024" s="5">
        <v>84</v>
      </c>
      <c r="AP3024" s="5">
        <v>1</v>
      </c>
      <c r="AQ3024" s="5">
        <v>153</v>
      </c>
      <c r="AR3024" s="5">
        <v>167</v>
      </c>
      <c r="AS3024" s="5" t="s">
        <v>16</v>
      </c>
      <c r="AT3024" s="5" t="s">
        <v>18066</v>
      </c>
      <c r="AU3024" s="5" t="s">
        <v>18067</v>
      </c>
      <c r="AV3024" s="5" t="s">
        <v>18069</v>
      </c>
    </row>
    <row r="3025" spans="1:48" ht="45" customHeight="1" x14ac:dyDescent="0.15">
      <c r="A3025" s="5" t="s">
        <v>18070</v>
      </c>
      <c r="B3025" s="5">
        <v>2016</v>
      </c>
      <c r="C3025" s="5" t="s">
        <v>18071</v>
      </c>
      <c r="D3025" s="5" t="s">
        <v>942</v>
      </c>
      <c r="E3025" s="5" t="s">
        <v>18453</v>
      </c>
      <c r="F3025" s="5" t="s">
        <v>18074</v>
      </c>
      <c r="G3025" s="5"/>
      <c r="H3025" s="5"/>
      <c r="I3025" s="5"/>
      <c r="J3025" s="5"/>
      <c r="K3025" s="5"/>
      <c r="L3025" s="5"/>
      <c r="M3025" s="5"/>
      <c r="N3025" s="5"/>
      <c r="O3025" s="5"/>
      <c r="P3025" s="5"/>
      <c r="Q3025" s="5"/>
      <c r="AL3025" s="7" t="str">
        <f>HYPERLINK("http://dx.doi.org/10.1016/j.rsma.2015.07.005","http://dx.doi.org/10.1016/j.rsma.2015.07.005")</f>
        <v>http://dx.doi.org/10.1016/j.rsma.2015.07.005</v>
      </c>
      <c r="AM3025" s="5">
        <v>3</v>
      </c>
      <c r="AN3025" s="5">
        <v>3</v>
      </c>
      <c r="AO3025" s="5">
        <v>3</v>
      </c>
      <c r="AP3025" s="5" t="s">
        <v>16</v>
      </c>
      <c r="AQ3025" s="5">
        <v>154</v>
      </c>
      <c r="AR3025" s="5">
        <v>162</v>
      </c>
      <c r="AS3025" s="5" t="s">
        <v>16</v>
      </c>
      <c r="AT3025" s="5" t="s">
        <v>18072</v>
      </c>
      <c r="AU3025" s="5" t="s">
        <v>18073</v>
      </c>
      <c r="AV3025" s="5" t="s">
        <v>18075</v>
      </c>
    </row>
    <row r="3026" spans="1:48" ht="45" customHeight="1" x14ac:dyDescent="0.15">
      <c r="A3026" s="5" t="s">
        <v>18076</v>
      </c>
      <c r="B3026" s="5">
        <v>2011</v>
      </c>
      <c r="C3026" s="5" t="s">
        <v>18077</v>
      </c>
      <c r="D3026" s="5" t="s">
        <v>172</v>
      </c>
      <c r="E3026" s="5" t="s">
        <v>18453</v>
      </c>
      <c r="F3026" s="5" t="s">
        <v>18080</v>
      </c>
      <c r="G3026" s="5"/>
      <c r="H3026" s="5"/>
      <c r="I3026" s="5"/>
      <c r="J3026" s="5"/>
      <c r="K3026" s="5"/>
      <c r="L3026" s="5"/>
      <c r="M3026" s="5"/>
      <c r="N3026" s="5"/>
      <c r="O3026" s="5"/>
      <c r="P3026" s="5"/>
      <c r="Q3026" s="5"/>
      <c r="AL3026" s="7" t="str">
        <f>HYPERLINK("http://dx.doi.org/10.1007/s00442-010-1884-x","http://dx.doi.org/10.1007/s00442-010-1884-x")</f>
        <v>http://dx.doi.org/10.1007/s00442-010-1884-x</v>
      </c>
      <c r="AM3026" s="5">
        <v>14</v>
      </c>
      <c r="AN3026" s="5">
        <v>15</v>
      </c>
      <c r="AO3026" s="5">
        <v>166</v>
      </c>
      <c r="AP3026" s="5">
        <v>3</v>
      </c>
      <c r="AQ3026" s="5">
        <v>577</v>
      </c>
      <c r="AR3026" s="5">
        <v>584</v>
      </c>
      <c r="AS3026" s="5" t="s">
        <v>16</v>
      </c>
      <c r="AT3026" s="5" t="s">
        <v>18078</v>
      </c>
      <c r="AU3026" s="5" t="s">
        <v>18079</v>
      </c>
      <c r="AV3026" s="5" t="s">
        <v>18081</v>
      </c>
    </row>
    <row r="3027" spans="1:48" ht="45" customHeight="1" x14ac:dyDescent="0.15">
      <c r="A3027" s="5" t="s">
        <v>18082</v>
      </c>
      <c r="B3027" s="5">
        <v>2021</v>
      </c>
      <c r="C3027" s="5" t="s">
        <v>18083</v>
      </c>
      <c r="D3027" s="5" t="s">
        <v>154</v>
      </c>
      <c r="E3027" s="5" t="s">
        <v>18453</v>
      </c>
      <c r="F3027" s="5" t="s">
        <v>18086</v>
      </c>
      <c r="G3027" s="5"/>
      <c r="H3027" s="5"/>
      <c r="I3027" s="5"/>
      <c r="J3027" s="5"/>
      <c r="K3027" s="5"/>
      <c r="L3027" s="5"/>
      <c r="M3027" s="5"/>
      <c r="N3027" s="5"/>
      <c r="O3027" s="5"/>
      <c r="P3027" s="5"/>
      <c r="Q3027" s="5"/>
      <c r="AL3027" s="7" t="str">
        <f>HYPERLINK("http://dx.doi.org/10.1186/s13717-021-00332-2","http://dx.doi.org/10.1186/s13717-021-00332-2")</f>
        <v>http://dx.doi.org/10.1186/s13717-021-00332-2</v>
      </c>
      <c r="AM3027" s="5">
        <v>29</v>
      </c>
      <c r="AN3027" s="5">
        <v>30</v>
      </c>
      <c r="AO3027" s="5">
        <v>10</v>
      </c>
      <c r="AP3027" s="5">
        <v>1</v>
      </c>
      <c r="AQ3027" s="5" t="s">
        <v>16</v>
      </c>
      <c r="AR3027" s="5" t="s">
        <v>16</v>
      </c>
      <c r="AS3027" s="5">
        <v>63</v>
      </c>
      <c r="AT3027" s="5" t="s">
        <v>18084</v>
      </c>
      <c r="AU3027" s="5" t="s">
        <v>18085</v>
      </c>
      <c r="AV3027" s="5" t="s">
        <v>18087</v>
      </c>
    </row>
    <row r="3028" spans="1:48" ht="45" customHeight="1" x14ac:dyDescent="0.15">
      <c r="A3028" s="5" t="s">
        <v>18088</v>
      </c>
      <c r="B3028" s="5">
        <v>2023</v>
      </c>
      <c r="C3028" s="5" t="s">
        <v>18089</v>
      </c>
      <c r="D3028" s="5" t="s">
        <v>6309</v>
      </c>
      <c r="E3028" s="5" t="s">
        <v>18453</v>
      </c>
      <c r="F3028" s="5" t="s">
        <v>18092</v>
      </c>
      <c r="G3028" s="5"/>
      <c r="H3028" s="5"/>
      <c r="I3028" s="5"/>
      <c r="J3028" s="5"/>
      <c r="K3028" s="5"/>
      <c r="L3028" s="5"/>
      <c r="M3028" s="5"/>
      <c r="N3028" s="5"/>
      <c r="O3028" s="5"/>
      <c r="P3028" s="5"/>
      <c r="Q3028" s="5"/>
      <c r="AL3028" s="7" t="str">
        <f>HYPERLINK("http://dx.doi.org/10.1007/s11252-022-01310-y","http://dx.doi.org/10.1007/s11252-022-01310-y")</f>
        <v>http://dx.doi.org/10.1007/s11252-022-01310-y</v>
      </c>
      <c r="AM3028" s="5">
        <v>0</v>
      </c>
      <c r="AN3028" s="5">
        <v>0</v>
      </c>
      <c r="AO3028" s="5">
        <v>26</v>
      </c>
      <c r="AP3028" s="5">
        <v>3</v>
      </c>
      <c r="AQ3028" s="5">
        <v>629</v>
      </c>
      <c r="AR3028" s="5">
        <v>639</v>
      </c>
      <c r="AS3028" s="5" t="s">
        <v>16</v>
      </c>
      <c r="AT3028" s="5" t="s">
        <v>18090</v>
      </c>
      <c r="AU3028" s="5" t="s">
        <v>18091</v>
      </c>
      <c r="AV3028" s="5" t="s">
        <v>18093</v>
      </c>
    </row>
    <row r="3029" spans="1:48" ht="45" customHeight="1" x14ac:dyDescent="0.15">
      <c r="A3029" s="5" t="s">
        <v>18094</v>
      </c>
      <c r="B3029" s="5">
        <v>2008</v>
      </c>
      <c r="C3029" s="5" t="s">
        <v>18095</v>
      </c>
      <c r="D3029" s="5" t="s">
        <v>2020</v>
      </c>
      <c r="E3029" s="5" t="s">
        <v>18453</v>
      </c>
      <c r="F3029" s="5" t="s">
        <v>18098</v>
      </c>
      <c r="G3029" s="5"/>
      <c r="H3029" s="5"/>
      <c r="I3029" s="5"/>
      <c r="J3029" s="5"/>
      <c r="K3029" s="5"/>
      <c r="L3029" s="5"/>
      <c r="M3029" s="5"/>
      <c r="N3029" s="5"/>
      <c r="O3029" s="5"/>
      <c r="P3029" s="5"/>
      <c r="Q3029" s="5"/>
      <c r="AL3029" s="5" t="s">
        <v>16</v>
      </c>
      <c r="AM3029" s="5">
        <v>25</v>
      </c>
      <c r="AN3029" s="5">
        <v>25</v>
      </c>
      <c r="AO3029" s="5">
        <v>13</v>
      </c>
      <c r="AP3029" s="5">
        <v>2</v>
      </c>
      <c r="AQ3029" s="5" t="s">
        <v>16</v>
      </c>
      <c r="AR3029" s="5" t="s">
        <v>16</v>
      </c>
      <c r="AS3029" s="5">
        <v>15</v>
      </c>
      <c r="AT3029" s="5" t="s">
        <v>18096</v>
      </c>
      <c r="AU3029" s="5" t="s">
        <v>18097</v>
      </c>
      <c r="AV3029" s="5" t="s">
        <v>16</v>
      </c>
    </row>
    <row r="3030" spans="1:48" ht="45" customHeight="1" x14ac:dyDescent="0.15">
      <c r="A3030" s="5" t="s">
        <v>18099</v>
      </c>
      <c r="B3030" s="5">
        <v>2019</v>
      </c>
      <c r="C3030" s="5" t="s">
        <v>18100</v>
      </c>
      <c r="D3030" s="5" t="s">
        <v>49</v>
      </c>
      <c r="E3030" s="5" t="s">
        <v>18453</v>
      </c>
      <c r="F3030" s="5" t="s">
        <v>18103</v>
      </c>
      <c r="G3030" s="5"/>
      <c r="H3030" s="5"/>
      <c r="I3030" s="5"/>
      <c r="J3030" s="5"/>
      <c r="K3030" s="5"/>
      <c r="L3030" s="5"/>
      <c r="M3030" s="5"/>
      <c r="N3030" s="5"/>
      <c r="O3030" s="5"/>
      <c r="P3030" s="5"/>
      <c r="Q3030" s="5"/>
      <c r="AL3030" s="7" t="str">
        <f>HYPERLINK("http://dx.doi.org/10.3354/meps13150","http://dx.doi.org/10.3354/meps13150")</f>
        <v>http://dx.doi.org/10.3354/meps13150</v>
      </c>
      <c r="AM3030" s="5">
        <v>7</v>
      </c>
      <c r="AN3030" s="5">
        <v>9</v>
      </c>
      <c r="AO3030" s="5">
        <v>632</v>
      </c>
      <c r="AP3030" s="5" t="s">
        <v>16</v>
      </c>
      <c r="AQ3030" s="5">
        <v>159</v>
      </c>
      <c r="AR3030" s="5">
        <v>174</v>
      </c>
      <c r="AS3030" s="5" t="s">
        <v>16</v>
      </c>
      <c r="AT3030" s="5" t="s">
        <v>18101</v>
      </c>
      <c r="AU3030" s="5" t="s">
        <v>18102</v>
      </c>
      <c r="AV3030" s="5" t="s">
        <v>18104</v>
      </c>
    </row>
    <row r="3031" spans="1:48" ht="45" customHeight="1" x14ac:dyDescent="0.15">
      <c r="A3031" s="5" t="s">
        <v>18105</v>
      </c>
      <c r="B3031" s="5">
        <v>2022</v>
      </c>
      <c r="C3031" s="5" t="s">
        <v>18106</v>
      </c>
      <c r="D3031" s="5" t="s">
        <v>44</v>
      </c>
      <c r="E3031" s="5" t="s">
        <v>18453</v>
      </c>
      <c r="F3031" s="5" t="s">
        <v>18109</v>
      </c>
      <c r="G3031" s="5"/>
      <c r="H3031" s="5"/>
      <c r="I3031" s="5"/>
      <c r="J3031" s="5"/>
      <c r="K3031" s="5"/>
      <c r="L3031" s="5"/>
      <c r="M3031" s="5"/>
      <c r="N3031" s="5"/>
      <c r="O3031" s="5"/>
      <c r="P3031" s="5"/>
      <c r="Q3031" s="5"/>
      <c r="AL3031" s="7" t="str">
        <f>HYPERLINK("http://dx.doi.org/10.3389/fevo.2022.927238","http://dx.doi.org/10.3389/fevo.2022.927238")</f>
        <v>http://dx.doi.org/10.3389/fevo.2022.927238</v>
      </c>
      <c r="AM3031" s="5">
        <v>0</v>
      </c>
      <c r="AN3031" s="5">
        <v>0</v>
      </c>
      <c r="AO3031" s="5">
        <v>10</v>
      </c>
      <c r="AP3031" s="5" t="s">
        <v>16</v>
      </c>
      <c r="AQ3031" s="5" t="s">
        <v>16</v>
      </c>
      <c r="AR3031" s="5" t="s">
        <v>16</v>
      </c>
      <c r="AS3031" s="5">
        <v>927238</v>
      </c>
      <c r="AT3031" s="5" t="s">
        <v>18107</v>
      </c>
      <c r="AU3031" s="5" t="s">
        <v>18108</v>
      </c>
      <c r="AV3031" s="5" t="s">
        <v>18110</v>
      </c>
    </row>
    <row r="3032" spans="1:48" ht="45" customHeight="1" x14ac:dyDescent="0.15">
      <c r="A3032" s="5" t="s">
        <v>18111</v>
      </c>
      <c r="B3032" s="5">
        <v>2018</v>
      </c>
      <c r="C3032" s="5" t="s">
        <v>18112</v>
      </c>
      <c r="D3032" s="5" t="s">
        <v>973</v>
      </c>
      <c r="E3032" s="5" t="s">
        <v>18453</v>
      </c>
      <c r="F3032" s="5" t="s">
        <v>18114</v>
      </c>
      <c r="G3032" s="5"/>
      <c r="H3032" s="5"/>
      <c r="I3032" s="5"/>
      <c r="J3032" s="5"/>
      <c r="K3032" s="5"/>
      <c r="L3032" s="5"/>
      <c r="M3032" s="5"/>
      <c r="N3032" s="5"/>
      <c r="O3032" s="5"/>
      <c r="P3032" s="5"/>
      <c r="Q3032" s="5"/>
      <c r="AL3032" s="7" t="str">
        <f>HYPERLINK("http://dx.doi.org/10.5194/bg-15-369-2018","http://dx.doi.org/10.5194/bg-15-369-2018")</f>
        <v>http://dx.doi.org/10.5194/bg-15-369-2018</v>
      </c>
      <c r="AM3032" s="5">
        <v>9</v>
      </c>
      <c r="AN3032" s="5">
        <v>10</v>
      </c>
      <c r="AO3032" s="5">
        <v>15</v>
      </c>
      <c r="AP3032" s="5">
        <v>1</v>
      </c>
      <c r="AQ3032" s="5">
        <v>369</v>
      </c>
      <c r="AR3032" s="5">
        <v>377</v>
      </c>
      <c r="AS3032" s="5" t="s">
        <v>16</v>
      </c>
      <c r="AT3032" s="5" t="s">
        <v>16</v>
      </c>
      <c r="AU3032" s="5" t="s">
        <v>18113</v>
      </c>
      <c r="AV3032" s="5" t="s">
        <v>18115</v>
      </c>
    </row>
    <row r="3033" spans="1:48" ht="45" customHeight="1" x14ac:dyDescent="0.15">
      <c r="A3033" s="5" t="s">
        <v>18116</v>
      </c>
      <c r="B3033" s="5">
        <v>2022</v>
      </c>
      <c r="C3033" s="5" t="s">
        <v>18117</v>
      </c>
      <c r="D3033" s="5" t="s">
        <v>67</v>
      </c>
      <c r="E3033" s="5" t="s">
        <v>18453</v>
      </c>
      <c r="F3033" s="5" t="s">
        <v>18120</v>
      </c>
      <c r="G3033" s="5"/>
      <c r="H3033" s="5"/>
      <c r="I3033" s="5"/>
      <c r="J3033" s="5"/>
      <c r="K3033" s="5"/>
      <c r="L3033" s="5"/>
      <c r="M3033" s="5"/>
      <c r="N3033" s="5"/>
      <c r="O3033" s="5"/>
      <c r="P3033" s="5"/>
      <c r="Q3033" s="5"/>
      <c r="AL3033" s="7" t="str">
        <f>HYPERLINK("http://dx.doi.org/10.1111/jbi.14383","http://dx.doi.org/10.1111/jbi.14383")</f>
        <v>http://dx.doi.org/10.1111/jbi.14383</v>
      </c>
      <c r="AM3033" s="5">
        <v>1</v>
      </c>
      <c r="AN3033" s="5">
        <v>1</v>
      </c>
      <c r="AO3033" s="5">
        <v>49</v>
      </c>
      <c r="AP3033" s="5">
        <v>7</v>
      </c>
      <c r="AQ3033" s="5">
        <v>1313</v>
      </c>
      <c r="AR3033" s="5">
        <v>1326</v>
      </c>
      <c r="AS3033" s="5" t="s">
        <v>16</v>
      </c>
      <c r="AT3033" s="5" t="s">
        <v>18118</v>
      </c>
      <c r="AU3033" s="5" t="s">
        <v>18119</v>
      </c>
      <c r="AV3033" s="5" t="s">
        <v>18121</v>
      </c>
    </row>
    <row r="3034" spans="1:48" ht="45" customHeight="1" x14ac:dyDescent="0.15">
      <c r="A3034" s="5" t="s">
        <v>18122</v>
      </c>
      <c r="B3034" s="5">
        <v>2008</v>
      </c>
      <c r="C3034" s="5" t="s">
        <v>18123</v>
      </c>
      <c r="D3034" s="5" t="s">
        <v>212</v>
      </c>
      <c r="E3034" s="5" t="s">
        <v>18453</v>
      </c>
      <c r="F3034" s="5" t="s">
        <v>18126</v>
      </c>
      <c r="G3034" s="5"/>
      <c r="H3034" s="5"/>
      <c r="I3034" s="5"/>
      <c r="J3034" s="5"/>
      <c r="K3034" s="5"/>
      <c r="L3034" s="5"/>
      <c r="M3034" s="5"/>
      <c r="N3034" s="5"/>
      <c r="O3034" s="5"/>
      <c r="P3034" s="5"/>
      <c r="Q3034" s="5"/>
      <c r="AL3034" s="7" t="str">
        <f>HYPERLINK("http://dx.doi.org/10.1007/s00300-007-0340-9","http://dx.doi.org/10.1007/s00300-007-0340-9")</f>
        <v>http://dx.doi.org/10.1007/s00300-007-0340-9</v>
      </c>
      <c r="AM3034" s="5">
        <v>13</v>
      </c>
      <c r="AN3034" s="5">
        <v>15</v>
      </c>
      <c r="AO3034" s="5">
        <v>31</v>
      </c>
      <c r="AP3034" s="5">
        <v>2</v>
      </c>
      <c r="AQ3034" s="5">
        <v>131</v>
      </c>
      <c r="AR3034" s="5">
        <v>138</v>
      </c>
      <c r="AS3034" s="5" t="s">
        <v>16</v>
      </c>
      <c r="AT3034" s="5" t="s">
        <v>18124</v>
      </c>
      <c r="AU3034" s="5" t="s">
        <v>18125</v>
      </c>
      <c r="AV3034" s="5" t="s">
        <v>18127</v>
      </c>
    </row>
    <row r="3035" spans="1:48" ht="45" customHeight="1" x14ac:dyDescent="0.15">
      <c r="A3035" s="5" t="s">
        <v>18128</v>
      </c>
      <c r="B3035" s="5">
        <v>1984</v>
      </c>
      <c r="C3035" s="5" t="s">
        <v>18129</v>
      </c>
      <c r="D3035" s="5" t="s">
        <v>14255</v>
      </c>
      <c r="E3035" s="5" t="s">
        <v>18453</v>
      </c>
      <c r="F3035" s="5" t="s">
        <v>16</v>
      </c>
      <c r="G3035" s="5"/>
      <c r="H3035" s="5"/>
      <c r="I3035" s="5"/>
      <c r="J3035" s="5"/>
      <c r="K3035" s="5"/>
      <c r="L3035" s="5"/>
      <c r="M3035" s="5"/>
      <c r="N3035" s="5"/>
      <c r="O3035" s="5"/>
      <c r="P3035" s="5"/>
      <c r="Q3035" s="5"/>
      <c r="AL3035" s="5" t="s">
        <v>16</v>
      </c>
      <c r="AM3035" s="5">
        <v>10</v>
      </c>
      <c r="AN3035" s="5">
        <v>10</v>
      </c>
      <c r="AO3035" s="5">
        <v>9</v>
      </c>
      <c r="AP3035" s="5">
        <v>3</v>
      </c>
      <c r="AQ3035" s="5">
        <v>125</v>
      </c>
      <c r="AR3035" s="5">
        <v>131</v>
      </c>
      <c r="AS3035" s="5" t="s">
        <v>16</v>
      </c>
      <c r="AT3035" s="5" t="s">
        <v>16</v>
      </c>
      <c r="AU3035" s="5" t="s">
        <v>16</v>
      </c>
      <c r="AV3035" s="5" t="s">
        <v>16</v>
      </c>
    </row>
    <row r="3036" spans="1:48" ht="45" customHeight="1" x14ac:dyDescent="0.15">
      <c r="A3036" s="5" t="s">
        <v>18130</v>
      </c>
      <c r="B3036" s="5">
        <v>2018</v>
      </c>
      <c r="C3036" s="5" t="s">
        <v>18131</v>
      </c>
      <c r="D3036" s="5" t="s">
        <v>2087</v>
      </c>
      <c r="E3036" s="5" t="s">
        <v>18453</v>
      </c>
      <c r="F3036" s="5" t="s">
        <v>18134</v>
      </c>
      <c r="G3036" s="5"/>
      <c r="H3036" s="5"/>
      <c r="I3036" s="5"/>
      <c r="J3036" s="5"/>
      <c r="K3036" s="5"/>
      <c r="L3036" s="5"/>
      <c r="M3036" s="5"/>
      <c r="N3036" s="5"/>
      <c r="O3036" s="5"/>
      <c r="P3036" s="5"/>
      <c r="Q3036" s="5"/>
      <c r="AL3036" s="7" t="str">
        <f>HYPERLINK("http://dx.doi.org/10.1002/eco.1921","http://dx.doi.org/10.1002/eco.1921")</f>
        <v>http://dx.doi.org/10.1002/eco.1921</v>
      </c>
      <c r="AM3036" s="5">
        <v>37</v>
      </c>
      <c r="AN3036" s="5">
        <v>37</v>
      </c>
      <c r="AO3036" s="5">
        <v>11</v>
      </c>
      <c r="AP3036" s="5">
        <v>3</v>
      </c>
      <c r="AQ3036" s="5" t="s">
        <v>16</v>
      </c>
      <c r="AR3036" s="5" t="s">
        <v>16</v>
      </c>
      <c r="AS3036" s="5" t="s">
        <v>18135</v>
      </c>
      <c r="AT3036" s="5" t="s">
        <v>18132</v>
      </c>
      <c r="AU3036" s="5" t="s">
        <v>18133</v>
      </c>
      <c r="AV3036" s="5" t="s">
        <v>18136</v>
      </c>
    </row>
    <row r="3037" spans="1:48" ht="45" customHeight="1" x14ac:dyDescent="0.15">
      <c r="A3037" s="5" t="s">
        <v>18137</v>
      </c>
      <c r="B3037" s="5">
        <v>2018</v>
      </c>
      <c r="C3037" s="5" t="s">
        <v>18138</v>
      </c>
      <c r="D3037" s="5" t="s">
        <v>162</v>
      </c>
      <c r="E3037" s="5" t="s">
        <v>18453</v>
      </c>
      <c r="F3037" s="5" t="s">
        <v>18141</v>
      </c>
      <c r="G3037" s="5"/>
      <c r="H3037" s="5"/>
      <c r="I3037" s="5"/>
      <c r="J3037" s="5"/>
      <c r="K3037" s="5"/>
      <c r="L3037" s="5"/>
      <c r="M3037" s="5"/>
      <c r="N3037" s="5"/>
      <c r="O3037" s="5"/>
      <c r="P3037" s="5"/>
      <c r="Q3037" s="5"/>
      <c r="AL3037" s="7" t="str">
        <f>HYPERLINK("http://dx.doi.org/10.1111/1365-2435.12988","http://dx.doi.org/10.1111/1365-2435.12988")</f>
        <v>http://dx.doi.org/10.1111/1365-2435.12988</v>
      </c>
      <c r="AM3037" s="5">
        <v>21</v>
      </c>
      <c r="AN3037" s="5">
        <v>21</v>
      </c>
      <c r="AO3037" s="5">
        <v>32</v>
      </c>
      <c r="AP3037" s="5">
        <v>2</v>
      </c>
      <c r="AQ3037" s="5">
        <v>345</v>
      </c>
      <c r="AR3037" s="5">
        <v>357</v>
      </c>
      <c r="AS3037" s="5" t="s">
        <v>16</v>
      </c>
      <c r="AT3037" s="5" t="s">
        <v>18139</v>
      </c>
      <c r="AU3037" s="5" t="s">
        <v>18140</v>
      </c>
      <c r="AV3037" s="5" t="s">
        <v>18142</v>
      </c>
    </row>
    <row r="3038" spans="1:48" ht="45" customHeight="1" x14ac:dyDescent="0.15">
      <c r="A3038" s="5" t="s">
        <v>18143</v>
      </c>
      <c r="B3038" s="5">
        <v>2019</v>
      </c>
      <c r="C3038" s="5" t="s">
        <v>18144</v>
      </c>
      <c r="D3038" s="5" t="s">
        <v>690</v>
      </c>
      <c r="E3038" s="5" t="s">
        <v>18453</v>
      </c>
      <c r="F3038" s="5" t="s">
        <v>18147</v>
      </c>
      <c r="G3038" s="5"/>
      <c r="H3038" s="5"/>
      <c r="I3038" s="5"/>
      <c r="J3038" s="5"/>
      <c r="K3038" s="5"/>
      <c r="L3038" s="5"/>
      <c r="M3038" s="5"/>
      <c r="N3038" s="5"/>
      <c r="O3038" s="5"/>
      <c r="P3038" s="5"/>
      <c r="Q3038" s="5"/>
      <c r="AL3038" s="7" t="str">
        <f>HYPERLINK("http://dx.doi.org/10.1111/mec.15087","http://dx.doi.org/10.1111/mec.15087")</f>
        <v>http://dx.doi.org/10.1111/mec.15087</v>
      </c>
      <c r="AM3038" s="5">
        <v>38</v>
      </c>
      <c r="AN3038" s="5">
        <v>38</v>
      </c>
      <c r="AO3038" s="5">
        <v>28</v>
      </c>
      <c r="AP3038" s="5">
        <v>10</v>
      </c>
      <c r="AQ3038" s="5">
        <v>2653</v>
      </c>
      <c r="AR3038" s="5">
        <v>2667</v>
      </c>
      <c r="AS3038" s="5" t="s">
        <v>16</v>
      </c>
      <c r="AT3038" s="5" t="s">
        <v>18145</v>
      </c>
      <c r="AU3038" s="5" t="s">
        <v>18146</v>
      </c>
      <c r="AV3038" s="5" t="s">
        <v>18148</v>
      </c>
    </row>
    <row r="3039" spans="1:48" ht="45" customHeight="1" x14ac:dyDescent="0.15">
      <c r="A3039" s="5" t="s">
        <v>18149</v>
      </c>
      <c r="B3039" s="5">
        <v>2006</v>
      </c>
      <c r="C3039" s="5" t="s">
        <v>18150</v>
      </c>
      <c r="D3039" s="5" t="s">
        <v>3860</v>
      </c>
      <c r="E3039" s="5" t="s">
        <v>18453</v>
      </c>
      <c r="F3039" s="5" t="s">
        <v>18153</v>
      </c>
      <c r="G3039" s="5"/>
      <c r="H3039" s="5"/>
      <c r="I3039" s="5"/>
      <c r="J3039" s="5"/>
      <c r="K3039" s="5"/>
      <c r="L3039" s="5"/>
      <c r="M3039" s="5"/>
      <c r="N3039" s="5"/>
      <c r="O3039" s="5"/>
      <c r="P3039" s="5"/>
      <c r="Q3039" s="5"/>
      <c r="AL3039" s="7" t="str">
        <f>HYPERLINK("http://dx.doi.org/10.1556/ComEc.7.2006.2.9","http://dx.doi.org/10.1556/ComEc.7.2006.2.9")</f>
        <v>http://dx.doi.org/10.1556/ComEc.7.2006.2.9</v>
      </c>
      <c r="AM3039" s="5">
        <v>10</v>
      </c>
      <c r="AN3039" s="5">
        <v>12</v>
      </c>
      <c r="AO3039" s="5">
        <v>7</v>
      </c>
      <c r="AP3039" s="5">
        <v>2</v>
      </c>
      <c r="AQ3039" s="5">
        <v>223</v>
      </c>
      <c r="AR3039" s="5">
        <v>234</v>
      </c>
      <c r="AS3039" s="5" t="s">
        <v>16</v>
      </c>
      <c r="AT3039" s="5" t="s">
        <v>18151</v>
      </c>
      <c r="AU3039" s="5" t="s">
        <v>18152</v>
      </c>
      <c r="AV3039" s="5" t="s">
        <v>18154</v>
      </c>
    </row>
    <row r="3040" spans="1:48" ht="45" customHeight="1" x14ac:dyDescent="0.15">
      <c r="A3040" s="5" t="s">
        <v>18155</v>
      </c>
      <c r="B3040" s="5">
        <v>2018</v>
      </c>
      <c r="C3040" s="5" t="s">
        <v>18156</v>
      </c>
      <c r="D3040" s="5" t="s">
        <v>49</v>
      </c>
      <c r="E3040" s="5" t="s">
        <v>18453</v>
      </c>
      <c r="F3040" s="5" t="s">
        <v>18159</v>
      </c>
      <c r="G3040" s="5"/>
      <c r="H3040" s="5"/>
      <c r="I3040" s="5"/>
      <c r="J3040" s="5"/>
      <c r="K3040" s="5"/>
      <c r="L3040" s="5"/>
      <c r="M3040" s="5"/>
      <c r="N3040" s="5"/>
      <c r="O3040" s="5"/>
      <c r="P3040" s="5"/>
      <c r="Q3040" s="5"/>
      <c r="AL3040" s="7" t="str">
        <f>HYPERLINK("http://dx.doi.org/10.3354/meps12638","http://dx.doi.org/10.3354/meps12638")</f>
        <v>http://dx.doi.org/10.3354/meps12638</v>
      </c>
      <c r="AM3040" s="5">
        <v>10</v>
      </c>
      <c r="AN3040" s="5">
        <v>10</v>
      </c>
      <c r="AO3040" s="5">
        <v>600</v>
      </c>
      <c r="AP3040" s="5" t="s">
        <v>16</v>
      </c>
      <c r="AQ3040" s="5">
        <v>207</v>
      </c>
      <c r="AR3040" s="5">
        <v>222</v>
      </c>
      <c r="AS3040" s="5" t="s">
        <v>16</v>
      </c>
      <c r="AT3040" s="5" t="s">
        <v>18157</v>
      </c>
      <c r="AU3040" s="5" t="s">
        <v>18158</v>
      </c>
      <c r="AV3040" s="5" t="s">
        <v>18160</v>
      </c>
    </row>
    <row r="3041" spans="1:48" ht="45" customHeight="1" x14ac:dyDescent="0.15">
      <c r="A3041" s="5" t="s">
        <v>18161</v>
      </c>
      <c r="B3041" s="5">
        <v>2005</v>
      </c>
      <c r="C3041" s="5" t="s">
        <v>18162</v>
      </c>
      <c r="D3041" s="5" t="s">
        <v>49</v>
      </c>
      <c r="E3041" s="5" t="s">
        <v>18453</v>
      </c>
      <c r="F3041" s="5" t="s">
        <v>18165</v>
      </c>
      <c r="G3041" s="5"/>
      <c r="H3041" s="5"/>
      <c r="I3041" s="5"/>
      <c r="J3041" s="5"/>
      <c r="K3041" s="5"/>
      <c r="L3041" s="5"/>
      <c r="M3041" s="5"/>
      <c r="N3041" s="5"/>
      <c r="O3041" s="5"/>
      <c r="P3041" s="5"/>
      <c r="Q3041" s="5"/>
      <c r="AL3041" s="7" t="str">
        <f>HYPERLINK("http://dx.doi.org/10.3354/meps293191","http://dx.doi.org/10.3354/meps293191")</f>
        <v>http://dx.doi.org/10.3354/meps293191</v>
      </c>
      <c r="AM3041" s="5">
        <v>60</v>
      </c>
      <c r="AN3041" s="5">
        <v>60</v>
      </c>
      <c r="AO3041" s="5">
        <v>293</v>
      </c>
      <c r="AP3041" s="5" t="s">
        <v>16</v>
      </c>
      <c r="AQ3041" s="5">
        <v>191</v>
      </c>
      <c r="AR3041" s="5">
        <v>200</v>
      </c>
      <c r="AS3041" s="5" t="s">
        <v>16</v>
      </c>
      <c r="AT3041" s="5" t="s">
        <v>18163</v>
      </c>
      <c r="AU3041" s="5" t="s">
        <v>18164</v>
      </c>
      <c r="AV3041" s="5" t="s">
        <v>18166</v>
      </c>
    </row>
    <row r="3042" spans="1:48" ht="45" customHeight="1" x14ac:dyDescent="0.15">
      <c r="A3042" s="5" t="s">
        <v>18167</v>
      </c>
      <c r="B3042" s="5">
        <v>2017</v>
      </c>
      <c r="C3042" s="5" t="s">
        <v>18168</v>
      </c>
      <c r="D3042" s="5" t="s">
        <v>5517</v>
      </c>
      <c r="E3042" s="5" t="s">
        <v>18453</v>
      </c>
      <c r="F3042" s="5" t="s">
        <v>18170</v>
      </c>
      <c r="G3042" s="5"/>
      <c r="H3042" s="5"/>
      <c r="I3042" s="5"/>
      <c r="J3042" s="5"/>
      <c r="K3042" s="5"/>
      <c r="L3042" s="5"/>
      <c r="M3042" s="5"/>
      <c r="N3042" s="5"/>
      <c r="O3042" s="5"/>
      <c r="P3042" s="5"/>
      <c r="Q3042" s="5"/>
      <c r="AL3042" s="7" t="str">
        <f>HYPERLINK("http://dx.doi.org/10.1038/ismej.2017.3","http://dx.doi.org/10.1038/ismej.2017.3")</f>
        <v>http://dx.doi.org/10.1038/ismej.2017.3</v>
      </c>
      <c r="AM3042" s="5">
        <v>30</v>
      </c>
      <c r="AN3042" s="5">
        <v>31</v>
      </c>
      <c r="AO3042" s="5">
        <v>11</v>
      </c>
      <c r="AP3042" s="5">
        <v>6</v>
      </c>
      <c r="AQ3042" s="5">
        <v>1423</v>
      </c>
      <c r="AR3042" s="5">
        <v>1433</v>
      </c>
      <c r="AS3042" s="5" t="s">
        <v>16</v>
      </c>
      <c r="AT3042" s="5" t="s">
        <v>16</v>
      </c>
      <c r="AU3042" s="5" t="s">
        <v>18169</v>
      </c>
      <c r="AV3042" s="5" t="s">
        <v>18171</v>
      </c>
    </row>
    <row r="3043" spans="1:48" ht="45" customHeight="1" x14ac:dyDescent="0.15">
      <c r="A3043" s="5" t="s">
        <v>18172</v>
      </c>
      <c r="B3043" s="5">
        <v>2012</v>
      </c>
      <c r="C3043" s="5" t="s">
        <v>18173</v>
      </c>
      <c r="D3043" s="5" t="s">
        <v>296</v>
      </c>
      <c r="E3043" s="5" t="s">
        <v>18453</v>
      </c>
      <c r="F3043" s="5" t="s">
        <v>18176</v>
      </c>
      <c r="G3043" s="5"/>
      <c r="H3043" s="5"/>
      <c r="I3043" s="5"/>
      <c r="J3043" s="5"/>
      <c r="K3043" s="5"/>
      <c r="L3043" s="5"/>
      <c r="M3043" s="5"/>
      <c r="N3043" s="5"/>
      <c r="O3043" s="5"/>
      <c r="P3043" s="5"/>
      <c r="Q3043" s="5"/>
      <c r="AL3043" s="7" t="str">
        <f>HYPERLINK("http://dx.doi.org/10.1098/rspb.2012.0902","http://dx.doi.org/10.1098/rspb.2012.0902")</f>
        <v>http://dx.doi.org/10.1098/rspb.2012.0902</v>
      </c>
      <c r="AM3043" s="5">
        <v>47</v>
      </c>
      <c r="AN3043" s="5">
        <v>48</v>
      </c>
      <c r="AO3043" s="5">
        <v>279</v>
      </c>
      <c r="AP3043" s="5">
        <v>1743</v>
      </c>
      <c r="AQ3043" s="5">
        <v>3772</v>
      </c>
      <c r="AR3043" s="5">
        <v>3778</v>
      </c>
      <c r="AS3043" s="5" t="s">
        <v>16</v>
      </c>
      <c r="AT3043" s="5" t="s">
        <v>18174</v>
      </c>
      <c r="AU3043" s="5" t="s">
        <v>18175</v>
      </c>
      <c r="AV3043" s="5" t="s">
        <v>18177</v>
      </c>
    </row>
    <row r="3044" spans="1:48" ht="45" customHeight="1" x14ac:dyDescent="0.15">
      <c r="A3044" s="5" t="s">
        <v>18178</v>
      </c>
      <c r="B3044" s="5">
        <v>2015</v>
      </c>
      <c r="C3044" s="5" t="s">
        <v>18179</v>
      </c>
      <c r="D3044" s="5" t="s">
        <v>973</v>
      </c>
      <c r="E3044" s="5" t="s">
        <v>18453</v>
      </c>
      <c r="F3044" s="5" t="s">
        <v>18181</v>
      </c>
      <c r="G3044" s="5"/>
      <c r="H3044" s="5"/>
      <c r="I3044" s="5"/>
      <c r="J3044" s="5"/>
      <c r="K3044" s="5"/>
      <c r="L3044" s="5"/>
      <c r="M3044" s="5"/>
      <c r="N3044" s="5"/>
      <c r="O3044" s="5"/>
      <c r="P3044" s="5"/>
      <c r="Q3044" s="5"/>
      <c r="AL3044" s="7" t="str">
        <f>HYPERLINK("http://dx.doi.org/10.5194/bg-12-1073-2015","http://dx.doi.org/10.5194/bg-12-1073-2015")</f>
        <v>http://dx.doi.org/10.5194/bg-12-1073-2015</v>
      </c>
      <c r="AM3044" s="5">
        <v>15</v>
      </c>
      <c r="AN3044" s="5">
        <v>15</v>
      </c>
      <c r="AO3044" s="5">
        <v>12</v>
      </c>
      <c r="AP3044" s="5">
        <v>4</v>
      </c>
      <c r="AQ3044" s="5">
        <v>1073</v>
      </c>
      <c r="AR3044" s="5">
        <v>1089</v>
      </c>
      <c r="AS3044" s="5" t="s">
        <v>16</v>
      </c>
      <c r="AT3044" s="5" t="s">
        <v>16</v>
      </c>
      <c r="AU3044" s="5" t="s">
        <v>18180</v>
      </c>
      <c r="AV3044" s="5" t="s">
        <v>18182</v>
      </c>
    </row>
    <row r="3045" spans="1:48" ht="45" customHeight="1" x14ac:dyDescent="0.15">
      <c r="A3045" s="5" t="s">
        <v>18183</v>
      </c>
      <c r="B3045" s="5">
        <v>2010</v>
      </c>
      <c r="C3045" s="5" t="s">
        <v>18184</v>
      </c>
      <c r="D3045" s="5" t="s">
        <v>973</v>
      </c>
      <c r="E3045" s="5" t="s">
        <v>18453</v>
      </c>
      <c r="F3045" s="5" t="s">
        <v>18186</v>
      </c>
      <c r="G3045" s="5"/>
      <c r="H3045" s="5"/>
      <c r="I3045" s="5"/>
      <c r="J3045" s="5"/>
      <c r="K3045" s="5"/>
      <c r="L3045" s="5"/>
      <c r="M3045" s="5"/>
      <c r="N3045" s="5"/>
      <c r="O3045" s="5"/>
      <c r="P3045" s="5"/>
      <c r="Q3045" s="5"/>
      <c r="AL3045" s="7" t="str">
        <f>HYPERLINK("http://dx.doi.org/10.5194/bg-7-1493-2010","http://dx.doi.org/10.5194/bg-7-1493-2010")</f>
        <v>http://dx.doi.org/10.5194/bg-7-1493-2010</v>
      </c>
      <c r="AM3045" s="5">
        <v>25</v>
      </c>
      <c r="AN3045" s="5">
        <v>27</v>
      </c>
      <c r="AO3045" s="5">
        <v>7</v>
      </c>
      <c r="AP3045" s="5">
        <v>5</v>
      </c>
      <c r="AQ3045" s="5">
        <v>1493</v>
      </c>
      <c r="AR3045" s="5">
        <v>1504</v>
      </c>
      <c r="AS3045" s="5" t="s">
        <v>16</v>
      </c>
      <c r="AT3045" s="5" t="s">
        <v>16</v>
      </c>
      <c r="AU3045" s="5" t="s">
        <v>18185</v>
      </c>
      <c r="AV3045" s="5" t="s">
        <v>18187</v>
      </c>
    </row>
    <row r="3046" spans="1:48" ht="45" customHeight="1" x14ac:dyDescent="0.15">
      <c r="A3046" s="5" t="s">
        <v>18188</v>
      </c>
      <c r="B3046" s="5">
        <v>2019</v>
      </c>
      <c r="C3046" s="5" t="s">
        <v>18189</v>
      </c>
      <c r="D3046" s="5" t="s">
        <v>49</v>
      </c>
      <c r="E3046" s="5" t="s">
        <v>18453</v>
      </c>
      <c r="F3046" s="5" t="s">
        <v>18192</v>
      </c>
      <c r="G3046" s="5"/>
      <c r="H3046" s="5"/>
      <c r="I3046" s="5"/>
      <c r="J3046" s="5"/>
      <c r="K3046" s="5"/>
      <c r="L3046" s="5"/>
      <c r="M3046" s="5"/>
      <c r="N3046" s="5"/>
      <c r="O3046" s="5"/>
      <c r="P3046" s="5"/>
      <c r="Q3046" s="5"/>
      <c r="AL3046" s="7" t="str">
        <f>HYPERLINK("http://dx.doi.org/10.3354/meps12986","http://dx.doi.org/10.3354/meps12986")</f>
        <v>http://dx.doi.org/10.3354/meps12986</v>
      </c>
      <c r="AM3046" s="5">
        <v>17</v>
      </c>
      <c r="AN3046" s="5">
        <v>17</v>
      </c>
      <c r="AO3046" s="5">
        <v>622</v>
      </c>
      <c r="AP3046" s="5" t="s">
        <v>16</v>
      </c>
      <c r="AQ3046" s="5">
        <v>191</v>
      </c>
      <c r="AR3046" s="5">
        <v>201</v>
      </c>
      <c r="AS3046" s="5" t="s">
        <v>16</v>
      </c>
      <c r="AT3046" s="5" t="s">
        <v>18190</v>
      </c>
      <c r="AU3046" s="5" t="s">
        <v>18191</v>
      </c>
      <c r="AV3046" s="5" t="s">
        <v>18193</v>
      </c>
    </row>
    <row r="3047" spans="1:48" ht="45" customHeight="1" x14ac:dyDescent="0.15">
      <c r="A3047" s="5" t="s">
        <v>18194</v>
      </c>
      <c r="B3047" s="5">
        <v>2015</v>
      </c>
      <c r="C3047" s="5" t="s">
        <v>18195</v>
      </c>
      <c r="D3047" s="5" t="s">
        <v>252</v>
      </c>
      <c r="E3047" s="5" t="s">
        <v>18453</v>
      </c>
      <c r="F3047" s="5" t="s">
        <v>18198</v>
      </c>
      <c r="G3047" s="5"/>
      <c r="H3047" s="5"/>
      <c r="I3047" s="5"/>
      <c r="J3047" s="5"/>
      <c r="K3047" s="5"/>
      <c r="L3047" s="5"/>
      <c r="M3047" s="5"/>
      <c r="N3047" s="5"/>
      <c r="O3047" s="5"/>
      <c r="P3047" s="5"/>
      <c r="Q3047" s="5"/>
      <c r="AL3047" s="7" t="str">
        <f>HYPERLINK("http://dx.doi.org/10.1111/cobi.12542","http://dx.doi.org/10.1111/cobi.12542")</f>
        <v>http://dx.doi.org/10.1111/cobi.12542</v>
      </c>
      <c r="AM3047" s="5">
        <v>9</v>
      </c>
      <c r="AN3047" s="5">
        <v>9</v>
      </c>
      <c r="AO3047" s="5">
        <v>29</v>
      </c>
      <c r="AP3047" s="5">
        <v>5</v>
      </c>
      <c r="AQ3047" s="5">
        <v>1279</v>
      </c>
      <c r="AR3047" s="5">
        <v>1289</v>
      </c>
      <c r="AS3047" s="5" t="s">
        <v>16</v>
      </c>
      <c r="AT3047" s="5" t="s">
        <v>18196</v>
      </c>
      <c r="AU3047" s="5" t="s">
        <v>18197</v>
      </c>
      <c r="AV3047" s="5" t="s">
        <v>18199</v>
      </c>
    </row>
    <row r="3048" spans="1:48" ht="45" customHeight="1" x14ac:dyDescent="0.15">
      <c r="A3048" s="5" t="s">
        <v>18200</v>
      </c>
      <c r="B3048" s="5">
        <v>2012</v>
      </c>
      <c r="C3048" s="5" t="s">
        <v>18201</v>
      </c>
      <c r="D3048" s="5" t="s">
        <v>172</v>
      </c>
      <c r="E3048" s="5" t="s">
        <v>18453</v>
      </c>
      <c r="F3048" s="5" t="s">
        <v>18204</v>
      </c>
      <c r="G3048" s="5"/>
      <c r="H3048" s="5"/>
      <c r="I3048" s="5"/>
      <c r="J3048" s="5"/>
      <c r="K3048" s="5"/>
      <c r="L3048" s="5"/>
      <c r="M3048" s="5"/>
      <c r="N3048" s="5"/>
      <c r="O3048" s="5"/>
      <c r="P3048" s="5"/>
      <c r="Q3048" s="5"/>
      <c r="AL3048" s="7" t="str">
        <f>HYPERLINK("http://dx.doi.org/10.1007/s00442-012-2327-7","http://dx.doi.org/10.1007/s00442-012-2327-7")</f>
        <v>http://dx.doi.org/10.1007/s00442-012-2327-7</v>
      </c>
      <c r="AM3048" s="5">
        <v>17</v>
      </c>
      <c r="AN3048" s="5">
        <v>17</v>
      </c>
      <c r="AO3048" s="5">
        <v>170</v>
      </c>
      <c r="AP3048" s="5">
        <v>2</v>
      </c>
      <c r="AQ3048" s="5">
        <v>529</v>
      </c>
      <c r="AR3048" s="5">
        <v>540</v>
      </c>
      <c r="AS3048" s="5" t="s">
        <v>16</v>
      </c>
      <c r="AT3048" s="5" t="s">
        <v>18202</v>
      </c>
      <c r="AU3048" s="5" t="s">
        <v>18203</v>
      </c>
      <c r="AV3048" s="5" t="s">
        <v>18205</v>
      </c>
    </row>
    <row r="3049" spans="1:48" ht="45" customHeight="1" x14ac:dyDescent="0.15">
      <c r="A3049" s="5" t="s">
        <v>18206</v>
      </c>
      <c r="B3049" s="5">
        <v>2017</v>
      </c>
      <c r="C3049" s="5" t="s">
        <v>18207</v>
      </c>
      <c r="D3049" s="5" t="s">
        <v>49</v>
      </c>
      <c r="E3049" s="5" t="s">
        <v>18453</v>
      </c>
      <c r="F3049" s="5" t="s">
        <v>18210</v>
      </c>
      <c r="G3049" s="5"/>
      <c r="H3049" s="5"/>
      <c r="I3049" s="5"/>
      <c r="J3049" s="5"/>
      <c r="K3049" s="5"/>
      <c r="L3049" s="5"/>
      <c r="M3049" s="5"/>
      <c r="N3049" s="5"/>
      <c r="O3049" s="5"/>
      <c r="P3049" s="5"/>
      <c r="Q3049" s="5"/>
      <c r="AL3049" s="7" t="str">
        <f>HYPERLINK("http://dx.doi.org/10.3354/meps12060","http://dx.doi.org/10.3354/meps12060")</f>
        <v>http://dx.doi.org/10.3354/meps12060</v>
      </c>
      <c r="AM3049" s="5">
        <v>32</v>
      </c>
      <c r="AN3049" s="5">
        <v>33</v>
      </c>
      <c r="AO3049" s="5">
        <v>567</v>
      </c>
      <c r="AP3049" s="5" t="s">
        <v>16</v>
      </c>
      <c r="AQ3049" s="5">
        <v>17</v>
      </c>
      <c r="AR3049" s="5">
        <v>28</v>
      </c>
      <c r="AS3049" s="5" t="s">
        <v>16</v>
      </c>
      <c r="AT3049" s="5" t="s">
        <v>18208</v>
      </c>
      <c r="AU3049" s="5" t="s">
        <v>18209</v>
      </c>
      <c r="AV3049" s="5" t="s">
        <v>18211</v>
      </c>
    </row>
    <row r="3050" spans="1:48" ht="45" customHeight="1" x14ac:dyDescent="0.15">
      <c r="A3050" s="5" t="s">
        <v>18212</v>
      </c>
      <c r="B3050" s="5">
        <v>2019</v>
      </c>
      <c r="C3050" s="5" t="s">
        <v>18213</v>
      </c>
      <c r="D3050" s="5" t="s">
        <v>212</v>
      </c>
      <c r="E3050" s="5" t="s">
        <v>18453</v>
      </c>
      <c r="F3050" s="5" t="s">
        <v>18216</v>
      </c>
      <c r="G3050" s="5"/>
      <c r="H3050" s="5"/>
      <c r="I3050" s="5"/>
      <c r="J3050" s="5"/>
      <c r="K3050" s="5"/>
      <c r="L3050" s="5"/>
      <c r="M3050" s="5"/>
      <c r="N3050" s="5"/>
      <c r="O3050" s="5"/>
      <c r="P3050" s="5"/>
      <c r="Q3050" s="5"/>
      <c r="AL3050" s="7" t="str">
        <f>HYPERLINK("http://dx.doi.org/10.1007/s00300-018-2414-2","http://dx.doi.org/10.1007/s00300-018-2414-2")</f>
        <v>http://dx.doi.org/10.1007/s00300-018-2414-2</v>
      </c>
      <c r="AM3050" s="5">
        <v>1</v>
      </c>
      <c r="AN3050" s="5">
        <v>1</v>
      </c>
      <c r="AO3050" s="5">
        <v>42</v>
      </c>
      <c r="AP3050" s="5">
        <v>3</v>
      </c>
      <c r="AQ3050" s="5">
        <v>449</v>
      </c>
      <c r="AR3050" s="5">
        <v>460</v>
      </c>
      <c r="AS3050" s="5" t="s">
        <v>16</v>
      </c>
      <c r="AT3050" s="5" t="s">
        <v>18214</v>
      </c>
      <c r="AU3050" s="5" t="s">
        <v>18215</v>
      </c>
      <c r="AV3050" s="5" t="s">
        <v>18217</v>
      </c>
    </row>
    <row r="3051" spans="1:48" ht="45" customHeight="1" x14ac:dyDescent="0.15">
      <c r="A3051" s="5" t="s">
        <v>18218</v>
      </c>
      <c r="B3051" s="5">
        <v>2006</v>
      </c>
      <c r="C3051" s="5" t="s">
        <v>18219</v>
      </c>
      <c r="D3051" s="5" t="s">
        <v>690</v>
      </c>
      <c r="E3051" s="5" t="s">
        <v>18453</v>
      </c>
      <c r="F3051" s="5" t="s">
        <v>18222</v>
      </c>
      <c r="G3051" s="5"/>
      <c r="H3051" s="5"/>
      <c r="I3051" s="5"/>
      <c r="J3051" s="5"/>
      <c r="K3051" s="5"/>
      <c r="L3051" s="5"/>
      <c r="M3051" s="5"/>
      <c r="N3051" s="5"/>
      <c r="O3051" s="5"/>
      <c r="P3051" s="5"/>
      <c r="Q3051" s="5"/>
      <c r="AL3051" s="7" t="str">
        <f>HYPERLINK("http://dx.doi.org/10.1111/j.1365-294X.2006.02914.x","http://dx.doi.org/10.1111/j.1365-294X.2006.02914.x")</f>
        <v>http://dx.doi.org/10.1111/j.1365-294X.2006.02914.x</v>
      </c>
      <c r="AM3051" s="5">
        <v>31</v>
      </c>
      <c r="AN3051" s="5">
        <v>33</v>
      </c>
      <c r="AO3051" s="5">
        <v>15</v>
      </c>
      <c r="AP3051" s="5">
        <v>8</v>
      </c>
      <c r="AQ3051" s="5">
        <v>2141</v>
      </c>
      <c r="AR3051" s="5">
        <v>2152</v>
      </c>
      <c r="AS3051" s="5" t="s">
        <v>16</v>
      </c>
      <c r="AT3051" s="5" t="s">
        <v>18220</v>
      </c>
      <c r="AU3051" s="5" t="s">
        <v>18221</v>
      </c>
      <c r="AV3051" s="5" t="s">
        <v>18223</v>
      </c>
    </row>
    <row r="3052" spans="1:48" ht="45" customHeight="1" x14ac:dyDescent="0.15">
      <c r="A3052" s="5" t="s">
        <v>18224</v>
      </c>
      <c r="B3052" s="5">
        <v>2019</v>
      </c>
      <c r="C3052" s="5" t="s">
        <v>18225</v>
      </c>
      <c r="D3052" s="5" t="s">
        <v>163</v>
      </c>
      <c r="E3052" s="5" t="s">
        <v>18453</v>
      </c>
      <c r="F3052" s="5" t="s">
        <v>18228</v>
      </c>
      <c r="G3052" s="5"/>
      <c r="H3052" s="5"/>
      <c r="I3052" s="5"/>
      <c r="J3052" s="5"/>
      <c r="K3052" s="5"/>
      <c r="L3052" s="5"/>
      <c r="M3052" s="5"/>
      <c r="N3052" s="5"/>
      <c r="O3052" s="5"/>
      <c r="P3052" s="5"/>
      <c r="Q3052" s="5"/>
      <c r="AL3052" s="7" t="str">
        <f>HYPERLINK("http://dx.doi.org/10.1080/02757540.2019.1651844","http://dx.doi.org/10.1080/02757540.2019.1651844")</f>
        <v>http://dx.doi.org/10.1080/02757540.2019.1651844</v>
      </c>
      <c r="AM3052" s="5">
        <v>3</v>
      </c>
      <c r="AN3052" s="5">
        <v>3</v>
      </c>
      <c r="AO3052" s="5">
        <v>35</v>
      </c>
      <c r="AP3052" s="5">
        <v>9</v>
      </c>
      <c r="AQ3052" s="5">
        <v>788</v>
      </c>
      <c r="AR3052" s="5">
        <v>804</v>
      </c>
      <c r="AS3052" s="5" t="s">
        <v>16</v>
      </c>
      <c r="AT3052" s="5" t="s">
        <v>18226</v>
      </c>
      <c r="AU3052" s="5" t="s">
        <v>18227</v>
      </c>
      <c r="AV3052" s="5" t="s">
        <v>18229</v>
      </c>
    </row>
    <row r="3053" spans="1:48" ht="45" customHeight="1" x14ac:dyDescent="0.15">
      <c r="A3053" s="5" t="s">
        <v>18230</v>
      </c>
      <c r="B3053" s="5">
        <v>2023</v>
      </c>
      <c r="C3053" s="5" t="s">
        <v>18231</v>
      </c>
      <c r="D3053" s="5" t="s">
        <v>44</v>
      </c>
      <c r="E3053" s="5" t="s">
        <v>18453</v>
      </c>
      <c r="F3053" s="5" t="s">
        <v>18234</v>
      </c>
      <c r="G3053" s="5"/>
      <c r="H3053" s="5"/>
      <c r="I3053" s="5"/>
      <c r="J3053" s="5"/>
      <c r="K3053" s="5"/>
      <c r="L3053" s="5"/>
      <c r="M3053" s="5"/>
      <c r="N3053" s="5"/>
      <c r="O3053" s="5"/>
      <c r="P3053" s="5"/>
      <c r="Q3053" s="5"/>
      <c r="AL3053" s="7" t="str">
        <f>HYPERLINK("http://dx.doi.org/10.3389/fevo.2023.1121189","http://dx.doi.org/10.3389/fevo.2023.1121189")</f>
        <v>http://dx.doi.org/10.3389/fevo.2023.1121189</v>
      </c>
      <c r="AM3053" s="5">
        <v>0</v>
      </c>
      <c r="AN3053" s="5">
        <v>0</v>
      </c>
      <c r="AO3053" s="5">
        <v>11</v>
      </c>
      <c r="AP3053" s="5" t="s">
        <v>16</v>
      </c>
      <c r="AQ3053" s="5" t="s">
        <v>16</v>
      </c>
      <c r="AR3053" s="5" t="s">
        <v>16</v>
      </c>
      <c r="AS3053" s="5">
        <v>1121189</v>
      </c>
      <c r="AT3053" s="5" t="s">
        <v>18232</v>
      </c>
      <c r="AU3053" s="5" t="s">
        <v>18233</v>
      </c>
      <c r="AV3053" s="5" t="s">
        <v>18235</v>
      </c>
    </row>
    <row r="3054" spans="1:48" ht="45" customHeight="1" x14ac:dyDescent="0.15">
      <c r="A3054" s="5" t="s">
        <v>18236</v>
      </c>
      <c r="B3054" s="5">
        <v>2015</v>
      </c>
      <c r="C3054" s="5" t="s">
        <v>18237</v>
      </c>
      <c r="D3054" s="5" t="s">
        <v>269</v>
      </c>
      <c r="E3054" s="5" t="s">
        <v>18453</v>
      </c>
      <c r="F3054" s="5" t="s">
        <v>18240</v>
      </c>
      <c r="G3054" s="5"/>
      <c r="H3054" s="5"/>
      <c r="I3054" s="5"/>
      <c r="J3054" s="5"/>
      <c r="K3054" s="5"/>
      <c r="L3054" s="5"/>
      <c r="M3054" s="5"/>
      <c r="N3054" s="5"/>
      <c r="O3054" s="5"/>
      <c r="P3054" s="5"/>
      <c r="Q3054" s="5"/>
      <c r="AL3054" s="7" t="str">
        <f>HYPERLINK("http://dx.doi.org/10.1080/14634988.2014.965121","http://dx.doi.org/10.1080/14634988.2014.965121")</f>
        <v>http://dx.doi.org/10.1080/14634988.2014.965121</v>
      </c>
      <c r="AM3054" s="5">
        <v>28</v>
      </c>
      <c r="AN3054" s="5">
        <v>29</v>
      </c>
      <c r="AO3054" s="5">
        <v>18</v>
      </c>
      <c r="AP3054" s="5">
        <v>1</v>
      </c>
      <c r="AQ3054" s="5">
        <v>43</v>
      </c>
      <c r="AR3054" s="5">
        <v>62</v>
      </c>
      <c r="AS3054" s="5" t="s">
        <v>16</v>
      </c>
      <c r="AT3054" s="5" t="s">
        <v>18238</v>
      </c>
      <c r="AU3054" s="5" t="s">
        <v>18239</v>
      </c>
      <c r="AV3054" s="5" t="s">
        <v>18241</v>
      </c>
    </row>
    <row r="3055" spans="1:48" ht="45" customHeight="1" x14ac:dyDescent="0.15">
      <c r="A3055" s="5" t="s">
        <v>18242</v>
      </c>
      <c r="B3055" s="5">
        <v>2013</v>
      </c>
      <c r="C3055" s="5" t="s">
        <v>18243</v>
      </c>
      <c r="D3055" s="5" t="s">
        <v>199</v>
      </c>
      <c r="E3055" s="5" t="s">
        <v>18453</v>
      </c>
      <c r="F3055" s="5" t="s">
        <v>18246</v>
      </c>
      <c r="G3055" s="5"/>
      <c r="H3055" s="5"/>
      <c r="I3055" s="5"/>
      <c r="J3055" s="5"/>
      <c r="K3055" s="5"/>
      <c r="L3055" s="5"/>
      <c r="M3055" s="5"/>
      <c r="N3055" s="5"/>
      <c r="O3055" s="5"/>
      <c r="P3055" s="5"/>
      <c r="Q3055" s="5"/>
      <c r="AL3055" s="7" t="str">
        <f>HYPERLINK("http://dx.doi.org/10.1016/j.ejsobi.2013.05.006","http://dx.doi.org/10.1016/j.ejsobi.2013.05.006")</f>
        <v>http://dx.doi.org/10.1016/j.ejsobi.2013.05.006</v>
      </c>
      <c r="AM3055" s="5">
        <v>20</v>
      </c>
      <c r="AN3055" s="5">
        <v>20</v>
      </c>
      <c r="AO3055" s="5">
        <v>58</v>
      </c>
      <c r="AP3055" s="5" t="s">
        <v>16</v>
      </c>
      <c r="AQ3055" s="5">
        <v>24</v>
      </c>
      <c r="AR3055" s="5">
        <v>31</v>
      </c>
      <c r="AS3055" s="5" t="s">
        <v>16</v>
      </c>
      <c r="AT3055" s="5" t="s">
        <v>18244</v>
      </c>
      <c r="AU3055" s="5" t="s">
        <v>18245</v>
      </c>
      <c r="AV3055" s="5" t="s">
        <v>18247</v>
      </c>
    </row>
    <row r="3056" spans="1:48" ht="45" customHeight="1" x14ac:dyDescent="0.15">
      <c r="A3056" s="5" t="s">
        <v>18248</v>
      </c>
      <c r="B3056" s="5">
        <v>2022</v>
      </c>
      <c r="C3056" s="5" t="s">
        <v>18249</v>
      </c>
      <c r="D3056" s="5" t="s">
        <v>1765</v>
      </c>
      <c r="E3056" s="5" t="s">
        <v>18453</v>
      </c>
      <c r="F3056" s="5" t="s">
        <v>18252</v>
      </c>
      <c r="G3056" s="5"/>
      <c r="H3056" s="5"/>
      <c r="I3056" s="5"/>
      <c r="J3056" s="5"/>
      <c r="K3056" s="5"/>
      <c r="L3056" s="5"/>
      <c r="M3056" s="5"/>
      <c r="N3056" s="5"/>
      <c r="O3056" s="5"/>
      <c r="P3056" s="5"/>
      <c r="Q3056" s="5"/>
      <c r="AL3056" s="7" t="str">
        <f>HYPERLINK("http://dx.doi.org/10.1016/j.agee.2022.108119","http://dx.doi.org/10.1016/j.agee.2022.108119")</f>
        <v>http://dx.doi.org/10.1016/j.agee.2022.108119</v>
      </c>
      <c r="AM3056" s="5">
        <v>3</v>
      </c>
      <c r="AN3056" s="5">
        <v>3</v>
      </c>
      <c r="AO3056" s="5">
        <v>339</v>
      </c>
      <c r="AP3056" s="5" t="s">
        <v>16</v>
      </c>
      <c r="AQ3056" s="5" t="s">
        <v>16</v>
      </c>
      <c r="AR3056" s="5" t="s">
        <v>16</v>
      </c>
      <c r="AS3056" s="5">
        <v>108119</v>
      </c>
      <c r="AT3056" s="5" t="s">
        <v>18250</v>
      </c>
      <c r="AU3056" s="5" t="s">
        <v>18251</v>
      </c>
      <c r="AV3056" s="5" t="s">
        <v>18253</v>
      </c>
    </row>
    <row r="3057" spans="1:48" ht="45" customHeight="1" x14ac:dyDescent="0.15">
      <c r="A3057" s="5" t="s">
        <v>18254</v>
      </c>
      <c r="B3057" s="5">
        <v>2012</v>
      </c>
      <c r="C3057" s="5" t="s">
        <v>18255</v>
      </c>
      <c r="D3057" s="5" t="s">
        <v>1765</v>
      </c>
      <c r="E3057" s="5" t="s">
        <v>18453</v>
      </c>
      <c r="F3057" s="5" t="s">
        <v>18258</v>
      </c>
      <c r="G3057" s="5"/>
      <c r="H3057" s="5"/>
      <c r="I3057" s="5"/>
      <c r="J3057" s="5"/>
      <c r="K3057" s="5"/>
      <c r="L3057" s="5"/>
      <c r="M3057" s="5"/>
      <c r="N3057" s="5"/>
      <c r="O3057" s="5"/>
      <c r="P3057" s="5"/>
      <c r="Q3057" s="5"/>
      <c r="AL3057" s="7" t="str">
        <f>HYPERLINK("http://dx.doi.org/10.1016/j.agee.2012.07.010","http://dx.doi.org/10.1016/j.agee.2012.07.010")</f>
        <v>http://dx.doi.org/10.1016/j.agee.2012.07.010</v>
      </c>
      <c r="AM3057" s="5">
        <v>32</v>
      </c>
      <c r="AN3057" s="5">
        <v>35</v>
      </c>
      <c r="AO3057" s="5">
        <v>159</v>
      </c>
      <c r="AP3057" s="5" t="s">
        <v>16</v>
      </c>
      <c r="AQ3057" s="5">
        <v>161</v>
      </c>
      <c r="AR3057" s="5">
        <v>169</v>
      </c>
      <c r="AS3057" s="5" t="s">
        <v>16</v>
      </c>
      <c r="AT3057" s="5" t="s">
        <v>18256</v>
      </c>
      <c r="AU3057" s="5" t="s">
        <v>18257</v>
      </c>
      <c r="AV3057" s="5" t="s">
        <v>18259</v>
      </c>
    </row>
    <row r="3058" spans="1:48" ht="45" customHeight="1" x14ac:dyDescent="0.15">
      <c r="A3058" s="5" t="s">
        <v>18260</v>
      </c>
      <c r="B3058" s="5">
        <v>2006</v>
      </c>
      <c r="C3058" s="5" t="s">
        <v>18261</v>
      </c>
      <c r="D3058" s="5" t="s">
        <v>973</v>
      </c>
      <c r="E3058" s="5" t="s">
        <v>18453</v>
      </c>
      <c r="F3058" s="5" t="s">
        <v>18263</v>
      </c>
      <c r="G3058" s="5"/>
      <c r="H3058" s="5"/>
      <c r="I3058" s="5"/>
      <c r="J3058" s="5"/>
      <c r="K3058" s="5"/>
      <c r="L3058" s="5"/>
      <c r="M3058" s="5"/>
      <c r="N3058" s="5"/>
      <c r="O3058" s="5"/>
      <c r="P3058" s="5"/>
      <c r="Q3058" s="5"/>
      <c r="AL3058" s="7" t="str">
        <f>HYPERLINK("http://dx.doi.org/10.5194/bg-3-663-2006","http://dx.doi.org/10.5194/bg-3-663-2006")</f>
        <v>http://dx.doi.org/10.5194/bg-3-663-2006</v>
      </c>
      <c r="AM3058" s="5">
        <v>99</v>
      </c>
      <c r="AN3058" s="5">
        <v>116</v>
      </c>
      <c r="AO3058" s="5">
        <v>3</v>
      </c>
      <c r="AP3058" s="5">
        <v>4</v>
      </c>
      <c r="AQ3058" s="5">
        <v>663</v>
      </c>
      <c r="AR3058" s="5">
        <v>676</v>
      </c>
      <c r="AS3058" s="5" t="s">
        <v>16</v>
      </c>
      <c r="AT3058" s="5" t="s">
        <v>16</v>
      </c>
      <c r="AU3058" s="5" t="s">
        <v>18262</v>
      </c>
      <c r="AV3058" s="5" t="s">
        <v>18264</v>
      </c>
    </row>
    <row r="3059" spans="1:48" ht="45" customHeight="1" x14ac:dyDescent="0.15">
      <c r="A3059" s="5" t="s">
        <v>18265</v>
      </c>
      <c r="B3059" s="5">
        <v>2016</v>
      </c>
      <c r="C3059" s="5" t="s">
        <v>18266</v>
      </c>
      <c r="D3059" s="5" t="s">
        <v>92</v>
      </c>
      <c r="E3059" s="5" t="s">
        <v>18453</v>
      </c>
      <c r="F3059" s="5" t="s">
        <v>18269</v>
      </c>
      <c r="G3059" s="5"/>
      <c r="H3059" s="5"/>
      <c r="I3059" s="5"/>
      <c r="J3059" s="5"/>
      <c r="K3059" s="5"/>
      <c r="L3059" s="5"/>
      <c r="M3059" s="5"/>
      <c r="N3059" s="5"/>
      <c r="O3059" s="5"/>
      <c r="P3059" s="5"/>
      <c r="Q3059" s="5"/>
      <c r="AL3059" s="7" t="str">
        <f>HYPERLINK("http://dx.doi.org/10.1086/688698","http://dx.doi.org/10.1086/688698")</f>
        <v>http://dx.doi.org/10.1086/688698</v>
      </c>
      <c r="AM3059" s="5">
        <v>7</v>
      </c>
      <c r="AN3059" s="5">
        <v>7</v>
      </c>
      <c r="AO3059" s="5">
        <v>35</v>
      </c>
      <c r="AP3059" s="5">
        <v>4</v>
      </c>
      <c r="AQ3059" s="5">
        <v>1189</v>
      </c>
      <c r="AR3059" s="5">
        <v>1201</v>
      </c>
      <c r="AS3059" s="5" t="s">
        <v>16</v>
      </c>
      <c r="AT3059" s="5" t="s">
        <v>18267</v>
      </c>
      <c r="AU3059" s="5" t="s">
        <v>18268</v>
      </c>
      <c r="AV3059" s="5" t="s">
        <v>18270</v>
      </c>
    </row>
    <row r="3060" spans="1:48" ht="45" customHeight="1" x14ac:dyDescent="0.15">
      <c r="A3060" s="5" t="s">
        <v>18271</v>
      </c>
      <c r="B3060" s="5">
        <v>2006</v>
      </c>
      <c r="C3060" s="5" t="s">
        <v>18272</v>
      </c>
      <c r="D3060" s="5" t="s">
        <v>49</v>
      </c>
      <c r="E3060" s="5" t="s">
        <v>18453</v>
      </c>
      <c r="F3060" s="5" t="s">
        <v>18275</v>
      </c>
      <c r="G3060" s="5"/>
      <c r="H3060" s="5"/>
      <c r="I3060" s="5"/>
      <c r="J3060" s="5"/>
      <c r="K3060" s="5"/>
      <c r="L3060" s="5"/>
      <c r="M3060" s="5"/>
      <c r="N3060" s="5"/>
      <c r="O3060" s="5"/>
      <c r="P3060" s="5"/>
      <c r="Q3060" s="5"/>
      <c r="AL3060" s="7" t="str">
        <f>HYPERLINK("http://dx.doi.org/10.3354/meps319297","http://dx.doi.org/10.3354/meps319297")</f>
        <v>http://dx.doi.org/10.3354/meps319297</v>
      </c>
      <c r="AM3060" s="5">
        <v>26</v>
      </c>
      <c r="AN3060" s="5">
        <v>26</v>
      </c>
      <c r="AO3060" s="5">
        <v>319</v>
      </c>
      <c r="AP3060" s="5" t="s">
        <v>16</v>
      </c>
      <c r="AQ3060" s="5">
        <v>297</v>
      </c>
      <c r="AR3060" s="5">
        <v>310</v>
      </c>
      <c r="AS3060" s="5" t="s">
        <v>16</v>
      </c>
      <c r="AT3060" s="5" t="s">
        <v>18273</v>
      </c>
      <c r="AU3060" s="5" t="s">
        <v>18274</v>
      </c>
      <c r="AV3060" s="5" t="s">
        <v>18276</v>
      </c>
    </row>
    <row r="3061" spans="1:48" ht="45" customHeight="1" x14ac:dyDescent="0.15">
      <c r="A3061" s="5" t="s">
        <v>18277</v>
      </c>
      <c r="B3061" s="5">
        <v>2009</v>
      </c>
      <c r="C3061" s="5" t="s">
        <v>18278</v>
      </c>
      <c r="D3061" s="5" t="s">
        <v>49</v>
      </c>
      <c r="E3061" s="5" t="s">
        <v>18453</v>
      </c>
      <c r="F3061" s="5" t="s">
        <v>18281</v>
      </c>
      <c r="G3061" s="5"/>
      <c r="H3061" s="5"/>
      <c r="I3061" s="5"/>
      <c r="J3061" s="5"/>
      <c r="K3061" s="5"/>
      <c r="L3061" s="5"/>
      <c r="M3061" s="5"/>
      <c r="N3061" s="5"/>
      <c r="O3061" s="5"/>
      <c r="P3061" s="5"/>
      <c r="Q3061" s="5"/>
      <c r="AL3061" s="7" t="str">
        <f>HYPERLINK("http://dx.doi.org/10.3354/meps07863","http://dx.doi.org/10.3354/meps07863")</f>
        <v>http://dx.doi.org/10.3354/meps07863</v>
      </c>
      <c r="AM3061" s="5">
        <v>19</v>
      </c>
      <c r="AN3061" s="5">
        <v>19</v>
      </c>
      <c r="AO3061" s="5">
        <v>377</v>
      </c>
      <c r="AP3061" s="5" t="s">
        <v>16</v>
      </c>
      <c r="AQ3061" s="5">
        <v>299</v>
      </c>
      <c r="AR3061" s="5">
        <v>307</v>
      </c>
      <c r="AS3061" s="5" t="s">
        <v>16</v>
      </c>
      <c r="AT3061" s="5" t="s">
        <v>18279</v>
      </c>
      <c r="AU3061" s="5" t="s">
        <v>18280</v>
      </c>
      <c r="AV3061" s="5" t="s">
        <v>18282</v>
      </c>
    </row>
    <row r="3062" spans="1:48" ht="45" customHeight="1" x14ac:dyDescent="0.15">
      <c r="A3062" s="5" t="s">
        <v>18283</v>
      </c>
      <c r="B3062" s="5">
        <v>2010</v>
      </c>
      <c r="C3062" s="5" t="s">
        <v>18284</v>
      </c>
      <c r="D3062" s="5" t="s">
        <v>49</v>
      </c>
      <c r="E3062" s="5" t="s">
        <v>18453</v>
      </c>
      <c r="F3062" s="5" t="s">
        <v>18287</v>
      </c>
      <c r="G3062" s="5"/>
      <c r="H3062" s="5"/>
      <c r="I3062" s="5"/>
      <c r="J3062" s="5"/>
      <c r="K3062" s="5"/>
      <c r="L3062" s="5"/>
      <c r="M3062" s="5"/>
      <c r="N3062" s="5"/>
      <c r="O3062" s="5"/>
      <c r="P3062" s="5"/>
      <c r="Q3062" s="5"/>
      <c r="AL3062" s="7" t="str">
        <f>HYPERLINK("http://dx.doi.org/10.3354/meps08291","http://dx.doi.org/10.3354/meps08291")</f>
        <v>http://dx.doi.org/10.3354/meps08291</v>
      </c>
      <c r="AM3062" s="5">
        <v>19</v>
      </c>
      <c r="AN3062" s="5">
        <v>21</v>
      </c>
      <c r="AO3062" s="5">
        <v>398</v>
      </c>
      <c r="AP3062" s="5" t="s">
        <v>16</v>
      </c>
      <c r="AQ3062" s="5">
        <v>245</v>
      </c>
      <c r="AR3062" s="5">
        <v>258</v>
      </c>
      <c r="AS3062" s="5" t="s">
        <v>16</v>
      </c>
      <c r="AT3062" s="5" t="s">
        <v>18285</v>
      </c>
      <c r="AU3062" s="5" t="s">
        <v>18286</v>
      </c>
      <c r="AV3062" s="5" t="s">
        <v>18288</v>
      </c>
    </row>
    <row r="3063" spans="1:48" ht="45" customHeight="1" x14ac:dyDescent="0.15">
      <c r="A3063" s="5" t="s">
        <v>18289</v>
      </c>
      <c r="B3063" s="5">
        <v>2011</v>
      </c>
      <c r="C3063" s="5" t="s">
        <v>18290</v>
      </c>
      <c r="D3063" s="5" t="s">
        <v>973</v>
      </c>
      <c r="E3063" s="5" t="s">
        <v>18453</v>
      </c>
      <c r="F3063" s="5" t="s">
        <v>18292</v>
      </c>
      <c r="G3063" s="5"/>
      <c r="H3063" s="5"/>
      <c r="I3063" s="5"/>
      <c r="J3063" s="5"/>
      <c r="K3063" s="5"/>
      <c r="L3063" s="5"/>
      <c r="M3063" s="5"/>
      <c r="N3063" s="5"/>
      <c r="O3063" s="5"/>
      <c r="P3063" s="5"/>
      <c r="Q3063" s="5"/>
      <c r="AL3063" s="7" t="str">
        <f>HYPERLINK("http://dx.doi.org/10.5194/bg-8-89-2011","http://dx.doi.org/10.5194/bg-8-89-2011")</f>
        <v>http://dx.doi.org/10.5194/bg-8-89-2011</v>
      </c>
      <c r="AM3063" s="5">
        <v>198</v>
      </c>
      <c r="AN3063" s="5">
        <v>201</v>
      </c>
      <c r="AO3063" s="5">
        <v>8</v>
      </c>
      <c r="AP3063" s="5">
        <v>1</v>
      </c>
      <c r="AQ3063" s="5">
        <v>89</v>
      </c>
      <c r="AR3063" s="5">
        <v>112</v>
      </c>
      <c r="AS3063" s="5" t="s">
        <v>16</v>
      </c>
      <c r="AT3063" s="5" t="s">
        <v>16</v>
      </c>
      <c r="AU3063" s="5" t="s">
        <v>18291</v>
      </c>
      <c r="AV3063" s="5" t="s">
        <v>18293</v>
      </c>
    </row>
    <row r="3064" spans="1:48" ht="45" customHeight="1" x14ac:dyDescent="0.15">
      <c r="A3064" s="5" t="s">
        <v>18294</v>
      </c>
      <c r="B3064" s="5">
        <v>2018</v>
      </c>
      <c r="C3064" s="5" t="s">
        <v>18295</v>
      </c>
      <c r="D3064" s="5" t="s">
        <v>15</v>
      </c>
      <c r="E3064" s="5" t="s">
        <v>18453</v>
      </c>
      <c r="F3064" s="5" t="s">
        <v>18298</v>
      </c>
      <c r="G3064" s="5"/>
      <c r="H3064" s="5"/>
      <c r="I3064" s="5"/>
      <c r="J3064" s="5"/>
      <c r="K3064" s="5"/>
      <c r="L3064" s="5"/>
      <c r="M3064" s="5"/>
      <c r="N3064" s="5"/>
      <c r="O3064" s="5"/>
      <c r="P3064" s="5"/>
      <c r="Q3064" s="5"/>
      <c r="AL3064" s="7" t="str">
        <f>HYPERLINK("http://dx.doi.org/10.1002/ece3.4474","http://dx.doi.org/10.1002/ece3.4474")</f>
        <v>http://dx.doi.org/10.1002/ece3.4474</v>
      </c>
      <c r="AM3064" s="5">
        <v>18</v>
      </c>
      <c r="AN3064" s="5">
        <v>19</v>
      </c>
      <c r="AO3064" s="5">
        <v>8</v>
      </c>
      <c r="AP3064" s="5">
        <v>19</v>
      </c>
      <c r="AQ3064" s="5">
        <v>9889</v>
      </c>
      <c r="AR3064" s="5">
        <v>9905</v>
      </c>
      <c r="AS3064" s="5" t="s">
        <v>16</v>
      </c>
      <c r="AT3064" s="5" t="s">
        <v>18296</v>
      </c>
      <c r="AU3064" s="5" t="s">
        <v>18297</v>
      </c>
      <c r="AV3064" s="5" t="s">
        <v>18299</v>
      </c>
    </row>
    <row r="3065" spans="1:48" ht="45" customHeight="1" x14ac:dyDescent="0.15">
      <c r="A3065" s="5" t="s">
        <v>18300</v>
      </c>
      <c r="B3065" s="5">
        <v>2001</v>
      </c>
      <c r="C3065" s="5" t="s">
        <v>18301</v>
      </c>
      <c r="D3065" s="5" t="s">
        <v>82</v>
      </c>
      <c r="E3065" s="5" t="s">
        <v>18453</v>
      </c>
      <c r="F3065" s="5" t="s">
        <v>18304</v>
      </c>
      <c r="G3065" s="5"/>
      <c r="H3065" s="5"/>
      <c r="I3065" s="5"/>
      <c r="J3065" s="5"/>
      <c r="K3065" s="5"/>
      <c r="L3065" s="5"/>
      <c r="M3065" s="5"/>
      <c r="N3065" s="5"/>
      <c r="O3065" s="5"/>
      <c r="P3065" s="5"/>
      <c r="Q3065" s="5"/>
      <c r="AL3065" s="7" t="str">
        <f>HYPERLINK("http://dx.doi.org/10.1890/1051-0761(2001)011[0517:PMCIFU]2.0.CO;2","http://dx.doi.org/10.1890/1051-0761(2001)011[0517:PMCIFU]2.0.CO;2")</f>
        <v>http://dx.doi.org/10.1890/1051-0761(2001)011[0517:PMCIFU]2.0.CO;2</v>
      </c>
      <c r="AM3065" s="5">
        <v>82</v>
      </c>
      <c r="AN3065" s="5">
        <v>84</v>
      </c>
      <c r="AO3065" s="5">
        <v>11</v>
      </c>
      <c r="AP3065" s="5">
        <v>2</v>
      </c>
      <c r="AQ3065" s="5">
        <v>517</v>
      </c>
      <c r="AR3065" s="5">
        <v>529</v>
      </c>
      <c r="AS3065" s="5" t="s">
        <v>16</v>
      </c>
      <c r="AT3065" s="5" t="s">
        <v>18302</v>
      </c>
      <c r="AU3065" s="5" t="s">
        <v>18303</v>
      </c>
      <c r="AV3065" s="5" t="s">
        <v>18305</v>
      </c>
    </row>
    <row r="3066" spans="1:48" ht="45" customHeight="1" x14ac:dyDescent="0.15">
      <c r="A3066" s="5" t="s">
        <v>18306</v>
      </c>
      <c r="B3066" s="5">
        <v>2018</v>
      </c>
      <c r="C3066" s="5" t="s">
        <v>18307</v>
      </c>
      <c r="D3066" s="5" t="s">
        <v>973</v>
      </c>
      <c r="E3066" s="5" t="s">
        <v>18453</v>
      </c>
      <c r="F3066" s="5" t="s">
        <v>18309</v>
      </c>
      <c r="G3066" s="5"/>
      <c r="H3066" s="5"/>
      <c r="I3066" s="5"/>
      <c r="J3066" s="5"/>
      <c r="K3066" s="5"/>
      <c r="L3066" s="5"/>
      <c r="M3066" s="5"/>
      <c r="N3066" s="5"/>
      <c r="O3066" s="5"/>
      <c r="P3066" s="5"/>
      <c r="Q3066" s="5"/>
      <c r="AL3066" s="7" t="str">
        <f>HYPERLINK("http://dx.doi.org/10.5194/bg-15-6519-2018","http://dx.doi.org/10.5194/bg-15-6519-2018")</f>
        <v>http://dx.doi.org/10.5194/bg-15-6519-2018</v>
      </c>
      <c r="AM3066" s="5">
        <v>31</v>
      </c>
      <c r="AN3066" s="5">
        <v>31</v>
      </c>
      <c r="AO3066" s="5">
        <v>15</v>
      </c>
      <c r="AP3066" s="5">
        <v>21</v>
      </c>
      <c r="AQ3066" s="5">
        <v>6519</v>
      </c>
      <c r="AR3066" s="5">
        <v>6536</v>
      </c>
      <c r="AS3066" s="5" t="s">
        <v>16</v>
      </c>
      <c r="AT3066" s="5" t="s">
        <v>16</v>
      </c>
      <c r="AU3066" s="5" t="s">
        <v>18308</v>
      </c>
      <c r="AV3066" s="5" t="s">
        <v>18310</v>
      </c>
    </row>
    <row r="3067" spans="1:48" ht="45" customHeight="1" x14ac:dyDescent="0.15">
      <c r="A3067" s="5" t="s">
        <v>18311</v>
      </c>
      <c r="B3067" s="5">
        <v>2017</v>
      </c>
      <c r="C3067" s="5" t="s">
        <v>18312</v>
      </c>
      <c r="D3067" s="5" t="s">
        <v>2087</v>
      </c>
      <c r="E3067" s="5" t="s">
        <v>18453</v>
      </c>
      <c r="F3067" s="5" t="s">
        <v>18315</v>
      </c>
      <c r="G3067" s="5"/>
      <c r="H3067" s="5"/>
      <c r="I3067" s="5"/>
      <c r="J3067" s="5"/>
      <c r="K3067" s="5"/>
      <c r="L3067" s="5"/>
      <c r="M3067" s="5"/>
      <c r="N3067" s="5"/>
      <c r="O3067" s="5"/>
      <c r="P3067" s="5"/>
      <c r="Q3067" s="5"/>
      <c r="AL3067" s="7" t="str">
        <f>HYPERLINK("http://dx.doi.org/10.1002/eco.1862","http://dx.doi.org/10.1002/eco.1862")</f>
        <v>http://dx.doi.org/10.1002/eco.1862</v>
      </c>
      <c r="AM3067" s="5">
        <v>18</v>
      </c>
      <c r="AN3067" s="5">
        <v>18</v>
      </c>
      <c r="AO3067" s="5">
        <v>10</v>
      </c>
      <c r="AP3067" s="5">
        <v>7</v>
      </c>
      <c r="AQ3067" s="5" t="s">
        <v>16</v>
      </c>
      <c r="AR3067" s="5" t="s">
        <v>16</v>
      </c>
      <c r="AS3067" s="5" t="s">
        <v>18316</v>
      </c>
      <c r="AT3067" s="5" t="s">
        <v>18313</v>
      </c>
      <c r="AU3067" s="5" t="s">
        <v>18314</v>
      </c>
      <c r="AV3067" s="5" t="s">
        <v>18317</v>
      </c>
    </row>
    <row r="3068" spans="1:48" ht="45" customHeight="1" x14ac:dyDescent="0.15">
      <c r="A3068" s="5" t="s">
        <v>18318</v>
      </c>
      <c r="B3068" s="5">
        <v>2022</v>
      </c>
      <c r="C3068" s="5" t="s">
        <v>18319</v>
      </c>
      <c r="D3068" s="5" t="s">
        <v>4005</v>
      </c>
      <c r="E3068" s="5" t="s">
        <v>18453</v>
      </c>
      <c r="F3068" s="5" t="s">
        <v>18322</v>
      </c>
      <c r="G3068" s="5"/>
      <c r="H3068" s="5"/>
      <c r="I3068" s="5"/>
      <c r="J3068" s="5"/>
      <c r="K3068" s="5"/>
      <c r="L3068" s="5"/>
      <c r="M3068" s="5"/>
      <c r="N3068" s="5"/>
      <c r="O3068" s="5"/>
      <c r="P3068" s="5"/>
      <c r="Q3068" s="5"/>
      <c r="AL3068" s="7" t="str">
        <f>HYPERLINK("http://dx.doi.org/10.1093/beheco/arac064","http://dx.doi.org/10.1093/beheco/arac064")</f>
        <v>http://dx.doi.org/10.1093/beheco/arac064</v>
      </c>
      <c r="AM3068" s="5">
        <v>0</v>
      </c>
      <c r="AN3068" s="5">
        <v>0</v>
      </c>
      <c r="AO3068" s="5">
        <v>33</v>
      </c>
      <c r="AP3068" s="5">
        <v>5</v>
      </c>
      <c r="AQ3068" s="5">
        <v>979</v>
      </c>
      <c r="AR3068" s="5">
        <v>988</v>
      </c>
      <c r="AS3068" s="5" t="s">
        <v>16</v>
      </c>
      <c r="AT3068" s="5" t="s">
        <v>18320</v>
      </c>
      <c r="AU3068" s="5" t="s">
        <v>18321</v>
      </c>
      <c r="AV3068" s="5" t="s">
        <v>18323</v>
      </c>
    </row>
    <row r="3069" spans="1:48" ht="45" customHeight="1" x14ac:dyDescent="0.15">
      <c r="A3069" s="5" t="s">
        <v>18324</v>
      </c>
      <c r="B3069" s="5">
        <v>2008</v>
      </c>
      <c r="C3069" s="5" t="s">
        <v>18325</v>
      </c>
      <c r="D3069" s="5" t="s">
        <v>312</v>
      </c>
      <c r="E3069" s="5" t="s">
        <v>18453</v>
      </c>
      <c r="F3069" s="5" t="s">
        <v>18328</v>
      </c>
      <c r="G3069" s="5"/>
      <c r="H3069" s="5"/>
      <c r="I3069" s="5"/>
      <c r="J3069" s="5"/>
      <c r="K3069" s="5"/>
      <c r="L3069" s="5"/>
      <c r="M3069" s="5"/>
      <c r="N3069" s="5"/>
      <c r="O3069" s="5"/>
      <c r="P3069" s="5"/>
      <c r="Q3069" s="5"/>
      <c r="AL3069" s="7" t="str">
        <f>HYPERLINK("http://dx.doi.org/10.1016/j.ecolmodel.2008.07.008","http://dx.doi.org/10.1016/j.ecolmodel.2008.07.008")</f>
        <v>http://dx.doi.org/10.1016/j.ecolmodel.2008.07.008</v>
      </c>
      <c r="AM3069" s="5">
        <v>23</v>
      </c>
      <c r="AN3069" s="5">
        <v>24</v>
      </c>
      <c r="AO3069" s="5">
        <v>218</v>
      </c>
      <c r="AP3069" s="5" t="s">
        <v>639</v>
      </c>
      <c r="AQ3069" s="5">
        <v>267</v>
      </c>
      <c r="AR3069" s="5">
        <v>289</v>
      </c>
      <c r="AS3069" s="5" t="s">
        <v>16</v>
      </c>
      <c r="AT3069" s="5" t="s">
        <v>18326</v>
      </c>
      <c r="AU3069" s="5" t="s">
        <v>18327</v>
      </c>
      <c r="AV3069" s="5" t="s">
        <v>18329</v>
      </c>
    </row>
    <row r="3070" spans="1:48" ht="45" customHeight="1" x14ac:dyDescent="0.15">
      <c r="A3070" s="5" t="s">
        <v>18330</v>
      </c>
      <c r="B3070" s="5">
        <v>2022</v>
      </c>
      <c r="C3070" s="5" t="s">
        <v>18331</v>
      </c>
      <c r="D3070" s="5" t="s">
        <v>18</v>
      </c>
      <c r="E3070" s="5" t="s">
        <v>18453</v>
      </c>
      <c r="F3070" s="5" t="s">
        <v>18334</v>
      </c>
      <c r="G3070" s="5"/>
      <c r="H3070" s="5"/>
      <c r="I3070" s="5"/>
      <c r="J3070" s="5"/>
      <c r="K3070" s="5"/>
      <c r="L3070" s="5"/>
      <c r="M3070" s="5"/>
      <c r="N3070" s="5"/>
      <c r="O3070" s="5"/>
      <c r="P3070" s="5"/>
      <c r="Q3070" s="5"/>
      <c r="AL3070" s="7" t="str">
        <f>HYPERLINK("http://dx.doi.org/10.1002/ecs2.4371","http://dx.doi.org/10.1002/ecs2.4371")</f>
        <v>http://dx.doi.org/10.1002/ecs2.4371</v>
      </c>
      <c r="AM3070" s="5">
        <v>1</v>
      </c>
      <c r="AN3070" s="5">
        <v>1</v>
      </c>
      <c r="AO3070" s="5">
        <v>13</v>
      </c>
      <c r="AP3070" s="5">
        <v>12</v>
      </c>
      <c r="AQ3070" s="5" t="s">
        <v>16</v>
      </c>
      <c r="AR3070" s="5" t="s">
        <v>16</v>
      </c>
      <c r="AS3070" s="5" t="s">
        <v>18335</v>
      </c>
      <c r="AT3070" s="5" t="s">
        <v>18332</v>
      </c>
      <c r="AU3070" s="5" t="s">
        <v>18333</v>
      </c>
      <c r="AV3070" s="5" t="s">
        <v>18336</v>
      </c>
    </row>
    <row r="3071" spans="1:48" ht="45" customHeight="1" x14ac:dyDescent="0.15">
      <c r="A3071" s="5" t="s">
        <v>18337</v>
      </c>
      <c r="B3071" s="5">
        <v>2021</v>
      </c>
      <c r="C3071" s="5" t="s">
        <v>18338</v>
      </c>
      <c r="D3071" s="5" t="s">
        <v>18</v>
      </c>
      <c r="E3071" s="5" t="s">
        <v>18453</v>
      </c>
      <c r="F3071" s="5" t="s">
        <v>18341</v>
      </c>
      <c r="G3071" s="5"/>
      <c r="H3071" s="5"/>
      <c r="I3071" s="5"/>
      <c r="J3071" s="5"/>
      <c r="K3071" s="5"/>
      <c r="L3071" s="5"/>
      <c r="M3071" s="5"/>
      <c r="N3071" s="5"/>
      <c r="O3071" s="5"/>
      <c r="P3071" s="5"/>
      <c r="Q3071" s="5"/>
      <c r="AL3071" s="7" t="str">
        <f>HYPERLINK("http://dx.doi.org/10.1002/ecs2.3456","http://dx.doi.org/10.1002/ecs2.3456")</f>
        <v>http://dx.doi.org/10.1002/ecs2.3456</v>
      </c>
      <c r="AM3071" s="5">
        <v>5</v>
      </c>
      <c r="AN3071" s="5">
        <v>5</v>
      </c>
      <c r="AO3071" s="5">
        <v>12</v>
      </c>
      <c r="AP3071" s="5">
        <v>4</v>
      </c>
      <c r="AQ3071" s="5" t="s">
        <v>16</v>
      </c>
      <c r="AR3071" s="5" t="s">
        <v>16</v>
      </c>
      <c r="AS3071" s="5" t="s">
        <v>18342</v>
      </c>
      <c r="AT3071" s="5" t="s">
        <v>18339</v>
      </c>
      <c r="AU3071" s="5" t="s">
        <v>18340</v>
      </c>
      <c r="AV3071" s="5" t="s">
        <v>18343</v>
      </c>
    </row>
    <row r="3072" spans="1:48" ht="45" customHeight="1" x14ac:dyDescent="0.15">
      <c r="A3072" s="5" t="s">
        <v>18344</v>
      </c>
      <c r="B3072" s="5">
        <v>2015</v>
      </c>
      <c r="C3072" s="5" t="s">
        <v>18345</v>
      </c>
      <c r="D3072" s="5" t="s">
        <v>92</v>
      </c>
      <c r="E3072" s="5" t="s">
        <v>18453</v>
      </c>
      <c r="F3072" s="5" t="s">
        <v>18348</v>
      </c>
      <c r="G3072" s="5"/>
      <c r="H3072" s="5"/>
      <c r="I3072" s="5"/>
      <c r="J3072" s="5"/>
      <c r="K3072" s="5"/>
      <c r="L3072" s="5"/>
      <c r="M3072" s="5"/>
      <c r="N3072" s="5"/>
      <c r="O3072" s="5"/>
      <c r="P3072" s="5"/>
      <c r="Q3072" s="5"/>
      <c r="AL3072" s="7" t="str">
        <f>HYPERLINK("http://dx.doi.org/10.1086/680518","http://dx.doi.org/10.1086/680518")</f>
        <v>http://dx.doi.org/10.1086/680518</v>
      </c>
      <c r="AM3072" s="5">
        <v>72</v>
      </c>
      <c r="AN3072" s="5">
        <v>73</v>
      </c>
      <c r="AO3072" s="5">
        <v>34</v>
      </c>
      <c r="AP3072" s="5">
        <v>2</v>
      </c>
      <c r="AQ3072" s="5">
        <v>399</v>
      </c>
      <c r="AR3072" s="5">
        <v>409</v>
      </c>
      <c r="AS3072" s="5" t="s">
        <v>16</v>
      </c>
      <c r="AT3072" s="5" t="s">
        <v>18346</v>
      </c>
      <c r="AU3072" s="5" t="s">
        <v>18347</v>
      </c>
      <c r="AV3072" s="5" t="s">
        <v>18349</v>
      </c>
    </row>
    <row r="3073" spans="1:48" ht="45" customHeight="1" x14ac:dyDescent="0.15">
      <c r="A3073" s="5" t="s">
        <v>18350</v>
      </c>
      <c r="B3073" s="5">
        <v>2023</v>
      </c>
      <c r="C3073" s="5" t="s">
        <v>18351</v>
      </c>
      <c r="D3073" s="5" t="s">
        <v>172</v>
      </c>
      <c r="E3073" s="5" t="s">
        <v>18453</v>
      </c>
      <c r="F3073" s="5" t="s">
        <v>18354</v>
      </c>
      <c r="G3073" s="5"/>
      <c r="H3073" s="5"/>
      <c r="I3073" s="5"/>
      <c r="J3073" s="5"/>
      <c r="K3073" s="5"/>
      <c r="L3073" s="5"/>
      <c r="M3073" s="5"/>
      <c r="N3073" s="5"/>
      <c r="O3073" s="5"/>
      <c r="P3073" s="5"/>
      <c r="Q3073" s="5"/>
      <c r="AL3073" s="7" t="str">
        <f>HYPERLINK("http://dx.doi.org/10.1007/s00442-023-05403-z","http://dx.doi.org/10.1007/s00442-023-05403-z")</f>
        <v>http://dx.doi.org/10.1007/s00442-023-05403-z</v>
      </c>
      <c r="AM3073" s="5">
        <v>0</v>
      </c>
      <c r="AN3073" s="5">
        <v>0</v>
      </c>
      <c r="AO3073" s="5" t="s">
        <v>16</v>
      </c>
      <c r="AP3073" s="5" t="s">
        <v>16</v>
      </c>
      <c r="AQ3073" s="5" t="s">
        <v>16</v>
      </c>
      <c r="AR3073" s="5" t="s">
        <v>16</v>
      </c>
      <c r="AS3073" s="5" t="s">
        <v>16</v>
      </c>
      <c r="AT3073" s="5" t="s">
        <v>18352</v>
      </c>
      <c r="AU3073" s="5" t="s">
        <v>18353</v>
      </c>
      <c r="AV3073" s="5" t="s">
        <v>18355</v>
      </c>
    </row>
    <row r="3074" spans="1:48" ht="45" customHeight="1" x14ac:dyDescent="0.15">
      <c r="A3074" s="5" t="s">
        <v>18356</v>
      </c>
      <c r="B3074" s="5">
        <v>2019</v>
      </c>
      <c r="C3074" s="5" t="s">
        <v>18357</v>
      </c>
      <c r="D3074" s="5" t="s">
        <v>17</v>
      </c>
      <c r="E3074" s="5" t="s">
        <v>18453</v>
      </c>
      <c r="F3074" s="5" t="s">
        <v>18360</v>
      </c>
      <c r="G3074" s="5"/>
      <c r="H3074" s="5"/>
      <c r="I3074" s="5"/>
      <c r="J3074" s="5"/>
      <c r="K3074" s="5"/>
      <c r="L3074" s="5"/>
      <c r="M3074" s="5"/>
      <c r="N3074" s="5"/>
      <c r="O3074" s="5"/>
      <c r="P3074" s="5"/>
      <c r="Q3074" s="5"/>
      <c r="AL3074" s="7" t="str">
        <f>HYPERLINK("http://dx.doi.org/10.1111/fwb.13234","http://dx.doi.org/10.1111/fwb.13234")</f>
        <v>http://dx.doi.org/10.1111/fwb.13234</v>
      </c>
      <c r="AM3074" s="5">
        <v>11</v>
      </c>
      <c r="AN3074" s="5">
        <v>12</v>
      </c>
      <c r="AO3074" s="5">
        <v>64</v>
      </c>
      <c r="AP3074" s="5">
        <v>3</v>
      </c>
      <c r="AQ3074" s="5">
        <v>461</v>
      </c>
      <c r="AR3074" s="5">
        <v>473</v>
      </c>
      <c r="AS3074" s="5" t="s">
        <v>16</v>
      </c>
      <c r="AT3074" s="5" t="s">
        <v>18358</v>
      </c>
      <c r="AU3074" s="5" t="s">
        <v>18359</v>
      </c>
      <c r="AV3074" s="5" t="s">
        <v>18361</v>
      </c>
    </row>
    <row r="3075" spans="1:48" ht="45" customHeight="1" x14ac:dyDescent="0.15">
      <c r="A3075" s="5" t="s">
        <v>18362</v>
      </c>
      <c r="B3075" s="5">
        <v>2012</v>
      </c>
      <c r="C3075" s="5" t="s">
        <v>18363</v>
      </c>
      <c r="D3075" s="5" t="s">
        <v>973</v>
      </c>
      <c r="E3075" s="5" t="s">
        <v>18453</v>
      </c>
      <c r="F3075" s="5" t="s">
        <v>18365</v>
      </c>
      <c r="G3075" s="5"/>
      <c r="H3075" s="5"/>
      <c r="I3075" s="5"/>
      <c r="J3075" s="5"/>
      <c r="K3075" s="5"/>
      <c r="L3075" s="5"/>
      <c r="M3075" s="5"/>
      <c r="N3075" s="5"/>
      <c r="O3075" s="5"/>
      <c r="P3075" s="5"/>
      <c r="Q3075" s="5"/>
      <c r="AL3075" s="7" t="str">
        <f>HYPERLINK("http://dx.doi.org/10.5194/bg-9-1583-2012","http://dx.doi.org/10.5194/bg-9-1583-2012")</f>
        <v>http://dx.doi.org/10.5194/bg-9-1583-2012</v>
      </c>
      <c r="AM3075" s="5">
        <v>29</v>
      </c>
      <c r="AN3075" s="5">
        <v>30</v>
      </c>
      <c r="AO3075" s="5">
        <v>9</v>
      </c>
      <c r="AP3075" s="5">
        <v>5</v>
      </c>
      <c r="AQ3075" s="5">
        <v>1583</v>
      </c>
      <c r="AR3075" s="5">
        <v>1595</v>
      </c>
      <c r="AS3075" s="5" t="s">
        <v>16</v>
      </c>
      <c r="AT3075" s="5" t="s">
        <v>16</v>
      </c>
      <c r="AU3075" s="5" t="s">
        <v>18364</v>
      </c>
      <c r="AV3075" s="5" t="s">
        <v>18366</v>
      </c>
    </row>
    <row r="3076" spans="1:48" ht="45" customHeight="1" x14ac:dyDescent="0.15">
      <c r="A3076" s="5" t="s">
        <v>18367</v>
      </c>
      <c r="B3076" s="5">
        <v>2013</v>
      </c>
      <c r="C3076" s="5" t="s">
        <v>18368</v>
      </c>
      <c r="D3076" s="5" t="s">
        <v>1141</v>
      </c>
      <c r="E3076" s="5" t="s">
        <v>18453</v>
      </c>
      <c r="F3076" s="5" t="s">
        <v>18371</v>
      </c>
      <c r="G3076" s="5"/>
      <c r="H3076" s="5"/>
      <c r="I3076" s="5"/>
      <c r="J3076" s="5"/>
      <c r="K3076" s="5"/>
      <c r="L3076" s="5"/>
      <c r="M3076" s="5"/>
      <c r="N3076" s="5"/>
      <c r="O3076" s="5"/>
      <c r="P3076" s="5"/>
      <c r="Q3076" s="5"/>
      <c r="AL3076" s="7" t="str">
        <f>HYPERLINK("http://dx.doi.org/10.2980/20-3-3603","http://dx.doi.org/10.2980/20-3-3603")</f>
        <v>http://dx.doi.org/10.2980/20-3-3603</v>
      </c>
      <c r="AM3076" s="5">
        <v>22</v>
      </c>
      <c r="AN3076" s="5">
        <v>23</v>
      </c>
      <c r="AO3076" s="5">
        <v>20</v>
      </c>
      <c r="AP3076" s="5">
        <v>3</v>
      </c>
      <c r="AQ3076" s="5">
        <v>240</v>
      </c>
      <c r="AR3076" s="5">
        <v>251</v>
      </c>
      <c r="AS3076" s="5" t="s">
        <v>16</v>
      </c>
      <c r="AT3076" s="5" t="s">
        <v>18369</v>
      </c>
      <c r="AU3076" s="5" t="s">
        <v>18370</v>
      </c>
      <c r="AV3076" s="5" t="s">
        <v>18372</v>
      </c>
    </row>
    <row r="3077" spans="1:48" ht="45" customHeight="1" x14ac:dyDescent="0.15">
      <c r="A3077" s="5" t="s">
        <v>18373</v>
      </c>
      <c r="B3077" s="5">
        <v>2018</v>
      </c>
      <c r="C3077" s="5" t="s">
        <v>18374</v>
      </c>
      <c r="D3077" s="5" t="s">
        <v>49</v>
      </c>
      <c r="E3077" s="5" t="s">
        <v>18453</v>
      </c>
      <c r="F3077" s="5" t="s">
        <v>18377</v>
      </c>
      <c r="G3077" s="5"/>
      <c r="H3077" s="5"/>
      <c r="I3077" s="5"/>
      <c r="J3077" s="5"/>
      <c r="K3077" s="5"/>
      <c r="L3077" s="5"/>
      <c r="M3077" s="5"/>
      <c r="N3077" s="5"/>
      <c r="O3077" s="5"/>
      <c r="P3077" s="5"/>
      <c r="Q3077" s="5"/>
      <c r="AL3077" s="7" t="str">
        <f>HYPERLINK("http://dx.doi.org/10.3354/meps12748","http://dx.doi.org/10.3354/meps12748")</f>
        <v>http://dx.doi.org/10.3354/meps12748</v>
      </c>
      <c r="AM3077" s="5">
        <v>22</v>
      </c>
      <c r="AN3077" s="5">
        <v>23</v>
      </c>
      <c r="AO3077" s="5">
        <v>606</v>
      </c>
      <c r="AP3077" s="5" t="s">
        <v>16</v>
      </c>
      <c r="AQ3077" s="5">
        <v>187</v>
      </c>
      <c r="AR3077" s="5">
        <v>200</v>
      </c>
      <c r="AS3077" s="5" t="s">
        <v>16</v>
      </c>
      <c r="AT3077" s="5" t="s">
        <v>18375</v>
      </c>
      <c r="AU3077" s="5" t="s">
        <v>18376</v>
      </c>
      <c r="AV3077" s="5" t="s">
        <v>18378</v>
      </c>
    </row>
    <row r="3078" spans="1:48" ht="45" customHeight="1" x14ac:dyDescent="0.15">
      <c r="A3078" s="5" t="s">
        <v>18379</v>
      </c>
      <c r="B3078" s="5">
        <v>2008</v>
      </c>
      <c r="C3078" s="5" t="s">
        <v>18380</v>
      </c>
      <c r="D3078" s="5" t="s">
        <v>249</v>
      </c>
      <c r="E3078" s="5" t="s">
        <v>18453</v>
      </c>
      <c r="F3078" s="5" t="s">
        <v>18383</v>
      </c>
      <c r="G3078" s="5"/>
      <c r="H3078" s="5"/>
      <c r="I3078" s="5"/>
      <c r="J3078" s="5"/>
      <c r="K3078" s="5"/>
      <c r="L3078" s="5"/>
      <c r="M3078" s="5"/>
      <c r="N3078" s="5"/>
      <c r="O3078" s="5"/>
      <c r="P3078" s="5"/>
      <c r="Q3078" s="5"/>
      <c r="AL3078" s="7" t="str">
        <f>HYPERLINK("http://dx.doi.org/10.1016/j.jaridenv.2007.06.007","http://dx.doi.org/10.1016/j.jaridenv.2007.06.007")</f>
        <v>http://dx.doi.org/10.1016/j.jaridenv.2007.06.007</v>
      </c>
      <c r="AM3078" s="5">
        <v>76</v>
      </c>
      <c r="AN3078" s="5">
        <v>79</v>
      </c>
      <c r="AO3078" s="5">
        <v>72</v>
      </c>
      <c r="AP3078" s="5">
        <v>4</v>
      </c>
      <c r="AQ3078" s="5">
        <v>326</v>
      </c>
      <c r="AR3078" s="5">
        <v>337</v>
      </c>
      <c r="AS3078" s="5" t="s">
        <v>16</v>
      </c>
      <c r="AT3078" s="5" t="s">
        <v>18381</v>
      </c>
      <c r="AU3078" s="5" t="s">
        <v>18382</v>
      </c>
      <c r="AV3078" s="5" t="s">
        <v>18384</v>
      </c>
    </row>
    <row r="3079" spans="1:48" ht="45" customHeight="1" x14ac:dyDescent="0.15">
      <c r="A3079" s="5" t="s">
        <v>18385</v>
      </c>
      <c r="B3079" s="5">
        <v>2018</v>
      </c>
      <c r="C3079" s="5" t="s">
        <v>18386</v>
      </c>
      <c r="D3079" s="5" t="s">
        <v>49</v>
      </c>
      <c r="E3079" s="5" t="s">
        <v>18453</v>
      </c>
      <c r="F3079" s="5" t="s">
        <v>18389</v>
      </c>
      <c r="G3079" s="5"/>
      <c r="H3079" s="5"/>
      <c r="I3079" s="5"/>
      <c r="J3079" s="5"/>
      <c r="K3079" s="5"/>
      <c r="L3079" s="5"/>
      <c r="M3079" s="5"/>
      <c r="N3079" s="5"/>
      <c r="O3079" s="5"/>
      <c r="P3079" s="5"/>
      <c r="Q3079" s="5"/>
      <c r="AL3079" s="7" t="str">
        <f>HYPERLINK("http://dx.doi.org/10.3354/meps12684","http://dx.doi.org/10.3354/meps12684")</f>
        <v>http://dx.doi.org/10.3354/meps12684</v>
      </c>
      <c r="AM3079" s="5">
        <v>13</v>
      </c>
      <c r="AN3079" s="5">
        <v>13</v>
      </c>
      <c r="AO3079" s="5">
        <v>601</v>
      </c>
      <c r="AP3079" s="5" t="s">
        <v>16</v>
      </c>
      <c r="AQ3079" s="5">
        <v>227</v>
      </c>
      <c r="AR3079" s="5">
        <v>238</v>
      </c>
      <c r="AS3079" s="5" t="s">
        <v>16</v>
      </c>
      <c r="AT3079" s="5" t="s">
        <v>18387</v>
      </c>
      <c r="AU3079" s="5" t="s">
        <v>18388</v>
      </c>
      <c r="AV3079" s="5" t="s">
        <v>18390</v>
      </c>
    </row>
    <row r="3080" spans="1:48" ht="45" customHeight="1" x14ac:dyDescent="0.15">
      <c r="A3080" s="5" t="s">
        <v>18391</v>
      </c>
      <c r="B3080" s="5">
        <v>2020</v>
      </c>
      <c r="C3080" s="5" t="s">
        <v>18392</v>
      </c>
      <c r="D3080" s="5" t="s">
        <v>942</v>
      </c>
      <c r="E3080" s="5" t="s">
        <v>18453</v>
      </c>
      <c r="F3080" s="5" t="s">
        <v>18395</v>
      </c>
      <c r="G3080" s="5"/>
      <c r="H3080" s="5"/>
      <c r="I3080" s="5"/>
      <c r="J3080" s="5"/>
      <c r="K3080" s="5"/>
      <c r="L3080" s="5"/>
      <c r="M3080" s="5"/>
      <c r="N3080" s="5"/>
      <c r="O3080" s="5"/>
      <c r="P3080" s="5"/>
      <c r="Q3080" s="5"/>
      <c r="AL3080" s="7" t="str">
        <f>HYPERLINK("http://dx.doi.org/10.1016/j.rsma.2020.101439","http://dx.doi.org/10.1016/j.rsma.2020.101439")</f>
        <v>http://dx.doi.org/10.1016/j.rsma.2020.101439</v>
      </c>
      <c r="AM3080" s="5">
        <v>4</v>
      </c>
      <c r="AN3080" s="5">
        <v>4</v>
      </c>
      <c r="AO3080" s="5">
        <v>39</v>
      </c>
      <c r="AP3080" s="5" t="s">
        <v>16</v>
      </c>
      <c r="AQ3080" s="5" t="s">
        <v>16</v>
      </c>
      <c r="AR3080" s="5" t="s">
        <v>16</v>
      </c>
      <c r="AS3080" s="5">
        <v>101439</v>
      </c>
      <c r="AT3080" s="5" t="s">
        <v>18393</v>
      </c>
      <c r="AU3080" s="5" t="s">
        <v>18394</v>
      </c>
      <c r="AV3080" s="5" t="s">
        <v>18396</v>
      </c>
    </row>
    <row r="3081" spans="1:48" ht="45" customHeight="1" x14ac:dyDescent="0.15">
      <c r="A3081" s="5" t="s">
        <v>18397</v>
      </c>
      <c r="B3081" s="5">
        <v>2013</v>
      </c>
      <c r="C3081" s="5" t="s">
        <v>18398</v>
      </c>
      <c r="D3081" s="5" t="s">
        <v>172</v>
      </c>
      <c r="E3081" s="5" t="s">
        <v>18453</v>
      </c>
      <c r="F3081" s="5" t="s">
        <v>18401</v>
      </c>
      <c r="G3081" s="5"/>
      <c r="H3081" s="5"/>
      <c r="I3081" s="5"/>
      <c r="J3081" s="5"/>
      <c r="K3081" s="5"/>
      <c r="L3081" s="5"/>
      <c r="M3081" s="5"/>
      <c r="N3081" s="5"/>
      <c r="O3081" s="5"/>
      <c r="P3081" s="5"/>
      <c r="Q3081" s="5"/>
      <c r="AL3081" s="7" t="str">
        <f>HYPERLINK("http://dx.doi.org/10.1007/s00442-013-2665-0","http://dx.doi.org/10.1007/s00442-013-2665-0")</f>
        <v>http://dx.doi.org/10.1007/s00442-013-2665-0</v>
      </c>
      <c r="AM3081" s="5">
        <v>21</v>
      </c>
      <c r="AN3081" s="5">
        <v>21</v>
      </c>
      <c r="AO3081" s="5">
        <v>173</v>
      </c>
      <c r="AP3081" s="5">
        <v>3</v>
      </c>
      <c r="AQ3081" s="5">
        <v>1063</v>
      </c>
      <c r="AR3081" s="5">
        <v>1074</v>
      </c>
      <c r="AS3081" s="5" t="s">
        <v>16</v>
      </c>
      <c r="AT3081" s="5" t="s">
        <v>18399</v>
      </c>
      <c r="AU3081" s="5" t="s">
        <v>18400</v>
      </c>
      <c r="AV3081" s="5" t="s">
        <v>18402</v>
      </c>
    </row>
    <row r="3082" spans="1:48" ht="45" customHeight="1" x14ac:dyDescent="0.15">
      <c r="A3082" s="5" t="s">
        <v>18403</v>
      </c>
      <c r="B3082" s="5">
        <v>2020</v>
      </c>
      <c r="C3082" s="5" t="s">
        <v>18404</v>
      </c>
      <c r="D3082" s="5" t="s">
        <v>18</v>
      </c>
      <c r="E3082" s="5" t="s">
        <v>18453</v>
      </c>
      <c r="F3082" s="5" t="s">
        <v>18407</v>
      </c>
      <c r="G3082" s="5"/>
      <c r="H3082" s="5"/>
      <c r="I3082" s="5"/>
      <c r="J3082" s="5"/>
      <c r="K3082" s="5"/>
      <c r="L3082" s="5"/>
      <c r="M3082" s="5"/>
      <c r="N3082" s="5"/>
      <c r="O3082" s="5"/>
      <c r="P3082" s="5"/>
      <c r="Q3082" s="5"/>
      <c r="AL3082" s="7" t="str">
        <f>HYPERLINK("http://dx.doi.org/10.1002/ecs2.3098","http://dx.doi.org/10.1002/ecs2.3098")</f>
        <v>http://dx.doi.org/10.1002/ecs2.3098</v>
      </c>
      <c r="AM3082" s="5">
        <v>11</v>
      </c>
      <c r="AN3082" s="5">
        <v>11</v>
      </c>
      <c r="AO3082" s="5">
        <v>11</v>
      </c>
      <c r="AP3082" s="5">
        <v>5</v>
      </c>
      <c r="AQ3082" s="5" t="s">
        <v>16</v>
      </c>
      <c r="AR3082" s="5" t="s">
        <v>16</v>
      </c>
      <c r="AS3082" s="5" t="s">
        <v>18408</v>
      </c>
      <c r="AT3082" s="5" t="s">
        <v>18405</v>
      </c>
      <c r="AU3082" s="5" t="s">
        <v>18406</v>
      </c>
      <c r="AV3082" s="5" t="s">
        <v>18409</v>
      </c>
    </row>
    <row r="3083" spans="1:48" ht="45" customHeight="1" x14ac:dyDescent="0.15">
      <c r="A3083" s="5" t="s">
        <v>18410</v>
      </c>
      <c r="B3083" s="5">
        <v>2018</v>
      </c>
      <c r="C3083" s="5" t="s">
        <v>18411</v>
      </c>
      <c r="D3083" s="5" t="s">
        <v>11987</v>
      </c>
      <c r="E3083" s="5" t="s">
        <v>18453</v>
      </c>
      <c r="F3083" s="5" t="s">
        <v>18414</v>
      </c>
      <c r="G3083" s="5"/>
      <c r="H3083" s="5"/>
      <c r="I3083" s="5"/>
      <c r="J3083" s="5"/>
      <c r="K3083" s="5"/>
      <c r="L3083" s="5"/>
      <c r="M3083" s="5"/>
      <c r="N3083" s="5"/>
      <c r="O3083" s="5"/>
      <c r="P3083" s="5"/>
      <c r="Q3083" s="5"/>
      <c r="AL3083" s="7" t="str">
        <f>HYPERLINK("http://dx.doi.org/10.1007/s10886-018-0940-6","http://dx.doi.org/10.1007/s10886-018-0940-6")</f>
        <v>http://dx.doi.org/10.1007/s10886-018-0940-6</v>
      </c>
      <c r="AM3083" s="5">
        <v>14</v>
      </c>
      <c r="AN3083" s="5">
        <v>15</v>
      </c>
      <c r="AO3083" s="5">
        <v>44</v>
      </c>
      <c r="AP3083" s="5">
        <v>4</v>
      </c>
      <c r="AQ3083" s="5">
        <v>327</v>
      </c>
      <c r="AR3083" s="5">
        <v>338</v>
      </c>
      <c r="AS3083" s="5" t="s">
        <v>16</v>
      </c>
      <c r="AT3083" s="5" t="s">
        <v>18412</v>
      </c>
      <c r="AU3083" s="5" t="s">
        <v>18413</v>
      </c>
      <c r="AV3083" s="5" t="s">
        <v>18415</v>
      </c>
    </row>
    <row r="3084" spans="1:48" ht="45" customHeight="1" x14ac:dyDescent="0.15">
      <c r="A3084" s="5" t="s">
        <v>18416</v>
      </c>
      <c r="B3084" s="5">
        <v>2014</v>
      </c>
      <c r="C3084" s="5" t="s">
        <v>18417</v>
      </c>
      <c r="D3084" s="5" t="s">
        <v>295</v>
      </c>
      <c r="E3084" s="5" t="s">
        <v>18453</v>
      </c>
      <c r="F3084" s="5" t="s">
        <v>18420</v>
      </c>
      <c r="G3084" s="5"/>
      <c r="H3084" s="5"/>
      <c r="I3084" s="5"/>
      <c r="J3084" s="5"/>
      <c r="K3084" s="5"/>
      <c r="L3084" s="5"/>
      <c r="M3084" s="5"/>
      <c r="N3084" s="5"/>
      <c r="O3084" s="5"/>
      <c r="P3084" s="5"/>
      <c r="AL3084" s="7" t="str">
        <f>HYPERLINK("http://dx.doi.org/10.1016/j.jembe.2013.11.004","http://dx.doi.org/10.1016/j.jembe.2013.11.004")</f>
        <v>http://dx.doi.org/10.1016/j.jembe.2013.11.004</v>
      </c>
      <c r="AM3084" s="5">
        <v>14</v>
      </c>
      <c r="AN3084" s="5">
        <v>14</v>
      </c>
      <c r="AO3084" s="5">
        <v>451</v>
      </c>
      <c r="AP3084" s="5" t="s">
        <v>16</v>
      </c>
      <c r="AQ3084" s="5">
        <v>91</v>
      </c>
      <c r="AR3084" s="5">
        <v>97</v>
      </c>
      <c r="AS3084" s="5" t="s">
        <v>16</v>
      </c>
      <c r="AT3084" s="5" t="s">
        <v>18418</v>
      </c>
      <c r="AU3084" s="5" t="s">
        <v>18419</v>
      </c>
      <c r="AV3084" s="5" t="s">
        <v>18421</v>
      </c>
    </row>
  </sheetData>
  <phoneticPr fontId="3" type="noConversion"/>
  <hyperlinks>
    <hyperlink ref="AL2" r:id="rId1" xr:uid="{5F8B80D0-4EBA-4496-A1DE-E034BEBDEF4F}"/>
    <hyperlink ref="AL3" r:id="rId2" xr:uid="{0C83952B-14B5-496D-A26F-80FFCEBB7C1F}"/>
  </hyperlinks>
  <pageMargins left="0.7" right="0.7" top="0.75" bottom="0.75" header="0" footer="0"/>
  <pageSetup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
  <sheetViews>
    <sheetView tabSelected="1" workbookViewId="0">
      <selection activeCell="C36" sqref="C36"/>
    </sheetView>
  </sheetViews>
  <sheetFormatPr baseColWidth="10" defaultColWidth="12.6640625" defaultRowHeight="15" customHeight="1" x14ac:dyDescent="0.15"/>
  <sheetData>
    <row r="1" spans="1:1" ht="13" x14ac:dyDescent="0.15">
      <c r="A1" s="1" t="s">
        <v>18422</v>
      </c>
    </row>
    <row r="2" spans="1:1" ht="13" x14ac:dyDescent="0.15">
      <c r="A2" s="1" t="s">
        <v>18423</v>
      </c>
    </row>
    <row r="3" spans="1:1" ht="13" x14ac:dyDescent="0.15">
      <c r="A3" s="1" t="s">
        <v>18424</v>
      </c>
    </row>
    <row r="4" spans="1:1" ht="13" x14ac:dyDescent="0.15">
      <c r="A4" s="1" t="s">
        <v>18425</v>
      </c>
    </row>
    <row r="6" spans="1:1" ht="15" customHeight="1" x14ac:dyDescent="0.15">
      <c r="A6" s="1" t="s">
        <v>18763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keywords in search and 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 w</dc:creator>
  <cp:lastModifiedBy>Charlotte Ward</cp:lastModifiedBy>
  <dcterms:created xsi:type="dcterms:W3CDTF">2023-07-13T18:02:56Z</dcterms:created>
  <dcterms:modified xsi:type="dcterms:W3CDTF">2023-10-30T11:57:43Z</dcterms:modified>
</cp:coreProperties>
</file>